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emf" ContentType="image/x-emf"/>
  <Default Extension="jpeg" ContentType="image/jpeg"/>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3.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4.xml" ContentType="application/vnd.openxmlformats-officedocument.drawing+xml"/>
  <Override PartName="/xl/comments3.xml" ContentType="application/vnd.openxmlformats-officedocument.spreadsheetml.comments+xml"/>
  <Override PartName="/xl/threadedComments/threadedComment3.xml" ContentType="application/vnd.ms-excel.threadedcomments+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7.xml" ContentType="application/vnd.openxmlformats-officedocument.drawing+xml"/>
  <Override PartName="/xl/comments6.xml" ContentType="application/vnd.openxmlformats-officedocument.spreadsheetml.comments+xml"/>
  <Override PartName="/xl/threadedComments/threadedComment4.xml" ContentType="application/vnd.ms-excel.threadedcomments+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drawings/drawing8.xml" ContentType="application/vnd.openxmlformats-officedocument.drawing+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drawings/drawing9.xml" ContentType="application/vnd.openxmlformats-officedocument.drawing+xml"/>
  <Override PartName="/xl/charts/chart26.xml" ContentType="application/vnd.openxmlformats-officedocument.drawingml.chart+xml"/>
  <Override PartName="/xl/charts/style26.xml" ContentType="application/vnd.ms-office.chartstyle+xml"/>
  <Override PartName="/xl/charts/colors26.xml" ContentType="application/vnd.ms-office.chartcolorstyle+xml"/>
  <Override PartName="/xl/drawings/drawing10.xml" ContentType="application/vnd.openxmlformats-officedocument.drawing+xml"/>
  <Override PartName="/xl/charts/chart27.xml" ContentType="application/vnd.openxmlformats-officedocument.drawingml.chart+xml"/>
  <Override PartName="/xl/charts/style27.xml" ContentType="application/vnd.ms-office.chartstyle+xml"/>
  <Override PartName="/xl/charts/colors27.xml" ContentType="application/vnd.ms-office.chartcolorstyle+xml"/>
  <Override PartName="/xl/drawings/drawing11.xml" ContentType="application/vnd.openxmlformats-officedocument.drawing+xml"/>
  <Override PartName="/xl/charts/chart28.xml" ContentType="application/vnd.openxmlformats-officedocument.drawingml.chart+xml"/>
  <Override PartName="/xl/charts/style28.xml" ContentType="application/vnd.ms-office.chartstyle+xml"/>
  <Override PartName="/xl/charts/colors28.xml" ContentType="application/vnd.ms-office.chartcolorstyle+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2.xml" ContentType="application/vnd.openxmlformats-officedocument.drawing+xml"/>
  <Override PartName="/xl/tables/table1.xml" ContentType="application/vnd.openxmlformats-officedocument.spreadsheetml.table+xml"/>
  <Override PartName="/xl/slicers/slicer1.xml" ContentType="application/vnd.ms-excel.slicer+xml"/>
  <Override PartName="/xl/charts/chart29.xml" ContentType="application/vnd.openxmlformats-officedocument.drawingml.chart+xml"/>
  <Override PartName="/xl/charts/style29.xml" ContentType="application/vnd.ms-office.chartstyle+xml"/>
  <Override PartName="/xl/charts/colors29.xml" ContentType="application/vnd.ms-office.chartcolorstyle+xml"/>
  <Override PartName="/xl/drawings/drawing13.xml" ContentType="application/vnd.openxmlformats-officedocument.drawing+xml"/>
  <Override PartName="/xl/drawings/drawing14.xml" ContentType="application/vnd.openxmlformats-officedocument.drawing+xml"/>
  <Override PartName="/xl/comments7.xml" ContentType="application/vnd.openxmlformats-officedocument.spreadsheetml.comments+xml"/>
  <Override PartName="/xl/drawings/drawing15.xml" ContentType="application/vnd.openxmlformats-officedocument.drawing+xml"/>
  <Override PartName="/xl/charts/chart30.xml" ContentType="application/vnd.openxmlformats-officedocument.drawingml.chart+xml"/>
  <Override PartName="/xl/charts/style30.xml" ContentType="application/vnd.ms-office.chartstyle+xml"/>
  <Override PartName="/xl/charts/colors30.xml" ContentType="application/vnd.ms-office.chartcolorstyle+xml"/>
  <Override PartName="/xl/charts/chart31.xml" ContentType="application/vnd.openxmlformats-officedocument.drawingml.chart+xml"/>
  <Override PartName="/xl/charts/style31.xml" ContentType="application/vnd.ms-office.chartstyle+xml"/>
  <Override PartName="/xl/charts/colors31.xml" ContentType="application/vnd.ms-office.chartcolorstyle+xml"/>
  <Override PartName="/xl/charts/chart32.xml" ContentType="application/vnd.openxmlformats-officedocument.drawingml.chart+xml"/>
  <Override PartName="/xl/charts/style32.xml" ContentType="application/vnd.ms-office.chartstyle+xml"/>
  <Override PartName="/xl/charts/colors32.xml" ContentType="application/vnd.ms-office.chartcolorstyle+xml"/>
  <Override PartName="/xl/charts/chart33.xml" ContentType="application/vnd.openxmlformats-officedocument.drawingml.chart+xml"/>
  <Override PartName="/xl/charts/style33.xml" ContentType="application/vnd.ms-office.chartstyle+xml"/>
  <Override PartName="/xl/charts/colors33.xml" ContentType="application/vnd.ms-office.chartcolorstyle+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drawings/drawing16.xml" ContentType="application/vnd.openxmlformats-officedocument.drawing+xml"/>
  <Override PartName="/xl/comments12.xml" ContentType="application/vnd.openxmlformats-officedocument.spreadsheetml.comments+xml"/>
  <Override PartName="/xl/charts/chart34.xml" ContentType="application/vnd.openxmlformats-officedocument.drawingml.chart+xml"/>
  <Override PartName="/xl/charts/style34.xml" ContentType="application/vnd.ms-office.chartstyle+xml"/>
  <Override PartName="/xl/charts/colors34.xml" ContentType="application/vnd.ms-office.chartcolorstyle+xml"/>
  <Override PartName="/xl/drawings/drawing17.xml" ContentType="application/vnd.openxmlformats-officedocument.drawing+xml"/>
  <Override PartName="/xl/comments13.xml" ContentType="application/vnd.openxmlformats-officedocument.spreadsheetml.comments+xml"/>
  <Override PartName="/xl/charts/chart35.xml" ContentType="application/vnd.openxmlformats-officedocument.drawingml.chart+xml"/>
  <Override PartName="/xl/charts/style35.xml" ContentType="application/vnd.ms-office.chartstyle+xml"/>
  <Override PartName="/xl/charts/colors35.xml" ContentType="application/vnd.ms-office.chartcolorstyle+xml"/>
  <Override PartName="/xl/charts/chart36.xml" ContentType="application/vnd.openxmlformats-officedocument.drawingml.chart+xml"/>
  <Override PartName="/xl/charts/style36.xml" ContentType="application/vnd.ms-office.chartstyle+xml"/>
  <Override PartName="/xl/charts/colors36.xml" ContentType="application/vnd.ms-office.chartcolorstyle+xml"/>
  <Override PartName="/xl/charts/chart37.xml" ContentType="application/vnd.openxmlformats-officedocument.drawingml.chart+xml"/>
  <Override PartName="/xl/charts/style37.xml" ContentType="application/vnd.ms-office.chartstyle+xml"/>
  <Override PartName="/xl/charts/colors37.xml" ContentType="application/vnd.ms-office.chartcolorstyle+xml"/>
  <Override PartName="/xl/charts/chart38.xml" ContentType="application/vnd.openxmlformats-officedocument.drawingml.chart+xml"/>
  <Override PartName="/xl/charts/style38.xml" ContentType="application/vnd.ms-office.chartstyle+xml"/>
  <Override PartName="/xl/charts/colors38.xml" ContentType="application/vnd.ms-office.chartcolorstyle+xml"/>
  <Override PartName="/xl/charts/chart39.xml" ContentType="application/vnd.openxmlformats-officedocument.drawingml.chart+xml"/>
  <Override PartName="/xl/charts/style39.xml" ContentType="application/vnd.ms-office.chartstyle+xml"/>
  <Override PartName="/xl/charts/colors39.xml" ContentType="application/vnd.ms-office.chartcolorstyle+xml"/>
  <Override PartName="/xl/charts/chart40.xml" ContentType="application/vnd.openxmlformats-officedocument.drawingml.chart+xml"/>
  <Override PartName="/xl/charts/style40.xml" ContentType="application/vnd.ms-office.chartstyle+xml"/>
  <Override PartName="/xl/charts/colors40.xml" ContentType="application/vnd.ms-office.chartcolorstyle+xml"/>
  <Override PartName="/xl/charts/chart41.xml" ContentType="application/vnd.openxmlformats-officedocument.drawingml.chart+xml"/>
  <Override PartName="/xl/charts/style41.xml" ContentType="application/vnd.ms-office.chartstyle+xml"/>
  <Override PartName="/xl/charts/colors41.xml" ContentType="application/vnd.ms-office.chartcolorstyle+xml"/>
  <Override PartName="/xl/charts/chart42.xml" ContentType="application/vnd.openxmlformats-officedocument.drawingml.chart+xml"/>
  <Override PartName="/xl/charts/style42.xml" ContentType="application/vnd.ms-office.chartstyle+xml"/>
  <Override PartName="/xl/charts/colors42.xml" ContentType="application/vnd.ms-office.chartcolorstyle+xml"/>
  <Override PartName="/xl/charts/chart43.xml" ContentType="application/vnd.openxmlformats-officedocument.drawingml.chart+xml"/>
  <Override PartName="/xl/charts/style43.xml" ContentType="application/vnd.ms-office.chartstyle+xml"/>
  <Override PartName="/xl/charts/colors43.xml" ContentType="application/vnd.ms-office.chartcolorstyle+xml"/>
  <Override PartName="/xl/drawings/drawing18.xml" ContentType="application/vnd.openxmlformats-officedocument.drawing+xml"/>
  <Override PartName="/xl/comments14.xml" ContentType="application/vnd.openxmlformats-officedocument.spreadsheetml.comments+xml"/>
  <Override PartName="/xl/charts/chart44.xml" ContentType="application/vnd.openxmlformats-officedocument.drawingml.chart+xml"/>
  <Override PartName="/xl/charts/style44.xml" ContentType="application/vnd.ms-office.chartstyle+xml"/>
  <Override PartName="/xl/charts/colors44.xml" ContentType="application/vnd.ms-office.chartcolorstyle+xml"/>
  <Override PartName="/xl/charts/chart45.xml" ContentType="application/vnd.openxmlformats-officedocument.drawingml.chart+xml"/>
  <Override PartName="/xl/charts/style45.xml" ContentType="application/vnd.ms-office.chartstyle+xml"/>
  <Override PartName="/xl/charts/colors45.xml" ContentType="application/vnd.ms-office.chartcolorstyle+xml"/>
  <Override PartName="/xl/charts/chart46.xml" ContentType="application/vnd.openxmlformats-officedocument.drawingml.chart+xml"/>
  <Override PartName="/xl/charts/style46.xml" ContentType="application/vnd.ms-office.chartstyle+xml"/>
  <Override PartName="/xl/charts/colors46.xml" ContentType="application/vnd.ms-office.chartcolorstyle+xml"/>
  <Override PartName="/xl/drawings/drawing19.xml" ContentType="application/vnd.openxmlformats-officedocument.drawing+xml"/>
  <Override PartName="/xl/comments15.xml" ContentType="application/vnd.openxmlformats-officedocument.spreadsheetml.comments+xml"/>
  <Override PartName="/xl/charts/chart47.xml" ContentType="application/vnd.openxmlformats-officedocument.drawingml.chart+xml"/>
  <Override PartName="/xl/charts/style47.xml" ContentType="application/vnd.ms-office.chartstyle+xml"/>
  <Override PartName="/xl/charts/colors47.xml" ContentType="application/vnd.ms-office.chartcolorstyle+xml"/>
  <Override PartName="/xl/drawings/drawing20.xml" ContentType="application/vnd.openxmlformats-officedocument.drawing+xml"/>
  <Override PartName="/xl/charts/chart48.xml" ContentType="application/vnd.openxmlformats-officedocument.drawingml.chart+xml"/>
  <Override PartName="/xl/charts/style48.xml" ContentType="application/vnd.ms-office.chartstyle+xml"/>
  <Override PartName="/xl/charts/colors48.xml" ContentType="application/vnd.ms-office.chartcolorstyle+xml"/>
  <Override PartName="/xl/drawings/drawing21.xml" ContentType="application/vnd.openxmlformats-officedocument.drawing+xml"/>
  <Override PartName="/xl/comments16.xml" ContentType="application/vnd.openxmlformats-officedocument.spreadsheetml.comments+xml"/>
  <Override PartName="/xl/charts/chart49.xml" ContentType="application/vnd.openxmlformats-officedocument.drawingml.chart+xml"/>
  <Override PartName="/xl/charts/style49.xml" ContentType="application/vnd.ms-office.chartstyle+xml"/>
  <Override PartName="/xl/charts/colors49.xml" ContentType="application/vnd.ms-office.chartcolorstyle+xml"/>
  <Override PartName="/xl/charts/chart50.xml" ContentType="application/vnd.openxmlformats-officedocument.drawingml.chart+xml"/>
  <Override PartName="/xl/charts/style50.xml" ContentType="application/vnd.ms-office.chartstyle+xml"/>
  <Override PartName="/xl/charts/colors50.xml" ContentType="application/vnd.ms-office.chartcolorstyle+xml"/>
  <Override PartName="/xl/drawings/drawing22.xml" ContentType="application/vnd.openxmlformats-officedocument.drawing+xml"/>
  <Override PartName="/xl/charts/chart51.xml" ContentType="application/vnd.openxmlformats-officedocument.drawingml.chart+xml"/>
  <Override PartName="/xl/charts/style51.xml" ContentType="application/vnd.ms-office.chartstyle+xml"/>
  <Override PartName="/xl/charts/colors51.xml" ContentType="application/vnd.ms-office.chartcolorstyle+xml"/>
  <Override PartName="/xl/charts/chart52.xml" ContentType="application/vnd.openxmlformats-officedocument.drawingml.chart+xml"/>
  <Override PartName="/xl/charts/style52.xml" ContentType="application/vnd.ms-office.chartstyle+xml"/>
  <Override PartName="/xl/charts/colors52.xml" ContentType="application/vnd.ms-office.chartcolorstyle+xml"/>
  <Override PartName="/xl/drawings/drawing23.xml" ContentType="application/vnd.openxmlformats-officedocument.drawing+xml"/>
  <Override PartName="/xl/charts/chart53.xml" ContentType="application/vnd.openxmlformats-officedocument.drawingml.chart+xml"/>
  <Override PartName="/xl/charts/style53.xml" ContentType="application/vnd.ms-office.chartstyle+xml"/>
  <Override PartName="/xl/charts/colors53.xml" ContentType="application/vnd.ms-office.chartcolorstyle+xml"/>
  <Override PartName="/xl/drawings/drawing24.xml" ContentType="application/vnd.openxmlformats-officedocument.drawing+xml"/>
  <Override PartName="/xl/charts/chart54.xml" ContentType="application/vnd.openxmlformats-officedocument.drawingml.chart+xml"/>
  <Override PartName="/xl/charts/style54.xml" ContentType="application/vnd.ms-office.chartstyle+xml"/>
  <Override PartName="/xl/charts/colors54.xml" ContentType="application/vnd.ms-office.chartcolorstyle+xml"/>
  <Override PartName="/xl/charts/chart55.xml" ContentType="application/vnd.openxmlformats-officedocument.drawingml.chart+xml"/>
  <Override PartName="/xl/charts/style55.xml" ContentType="application/vnd.ms-office.chartstyle+xml"/>
  <Override PartName="/xl/charts/colors55.xml" ContentType="application/vnd.ms-office.chartcolorstyle+xml"/>
  <Override PartName="/xl/drawings/drawing25.xml" ContentType="application/vnd.openxmlformats-officedocument.drawing+xml"/>
  <Override PartName="/xl/charts/chart56.xml" ContentType="application/vnd.openxmlformats-officedocument.drawingml.chart+xml"/>
  <Override PartName="/xl/charts/style56.xml" ContentType="application/vnd.ms-office.chartstyle+xml"/>
  <Override PartName="/xl/charts/colors56.xml" ContentType="application/vnd.ms-office.chartcolorstyle+xml"/>
  <Override PartName="/xl/charts/chart57.xml" ContentType="application/vnd.openxmlformats-officedocument.drawingml.chart+xml"/>
  <Override PartName="/xl/charts/style57.xml" ContentType="application/vnd.ms-office.chartstyle+xml"/>
  <Override PartName="/xl/charts/colors57.xml" ContentType="application/vnd.ms-office.chartcolorstyle+xml"/>
  <Override PartName="/xl/drawings/drawing26.xml" ContentType="application/vnd.openxmlformats-officedocument.drawing+xml"/>
  <Override PartName="/xl/charts/chart58.xml" ContentType="application/vnd.openxmlformats-officedocument.drawingml.chart+xml"/>
  <Override PartName="/xl/charts/style58.xml" ContentType="application/vnd.ms-office.chartstyle+xml"/>
  <Override PartName="/xl/charts/colors58.xml" ContentType="application/vnd.ms-office.chartcolorstyle+xml"/>
  <Override PartName="/xl/drawings/drawing27.xml" ContentType="application/vnd.openxmlformats-officedocument.drawingml.chartshapes+xml"/>
  <Override PartName="/xl/drawings/drawing28.xml" ContentType="application/vnd.openxmlformats-officedocument.drawing+xml"/>
  <Override PartName="/xl/drawings/drawing29.xml" ContentType="application/vnd.openxmlformats-officedocument.drawing+xml"/>
  <Override PartName="/xl/charts/chart59.xml" ContentType="application/vnd.openxmlformats-officedocument.drawingml.chart+xml"/>
  <Override PartName="/xl/charts/style59.xml" ContentType="application/vnd.ms-office.chartstyle+xml"/>
  <Override PartName="/xl/charts/colors59.xml" ContentType="application/vnd.ms-office.chartcolorstyle+xml"/>
  <Override PartName="/xl/charts/chart60.xml" ContentType="application/vnd.openxmlformats-officedocument.drawingml.chart+xml"/>
  <Override PartName="/xl/charts/style60.xml" ContentType="application/vnd.ms-office.chartstyle+xml"/>
  <Override PartName="/xl/charts/colors60.xml" ContentType="application/vnd.ms-office.chartcolorstyle+xml"/>
  <Override PartName="/xl/drawings/drawing30.xml" ContentType="application/vnd.openxmlformats-officedocument.drawing+xml"/>
  <Override PartName="/xl/tables/table2.xml" ContentType="application/vnd.openxmlformats-officedocument.spreadsheetml.table+xml"/>
  <Override PartName="/xl/charts/chart61.xml" ContentType="application/vnd.openxmlformats-officedocument.drawingml.chart+xml"/>
  <Override PartName="/xl/charts/style61.xml" ContentType="application/vnd.ms-office.chartstyle+xml"/>
  <Override PartName="/xl/charts/colors61.xml" ContentType="application/vnd.ms-office.chartcolorstyle+xml"/>
  <Override PartName="/xl/tables/table3.xml" ContentType="application/vnd.openxmlformats-officedocument.spreadsheetml.table+xml"/>
  <Override PartName="/xl/drawings/drawing31.xml" ContentType="application/vnd.openxmlformats-officedocument.drawing+xml"/>
  <Override PartName="/xl/comments17.xml" ContentType="application/vnd.openxmlformats-officedocument.spreadsheetml.comments+xml"/>
  <Override PartName="/xl/charts/chart62.xml" ContentType="application/vnd.openxmlformats-officedocument.drawingml.chart+xml"/>
  <Override PartName="/xl/charts/style62.xml" ContentType="application/vnd.ms-office.chartstyle+xml"/>
  <Override PartName="/xl/charts/colors62.xml" ContentType="application/vnd.ms-office.chartcolorstyle+xml"/>
  <Override PartName="/xl/drawings/drawing32.xml" ContentType="application/vnd.openxmlformats-officedocument.drawingml.chartshapes+xml"/>
  <Override PartName="/xl/drawings/drawing33.xml" ContentType="application/vnd.openxmlformats-officedocument.drawing+xml"/>
  <Override PartName="/xl/charts/chart63.xml" ContentType="application/vnd.openxmlformats-officedocument.drawingml.chart+xml"/>
  <Override PartName="/xl/charts/style63.xml" ContentType="application/vnd.ms-office.chartstyle+xml"/>
  <Override PartName="/xl/charts/colors63.xml" ContentType="application/vnd.ms-office.chartcolorstyle+xml"/>
  <Override PartName="/xl/drawings/drawing34.xml" ContentType="application/vnd.openxmlformats-officedocument.drawing+xml"/>
  <Override PartName="/xl/charts/chart64.xml" ContentType="application/vnd.openxmlformats-officedocument.drawingml.chart+xml"/>
  <Override PartName="/xl/charts/style64.xml" ContentType="application/vnd.ms-office.chartstyle+xml"/>
  <Override PartName="/xl/charts/colors64.xml" ContentType="application/vnd.ms-office.chartcolorstyle+xml"/>
  <Override PartName="/xl/drawings/drawing35.xml" ContentType="application/vnd.openxmlformats-officedocument.drawing+xml"/>
  <Override PartName="/xl/charts/chart65.xml" ContentType="application/vnd.openxmlformats-officedocument.drawingml.chart+xml"/>
  <Override PartName="/xl/charts/style65.xml" ContentType="application/vnd.ms-office.chartstyle+xml"/>
  <Override PartName="/xl/charts/colors65.xml" ContentType="application/vnd.ms-office.chartcolorstyle+xml"/>
  <Override PartName="/xl/drawings/drawing36.xml" ContentType="application/vnd.openxmlformats-officedocument.drawing+xml"/>
  <Override PartName="/xl/charts/chart66.xml" ContentType="application/vnd.openxmlformats-officedocument.drawingml.chart+xml"/>
  <Override PartName="/xl/charts/style66.xml" ContentType="application/vnd.ms-office.chartstyle+xml"/>
  <Override PartName="/xl/charts/colors66.xml" ContentType="application/vnd.ms-office.chartcolorstyle+xml"/>
  <Override PartName="/xl/drawings/drawing37.xml" ContentType="application/vnd.openxmlformats-officedocument.drawingml.chartshapes+xml"/>
  <Override PartName="/xl/charts/chart67.xml" ContentType="application/vnd.openxmlformats-officedocument.drawingml.chart+xml"/>
  <Override PartName="/xl/charts/style67.xml" ContentType="application/vnd.ms-office.chartstyle+xml"/>
  <Override PartName="/xl/charts/colors67.xml" ContentType="application/vnd.ms-office.chartcolorstyle+xml"/>
  <Override PartName="/xl/drawings/drawing38.xml" ContentType="application/vnd.openxmlformats-officedocument.drawing+xml"/>
  <Override PartName="/xl/charts/chart68.xml" ContentType="application/vnd.openxmlformats-officedocument.drawingml.chart+xml"/>
  <Override PartName="/xl/charts/style68.xml" ContentType="application/vnd.ms-office.chartstyle+xml"/>
  <Override PartName="/xl/charts/colors68.xml" ContentType="application/vnd.ms-office.chartcolorstyle+xml"/>
  <Override PartName="/xl/drawings/drawing39.xml" ContentType="application/vnd.openxmlformats-officedocument.drawingml.chartshapes+xml"/>
  <Override PartName="/xl/charts/chart69.xml" ContentType="application/vnd.openxmlformats-officedocument.drawingml.chart+xml"/>
  <Override PartName="/xl/charts/style69.xml" ContentType="application/vnd.ms-office.chartstyle+xml"/>
  <Override PartName="/xl/charts/colors69.xml" ContentType="application/vnd.ms-office.chartcolorstyle+xml"/>
  <Override PartName="/xl/drawings/drawing40.xml" ContentType="application/vnd.openxmlformats-officedocument.drawingml.chartshapes+xml"/>
  <Override PartName="/xl/drawings/drawing41.xml" ContentType="application/vnd.openxmlformats-officedocument.drawing+xml"/>
  <Override PartName="/xl/charts/chart70.xml" ContentType="application/vnd.openxmlformats-officedocument.drawingml.chart+xml"/>
  <Override PartName="/xl/charts/style70.xml" ContentType="application/vnd.ms-office.chartstyle+xml"/>
  <Override PartName="/xl/charts/colors70.xml" ContentType="application/vnd.ms-office.chartcolorstyle+xml"/>
  <Override PartName="/xl/drawings/drawing42.xml" ContentType="application/vnd.openxmlformats-officedocument.drawing+xml"/>
  <Override PartName="/xl/charts/chart71.xml" ContentType="application/vnd.openxmlformats-officedocument.drawingml.chart+xml"/>
  <Override PartName="/xl/charts/style71.xml" ContentType="application/vnd.ms-office.chartstyle+xml"/>
  <Override PartName="/xl/charts/colors71.xml" ContentType="application/vnd.ms-office.chartcolorstyle+xml"/>
  <Override PartName="/xl/drawings/drawing43.xml" ContentType="application/vnd.openxmlformats-officedocument.drawingml.chartshapes+xml"/>
  <Override PartName="/xl/drawings/drawing44.xml" ContentType="application/vnd.openxmlformats-officedocument.drawing+xml"/>
  <Override PartName="/xl/charts/chart72.xml" ContentType="application/vnd.openxmlformats-officedocument.drawingml.chart+xml"/>
  <Override PartName="/xl/charts/style72.xml" ContentType="application/vnd.ms-office.chartstyle+xml"/>
  <Override PartName="/xl/charts/colors72.xml" ContentType="application/vnd.ms-office.chartcolorstyle+xml"/>
  <Override PartName="/xl/drawings/drawing45.xml" ContentType="application/vnd.openxmlformats-officedocument.drawingml.chartshapes+xml"/>
  <Override PartName="/xl/charts/chart73.xml" ContentType="application/vnd.openxmlformats-officedocument.drawingml.chart+xml"/>
  <Override PartName="/xl/charts/style73.xml" ContentType="application/vnd.ms-office.chartstyle+xml"/>
  <Override PartName="/xl/charts/colors73.xml" ContentType="application/vnd.ms-office.chartcolorstyle+xml"/>
  <Override PartName="/xl/drawings/drawing46.xml" ContentType="application/vnd.openxmlformats-officedocument.drawingml.chartshapes+xml"/>
  <Override PartName="/xl/drawings/drawing47.xml" ContentType="application/vnd.openxmlformats-officedocument.drawing+xml"/>
  <Override PartName="/xl/charts/chart74.xml" ContentType="application/vnd.openxmlformats-officedocument.drawingml.chart+xml"/>
  <Override PartName="/xl/charts/style74.xml" ContentType="application/vnd.ms-office.chartstyle+xml"/>
  <Override PartName="/xl/charts/colors74.xml" ContentType="application/vnd.ms-office.chartcolorstyle+xml"/>
  <Override PartName="/xl/drawings/drawing48.xml" ContentType="application/vnd.openxmlformats-officedocument.drawingml.chartshapes+xml"/>
  <Override PartName="/xl/drawings/drawing49.xml" ContentType="application/vnd.openxmlformats-officedocument.drawing+xml"/>
  <Override PartName="/xl/charts/chart75.xml" ContentType="application/vnd.openxmlformats-officedocument.drawingml.chart+xml"/>
  <Override PartName="/xl/charts/style75.xml" ContentType="application/vnd.ms-office.chartstyle+xml"/>
  <Override PartName="/xl/charts/colors75.xml" ContentType="application/vnd.ms-office.chartcolorstyle+xml"/>
  <Override PartName="/xl/drawings/drawing50.xml" ContentType="application/vnd.openxmlformats-officedocument.drawingml.chartshapes+xml"/>
  <Override PartName="/xl/drawings/drawing51.xml" ContentType="application/vnd.openxmlformats-officedocument.drawing+xml"/>
  <Override PartName="/xl/charts/chart76.xml" ContentType="application/vnd.openxmlformats-officedocument.drawingml.chart+xml"/>
  <Override PartName="/xl/charts/style76.xml" ContentType="application/vnd.ms-office.chartstyle+xml"/>
  <Override PartName="/xl/charts/colors76.xml" ContentType="application/vnd.ms-office.chartcolorstyle+xml"/>
  <Override PartName="/xl/drawings/drawing52.xml" ContentType="application/vnd.openxmlformats-officedocument.drawingml.chartshapes+xml"/>
  <Override PartName="/xl/drawings/drawing53.xml" ContentType="application/vnd.openxmlformats-officedocument.drawing+xml"/>
  <Override PartName="/xl/charts/chart77.xml" ContentType="application/vnd.openxmlformats-officedocument.drawingml.chart+xml"/>
  <Override PartName="/xl/charts/style77.xml" ContentType="application/vnd.ms-office.chartstyle+xml"/>
  <Override PartName="/xl/charts/colors77.xml" ContentType="application/vnd.ms-office.chartcolorstyle+xml"/>
  <Override PartName="/xl/drawings/drawing54.xml" ContentType="application/vnd.openxmlformats-officedocument.drawingml.chartshapes+xml"/>
  <Override PartName="/xl/drawings/drawing55.xml" ContentType="application/vnd.openxmlformats-officedocument.drawing+xml"/>
  <Override PartName="/xl/charts/chart78.xml" ContentType="application/vnd.openxmlformats-officedocument.drawingml.chart+xml"/>
  <Override PartName="/xl/charts/style78.xml" ContentType="application/vnd.ms-office.chartstyle+xml"/>
  <Override PartName="/xl/charts/colors78.xml" ContentType="application/vnd.ms-office.chartcolorstyle+xml"/>
  <Override PartName="/xl/drawings/drawing56.xml" ContentType="application/vnd.openxmlformats-officedocument.drawingml.chartshapes+xml"/>
  <Override PartName="/xl/drawings/drawing57.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codeName="ThisWorkbook" defaultThemeVersion="124226"/>
  <mc:AlternateContent xmlns:mc="http://schemas.openxmlformats.org/markup-compatibility/2006">
    <mc:Choice Requires="x15">
      <x15ac:absPath xmlns:x15ac="http://schemas.microsoft.com/office/spreadsheetml/2010/11/ac" url="D:\RESPALDOS RBANDA\000 PLANIFICACION\Estadisticas y Datos\01 UIO Datos UIO\Quito en cifras\Quito en cifras QT\"/>
    </mc:Choice>
  </mc:AlternateContent>
  <xr:revisionPtr revIDLastSave="0" documentId="13_ncr:1_{17A24012-7486-4619-A920-AB5EF13B3220}" xr6:coauthVersionLast="47" xr6:coauthVersionMax="47" xr10:uidLastSave="{00000000-0000-0000-0000-000000000000}"/>
  <bookViews>
    <workbookView xWindow="22932" yWindow="-108" windowWidth="23256" windowHeight="12576" tabRatio="811" activeTab="3" xr2:uid="{00000000-000D-0000-FFFF-FFFF00000000}"/>
  </bookViews>
  <sheets>
    <sheet name="Origen de datos QT" sheetId="101" r:id="rId1"/>
    <sheet name="DATOS-EC-UIO" sheetId="28" r:id="rId2"/>
    <sheet name="Llegadas " sheetId="21" r:id="rId3"/>
    <sheet name="Llegadas x nacionalidad" sheetId="70" r:id="rId4"/>
    <sheet name="Cifras Clave" sheetId="75" r:id="rId5"/>
    <sheet name="Sugeridos-estancia-gasto" sheetId="72" r:id="rId6"/>
    <sheet name="Tendencias nacionalidad" sheetId="110" r:id="rId7"/>
    <sheet name="Datos Aeropuerto AMS" sheetId="59" r:id="rId8"/>
    <sheet name="Ventas locales tur uio" sheetId="113" r:id="rId9"/>
    <sheet name="Puntos_información_QT" sheetId="108" r:id="rId10"/>
    <sheet name="Ventas-locales Base" sheetId="112" state="hidden" r:id="rId11"/>
    <sheet name="Museos UIO" sheetId="109" r:id="rId12"/>
    <sheet name="MICE-ICCA " sheetId="111" r:id="rId13"/>
    <sheet name="ICCA" sheetId="98" state="hidden" r:id="rId14"/>
    <sheet name="PIB Turistico DMQ" sheetId="71" state="hidden" r:id="rId15"/>
    <sheet name="Resume_FF" sheetId="116" r:id="rId16"/>
    <sheet name="FEB-MAR-Carnaval" sheetId="117" r:id="rId17"/>
    <sheet name="ABR-Semana Santa" sheetId="118" r:id="rId18"/>
    <sheet name="MAY-Trabajo" sheetId="119" r:id="rId19"/>
    <sheet name="MAY-Bat Pich" sheetId="120" r:id="rId20"/>
    <sheet name="AGO-Primer grito" sheetId="121" r:id="rId21"/>
    <sheet name="OCT-Ind.GYE" sheetId="122" r:id="rId22"/>
    <sheet name="NOV-Finados" sheetId="123" r:id="rId23"/>
    <sheet name="DIC-FFQQ" sheetId="124" r:id="rId24"/>
    <sheet name="DIC-FF Navidad" sheetId="125" r:id="rId25"/>
    <sheet name="DIC-Fin Año" sheetId="126" r:id="rId26"/>
    <sheet name="4x4 EOH" sheetId="107" state="hidden" r:id="rId27"/>
    <sheet name="TOH (hist) " sheetId="62" r:id="rId28"/>
    <sheet name="TOH (hist)  (2)" sheetId="114" r:id="rId29"/>
    <sheet name="Ingresos (hist)" sheetId="115" r:id="rId30"/>
    <sheet name="Estancia hotelera" sheetId="36" r:id="rId31"/>
    <sheet name="Estancia hotelera (PAISES)" sheetId="87" state="hidden" r:id="rId32"/>
    <sheet name="Tarifa Promedio Hab ocupada" sheetId="29" r:id="rId33"/>
    <sheet name="RevPar tar_hab_Disponible" sheetId="63" state="hidden" r:id="rId34"/>
    <sheet name="establecimientos UIO" sheetId="48" r:id="rId35"/>
    <sheet name="% y # establecimientos act econ" sheetId="60" r:id="rId36"/>
    <sheet name="Actividades económicas TUR" sheetId="49" r:id="rId37"/>
    <sheet name="Transporte TUR" sheetId="50" r:id="rId38"/>
    <sheet name="Aloj x categoria" sheetId="93" r:id="rId39"/>
    <sheet name="Aloj-Capacidad-TASA" sheetId="95" r:id="rId40"/>
    <sheet name="Aloj x sectores" sheetId="94" r:id="rId41"/>
    <sheet name="EMPLEO_tur_DMQ" sheetId="97" r:id="rId42"/>
    <sheet name="perfil-mas visitado" sheetId="77" r:id="rId43"/>
    <sheet name="perfil-Alrededor_parroquia" sheetId="64" r:id="rId44"/>
    <sheet name="Perfil-otras-cyties" sheetId="69" r:id="rId45"/>
    <sheet name="Ingresos-divisas" sheetId="9" r:id="rId46"/>
    <sheet name="perfil-Dist_Gasto" sheetId="23" r:id="rId47"/>
    <sheet name="perfil-Nvl_Educ" sheetId="10" r:id="rId48"/>
    <sheet name="perfil-Edad" sheetId="11" r:id="rId49"/>
    <sheet name="perfil-Motivo Viaje-2015" sheetId="12" r:id="rId50"/>
    <sheet name="perfil-Razon llegada" sheetId="13" r:id="rId51"/>
    <sheet name="perfil-Medio Info" sheetId="14" r:id="rId52"/>
    <sheet name="perfil-viaja con" sheetId="15" r:id="rId53"/>
    <sheet name="perfil-Organiza viaje" sheetId="16" r:id="rId54"/>
    <sheet name="perfil-Hospedaje tipo" sheetId="22" r:id="rId55"/>
    <sheet name="SNAP" sheetId="96" r:id="rId56"/>
  </sheets>
  <externalReferences>
    <externalReference r:id="rId57"/>
    <externalReference r:id="rId58"/>
    <externalReference r:id="rId59"/>
    <externalReference r:id="rId60"/>
    <externalReference r:id="rId61"/>
    <externalReference r:id="rId62"/>
    <externalReference r:id="rId63"/>
  </externalReferences>
  <definedNames>
    <definedName name="_xlnm._FilterDatabase" localSheetId="36" hidden="1">'Actividades económicas TUR'!$C$4:$S$8</definedName>
    <definedName name="_xlnm._FilterDatabase" localSheetId="1" hidden="1">'DATOS-EC-UIO'!$B$1:$B$90</definedName>
    <definedName name="_xlnm._FilterDatabase" localSheetId="0" hidden="1">'Origen de datos QT'!$A$5:$Y$142</definedName>
    <definedName name="_Toc10467452" localSheetId="0">'Origen de datos QT'!$A$40</definedName>
    <definedName name="_Toc10467453" localSheetId="0">'Origen de datos QT'!$A$52</definedName>
    <definedName name="_Toc10467454" localSheetId="0">'Origen de datos QT'!$B$97</definedName>
    <definedName name="_Toc10467460" localSheetId="0">'Origen de datos QT'!$A$123</definedName>
    <definedName name="_Toc10467462" localSheetId="0">'Origen de datos QT'!$A$132</definedName>
    <definedName name="_Toc10467463" localSheetId="0">'Origen de datos QT'!$A$136</definedName>
    <definedName name="_xlcn.WorksheetConnection_AnexoEstadisticoV2.xlsxBase_Encuestas1" hidden="1">[1]!Base_Encuestas[#Data]</definedName>
    <definedName name="_xlcn.WorksheetConnection_AnexoEstadisticoV2.xlsxBase_Encuestas11" hidden="1">[1]!Base_Encuestas[#Data]</definedName>
    <definedName name="_xlcn.WorksheetConnection_AnexoEstadisticoV2.xlsxBase_Encuestas21" hidden="1">[1]!Base_Encuestas[#Data]</definedName>
    <definedName name="_xlcn.WorksheetConnection_AnexoEstadisticoV2.xlsxBase_Encuestas31" hidden="1">[2]!Base_Encuestas[#Data]</definedName>
    <definedName name="_xlcn.WorksheetConnection_AnexoEstadisticoV2.xlsxBase_Encuestas41" hidden="1">[2]!Base_Encuestas[#Data]</definedName>
    <definedName name="_xlnm.Print_Area" localSheetId="1">'DATOS-EC-UIO'!$A$1:$L$146</definedName>
    <definedName name="_xlnm.Print_Area" localSheetId="3">'Llegadas x nacionalidad'!$C$2:$JL$41</definedName>
    <definedName name="_xlnm.Print_Area" localSheetId="6">'Tendencias nacionalidad'!$C$7:$IV$88</definedName>
    <definedName name="SegmentaciónDeDatos_AÑO1">#N/A</definedName>
    <definedName name="_xlnm.Print_Titles" localSheetId="1">'DATOS-EC-UIO'!$1:$4</definedName>
    <definedName name="_xlnm.Print_Titles" localSheetId="3">'Llegadas x nacionalidad'!$B:$C,'Llegadas x nacionalidad'!#REF!</definedName>
    <definedName name="_xlnm.Print_Titles" localSheetId="0">'Origen de datos QT'!$1:$4</definedName>
    <definedName name="_xlnm.Print_Titles" localSheetId="15">Resume_FF!$3:$3</definedName>
    <definedName name="_xlnm.Print_Titles" localSheetId="6">'Tendencias nacionalidad'!$B:$C,'Tendencias nacionalidad'!$2:$6</definedName>
  </definedNames>
  <calcPr calcId="191029"/>
  <pivotCaches>
    <pivotCache cacheId="0" r:id="rId64"/>
  </pivotCaches>
  <extLst>
    <ext xmlns:x14="http://schemas.microsoft.com/office/spreadsheetml/2009/9/main" uri="{BBE1A952-AA13-448e-AADC-164F8A28A991}">
      <x14:slicerCaches>
        <x14:slicerCache r:id="rId65"/>
      </x14:slicerCaches>
    </ext>
    <ext xmlns:x14="http://schemas.microsoft.com/office/spreadsheetml/2009/9/main" uri="{79F54976-1DA5-4618-B147-4CDE4B953A38}">
      <x14:workbookPr/>
    </ext>
    <ext xmlns:x15="http://schemas.microsoft.com/office/spreadsheetml/2010/11/main" uri="{FCE2AD5D-F65C-4FA6-A056-5C36A1767C68}">
      <x15:dataModel>
        <x15:modelTables>
          <x15:modelTable id="Base_Encuestas-0b7f8278-c7fe-4eea-8cde-372f967a39fb" name="Base_Encuestas 2" connection="WorksheetConnection_Anexo Estadistico  V2.xlsx!Base_Encuestas2"/>
          <x15:modelTable id="Base_Encuestas-96b8b88e-2eda-4bf3-a1b7-abbfcf10ea74" name="Base_Encuestas 1" connection="WorksheetConnection_Anexo Estadistico  V2.xlsx!Base_Encuestas1"/>
          <x15:modelTable id="Base_Encuestas-cce2473e-d522-4f2b-8002-aea47e29bb5c" name="Base_Encuestas" connection="WorksheetConnection_Anexo Estadistico  V2.xlsx!Base_Encuestas"/>
          <x15:modelTable id="Base_Encuestas-ca360a7d-27a4-4f39-9bc0-3a560bf7560b" name="Base_Encuestas 3" connection="WorksheetConnection_Anexo Estadistico  V2.xlsx!Base_Encuestas3"/>
          <x15:modelTable id="Base_Encuestas-7d855487-9923-421d-88dd-39d700001cc1" name="Base_Encuestas 4" connection="WorksheetConnection_Anexo Estadistico  V2.xlsx!Base_Encuestas4"/>
        </x15:modelTables>
        <x15:extLst>
          <ext xmlns:x16="http://schemas.microsoft.com/office/spreadsheetml/2014/11/main" uri="{9835A34E-60A6-4A7C-AAB8-D5F71C897F49}">
            <x16:modelTimeGroupings>
              <x16:modelTimeGrouping tableName="Base_Encuestas" columnName="FECHA" columnId="FECHA">
                <x16:calculatedTimeColumn columnName="FECHA (año)" columnId="FECHA (año)" contentType="years" isSelected="1"/>
                <x16:calculatedTimeColumn columnName="FECHA (trimestre)" columnId="FECHA (trimestre)" contentType="quarters" isSelected="1"/>
                <x16:calculatedTimeColumn columnName="FECHA (índice de meses)" columnId="FECHA (índice de meses)" contentType="monthsindex" isSelected="1"/>
                <x16:calculatedTimeColumn columnName="FECHA (mes)" columnId="FECHA (mes)" contentType="months" isSelected="1"/>
              </x16:modelTimeGrouping>
              <x16:modelTimeGrouping tableName="Base_Encuestas 1" columnName="FECHA" columnId="FECHA">
                <x16:calculatedTimeColumn columnName="FECHA (año)" columnId="FECHA (año)" contentType="years" isSelected="1"/>
                <x16:calculatedTimeColumn columnName="FECHA (trimestre)" columnId="FECHA (trimestre)" contentType="quarters" isSelected="1"/>
                <x16:calculatedTimeColumn columnName="FECHA (índice de meses)" columnId="FECHA (índice de meses)" contentType="monthsindex" isSelected="1"/>
                <x16:calculatedTimeColumn columnName="FECHA (mes)" columnId="FECHA (mes)" contentType="months" isSelected="1"/>
              </x16:modelTimeGrouping>
              <x16:modelTimeGrouping tableName="Base_Encuestas 2" columnName="FECHA" columnId="FECHA">
                <x16:calculatedTimeColumn columnName="FECHA (año)" columnId="FECHA (año)" contentType="years" isSelected="1"/>
                <x16:calculatedTimeColumn columnName="FECHA (trimestre)" columnId="FECHA (trimestre)" contentType="quarters" isSelected="1"/>
                <x16:calculatedTimeColumn columnName="FECHA (índice de meses)" columnId="FECHA (índice de meses)" contentType="monthsindex" isSelected="1"/>
                <x16:calculatedTimeColumn columnName="FECHA (mes)" columnId="FECHA (mes)" contentType="months" isSelected="1"/>
              </x16:modelTimeGrouping>
              <x16:modelTimeGrouping tableName="Base_Encuestas 3" columnName="FECHA" columnId="FECHA">
                <x16:calculatedTimeColumn columnName="FECHA (año)" columnId="FECHA (año)" contentType="years" isSelected="1"/>
                <x16:calculatedTimeColumn columnName="FECHA (trimestre)" columnId="FECHA (trimestre)" contentType="quarters" isSelected="1"/>
                <x16:calculatedTimeColumn columnName="FECHA (índice de meses)" columnId="FECHA (índice de meses)" contentType="monthsindex" isSelected="1"/>
                <x16:calculatedTimeColumn columnName="FECHA (mes)" columnId="FECHA (mes)" contentType="months" isSelected="1"/>
              </x16:modelTimeGrouping>
              <x16:modelTimeGrouping tableName="Base_Encuestas 4" columnName="FECHA" columnId="FECHA">
                <x16:calculatedTimeColumn columnName="FECHA (año)" columnId="FECHA (año)" contentType="years" isSelected="1"/>
                <x16:calculatedTimeColumn columnName="FECHA (trimestre)" columnId="FECHA (trimestre)" contentType="quarters" isSelected="1"/>
                <x16:calculatedTimeColumn columnName="FECHA (índice de meses)" columnId="FECHA (índice de meses)" contentType="monthsindex" isSelected="1"/>
                <x16:calculatedTimeColumn columnName="FECHA (mes)" columnId="FECHA (mes)" contentType="months" isSelected="1"/>
              </x16:modelTimeGrouping>
            </x16:modelTimeGroupings>
          </ext>
        </x15:extLst>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W45" i="70" l="1"/>
  <c r="IW44" i="70"/>
  <c r="IZ43" i="70"/>
  <c r="IZ44" i="70" s="1"/>
  <c r="IY43" i="70"/>
  <c r="IY44" i="70" s="1"/>
  <c r="IX43" i="70"/>
  <c r="IX45" i="70" s="1"/>
  <c r="IW43" i="70"/>
  <c r="JT8" i="70"/>
  <c r="JT9" i="70"/>
  <c r="JT10" i="70"/>
  <c r="JT11" i="70"/>
  <c r="JT12" i="70"/>
  <c r="JT13" i="70"/>
  <c r="JT14" i="70"/>
  <c r="JT15" i="70"/>
  <c r="JT16" i="70"/>
  <c r="JT17" i="70"/>
  <c r="JT18" i="70"/>
  <c r="JT19" i="70"/>
  <c r="JT20" i="70"/>
  <c r="JT21" i="70"/>
  <c r="JT22" i="70"/>
  <c r="JT23" i="70"/>
  <c r="JT24" i="70"/>
  <c r="JT25" i="70"/>
  <c r="JT26" i="70"/>
  <c r="JT27" i="70"/>
  <c r="JT28" i="70"/>
  <c r="JT29" i="70"/>
  <c r="JT30" i="70"/>
  <c r="JT31" i="70"/>
  <c r="JT32" i="70"/>
  <c r="JT33" i="70"/>
  <c r="JT34" i="70"/>
  <c r="JT35" i="70"/>
  <c r="JT36" i="70"/>
  <c r="JT37" i="70"/>
  <c r="JT7" i="70"/>
  <c r="JQ7" i="70"/>
  <c r="JP8" i="70"/>
  <c r="JP9" i="70"/>
  <c r="JP10" i="70"/>
  <c r="JP11" i="70"/>
  <c r="JP12" i="70"/>
  <c r="JP13" i="70"/>
  <c r="JP14" i="70"/>
  <c r="JP15" i="70"/>
  <c r="JP16" i="70"/>
  <c r="JP17" i="70"/>
  <c r="JP18" i="70"/>
  <c r="JP19" i="70"/>
  <c r="JP20" i="70"/>
  <c r="JP21" i="70"/>
  <c r="JP22" i="70"/>
  <c r="JP23" i="70"/>
  <c r="JP24" i="70"/>
  <c r="JP25" i="70"/>
  <c r="JP26" i="70"/>
  <c r="JP27" i="70"/>
  <c r="JP28" i="70"/>
  <c r="JP29" i="70"/>
  <c r="JP30" i="70"/>
  <c r="JP31" i="70"/>
  <c r="JP32" i="70"/>
  <c r="JP33" i="70"/>
  <c r="JP34" i="70"/>
  <c r="JP35" i="70"/>
  <c r="JP36" i="70"/>
  <c r="JP37" i="70"/>
  <c r="JP7" i="70"/>
  <c r="JS8" i="70"/>
  <c r="JS9" i="70"/>
  <c r="JS10" i="70"/>
  <c r="JS11" i="70"/>
  <c r="JS12" i="70"/>
  <c r="JS13" i="70"/>
  <c r="JS14" i="70"/>
  <c r="JS15" i="70"/>
  <c r="JS16" i="70"/>
  <c r="JS17" i="70"/>
  <c r="JS18" i="70"/>
  <c r="JS19" i="70"/>
  <c r="JS20" i="70"/>
  <c r="JS21" i="70"/>
  <c r="JS22" i="70"/>
  <c r="JS23" i="70"/>
  <c r="JS24" i="70"/>
  <c r="JS25" i="70"/>
  <c r="JS26" i="70"/>
  <c r="JS27" i="70"/>
  <c r="JS28" i="70"/>
  <c r="JS29" i="70"/>
  <c r="JS30" i="70"/>
  <c r="JS31" i="70"/>
  <c r="JS32" i="70"/>
  <c r="JS33" i="70"/>
  <c r="JS34" i="70"/>
  <c r="JS35" i="70"/>
  <c r="JS36" i="70"/>
  <c r="JS37" i="70"/>
  <c r="JS7" i="70"/>
  <c r="N226" i="59"/>
  <c r="IY45" i="70" l="1"/>
  <c r="IZ45" i="70"/>
  <c r="IX44" i="70"/>
  <c r="AD18" i="21"/>
  <c r="AI18" i="21"/>
  <c r="AI19" i="21"/>
  <c r="AI20" i="21"/>
  <c r="Q4" i="21"/>
  <c r="Q17" i="21" s="1"/>
  <c r="AH19" i="21" s="1"/>
  <c r="C17" i="21"/>
  <c r="D17" i="21"/>
  <c r="E17" i="21"/>
  <c r="F17" i="21"/>
  <c r="G17" i="21"/>
  <c r="H17" i="21"/>
  <c r="I17" i="21"/>
  <c r="J17" i="21"/>
  <c r="K17" i="21"/>
  <c r="L17" i="21"/>
  <c r="M17" i="21"/>
  <c r="N17" i="21"/>
  <c r="O17" i="21"/>
  <c r="P17" i="21"/>
  <c r="B17" i="21"/>
  <c r="Q41" i="21"/>
  <c r="Q43" i="21"/>
  <c r="Q45" i="21"/>
  <c r="Q47" i="21"/>
  <c r="Q49" i="21"/>
  <c r="M57" i="116"/>
  <c r="N57" i="116"/>
  <c r="O48" i="116"/>
  <c r="O49" i="116"/>
  <c r="O50" i="116"/>
  <c r="O51" i="116"/>
  <c r="O52" i="116"/>
  <c r="O42" i="116"/>
  <c r="O43" i="116"/>
  <c r="O44" i="116"/>
  <c r="O45" i="116"/>
  <c r="O41" i="116"/>
  <c r="O21" i="116"/>
  <c r="O23" i="116"/>
  <c r="O24" i="116"/>
  <c r="O25" i="116"/>
  <c r="O27" i="116"/>
  <c r="O28" i="116"/>
  <c r="O29" i="116"/>
  <c r="O31" i="116"/>
  <c r="O32" i="116"/>
  <c r="O33" i="116"/>
  <c r="O35" i="116"/>
  <c r="O36" i="116"/>
  <c r="O37" i="116"/>
  <c r="O20" i="116"/>
  <c r="O5" i="116"/>
  <c r="O6" i="116"/>
  <c r="O7" i="116"/>
  <c r="O8" i="116"/>
  <c r="O9" i="116"/>
  <c r="O10" i="116"/>
  <c r="O11" i="116"/>
  <c r="O12" i="116"/>
  <c r="O13" i="116"/>
  <c r="O14" i="116"/>
  <c r="O4" i="116"/>
  <c r="E6" i="126"/>
  <c r="D6" i="126"/>
  <c r="D13" i="126" s="1"/>
  <c r="E7" i="126"/>
  <c r="G13" i="126"/>
  <c r="F13" i="126"/>
  <c r="E13" i="126"/>
  <c r="G12" i="126"/>
  <c r="F12" i="126"/>
  <c r="D12" i="126"/>
  <c r="Q8" i="126"/>
  <c r="P7" i="126"/>
  <c r="P8" i="126" s="1"/>
  <c r="G7" i="126"/>
  <c r="P6" i="126"/>
  <c r="E11" i="125"/>
  <c r="G11" i="125" s="1"/>
  <c r="Q7" i="125"/>
  <c r="G7" i="125"/>
  <c r="P6" i="125"/>
  <c r="P7" i="125" s="1"/>
  <c r="E6" i="125"/>
  <c r="D6" i="125"/>
  <c r="D11" i="125" s="1"/>
  <c r="E12" i="125" s="1"/>
  <c r="P5" i="125"/>
  <c r="Y23" i="124"/>
  <c r="G27" i="124" s="1"/>
  <c r="I23" i="124"/>
  <c r="G23" i="124"/>
  <c r="N15" i="124"/>
  <c r="M15" i="124"/>
  <c r="G15" i="124"/>
  <c r="F15" i="124"/>
  <c r="E15" i="124"/>
  <c r="N14" i="124"/>
  <c r="M14" i="124"/>
  <c r="K14" i="124"/>
  <c r="G14" i="124"/>
  <c r="F14" i="124"/>
  <c r="E14" i="124"/>
  <c r="N13" i="124"/>
  <c r="M13" i="124"/>
  <c r="K13" i="124"/>
  <c r="J13" i="124"/>
  <c r="H13" i="124"/>
  <c r="G13" i="124"/>
  <c r="F13" i="124"/>
  <c r="E13" i="124"/>
  <c r="AC12" i="124"/>
  <c r="AA12" i="124"/>
  <c r="Y12" i="124"/>
  <c r="V12" i="124"/>
  <c r="J9" i="124"/>
  <c r="G9" i="124"/>
  <c r="F9" i="124"/>
  <c r="AC8" i="124"/>
  <c r="Y8" i="124"/>
  <c r="L5" i="116" s="1"/>
  <c r="V8" i="124"/>
  <c r="AA7" i="124"/>
  <c r="AB7" i="124" s="1"/>
  <c r="Z7" i="124"/>
  <c r="Y7" i="124"/>
  <c r="X7" i="124"/>
  <c r="X8" i="124" s="1"/>
  <c r="W7" i="124"/>
  <c r="V7" i="124"/>
  <c r="N7" i="124"/>
  <c r="AA6" i="124"/>
  <c r="AA8" i="124" s="1"/>
  <c r="Z6" i="124"/>
  <c r="Z12" i="124" s="1"/>
  <c r="Y6" i="124"/>
  <c r="X6" i="124"/>
  <c r="X12" i="124" s="1"/>
  <c r="W6" i="124"/>
  <c r="W8" i="124" s="1"/>
  <c r="W9" i="124" s="1"/>
  <c r="V6" i="124"/>
  <c r="L6" i="124"/>
  <c r="K23" i="124" s="1"/>
  <c r="K27" i="124" s="1"/>
  <c r="K6" i="124"/>
  <c r="L7" i="124" s="1"/>
  <c r="J6" i="124"/>
  <c r="I6" i="124"/>
  <c r="I13" i="124" s="1"/>
  <c r="H6" i="124"/>
  <c r="H9" i="124" s="1"/>
  <c r="M14" i="123"/>
  <c r="AA13" i="123"/>
  <c r="Y13" i="123"/>
  <c r="W13" i="123"/>
  <c r="U13" i="123"/>
  <c r="N13" i="123"/>
  <c r="L13" i="123"/>
  <c r="J13" i="123"/>
  <c r="H13" i="123"/>
  <c r="G13" i="123"/>
  <c r="F13" i="123"/>
  <c r="E13" i="123"/>
  <c r="N9" i="123"/>
  <c r="J9" i="123"/>
  <c r="G9" i="123"/>
  <c r="F9" i="123"/>
  <c r="AA8" i="123"/>
  <c r="AA9" i="123" s="1"/>
  <c r="Y8" i="123"/>
  <c r="K11" i="116" s="1"/>
  <c r="W8" i="123"/>
  <c r="T8" i="123"/>
  <c r="Z7" i="123"/>
  <c r="Y7" i="123"/>
  <c r="X7" i="123"/>
  <c r="X13" i="123" s="1"/>
  <c r="W7" i="123"/>
  <c r="V7" i="123"/>
  <c r="U7" i="123"/>
  <c r="T7" i="123"/>
  <c r="M7" i="123"/>
  <c r="Z6" i="123"/>
  <c r="Z8" i="123" s="1"/>
  <c r="Y6" i="123"/>
  <c r="X6" i="123"/>
  <c r="X8" i="123" s="1"/>
  <c r="W6" i="123"/>
  <c r="V6" i="123"/>
  <c r="V13" i="123" s="1"/>
  <c r="U6" i="123"/>
  <c r="U8" i="123" s="1"/>
  <c r="U9" i="123" s="1"/>
  <c r="T6" i="123"/>
  <c r="T13" i="123" s="1"/>
  <c r="L6" i="123"/>
  <c r="K6" i="123"/>
  <c r="K7" i="123" s="1"/>
  <c r="J6" i="123"/>
  <c r="L9" i="123" s="1"/>
  <c r="I6" i="123"/>
  <c r="I7" i="123" s="1"/>
  <c r="H6" i="123"/>
  <c r="H9" i="123" s="1"/>
  <c r="S14" i="122"/>
  <c r="O14" i="122"/>
  <c r="H14" i="122"/>
  <c r="G14" i="122"/>
  <c r="F14" i="122"/>
  <c r="E14" i="122"/>
  <c r="D14" i="122"/>
  <c r="C14" i="122"/>
  <c r="S8" i="122"/>
  <c r="S10" i="122" s="1"/>
  <c r="R8" i="122"/>
  <c r="S9" i="122" s="1"/>
  <c r="P8" i="122"/>
  <c r="Q7" i="122"/>
  <c r="P7" i="122"/>
  <c r="O7" i="122"/>
  <c r="N7" i="122"/>
  <c r="G7" i="122"/>
  <c r="E7" i="122"/>
  <c r="Q6" i="122"/>
  <c r="Q14" i="122" s="1"/>
  <c r="Q15" i="122" s="1"/>
  <c r="P6" i="122"/>
  <c r="O6" i="122"/>
  <c r="O8" i="122" s="1"/>
  <c r="N6" i="122"/>
  <c r="N8" i="122" s="1"/>
  <c r="O9" i="122" s="1"/>
  <c r="D6" i="122"/>
  <c r="C7" i="122" s="1"/>
  <c r="C6" i="122"/>
  <c r="AD26" i="121"/>
  <c r="AC26" i="121"/>
  <c r="AB26" i="121"/>
  <c r="Z25" i="121"/>
  <c r="Y25" i="121"/>
  <c r="AA25" i="121" s="1"/>
  <c r="Z24" i="121"/>
  <c r="Y24" i="121"/>
  <c r="AA24" i="121" s="1"/>
  <c r="Z23" i="121"/>
  <c r="Y23" i="121"/>
  <c r="AA23" i="121" s="1"/>
  <c r="Z22" i="121"/>
  <c r="Z26" i="121" s="1"/>
  <c r="Y22" i="121"/>
  <c r="AA22" i="121" s="1"/>
  <c r="AE14" i="121"/>
  <c r="X14" i="121"/>
  <c r="W14" i="121"/>
  <c r="U14" i="121"/>
  <c r="N14" i="121"/>
  <c r="M14" i="121"/>
  <c r="K14" i="121"/>
  <c r="J14" i="121"/>
  <c r="I14" i="121"/>
  <c r="H14" i="121"/>
  <c r="G14" i="121"/>
  <c r="F14" i="121"/>
  <c r="E14" i="121"/>
  <c r="M11" i="121"/>
  <c r="L11" i="121"/>
  <c r="J11" i="121"/>
  <c r="G11" i="121"/>
  <c r="F11" i="121"/>
  <c r="AE9" i="121"/>
  <c r="Y9" i="121"/>
  <c r="Y10" i="121" s="1"/>
  <c r="X9" i="121"/>
  <c r="X10" i="121" s="1"/>
  <c r="W9" i="121"/>
  <c r="V9" i="121"/>
  <c r="V14" i="121" s="1"/>
  <c r="U9" i="121"/>
  <c r="T9" i="121"/>
  <c r="T14" i="121" s="1"/>
  <c r="AB7" i="121"/>
  <c r="X7" i="121"/>
  <c r="M7" i="121"/>
  <c r="K7" i="121"/>
  <c r="I7" i="121"/>
  <c r="AB6" i="121"/>
  <c r="AB9" i="121" s="1"/>
  <c r="X6" i="121"/>
  <c r="L6" i="121"/>
  <c r="I12" i="116" s="1"/>
  <c r="K6" i="121"/>
  <c r="K11" i="121" s="1"/>
  <c r="H6" i="121"/>
  <c r="H11" i="121" s="1"/>
  <c r="AA12" i="120"/>
  <c r="Y12" i="120"/>
  <c r="X12" i="120"/>
  <c r="N12" i="120"/>
  <c r="M12" i="120"/>
  <c r="F12" i="120"/>
  <c r="AA11" i="120"/>
  <c r="Y11" i="120"/>
  <c r="X11" i="120"/>
  <c r="V11" i="120"/>
  <c r="U11" i="120"/>
  <c r="N11" i="120"/>
  <c r="M11" i="120"/>
  <c r="J11" i="120"/>
  <c r="H11" i="120"/>
  <c r="G11" i="120"/>
  <c r="F11" i="120"/>
  <c r="AA8" i="120"/>
  <c r="Y8" i="120"/>
  <c r="V8" i="120"/>
  <c r="U8" i="120"/>
  <c r="Z7" i="120"/>
  <c r="Z11" i="120" s="1"/>
  <c r="X7" i="120"/>
  <c r="W7" i="120"/>
  <c r="V7" i="120"/>
  <c r="U7" i="120"/>
  <c r="T7" i="120"/>
  <c r="T11" i="120" s="1"/>
  <c r="Z6" i="120"/>
  <c r="Z12" i="120" s="1"/>
  <c r="X6" i="120"/>
  <c r="X8" i="120" s="1"/>
  <c r="H7" i="116" s="1"/>
  <c r="W6" i="120"/>
  <c r="W11" i="120" s="1"/>
  <c r="V6" i="120"/>
  <c r="U6" i="120"/>
  <c r="U12" i="120" s="1"/>
  <c r="T6" i="120"/>
  <c r="T8" i="120" s="1"/>
  <c r="L6" i="120"/>
  <c r="L11" i="120" s="1"/>
  <c r="K6" i="120"/>
  <c r="H13" i="116" s="1"/>
  <c r="I6" i="120"/>
  <c r="H6" i="116" s="1"/>
  <c r="AA13" i="119"/>
  <c r="Z13" i="119"/>
  <c r="Y13" i="119"/>
  <c r="Y12" i="119"/>
  <c r="N12" i="119"/>
  <c r="M12" i="119"/>
  <c r="L12" i="119"/>
  <c r="K12" i="119"/>
  <c r="J12" i="119"/>
  <c r="H12" i="119"/>
  <c r="AA11" i="119"/>
  <c r="Y11" i="119"/>
  <c r="U11" i="119"/>
  <c r="H11" i="119"/>
  <c r="AA8" i="119"/>
  <c r="AA12" i="119" s="1"/>
  <c r="Y8" i="119"/>
  <c r="X8" i="119"/>
  <c r="G7" i="116" s="1"/>
  <c r="Z7" i="119"/>
  <c r="Z8" i="119" s="1"/>
  <c r="G14" i="116" s="1"/>
  <c r="X7" i="119"/>
  <c r="X12" i="119" s="1"/>
  <c r="W7" i="119"/>
  <c r="V7" i="119"/>
  <c r="U7" i="119"/>
  <c r="T7" i="119"/>
  <c r="Z6" i="119"/>
  <c r="Z11" i="119" s="1"/>
  <c r="X6" i="119"/>
  <c r="W6" i="119"/>
  <c r="W11" i="119" s="1"/>
  <c r="V6" i="119"/>
  <c r="V11" i="119" s="1"/>
  <c r="U6" i="119"/>
  <c r="U8" i="119" s="1"/>
  <c r="T6" i="119"/>
  <c r="T11" i="119" s="1"/>
  <c r="L6" i="119"/>
  <c r="K6" i="119"/>
  <c r="G13" i="116" s="1"/>
  <c r="H6" i="119"/>
  <c r="I6" i="119" s="1"/>
  <c r="G6" i="119"/>
  <c r="G12" i="119" s="1"/>
  <c r="F6" i="119"/>
  <c r="F11" i="119" s="1"/>
  <c r="Z14" i="118"/>
  <c r="V14" i="118"/>
  <c r="T14" i="118"/>
  <c r="M14" i="118"/>
  <c r="L14" i="118"/>
  <c r="L15" i="118" s="1"/>
  <c r="K14" i="118"/>
  <c r="H14" i="118"/>
  <c r="G14" i="118"/>
  <c r="W12" i="118"/>
  <c r="H9" i="118"/>
  <c r="G9" i="118"/>
  <c r="F9" i="118"/>
  <c r="E9" i="118"/>
  <c r="D9" i="118"/>
  <c r="Z8" i="118"/>
  <c r="T8" i="118"/>
  <c r="T9" i="118" s="1"/>
  <c r="S8" i="118"/>
  <c r="Y7" i="118"/>
  <c r="W7" i="118"/>
  <c r="V7" i="118"/>
  <c r="U7" i="118"/>
  <c r="T7" i="118"/>
  <c r="S7" i="118"/>
  <c r="Y6" i="118"/>
  <c r="Y8" i="118" s="1"/>
  <c r="F14" i="116" s="1"/>
  <c r="W6" i="118"/>
  <c r="W8" i="118" s="1"/>
  <c r="V6" i="118"/>
  <c r="V8" i="118" s="1"/>
  <c r="U6" i="118"/>
  <c r="U8" i="118" s="1"/>
  <c r="U9" i="118" s="1"/>
  <c r="T6" i="118"/>
  <c r="S6" i="118"/>
  <c r="S14" i="118" s="1"/>
  <c r="K6" i="118"/>
  <c r="J6" i="118"/>
  <c r="J14" i="118" s="1"/>
  <c r="J15" i="118" s="1"/>
  <c r="AA13" i="117"/>
  <c r="Y13" i="117"/>
  <c r="X13" i="117"/>
  <c r="V13" i="117"/>
  <c r="M13" i="117"/>
  <c r="K13" i="117"/>
  <c r="I13" i="117"/>
  <c r="H13" i="117"/>
  <c r="G13" i="117"/>
  <c r="F13" i="117"/>
  <c r="E13" i="117"/>
  <c r="D13" i="117"/>
  <c r="I10" i="117"/>
  <c r="H10" i="117"/>
  <c r="G10" i="117"/>
  <c r="I9" i="117"/>
  <c r="H9" i="117"/>
  <c r="G9" i="117"/>
  <c r="E9" i="117"/>
  <c r="AA8" i="117"/>
  <c r="V8" i="117"/>
  <c r="V9" i="117" s="1"/>
  <c r="U8" i="117"/>
  <c r="Z7" i="117"/>
  <c r="X7" i="117"/>
  <c r="W7" i="117"/>
  <c r="V7" i="117"/>
  <c r="U7" i="117"/>
  <c r="T7" i="117"/>
  <c r="T8" i="117" s="1"/>
  <c r="U9" i="117" s="1"/>
  <c r="Z6" i="117"/>
  <c r="Z13" i="117" s="1"/>
  <c r="X6" i="117"/>
  <c r="X8" i="117" s="1"/>
  <c r="W6" i="117"/>
  <c r="W13" i="117" s="1"/>
  <c r="V6" i="117"/>
  <c r="U6" i="117"/>
  <c r="U13" i="117" s="1"/>
  <c r="T6" i="117"/>
  <c r="L6" i="117"/>
  <c r="M9" i="117" s="1"/>
  <c r="K6" i="117"/>
  <c r="K9" i="117" s="1"/>
  <c r="J6" i="117"/>
  <c r="J10" i="117" s="1"/>
  <c r="N56" i="116"/>
  <c r="M56" i="116"/>
  <c r="J56" i="116"/>
  <c r="N49" i="116"/>
  <c r="M49" i="116"/>
  <c r="J49" i="116"/>
  <c r="N48" i="116"/>
  <c r="M48" i="116"/>
  <c r="J48" i="116"/>
  <c r="N45" i="116"/>
  <c r="N52" i="116" s="1"/>
  <c r="M45" i="116"/>
  <c r="M52" i="116" s="1"/>
  <c r="L45" i="116"/>
  <c r="L52" i="116" s="1"/>
  <c r="K45" i="116"/>
  <c r="K52" i="116" s="1"/>
  <c r="J45" i="116"/>
  <c r="J52" i="116" s="1"/>
  <c r="I45" i="116"/>
  <c r="I52" i="116" s="1"/>
  <c r="H45" i="116"/>
  <c r="H52" i="116" s="1"/>
  <c r="G45" i="116"/>
  <c r="G52" i="116" s="1"/>
  <c r="F45" i="116"/>
  <c r="F52" i="116" s="1"/>
  <c r="E45" i="116"/>
  <c r="E52" i="116" s="1"/>
  <c r="Q37" i="116"/>
  <c r="Q36" i="116"/>
  <c r="Q35" i="116"/>
  <c r="Q33" i="116"/>
  <c r="Q32" i="116"/>
  <c r="Q31" i="116"/>
  <c r="Q29" i="116"/>
  <c r="Q28" i="116"/>
  <c r="Q27" i="116"/>
  <c r="Q25" i="116"/>
  <c r="Q24" i="116"/>
  <c r="Q23" i="116"/>
  <c r="Q21" i="116"/>
  <c r="Q20" i="116"/>
  <c r="Q17" i="116"/>
  <c r="Q16" i="116"/>
  <c r="Q15" i="116"/>
  <c r="N13" i="116"/>
  <c r="M13" i="116"/>
  <c r="L13" i="116"/>
  <c r="J13" i="116"/>
  <c r="I13" i="116"/>
  <c r="F13" i="116"/>
  <c r="E13" i="116"/>
  <c r="N12" i="116"/>
  <c r="M12" i="116"/>
  <c r="L12" i="116"/>
  <c r="K12" i="116"/>
  <c r="J12" i="116"/>
  <c r="H12" i="116"/>
  <c r="G12" i="116"/>
  <c r="F12" i="116"/>
  <c r="H11" i="116"/>
  <c r="G11" i="116"/>
  <c r="F11" i="116"/>
  <c r="Q10" i="116"/>
  <c r="E10" i="116"/>
  <c r="J9" i="116"/>
  <c r="I9" i="116"/>
  <c r="H9" i="116"/>
  <c r="G9" i="116"/>
  <c r="F9" i="116"/>
  <c r="L8" i="116"/>
  <c r="K8" i="116"/>
  <c r="J8" i="116"/>
  <c r="I8" i="116"/>
  <c r="H8" i="116"/>
  <c r="H56" i="116" s="1"/>
  <c r="G8" i="116"/>
  <c r="G56" i="116" s="1"/>
  <c r="F8" i="116"/>
  <c r="F57" i="116" s="1"/>
  <c r="I7" i="116"/>
  <c r="K6" i="116"/>
  <c r="I6" i="116"/>
  <c r="F6" i="116"/>
  <c r="E6" i="116"/>
  <c r="K5" i="116"/>
  <c r="I5" i="116"/>
  <c r="L4" i="116"/>
  <c r="L41" i="116" s="1"/>
  <c r="L48" i="116" s="1"/>
  <c r="K4" i="116"/>
  <c r="K41" i="116" s="1"/>
  <c r="K48" i="116" s="1"/>
  <c r="I4" i="116"/>
  <c r="I41" i="116" s="1"/>
  <c r="I48" i="116" s="1"/>
  <c r="H4" i="116"/>
  <c r="F4" i="116"/>
  <c r="E4" i="116"/>
  <c r="I55" i="116" l="1"/>
  <c r="G57" i="116"/>
  <c r="G44" i="116"/>
  <c r="G51" i="116" s="1"/>
  <c r="F44" i="116"/>
  <c r="F51" i="116" s="1"/>
  <c r="G43" i="116"/>
  <c r="G50" i="116" s="1"/>
  <c r="E12" i="126"/>
  <c r="Y9" i="124"/>
  <c r="X9" i="124"/>
  <c r="Q52" i="116"/>
  <c r="P52" i="116"/>
  <c r="I12" i="119"/>
  <c r="G6" i="116"/>
  <c r="H42" i="116"/>
  <c r="H49" i="116" s="1"/>
  <c r="I14" i="116"/>
  <c r="I44" i="116" s="1"/>
  <c r="I51" i="116" s="1"/>
  <c r="AB14" i="121"/>
  <c r="AB10" i="121"/>
  <c r="AE10" i="121"/>
  <c r="S15" i="122"/>
  <c r="X10" i="117"/>
  <c r="Y8" i="117"/>
  <c r="E7" i="116"/>
  <c r="X9" i="117"/>
  <c r="V12" i="119"/>
  <c r="AA23" i="124"/>
  <c r="I27" i="124" s="1"/>
  <c r="L11" i="116"/>
  <c r="M44" i="116"/>
  <c r="M51" i="116" s="1"/>
  <c r="V9" i="118"/>
  <c r="F5" i="116"/>
  <c r="F41" i="116" s="1"/>
  <c r="F48" i="116" s="1"/>
  <c r="Z9" i="123"/>
  <c r="K14" i="116"/>
  <c r="W9" i="118"/>
  <c r="F7" i="116"/>
  <c r="O10" i="122"/>
  <c r="J11" i="116"/>
  <c r="J43" i="116" s="1"/>
  <c r="J50" i="116" s="1"/>
  <c r="P13" i="126"/>
  <c r="Q13" i="126" s="1"/>
  <c r="N14" i="116"/>
  <c r="N44" i="116" s="1"/>
  <c r="N51" i="116" s="1"/>
  <c r="P12" i="126"/>
  <c r="Q12" i="126" s="1"/>
  <c r="K7" i="116"/>
  <c r="K42" i="116" s="1"/>
  <c r="K49" i="116" s="1"/>
  <c r="X9" i="123"/>
  <c r="Q9" i="122"/>
  <c r="P12" i="125"/>
  <c r="Q12" i="125" s="1"/>
  <c r="M14" i="116"/>
  <c r="P11" i="125"/>
  <c r="Q11" i="125" s="1"/>
  <c r="U14" i="118"/>
  <c r="Z12" i="119"/>
  <c r="K12" i="120"/>
  <c r="E7" i="125"/>
  <c r="W8" i="117"/>
  <c r="M10" i="117"/>
  <c r="T13" i="117"/>
  <c r="T8" i="119"/>
  <c r="W8" i="120"/>
  <c r="H5" i="116" s="1"/>
  <c r="H41" i="116" s="1"/>
  <c r="H48" i="116" s="1"/>
  <c r="I11" i="120"/>
  <c r="L12" i="120"/>
  <c r="N11" i="121"/>
  <c r="L14" i="121"/>
  <c r="Y14" i="121"/>
  <c r="Z8" i="124"/>
  <c r="L9" i="124"/>
  <c r="L13" i="124"/>
  <c r="L14" i="124"/>
  <c r="K10" i="117"/>
  <c r="Y26" i="121"/>
  <c r="AA26" i="121" s="1"/>
  <c r="I42" i="116"/>
  <c r="I49" i="116" s="1"/>
  <c r="P45" i="116"/>
  <c r="G4" i="116"/>
  <c r="E8" i="116"/>
  <c r="K9" i="116"/>
  <c r="K43" i="116" s="1"/>
  <c r="K50" i="116" s="1"/>
  <c r="E12" i="116"/>
  <c r="H43" i="116"/>
  <c r="H50" i="116" s="1"/>
  <c r="Q45" i="116"/>
  <c r="J9" i="117"/>
  <c r="V10" i="117"/>
  <c r="W14" i="118"/>
  <c r="G11" i="119"/>
  <c r="W13" i="119"/>
  <c r="V8" i="123"/>
  <c r="Y9" i="123"/>
  <c r="Z13" i="123"/>
  <c r="AB6" i="124"/>
  <c r="N9" i="124"/>
  <c r="H23" i="124"/>
  <c r="F43" i="116"/>
  <c r="F50" i="116" s="1"/>
  <c r="H57" i="116"/>
  <c r="X11" i="119"/>
  <c r="Y14" i="118"/>
  <c r="V8" i="119"/>
  <c r="X13" i="119"/>
  <c r="K11" i="120"/>
  <c r="U10" i="121"/>
  <c r="J7" i="124"/>
  <c r="W12" i="124"/>
  <c r="L9" i="116"/>
  <c r="L43" i="116" s="1"/>
  <c r="L50" i="116" s="1"/>
  <c r="I11" i="116"/>
  <c r="I56" i="116" s="1"/>
  <c r="F56" i="116"/>
  <c r="Z8" i="117"/>
  <c r="W8" i="119"/>
  <c r="Z8" i="120"/>
  <c r="H14" i="116" s="1"/>
  <c r="H44" i="116" s="1"/>
  <c r="H51" i="116" s="1"/>
  <c r="V10" i="121"/>
  <c r="I14" i="123"/>
  <c r="W13" i="124"/>
  <c r="W10" i="121"/>
  <c r="K14" i="123"/>
  <c r="L6" i="116"/>
  <c r="K13" i="116"/>
  <c r="J13" i="117"/>
  <c r="Q8" i="122"/>
  <c r="F11" i="125"/>
  <c r="G12" i="125" s="1"/>
  <c r="I57" i="116" l="1"/>
  <c r="K57" i="116"/>
  <c r="K55" i="116"/>
  <c r="Z10" i="117"/>
  <c r="E14" i="116"/>
  <c r="Z9" i="117"/>
  <c r="Y10" i="117"/>
  <c r="Y9" i="117"/>
  <c r="E11" i="116"/>
  <c r="Q11" i="116" s="1"/>
  <c r="E42" i="116"/>
  <c r="AA10" i="117"/>
  <c r="E57" i="116"/>
  <c r="E56" i="116"/>
  <c r="Q8" i="116"/>
  <c r="W12" i="119"/>
  <c r="G5" i="116"/>
  <c r="G41" i="116" s="1"/>
  <c r="G48" i="116" s="1"/>
  <c r="Q4" i="116"/>
  <c r="R6" i="116" s="1"/>
  <c r="K56" i="116"/>
  <c r="Z23" i="124"/>
  <c r="H27" i="124" s="1"/>
  <c r="Z9" i="124"/>
  <c r="L7" i="116"/>
  <c r="L42" i="116" s="1"/>
  <c r="L49" i="116" s="1"/>
  <c r="F55" i="116"/>
  <c r="Q9" i="116"/>
  <c r="Q12" i="116"/>
  <c r="E44" i="116"/>
  <c r="AA9" i="117"/>
  <c r="K44" i="116"/>
  <c r="K51" i="116" s="1"/>
  <c r="F42" i="116"/>
  <c r="F49" i="116" s="1"/>
  <c r="H55" i="116"/>
  <c r="AB8" i="124"/>
  <c r="AB12" i="124"/>
  <c r="Q13" i="116"/>
  <c r="Q10" i="122"/>
  <c r="J14" i="116"/>
  <c r="V9" i="123"/>
  <c r="W9" i="123"/>
  <c r="W9" i="117"/>
  <c r="W10" i="117"/>
  <c r="E5" i="116"/>
  <c r="E55" i="116" s="1"/>
  <c r="AA9" i="124"/>
  <c r="G42" i="116"/>
  <c r="G49" i="116" s="1"/>
  <c r="Q6" i="116"/>
  <c r="I43" i="116"/>
  <c r="I50" i="116" s="1"/>
  <c r="G55" i="116" l="1"/>
  <c r="L56" i="116"/>
  <c r="L55" i="116"/>
  <c r="Q7" i="116"/>
  <c r="R11" i="116" s="1"/>
  <c r="R13" i="116"/>
  <c r="R15" i="116"/>
  <c r="Q5" i="116"/>
  <c r="R7" i="116" s="1"/>
  <c r="E41" i="116"/>
  <c r="E51" i="116"/>
  <c r="J57" i="116"/>
  <c r="J44" i="116"/>
  <c r="J51" i="116" s="1"/>
  <c r="R9" i="116"/>
  <c r="L14" i="116"/>
  <c r="Q14" i="116" s="1"/>
  <c r="R17" i="116" s="1"/>
  <c r="AC9" i="124"/>
  <c r="AB9" i="124"/>
  <c r="S8" i="116"/>
  <c r="R12" i="116"/>
  <c r="S12" i="116"/>
  <c r="R16" i="116"/>
  <c r="R8" i="116"/>
  <c r="E43" i="116"/>
  <c r="P42" i="116"/>
  <c r="Q42" i="116"/>
  <c r="E49" i="116"/>
  <c r="P43" i="116" l="1"/>
  <c r="Q43" i="116"/>
  <c r="R43" i="116" s="1"/>
  <c r="E50" i="116"/>
  <c r="L44" i="116"/>
  <c r="L57" i="116"/>
  <c r="E48" i="116"/>
  <c r="Q41" i="116"/>
  <c r="R42" i="116" s="1"/>
  <c r="P41" i="116"/>
  <c r="Q49" i="116"/>
  <c r="P49" i="116"/>
  <c r="T12" i="116"/>
  <c r="R14" i="116"/>
  <c r="L51" i="116" l="1"/>
  <c r="Q44" i="116"/>
  <c r="P44" i="116"/>
  <c r="Q50" i="116"/>
  <c r="R50" i="116" s="1"/>
  <c r="P50" i="116"/>
  <c r="P48" i="116"/>
  <c r="Q48" i="116"/>
  <c r="R49" i="116" s="1"/>
  <c r="Q51" i="116" l="1"/>
  <c r="P51" i="116"/>
  <c r="R44" i="116"/>
  <c r="R45" i="116"/>
  <c r="JV12" i="70"/>
  <c r="KC6" i="70"/>
  <c r="GB43" i="70"/>
  <c r="GC43" i="70"/>
  <c r="GD43" i="70"/>
  <c r="GE43" i="70"/>
  <c r="GF43" i="70"/>
  <c r="GG43" i="70"/>
  <c r="GH43" i="70"/>
  <c r="GI43" i="70"/>
  <c r="GI45" i="70" s="1"/>
  <c r="GJ43" i="70"/>
  <c r="GK43" i="70"/>
  <c r="GL43" i="70"/>
  <c r="GM43" i="70"/>
  <c r="GH38" i="70"/>
  <c r="GH39" i="70" s="1"/>
  <c r="GG38" i="70"/>
  <c r="GG39" i="70" s="1"/>
  <c r="GF38" i="70"/>
  <c r="GF39" i="70" s="1"/>
  <c r="GE38" i="70"/>
  <c r="GD38" i="70"/>
  <c r="GD39" i="70" s="1"/>
  <c r="GC38" i="70"/>
  <c r="GC39" i="70" s="1"/>
  <c r="GB38" i="70"/>
  <c r="GB39" i="70" s="1"/>
  <c r="IW8" i="70"/>
  <c r="IX8" i="70"/>
  <c r="IY8" i="70"/>
  <c r="IZ8" i="70"/>
  <c r="IW9" i="70"/>
  <c r="IX9" i="70"/>
  <c r="IY9" i="70"/>
  <c r="IZ9" i="70"/>
  <c r="IW10" i="70"/>
  <c r="IX10" i="70"/>
  <c r="IY10" i="70"/>
  <c r="IZ10" i="70"/>
  <c r="IW11" i="70"/>
  <c r="IX11" i="70"/>
  <c r="IY11" i="70"/>
  <c r="IZ11" i="70"/>
  <c r="IW12" i="70"/>
  <c r="IX12" i="70"/>
  <c r="IY12" i="70"/>
  <c r="IZ12" i="70"/>
  <c r="IW13" i="70"/>
  <c r="IX13" i="70"/>
  <c r="IY13" i="70"/>
  <c r="IZ13" i="70"/>
  <c r="IW14" i="70"/>
  <c r="IX14" i="70"/>
  <c r="IY14" i="70"/>
  <c r="IZ14" i="70"/>
  <c r="IW15" i="70"/>
  <c r="IX15" i="70"/>
  <c r="IY15" i="70"/>
  <c r="IZ15" i="70"/>
  <c r="IW16" i="70"/>
  <c r="IX16" i="70"/>
  <c r="IY16" i="70"/>
  <c r="IZ16" i="70"/>
  <c r="IW17" i="70"/>
  <c r="IX17" i="70"/>
  <c r="IY17" i="70"/>
  <c r="IZ17" i="70"/>
  <c r="IW18" i="70"/>
  <c r="IX18" i="70"/>
  <c r="IY18" i="70"/>
  <c r="IZ18" i="70"/>
  <c r="IW19" i="70"/>
  <c r="IX19" i="70"/>
  <c r="IY19" i="70"/>
  <c r="IZ19" i="70"/>
  <c r="IW20" i="70"/>
  <c r="IX20" i="70"/>
  <c r="IY20" i="70"/>
  <c r="IZ20" i="70"/>
  <c r="IW21" i="70"/>
  <c r="IX21" i="70"/>
  <c r="IY21" i="70"/>
  <c r="IZ21" i="70"/>
  <c r="IW22" i="70"/>
  <c r="IX22" i="70"/>
  <c r="IY22" i="70"/>
  <c r="IZ22" i="70"/>
  <c r="IW23" i="70"/>
  <c r="IX23" i="70"/>
  <c r="IY23" i="70"/>
  <c r="IZ23" i="70"/>
  <c r="IW24" i="70"/>
  <c r="IX24" i="70"/>
  <c r="IY24" i="70"/>
  <c r="IZ24" i="70"/>
  <c r="IW25" i="70"/>
  <c r="IX25" i="70"/>
  <c r="IY25" i="70"/>
  <c r="IZ25" i="70"/>
  <c r="IW26" i="70"/>
  <c r="IX26" i="70"/>
  <c r="IY26" i="70"/>
  <c r="IZ26" i="70"/>
  <c r="IW27" i="70"/>
  <c r="IX27" i="70"/>
  <c r="IY27" i="70"/>
  <c r="IZ27" i="70"/>
  <c r="IW28" i="70"/>
  <c r="IX28" i="70"/>
  <c r="IY28" i="70"/>
  <c r="IZ28" i="70"/>
  <c r="IW29" i="70"/>
  <c r="IX29" i="70"/>
  <c r="IY29" i="70"/>
  <c r="IZ29" i="70"/>
  <c r="IW30" i="70"/>
  <c r="IX30" i="70"/>
  <c r="IY30" i="70"/>
  <c r="IZ30" i="70"/>
  <c r="IW31" i="70"/>
  <c r="IX31" i="70"/>
  <c r="IY31" i="70"/>
  <c r="IZ31" i="70"/>
  <c r="IW32" i="70"/>
  <c r="IX32" i="70"/>
  <c r="IY32" i="70"/>
  <c r="IZ32" i="70"/>
  <c r="IW33" i="70"/>
  <c r="IX33" i="70"/>
  <c r="IY33" i="70"/>
  <c r="IZ33" i="70"/>
  <c r="IW34" i="70"/>
  <c r="IX34" i="70"/>
  <c r="IY34" i="70"/>
  <c r="IZ34" i="70"/>
  <c r="IW35" i="70"/>
  <c r="IX35" i="70"/>
  <c r="IY35" i="70"/>
  <c r="IZ35" i="70"/>
  <c r="IW36" i="70"/>
  <c r="IX36" i="70"/>
  <c r="IY36" i="70"/>
  <c r="IZ36" i="70"/>
  <c r="IW37" i="70"/>
  <c r="IX37" i="70"/>
  <c r="IY37" i="70"/>
  <c r="IZ37" i="70"/>
  <c r="IZ7" i="70"/>
  <c r="IY7" i="70"/>
  <c r="IX7" i="70"/>
  <c r="IW7" i="70"/>
  <c r="JQ8" i="70"/>
  <c r="JQ9" i="70"/>
  <c r="JQ10" i="70"/>
  <c r="JQ11" i="70"/>
  <c r="JQ12" i="70"/>
  <c r="JQ13" i="70"/>
  <c r="JQ14" i="70"/>
  <c r="JQ15" i="70"/>
  <c r="JQ16" i="70"/>
  <c r="JQ17" i="70"/>
  <c r="JQ18" i="70"/>
  <c r="JV18" i="70" s="1"/>
  <c r="KF18" i="70" s="1"/>
  <c r="JQ19" i="70"/>
  <c r="JQ20" i="70"/>
  <c r="JQ21" i="70"/>
  <c r="JQ22" i="70"/>
  <c r="JQ23" i="70"/>
  <c r="JQ24" i="70"/>
  <c r="JQ25" i="70"/>
  <c r="JQ26" i="70"/>
  <c r="JV26" i="70" s="1"/>
  <c r="JQ27" i="70"/>
  <c r="JV27" i="70" s="1"/>
  <c r="JQ28" i="70"/>
  <c r="JQ29" i="70"/>
  <c r="JQ30" i="70"/>
  <c r="JQ31" i="70"/>
  <c r="JQ32" i="70"/>
  <c r="JQ33" i="70"/>
  <c r="JQ34" i="70"/>
  <c r="JV34" i="70" s="1"/>
  <c r="JQ35" i="70"/>
  <c r="JV35" i="70" s="1"/>
  <c r="JQ36" i="70"/>
  <c r="JQ37" i="70"/>
  <c r="KK9" i="70"/>
  <c r="IV34" i="70"/>
  <c r="P16" i="21"/>
  <c r="AI4" i="21"/>
  <c r="Q15" i="21"/>
  <c r="GM38" i="70" s="1"/>
  <c r="GM39" i="70" s="1"/>
  <c r="Q14" i="21"/>
  <c r="GL38" i="70" s="1"/>
  <c r="Q13" i="21"/>
  <c r="GK38" i="70" s="1"/>
  <c r="GK39" i="70" s="1"/>
  <c r="GK44" i="70" s="1"/>
  <c r="Q12" i="21"/>
  <c r="GJ38" i="70" s="1"/>
  <c r="GJ39" i="70" s="1"/>
  <c r="Q11" i="21"/>
  <c r="GI38" i="70" s="1"/>
  <c r="GI39" i="70" s="1"/>
  <c r="Q10" i="21"/>
  <c r="Q9" i="21"/>
  <c r="Q8" i="21"/>
  <c r="Q7" i="21"/>
  <c r="Q6" i="21"/>
  <c r="Q5" i="21"/>
  <c r="AI13" i="21"/>
  <c r="AI8" i="21"/>
  <c r="AI5" i="21"/>
  <c r="AI14" i="21"/>
  <c r="AI6" i="21"/>
  <c r="AI7" i="21"/>
  <c r="AI9" i="21"/>
  <c r="AI10" i="21"/>
  <c r="AI11" i="21"/>
  <c r="AI12" i="21"/>
  <c r="G21" i="21"/>
  <c r="M226" i="59"/>
  <c r="N21" i="115"/>
  <c r="M21" i="115"/>
  <c r="L21" i="115"/>
  <c r="K21" i="115"/>
  <c r="J21" i="115"/>
  <c r="I21" i="115"/>
  <c r="H21" i="115"/>
  <c r="G21" i="115"/>
  <c r="F21" i="115"/>
  <c r="E21" i="115"/>
  <c r="D21" i="115"/>
  <c r="C21" i="115"/>
  <c r="N11" i="115"/>
  <c r="M11" i="115"/>
  <c r="L11" i="115"/>
  <c r="K11" i="115"/>
  <c r="J11" i="115"/>
  <c r="I11" i="115"/>
  <c r="H11" i="115"/>
  <c r="G11" i="115"/>
  <c r="E11" i="115"/>
  <c r="D11" i="115"/>
  <c r="C11" i="115"/>
  <c r="N82" i="114"/>
  <c r="M82" i="114"/>
  <c r="L82" i="114"/>
  <c r="K82" i="114"/>
  <c r="J82" i="114"/>
  <c r="I82" i="114"/>
  <c r="H82" i="114"/>
  <c r="G82" i="114"/>
  <c r="F82" i="114"/>
  <c r="E82" i="114"/>
  <c r="D82" i="114"/>
  <c r="C82" i="114"/>
  <c r="N75" i="114"/>
  <c r="M75" i="114"/>
  <c r="L75" i="114"/>
  <c r="K75" i="114"/>
  <c r="J75" i="114"/>
  <c r="I75" i="114"/>
  <c r="H75" i="114"/>
  <c r="G75" i="114"/>
  <c r="F75" i="114"/>
  <c r="E75" i="114"/>
  <c r="D75" i="114"/>
  <c r="C75" i="114"/>
  <c r="K66" i="114"/>
  <c r="J66" i="114"/>
  <c r="I66" i="114"/>
  <c r="H66" i="114"/>
  <c r="F66" i="114"/>
  <c r="E66" i="114"/>
  <c r="D66" i="114"/>
  <c r="C66" i="114"/>
  <c r="N59" i="114"/>
  <c r="N58" i="114"/>
  <c r="N66" i="114"/>
  <c r="M59" i="114"/>
  <c r="L59" i="114"/>
  <c r="K59" i="114"/>
  <c r="J59" i="114"/>
  <c r="I59" i="114"/>
  <c r="H59" i="114"/>
  <c r="G59" i="114"/>
  <c r="M58" i="114"/>
  <c r="M66" i="114"/>
  <c r="L58" i="114"/>
  <c r="L66" i="114"/>
  <c r="K58" i="114"/>
  <c r="J58" i="114"/>
  <c r="I58" i="114"/>
  <c r="H58" i="114"/>
  <c r="G58" i="114"/>
  <c r="G66" i="114"/>
  <c r="H52" i="114"/>
  <c r="N47" i="114"/>
  <c r="M47" i="114"/>
  <c r="L47" i="114"/>
  <c r="K47" i="114"/>
  <c r="J47" i="114"/>
  <c r="I47" i="114"/>
  <c r="H47" i="114"/>
  <c r="G47" i="114"/>
  <c r="F47" i="114"/>
  <c r="E47" i="114"/>
  <c r="D47" i="114"/>
  <c r="N44" i="114"/>
  <c r="N43" i="114"/>
  <c r="M44" i="114"/>
  <c r="M43" i="114"/>
  <c r="M52" i="114"/>
  <c r="L44" i="114"/>
  <c r="L43" i="114"/>
  <c r="L52" i="114"/>
  <c r="K44" i="114"/>
  <c r="K43" i="114"/>
  <c r="K52" i="114"/>
  <c r="J44" i="114"/>
  <c r="I44" i="114"/>
  <c r="H44" i="114"/>
  <c r="G44" i="114"/>
  <c r="F44" i="114"/>
  <c r="F43" i="114"/>
  <c r="F52" i="114"/>
  <c r="E44" i="114"/>
  <c r="E43" i="114"/>
  <c r="E52" i="114"/>
  <c r="D44" i="114"/>
  <c r="D43" i="114"/>
  <c r="D52" i="114"/>
  <c r="C44" i="114"/>
  <c r="C43" i="114"/>
  <c r="C52" i="114"/>
  <c r="J43" i="114"/>
  <c r="J52" i="114"/>
  <c r="I43" i="114"/>
  <c r="I52" i="114"/>
  <c r="H43" i="114"/>
  <c r="G43" i="114"/>
  <c r="G52" i="114"/>
  <c r="M36" i="114"/>
  <c r="L36" i="114"/>
  <c r="K36" i="114"/>
  <c r="J36" i="114"/>
  <c r="I36" i="114"/>
  <c r="H36" i="114"/>
  <c r="G36" i="114"/>
  <c r="F36" i="114"/>
  <c r="E36" i="114"/>
  <c r="D36" i="114"/>
  <c r="C36" i="114"/>
  <c r="N36" i="114"/>
  <c r="M35" i="114"/>
  <c r="K35" i="114"/>
  <c r="J35" i="114"/>
  <c r="F35" i="114"/>
  <c r="E35" i="114"/>
  <c r="D35" i="114"/>
  <c r="C35" i="114"/>
  <c r="M34" i="114"/>
  <c r="L34" i="114"/>
  <c r="K34" i="114"/>
  <c r="J34" i="114"/>
  <c r="I34" i="114"/>
  <c r="H34" i="114"/>
  <c r="G34" i="114"/>
  <c r="F34" i="114"/>
  <c r="E34" i="114"/>
  <c r="D34" i="114"/>
  <c r="C34" i="114"/>
  <c r="N34" i="114"/>
  <c r="K33" i="114"/>
  <c r="J33" i="114"/>
  <c r="J27" i="114"/>
  <c r="J37" i="114"/>
  <c r="F33" i="114"/>
  <c r="D33" i="114"/>
  <c r="C33" i="114"/>
  <c r="M32" i="114"/>
  <c r="M33" i="114"/>
  <c r="K32" i="114"/>
  <c r="J32" i="114"/>
  <c r="I32" i="114"/>
  <c r="I33" i="114"/>
  <c r="H32" i="114"/>
  <c r="H35" i="114"/>
  <c r="G32" i="114"/>
  <c r="G33" i="114"/>
  <c r="F32" i="114"/>
  <c r="F26" i="114"/>
  <c r="F20" i="114"/>
  <c r="E32" i="114"/>
  <c r="E26" i="114"/>
  <c r="E20" i="114"/>
  <c r="D32" i="114"/>
  <c r="C32" i="114"/>
  <c r="M30" i="114"/>
  <c r="L30" i="114"/>
  <c r="L28" i="114"/>
  <c r="M29" i="114"/>
  <c r="M28" i="114"/>
  <c r="K28" i="114"/>
  <c r="K27" i="114"/>
  <c r="K37" i="114"/>
  <c r="J28" i="114"/>
  <c r="I28" i="114"/>
  <c r="H28" i="114"/>
  <c r="G28" i="114"/>
  <c r="F28" i="114"/>
  <c r="E28" i="114"/>
  <c r="D28" i="114"/>
  <c r="D27" i="114"/>
  <c r="C28" i="114"/>
  <c r="C27" i="114"/>
  <c r="C37" i="114"/>
  <c r="F27" i="114"/>
  <c r="F37" i="114"/>
  <c r="K26" i="114"/>
  <c r="K20" i="114"/>
  <c r="J26" i="114"/>
  <c r="J20" i="114"/>
  <c r="I26" i="114"/>
  <c r="I20" i="114"/>
  <c r="D26" i="114"/>
  <c r="D20" i="114"/>
  <c r="C26" i="114"/>
  <c r="C20" i="114"/>
  <c r="N20" i="114"/>
  <c r="N11" i="114"/>
  <c r="M11" i="114"/>
  <c r="L11" i="114"/>
  <c r="K11" i="114"/>
  <c r="J11" i="114"/>
  <c r="I11" i="114"/>
  <c r="H11" i="114"/>
  <c r="G11" i="114"/>
  <c r="E11" i="114"/>
  <c r="D11" i="114"/>
  <c r="C11" i="114"/>
  <c r="N37" i="114"/>
  <c r="N52" i="114"/>
  <c r="D37" i="114"/>
  <c r="M27" i="114"/>
  <c r="M37" i="114"/>
  <c r="M26" i="114"/>
  <c r="M20" i="114"/>
  <c r="G26" i="114"/>
  <c r="G20" i="114"/>
  <c r="H33" i="114"/>
  <c r="H27" i="114"/>
  <c r="H37" i="114"/>
  <c r="I35" i="114"/>
  <c r="I27" i="114"/>
  <c r="I37" i="114"/>
  <c r="H26" i="114"/>
  <c r="H20" i="114"/>
  <c r="L32" i="114"/>
  <c r="E33" i="114"/>
  <c r="E27" i="114"/>
  <c r="E37" i="114"/>
  <c r="G35" i="114"/>
  <c r="G27" i="114"/>
  <c r="G37" i="114"/>
  <c r="N35" i="114"/>
  <c r="L26" i="114"/>
  <c r="L20" i="114"/>
  <c r="L35" i="114"/>
  <c r="L33" i="114"/>
  <c r="L27" i="114"/>
  <c r="L37" i="114"/>
  <c r="AG17" i="62"/>
  <c r="W8" i="62"/>
  <c r="X8" i="62"/>
  <c r="Z8" i="62"/>
  <c r="AA8" i="62"/>
  <c r="AB8" i="62"/>
  <c r="AC8" i="62"/>
  <c r="AD8" i="62"/>
  <c r="AE8" i="62"/>
  <c r="AF8" i="62"/>
  <c r="AG8" i="62"/>
  <c r="V8" i="62"/>
  <c r="O16" i="21"/>
  <c r="O51" i="21" s="1"/>
  <c r="I140" i="28"/>
  <c r="J140" i="28"/>
  <c r="K140" i="28"/>
  <c r="K138" i="28"/>
  <c r="A138" i="28"/>
  <c r="K137" i="28"/>
  <c r="K136" i="28"/>
  <c r="K135" i="28"/>
  <c r="K134" i="28"/>
  <c r="JL7" i="70"/>
  <c r="JL8" i="70"/>
  <c r="JL9" i="70"/>
  <c r="JL10" i="70"/>
  <c r="KG10" i="70" s="1"/>
  <c r="JL11" i="70"/>
  <c r="JL12" i="70"/>
  <c r="JL13" i="70"/>
  <c r="JL14" i="70"/>
  <c r="KG14" i="70" s="1"/>
  <c r="JL16" i="70"/>
  <c r="JL18" i="70"/>
  <c r="JL19" i="70"/>
  <c r="JL21" i="70"/>
  <c r="KE21" i="70" s="1"/>
  <c r="JL22" i="70"/>
  <c r="JL25" i="70"/>
  <c r="JM7" i="70"/>
  <c r="KG7" i="70" s="1"/>
  <c r="JM8" i="70"/>
  <c r="JM9" i="70"/>
  <c r="JM10" i="70"/>
  <c r="JM11" i="70"/>
  <c r="JM12" i="70"/>
  <c r="KH12" i="70" s="1"/>
  <c r="JM13" i="70"/>
  <c r="JM14" i="70"/>
  <c r="JM16" i="70"/>
  <c r="KH16" i="70" s="1"/>
  <c r="JM18" i="70"/>
  <c r="JM19" i="70"/>
  <c r="JM21" i="70"/>
  <c r="JM22" i="70"/>
  <c r="JM25" i="70"/>
  <c r="EV7" i="70"/>
  <c r="EW7" i="70"/>
  <c r="JN8" i="70"/>
  <c r="KI8" i="70" s="1"/>
  <c r="JN9" i="70"/>
  <c r="KH9" i="70" s="1"/>
  <c r="JN10" i="70"/>
  <c r="JN11" i="70"/>
  <c r="JN12" i="70"/>
  <c r="KJ12" i="70" s="1"/>
  <c r="JN13" i="70"/>
  <c r="JN14" i="70"/>
  <c r="JN16" i="70"/>
  <c r="JN18" i="70"/>
  <c r="KJ18" i="70" s="1"/>
  <c r="JN19" i="70"/>
  <c r="KI19" i="70" s="1"/>
  <c r="JN21" i="70"/>
  <c r="JN22" i="70"/>
  <c r="JN25" i="70"/>
  <c r="JO7" i="70"/>
  <c r="JO8" i="70"/>
  <c r="JV8" i="70" s="1"/>
  <c r="KF8" i="70" s="1"/>
  <c r="JO9" i="70"/>
  <c r="JO10" i="70"/>
  <c r="KK10" i="70" s="1"/>
  <c r="JO11" i="70"/>
  <c r="KK11" i="70" s="1"/>
  <c r="JO12" i="70"/>
  <c r="JO13" i="70"/>
  <c r="JV13" i="70" s="1"/>
  <c r="KF13" i="70" s="1"/>
  <c r="JO14" i="70"/>
  <c r="JO16" i="70"/>
  <c r="JO18" i="70"/>
  <c r="JO19" i="70"/>
  <c r="JV19" i="70" s="1"/>
  <c r="JO21" i="70"/>
  <c r="JV21" i="70" s="1"/>
  <c r="JO22" i="70"/>
  <c r="KK22" i="70" s="1"/>
  <c r="JO25" i="70"/>
  <c r="JK7" i="70"/>
  <c r="JK8" i="70"/>
  <c r="JK9" i="70"/>
  <c r="JK10" i="70"/>
  <c r="JK11" i="70"/>
  <c r="JK12" i="70"/>
  <c r="JK13" i="70"/>
  <c r="KE13" i="70" s="1"/>
  <c r="JK14" i="70"/>
  <c r="JK16" i="70"/>
  <c r="JK18" i="70"/>
  <c r="JK19" i="70"/>
  <c r="JK21" i="70"/>
  <c r="JK22" i="70"/>
  <c r="JK25" i="70"/>
  <c r="Q22" i="21"/>
  <c r="L226" i="59"/>
  <c r="L231" i="59" s="1"/>
  <c r="K226" i="59"/>
  <c r="B225" i="59"/>
  <c r="J26" i="109"/>
  <c r="H26" i="109"/>
  <c r="G25" i="109"/>
  <c r="F25" i="109"/>
  <c r="F26" i="109"/>
  <c r="D25" i="109"/>
  <c r="D26" i="109"/>
  <c r="C25" i="109"/>
  <c r="B25" i="109"/>
  <c r="B26" i="109"/>
  <c r="M24" i="109"/>
  <c r="M23" i="109"/>
  <c r="L23" i="109"/>
  <c r="M22" i="109"/>
  <c r="L22" i="109"/>
  <c r="M21" i="109"/>
  <c r="L21" i="109"/>
  <c r="M20" i="109"/>
  <c r="L20" i="109"/>
  <c r="M19" i="109"/>
  <c r="L19" i="109"/>
  <c r="M18" i="109"/>
  <c r="L18" i="109"/>
  <c r="M17" i="109"/>
  <c r="L17" i="109"/>
  <c r="M16" i="109"/>
  <c r="L16" i="109"/>
  <c r="M15" i="109"/>
  <c r="L15" i="109"/>
  <c r="M14" i="109"/>
  <c r="L14" i="109"/>
  <c r="M13" i="109"/>
  <c r="L13" i="109"/>
  <c r="M12" i="109"/>
  <c r="L12" i="109"/>
  <c r="M11" i="109"/>
  <c r="L11" i="109"/>
  <c r="M10" i="109"/>
  <c r="L10" i="109"/>
  <c r="M9" i="109"/>
  <c r="L9" i="109"/>
  <c r="M8" i="109"/>
  <c r="L8" i="109"/>
  <c r="M7" i="109"/>
  <c r="L7" i="109"/>
  <c r="L25" i="109"/>
  <c r="L26" i="109"/>
  <c r="M25" i="109"/>
  <c r="U121" i="28"/>
  <c r="U124" i="28"/>
  <c r="U125" i="28"/>
  <c r="U126" i="28"/>
  <c r="U127" i="28"/>
  <c r="U128" i="28"/>
  <c r="U129" i="28"/>
  <c r="U130" i="28"/>
  <c r="U131" i="28"/>
  <c r="U132" i="28"/>
  <c r="U133" i="28"/>
  <c r="U134" i="28"/>
  <c r="U135" i="28"/>
  <c r="U136" i="28"/>
  <c r="U137" i="28"/>
  <c r="U140" i="28"/>
  <c r="U141" i="28"/>
  <c r="U120" i="28"/>
  <c r="K128" i="28"/>
  <c r="K127" i="28"/>
  <c r="K126" i="28"/>
  <c r="K125" i="28"/>
  <c r="K129" i="28"/>
  <c r="K130" i="28"/>
  <c r="K120" i="28"/>
  <c r="J120" i="28"/>
  <c r="I120" i="28"/>
  <c r="C62" i="113"/>
  <c r="C61" i="113"/>
  <c r="C60" i="113"/>
  <c r="C59" i="113"/>
  <c r="C58" i="113"/>
  <c r="C57" i="113"/>
  <c r="C56" i="113"/>
  <c r="C55" i="113"/>
  <c r="C54" i="113"/>
  <c r="C53" i="113"/>
  <c r="C52" i="113"/>
  <c r="C51" i="113"/>
  <c r="C50" i="113"/>
  <c r="C49" i="113"/>
  <c r="C48" i="113"/>
  <c r="C47" i="113"/>
  <c r="C46" i="113"/>
  <c r="C45" i="113"/>
  <c r="C44" i="113"/>
  <c r="C43" i="113"/>
  <c r="C42" i="113"/>
  <c r="C41" i="113"/>
  <c r="C40" i="113"/>
  <c r="C39" i="113"/>
  <c r="C38" i="113"/>
  <c r="GW59" i="112"/>
  <c r="HD59" i="112"/>
  <c r="GW58" i="112"/>
  <c r="HD58" i="112"/>
  <c r="GW57" i="112"/>
  <c r="HD57" i="112"/>
  <c r="GW56" i="112"/>
  <c r="HD56" i="112"/>
  <c r="HG55" i="112"/>
  <c r="HE55" i="112"/>
  <c r="GZ55" i="112"/>
  <c r="GX55" i="112"/>
  <c r="HG54" i="112"/>
  <c r="HE54" i="112"/>
  <c r="GZ54" i="112"/>
  <c r="GX54" i="112"/>
  <c r="GB46" i="112"/>
  <c r="GN46" i="112"/>
  <c r="GB45" i="112"/>
  <c r="GI45" i="112"/>
  <c r="GB44" i="112"/>
  <c r="GN44" i="112"/>
  <c r="GB43" i="112"/>
  <c r="GI43" i="112"/>
  <c r="EX36" i="112"/>
  <c r="EH36" i="112"/>
  <c r="EX35" i="112"/>
  <c r="EH35" i="112"/>
  <c r="EX34" i="112"/>
  <c r="EH34" i="112"/>
  <c r="EX33" i="112"/>
  <c r="EX37" i="112"/>
  <c r="EH33" i="112"/>
  <c r="EH37" i="112"/>
  <c r="HH32" i="112"/>
  <c r="HG32" i="112"/>
  <c r="HF32" i="112"/>
  <c r="HE32" i="112"/>
  <c r="HD32" i="112"/>
  <c r="HC32" i="112"/>
  <c r="HB32" i="112"/>
  <c r="HA32" i="112"/>
  <c r="GZ32" i="112"/>
  <c r="GY32" i="112"/>
  <c r="GX32" i="112"/>
  <c r="GW32" i="112"/>
  <c r="GV32" i="112"/>
  <c r="GU32" i="112"/>
  <c r="GT32" i="112"/>
  <c r="GS32" i="112"/>
  <c r="GR32" i="112"/>
  <c r="GQ32" i="112"/>
  <c r="GP32" i="112"/>
  <c r="GO32" i="112"/>
  <c r="GN32" i="112"/>
  <c r="GM32" i="112"/>
  <c r="GL32" i="112"/>
  <c r="GK32" i="112"/>
  <c r="GJ32" i="112"/>
  <c r="GI32" i="112"/>
  <c r="GH32" i="112"/>
  <c r="GG32" i="112"/>
  <c r="GF32" i="112"/>
  <c r="GE32" i="112"/>
  <c r="GD32" i="112"/>
  <c r="GC32" i="112"/>
  <c r="GB32" i="112"/>
  <c r="GA32" i="112"/>
  <c r="FZ32" i="112"/>
  <c r="FY32" i="112"/>
  <c r="HL31" i="112"/>
  <c r="HK31" i="112"/>
  <c r="HJ31" i="112"/>
  <c r="HI31" i="112"/>
  <c r="HH31" i="112"/>
  <c r="HG31" i="112"/>
  <c r="HF31" i="112"/>
  <c r="HE31" i="112"/>
  <c r="HD31" i="112"/>
  <c r="HC31" i="112"/>
  <c r="HB31" i="112"/>
  <c r="HA31" i="112"/>
  <c r="GZ31" i="112"/>
  <c r="GY31" i="112"/>
  <c r="GX31" i="112"/>
  <c r="GW31" i="112"/>
  <c r="GV31" i="112"/>
  <c r="GU31" i="112"/>
  <c r="GT31" i="112"/>
  <c r="GS31" i="112"/>
  <c r="GR31" i="112"/>
  <c r="GQ31" i="112"/>
  <c r="GP31" i="112"/>
  <c r="GO31" i="112"/>
  <c r="GN31" i="112"/>
  <c r="GM31" i="112"/>
  <c r="GL31" i="112"/>
  <c r="GK31" i="112"/>
  <c r="GJ31" i="112"/>
  <c r="GI31" i="112"/>
  <c r="GH31" i="112"/>
  <c r="GG31" i="112"/>
  <c r="GF31" i="112"/>
  <c r="GE31" i="112"/>
  <c r="GD31" i="112"/>
  <c r="GC31" i="112"/>
  <c r="GB31" i="112"/>
  <c r="GA31" i="112"/>
  <c r="FZ31" i="112"/>
  <c r="FY31" i="112"/>
  <c r="HL30" i="112"/>
  <c r="HK30" i="112"/>
  <c r="HJ30" i="112"/>
  <c r="HI30" i="112"/>
  <c r="HB30" i="112"/>
  <c r="EX24" i="112"/>
  <c r="EH24" i="112"/>
  <c r="DQ24" i="112"/>
  <c r="DP24" i="112"/>
  <c r="DO24" i="112"/>
  <c r="DN24" i="112"/>
  <c r="DM24" i="112"/>
  <c r="DL24" i="112"/>
  <c r="DK24" i="112"/>
  <c r="DJ24" i="112"/>
  <c r="DI24" i="112"/>
  <c r="DH24" i="112"/>
  <c r="DG24" i="112"/>
  <c r="DF24" i="112"/>
  <c r="DE24" i="112"/>
  <c r="DD24" i="112"/>
  <c r="DC24" i="112"/>
  <c r="DB24" i="112"/>
  <c r="DA24" i="112"/>
  <c r="CZ24" i="112"/>
  <c r="CY24" i="112"/>
  <c r="CX24" i="112"/>
  <c r="CW24" i="112"/>
  <c r="CV24" i="112"/>
  <c r="CU24" i="112"/>
  <c r="CT24" i="112"/>
  <c r="CS24" i="112"/>
  <c r="CR24" i="112"/>
  <c r="CQ24" i="112"/>
  <c r="CP24" i="112"/>
  <c r="CO24" i="112"/>
  <c r="CN24" i="112"/>
  <c r="CM24" i="112"/>
  <c r="CL24" i="112"/>
  <c r="CK24" i="112"/>
  <c r="CJ24" i="112"/>
  <c r="CI24" i="112"/>
  <c r="CH24" i="112"/>
  <c r="CG24" i="112"/>
  <c r="CF24" i="112"/>
  <c r="CE24" i="112"/>
  <c r="CD24" i="112"/>
  <c r="CC24" i="112"/>
  <c r="CB24" i="112"/>
  <c r="CA24" i="112"/>
  <c r="BZ24" i="112"/>
  <c r="BY24" i="112"/>
  <c r="BX24" i="112"/>
  <c r="BW24" i="112"/>
  <c r="BV24" i="112"/>
  <c r="BU24" i="112"/>
  <c r="BT24" i="112"/>
  <c r="BS24" i="112"/>
  <c r="BR24" i="112"/>
  <c r="BQ24" i="112"/>
  <c r="BP24" i="112"/>
  <c r="BO24" i="112"/>
  <c r="BN24" i="112"/>
  <c r="BM24" i="112"/>
  <c r="BL24" i="112"/>
  <c r="BK24" i="112"/>
  <c r="BJ24" i="112"/>
  <c r="BI24" i="112"/>
  <c r="BH24" i="112"/>
  <c r="BG24" i="112"/>
  <c r="BF24" i="112"/>
  <c r="BE24" i="112"/>
  <c r="BD24" i="112"/>
  <c r="BC24" i="112"/>
  <c r="BB24" i="112"/>
  <c r="BA24" i="112"/>
  <c r="AZ24" i="112"/>
  <c r="AY24" i="112"/>
  <c r="AX24" i="112"/>
  <c r="AW24" i="112"/>
  <c r="AV24" i="112"/>
  <c r="AU24" i="112"/>
  <c r="AT24" i="112"/>
  <c r="AS24" i="112"/>
  <c r="AR24" i="112"/>
  <c r="AQ24" i="112"/>
  <c r="AP24" i="112"/>
  <c r="AO24" i="112"/>
  <c r="AN24" i="112"/>
  <c r="AM24" i="112"/>
  <c r="AL24" i="112"/>
  <c r="AK24" i="112"/>
  <c r="AJ24" i="112"/>
  <c r="AI24" i="112"/>
  <c r="AH24" i="112"/>
  <c r="AG24" i="112"/>
  <c r="AF24" i="112"/>
  <c r="AE24" i="112"/>
  <c r="AD24" i="112"/>
  <c r="AC24" i="112"/>
  <c r="AB24" i="112"/>
  <c r="AA24" i="112"/>
  <c r="Z24" i="112"/>
  <c r="Y24" i="112"/>
  <c r="X24" i="112"/>
  <c r="W24" i="112"/>
  <c r="V24" i="112"/>
  <c r="U24" i="112"/>
  <c r="T24" i="112"/>
  <c r="S24" i="112"/>
  <c r="R24" i="112"/>
  <c r="Q24" i="112"/>
  <c r="P24" i="112"/>
  <c r="O24" i="112"/>
  <c r="N24" i="112"/>
  <c r="M24" i="112"/>
  <c r="L24" i="112"/>
  <c r="K24" i="112"/>
  <c r="J24" i="112"/>
  <c r="I24" i="112"/>
  <c r="H24" i="112"/>
  <c r="G24" i="112"/>
  <c r="F24" i="112"/>
  <c r="FX23" i="112"/>
  <c r="FW23" i="112"/>
  <c r="HA23" i="112"/>
  <c r="FV23" i="112"/>
  <c r="GZ23" i="112"/>
  <c r="FU23" i="112"/>
  <c r="FT23" i="112"/>
  <c r="FS23" i="112"/>
  <c r="GY23" i="112"/>
  <c r="FR23" i="112"/>
  <c r="FQ23" i="112"/>
  <c r="GX23" i="112"/>
  <c r="FP23" i="112"/>
  <c r="FO23" i="112"/>
  <c r="GW23" i="112"/>
  <c r="FN23" i="112"/>
  <c r="FM23" i="112"/>
  <c r="GV23" i="112"/>
  <c r="FL23" i="112"/>
  <c r="FK23" i="112"/>
  <c r="GU23" i="112"/>
  <c r="FJ23" i="112"/>
  <c r="FI23" i="112"/>
  <c r="GT23" i="112"/>
  <c r="FH23" i="112"/>
  <c r="FG23" i="112"/>
  <c r="GS23" i="112"/>
  <c r="FF23" i="112"/>
  <c r="GR23" i="112"/>
  <c r="FE23" i="112"/>
  <c r="FD23" i="112"/>
  <c r="FC23" i="112"/>
  <c r="GQ23" i="112"/>
  <c r="FB23" i="112"/>
  <c r="FA23" i="112"/>
  <c r="GP23" i="112"/>
  <c r="EZ23" i="112"/>
  <c r="EY23" i="112"/>
  <c r="GO23" i="112"/>
  <c r="EW23" i="112"/>
  <c r="GN23" i="112"/>
  <c r="EV23" i="112"/>
  <c r="EU23" i="112"/>
  <c r="GM23" i="112"/>
  <c r="ET23" i="112"/>
  <c r="ES23" i="112"/>
  <c r="GL23" i="112"/>
  <c r="ER23" i="112"/>
  <c r="EQ23" i="112"/>
  <c r="GK23" i="112"/>
  <c r="EP23" i="112"/>
  <c r="EO23" i="112"/>
  <c r="GJ23" i="112"/>
  <c r="EN23" i="112"/>
  <c r="EM23" i="112"/>
  <c r="GI23" i="112"/>
  <c r="EL23" i="112"/>
  <c r="EK23" i="112"/>
  <c r="GH23" i="112"/>
  <c r="EJ23" i="112"/>
  <c r="EI23" i="112"/>
  <c r="GG23" i="112"/>
  <c r="EG23" i="112"/>
  <c r="GF23" i="112"/>
  <c r="EF23" i="112"/>
  <c r="EE23" i="112"/>
  <c r="GE23" i="112"/>
  <c r="ED23" i="112"/>
  <c r="EC23" i="112"/>
  <c r="GD23" i="112"/>
  <c r="EB23" i="112"/>
  <c r="EA23" i="112"/>
  <c r="GC23" i="112"/>
  <c r="DZ23" i="112"/>
  <c r="DY23" i="112"/>
  <c r="GB23" i="112"/>
  <c r="DX23" i="112"/>
  <c r="DW23" i="112"/>
  <c r="GA23" i="112"/>
  <c r="DV23" i="112"/>
  <c r="DU23" i="112"/>
  <c r="FZ23" i="112"/>
  <c r="DT23" i="112"/>
  <c r="DS23" i="112"/>
  <c r="FY23" i="112"/>
  <c r="HI23" i="112"/>
  <c r="GZ22" i="112"/>
  <c r="GW22" i="112"/>
  <c r="GO22" i="112"/>
  <c r="FX22" i="112"/>
  <c r="FW22" i="112"/>
  <c r="HA22" i="112"/>
  <c r="FV22" i="112"/>
  <c r="FU22" i="112"/>
  <c r="FT22" i="112"/>
  <c r="FS22" i="112"/>
  <c r="GY22" i="112"/>
  <c r="FR22" i="112"/>
  <c r="FQ22" i="112"/>
  <c r="GX22" i="112"/>
  <c r="FP22" i="112"/>
  <c r="FO22" i="112"/>
  <c r="FN22" i="112"/>
  <c r="GV22" i="112"/>
  <c r="FM22" i="112"/>
  <c r="FL22" i="112"/>
  <c r="FK22" i="112"/>
  <c r="GU22" i="112"/>
  <c r="FJ22" i="112"/>
  <c r="FI22" i="112"/>
  <c r="GT22" i="112"/>
  <c r="FH22" i="112"/>
  <c r="FG22" i="112"/>
  <c r="GS22" i="112"/>
  <c r="FF22" i="112"/>
  <c r="GR22" i="112"/>
  <c r="FE22" i="112"/>
  <c r="FD22" i="112"/>
  <c r="FC22" i="112"/>
  <c r="GQ22" i="112"/>
  <c r="FB22" i="112"/>
  <c r="FA22" i="112"/>
  <c r="GP22" i="112"/>
  <c r="EZ22" i="112"/>
  <c r="EY22" i="112"/>
  <c r="EW22" i="112"/>
  <c r="GN22" i="112"/>
  <c r="EV22" i="112"/>
  <c r="EU22" i="112"/>
  <c r="GM22" i="112"/>
  <c r="ET22" i="112"/>
  <c r="ES22" i="112"/>
  <c r="GL22" i="112"/>
  <c r="ER22" i="112"/>
  <c r="EQ22" i="112"/>
  <c r="GK22" i="112"/>
  <c r="EP22" i="112"/>
  <c r="EO22" i="112"/>
  <c r="GJ22" i="112"/>
  <c r="EN22" i="112"/>
  <c r="EM22" i="112"/>
  <c r="GI22" i="112"/>
  <c r="EL22" i="112"/>
  <c r="EK22" i="112"/>
  <c r="GH22" i="112"/>
  <c r="EJ22" i="112"/>
  <c r="EI22" i="112"/>
  <c r="GG22" i="112"/>
  <c r="EG22" i="112"/>
  <c r="GF22" i="112"/>
  <c r="EF22" i="112"/>
  <c r="EE22" i="112"/>
  <c r="GE22" i="112"/>
  <c r="ED22" i="112"/>
  <c r="EC22" i="112"/>
  <c r="GD22" i="112"/>
  <c r="EB22" i="112"/>
  <c r="EA22" i="112"/>
  <c r="GC22" i="112"/>
  <c r="DZ22" i="112"/>
  <c r="DY22" i="112"/>
  <c r="GB22" i="112"/>
  <c r="DX22" i="112"/>
  <c r="DW22" i="112"/>
  <c r="GA22" i="112"/>
  <c r="DV22" i="112"/>
  <c r="DU22" i="112"/>
  <c r="FZ22" i="112"/>
  <c r="DT22" i="112"/>
  <c r="DS22" i="112"/>
  <c r="FY22" i="112"/>
  <c r="GZ21" i="112"/>
  <c r="GW21" i="112"/>
  <c r="GR21" i="112"/>
  <c r="GO21" i="112"/>
  <c r="FX21" i="112"/>
  <c r="FW21" i="112"/>
  <c r="HA21" i="112"/>
  <c r="FV21" i="112"/>
  <c r="FU21" i="112"/>
  <c r="FT21" i="112"/>
  <c r="FS21" i="112"/>
  <c r="GY21" i="112"/>
  <c r="FR21" i="112"/>
  <c r="FQ21" i="112"/>
  <c r="GX21" i="112"/>
  <c r="FP21" i="112"/>
  <c r="FO21" i="112"/>
  <c r="FN21" i="112"/>
  <c r="GV21" i="112"/>
  <c r="FM21" i="112"/>
  <c r="FL21" i="112"/>
  <c r="FK21" i="112"/>
  <c r="GU21" i="112"/>
  <c r="FJ21" i="112"/>
  <c r="FI21" i="112"/>
  <c r="GT21" i="112"/>
  <c r="FH21" i="112"/>
  <c r="FG21" i="112"/>
  <c r="GS21" i="112"/>
  <c r="FF21" i="112"/>
  <c r="FE21" i="112"/>
  <c r="FD21" i="112"/>
  <c r="FC21" i="112"/>
  <c r="GQ21" i="112"/>
  <c r="FB21" i="112"/>
  <c r="FA21" i="112"/>
  <c r="GP21" i="112"/>
  <c r="EZ21" i="112"/>
  <c r="EY21" i="112"/>
  <c r="EW21" i="112"/>
  <c r="GN21" i="112"/>
  <c r="EV21" i="112"/>
  <c r="EU21" i="112"/>
  <c r="GM21" i="112"/>
  <c r="ET21" i="112"/>
  <c r="GL21" i="112"/>
  <c r="ES21" i="112"/>
  <c r="ER21" i="112"/>
  <c r="EQ21" i="112"/>
  <c r="GK21" i="112"/>
  <c r="HJ21" i="112"/>
  <c r="EP21" i="112"/>
  <c r="EO21" i="112"/>
  <c r="GJ21" i="112"/>
  <c r="EN21" i="112"/>
  <c r="EM21" i="112"/>
  <c r="GI21" i="112"/>
  <c r="EL21" i="112"/>
  <c r="EK21" i="112"/>
  <c r="GH21" i="112"/>
  <c r="EJ21" i="112"/>
  <c r="GG21" i="112"/>
  <c r="EI21" i="112"/>
  <c r="EG21" i="112"/>
  <c r="GF21" i="112"/>
  <c r="EF21" i="112"/>
  <c r="GE21" i="112"/>
  <c r="EE21" i="112"/>
  <c r="ED21" i="112"/>
  <c r="EC21" i="112"/>
  <c r="GD21" i="112"/>
  <c r="EB21" i="112"/>
  <c r="EA21" i="112"/>
  <c r="GC21" i="112"/>
  <c r="DZ21" i="112"/>
  <c r="DY21" i="112"/>
  <c r="GB21" i="112"/>
  <c r="DX21" i="112"/>
  <c r="GA21" i="112"/>
  <c r="DW21" i="112"/>
  <c r="DV21" i="112"/>
  <c r="DU21" i="112"/>
  <c r="FZ21" i="112"/>
  <c r="DT21" i="112"/>
  <c r="DS21" i="112"/>
  <c r="FY21" i="112"/>
  <c r="HI21" i="112"/>
  <c r="GZ20" i="112"/>
  <c r="GW20" i="112"/>
  <c r="GR20" i="112"/>
  <c r="GO20" i="112"/>
  <c r="GJ20" i="112"/>
  <c r="GB20" i="112"/>
  <c r="FX20" i="112"/>
  <c r="FW20" i="112"/>
  <c r="HA20" i="112"/>
  <c r="FV20" i="112"/>
  <c r="FU20" i="112"/>
  <c r="FT20" i="112"/>
  <c r="FS20" i="112"/>
  <c r="GY20" i="112"/>
  <c r="FR20" i="112"/>
  <c r="FQ20" i="112"/>
  <c r="GX20" i="112"/>
  <c r="FP20" i="112"/>
  <c r="FO20" i="112"/>
  <c r="FN20" i="112"/>
  <c r="GV20" i="112"/>
  <c r="FM20" i="112"/>
  <c r="FL20" i="112"/>
  <c r="FK20" i="112"/>
  <c r="GU20" i="112"/>
  <c r="FJ20" i="112"/>
  <c r="FI20" i="112"/>
  <c r="GT20" i="112"/>
  <c r="FH20" i="112"/>
  <c r="FG20" i="112"/>
  <c r="GS20" i="112"/>
  <c r="FF20" i="112"/>
  <c r="FE20" i="112"/>
  <c r="FD20" i="112"/>
  <c r="FC20" i="112"/>
  <c r="GQ20" i="112"/>
  <c r="FB20" i="112"/>
  <c r="FA20" i="112"/>
  <c r="GP20" i="112"/>
  <c r="EZ20" i="112"/>
  <c r="EY20" i="112"/>
  <c r="EW20" i="112"/>
  <c r="GN20" i="112"/>
  <c r="EV20" i="112"/>
  <c r="EU20" i="112"/>
  <c r="GM20" i="112"/>
  <c r="ET20" i="112"/>
  <c r="GL20" i="112"/>
  <c r="ES20" i="112"/>
  <c r="ER20" i="112"/>
  <c r="EQ20" i="112"/>
  <c r="GK20" i="112"/>
  <c r="EP20" i="112"/>
  <c r="EO20" i="112"/>
  <c r="EN20" i="112"/>
  <c r="EM20" i="112"/>
  <c r="GI20" i="112"/>
  <c r="EL20" i="112"/>
  <c r="EK20" i="112"/>
  <c r="GH20" i="112"/>
  <c r="EJ20" i="112"/>
  <c r="GG20" i="112"/>
  <c r="EI20" i="112"/>
  <c r="EG20" i="112"/>
  <c r="GF20" i="112"/>
  <c r="EF20" i="112"/>
  <c r="GE20" i="112"/>
  <c r="EE20" i="112"/>
  <c r="ED20" i="112"/>
  <c r="EC20" i="112"/>
  <c r="GD20" i="112"/>
  <c r="EB20" i="112"/>
  <c r="EA20" i="112"/>
  <c r="GC20" i="112"/>
  <c r="DZ20" i="112"/>
  <c r="DY20" i="112"/>
  <c r="DX20" i="112"/>
  <c r="GA20" i="112"/>
  <c r="DW20" i="112"/>
  <c r="DV20" i="112"/>
  <c r="DU20" i="112"/>
  <c r="FZ20" i="112"/>
  <c r="DT20" i="112"/>
  <c r="DS20" i="112"/>
  <c r="FY20" i="112"/>
  <c r="GZ19" i="112"/>
  <c r="GW19" i="112"/>
  <c r="GR19" i="112"/>
  <c r="GO19" i="112"/>
  <c r="GJ19" i="112"/>
  <c r="GB19" i="112"/>
  <c r="FX19" i="112"/>
  <c r="FW19" i="112"/>
  <c r="HA19" i="112"/>
  <c r="FV19" i="112"/>
  <c r="FU19" i="112"/>
  <c r="FT19" i="112"/>
  <c r="FS19" i="112"/>
  <c r="GY19" i="112"/>
  <c r="FR19" i="112"/>
  <c r="FQ19" i="112"/>
  <c r="GX19" i="112"/>
  <c r="FP19" i="112"/>
  <c r="FO19" i="112"/>
  <c r="FN19" i="112"/>
  <c r="GV19" i="112"/>
  <c r="FM19" i="112"/>
  <c r="FL19" i="112"/>
  <c r="FK19" i="112"/>
  <c r="GU19" i="112"/>
  <c r="FJ19" i="112"/>
  <c r="FI19" i="112"/>
  <c r="GT19" i="112"/>
  <c r="FH19" i="112"/>
  <c r="FG19" i="112"/>
  <c r="GS19" i="112"/>
  <c r="FF19" i="112"/>
  <c r="FE19" i="112"/>
  <c r="FD19" i="112"/>
  <c r="FC19" i="112"/>
  <c r="GQ19" i="112"/>
  <c r="FB19" i="112"/>
  <c r="FA19" i="112"/>
  <c r="GP19" i="112"/>
  <c r="EZ19" i="112"/>
  <c r="EY19" i="112"/>
  <c r="EW19" i="112"/>
  <c r="GN19" i="112"/>
  <c r="EV19" i="112"/>
  <c r="EU19" i="112"/>
  <c r="GM19" i="112"/>
  <c r="ET19" i="112"/>
  <c r="GL19" i="112"/>
  <c r="ES19" i="112"/>
  <c r="ER19" i="112"/>
  <c r="EQ19" i="112"/>
  <c r="GK19" i="112"/>
  <c r="EP19" i="112"/>
  <c r="EO19" i="112"/>
  <c r="EN19" i="112"/>
  <c r="EM19" i="112"/>
  <c r="GI19" i="112"/>
  <c r="EL19" i="112"/>
  <c r="EK19" i="112"/>
  <c r="GH19" i="112"/>
  <c r="EJ19" i="112"/>
  <c r="GG19" i="112"/>
  <c r="EI19" i="112"/>
  <c r="EG19" i="112"/>
  <c r="GF19" i="112"/>
  <c r="EF19" i="112"/>
  <c r="GE19" i="112"/>
  <c r="EE19" i="112"/>
  <c r="ED19" i="112"/>
  <c r="EC19" i="112"/>
  <c r="GD19" i="112"/>
  <c r="EB19" i="112"/>
  <c r="EA19" i="112"/>
  <c r="GC19" i="112"/>
  <c r="DZ19" i="112"/>
  <c r="DY19" i="112"/>
  <c r="DX19" i="112"/>
  <c r="GA19" i="112"/>
  <c r="DW19" i="112"/>
  <c r="DV19" i="112"/>
  <c r="DU19" i="112"/>
  <c r="FZ19" i="112"/>
  <c r="DT19" i="112"/>
  <c r="DS19" i="112"/>
  <c r="FY19" i="112"/>
  <c r="GZ18" i="112"/>
  <c r="GW18" i="112"/>
  <c r="GR18" i="112"/>
  <c r="GO18" i="112"/>
  <c r="GL18" i="112"/>
  <c r="GJ18" i="112"/>
  <c r="GB18" i="112"/>
  <c r="FX18" i="112"/>
  <c r="FW18" i="112"/>
  <c r="HA18" i="112"/>
  <c r="FV18" i="112"/>
  <c r="FU18" i="112"/>
  <c r="FT18" i="112"/>
  <c r="FS18" i="112"/>
  <c r="GY18" i="112"/>
  <c r="FR18" i="112"/>
  <c r="FQ18" i="112"/>
  <c r="GX18" i="112"/>
  <c r="FP18" i="112"/>
  <c r="FO18" i="112"/>
  <c r="FN18" i="112"/>
  <c r="GV18" i="112"/>
  <c r="FM18" i="112"/>
  <c r="FL18" i="112"/>
  <c r="FK18" i="112"/>
  <c r="GU18" i="112"/>
  <c r="FJ18" i="112"/>
  <c r="FI18" i="112"/>
  <c r="GT18" i="112"/>
  <c r="FH18" i="112"/>
  <c r="FG18" i="112"/>
  <c r="GS18" i="112"/>
  <c r="FF18" i="112"/>
  <c r="FE18" i="112"/>
  <c r="FD18" i="112"/>
  <c r="FC18" i="112"/>
  <c r="GQ18" i="112"/>
  <c r="FB18" i="112"/>
  <c r="FA18" i="112"/>
  <c r="GP18" i="112"/>
  <c r="EZ18" i="112"/>
  <c r="EY18" i="112"/>
  <c r="EW18" i="112"/>
  <c r="GN18" i="112"/>
  <c r="EV18" i="112"/>
  <c r="EU18" i="112"/>
  <c r="GM18" i="112"/>
  <c r="ET18" i="112"/>
  <c r="ES18" i="112"/>
  <c r="ER18" i="112"/>
  <c r="EQ18" i="112"/>
  <c r="GK18" i="112"/>
  <c r="EP18" i="112"/>
  <c r="EO18" i="112"/>
  <c r="EN18" i="112"/>
  <c r="EM18" i="112"/>
  <c r="GI18" i="112"/>
  <c r="EL18" i="112"/>
  <c r="EK18" i="112"/>
  <c r="GH18" i="112"/>
  <c r="EJ18" i="112"/>
  <c r="GG18" i="112"/>
  <c r="EI18" i="112"/>
  <c r="EG18" i="112"/>
  <c r="GF18" i="112"/>
  <c r="EF18" i="112"/>
  <c r="GE18" i="112"/>
  <c r="EE18" i="112"/>
  <c r="ED18" i="112"/>
  <c r="EC18" i="112"/>
  <c r="GD18" i="112"/>
  <c r="EB18" i="112"/>
  <c r="EA18" i="112"/>
  <c r="GC18" i="112"/>
  <c r="DZ18" i="112"/>
  <c r="DY18" i="112"/>
  <c r="DX18" i="112"/>
  <c r="DW18" i="112"/>
  <c r="GA18" i="112"/>
  <c r="DV18" i="112"/>
  <c r="DU18" i="112"/>
  <c r="FZ18" i="112"/>
  <c r="DT18" i="112"/>
  <c r="DS18" i="112"/>
  <c r="FY18" i="112"/>
  <c r="GZ17" i="112"/>
  <c r="GW17" i="112"/>
  <c r="GR17" i="112"/>
  <c r="GO17" i="112"/>
  <c r="GL17" i="112"/>
  <c r="GJ17" i="112"/>
  <c r="GF17" i="112"/>
  <c r="GB17" i="112"/>
  <c r="FX17" i="112"/>
  <c r="FW17" i="112"/>
  <c r="HA17" i="112"/>
  <c r="FV17" i="112"/>
  <c r="FU17" i="112"/>
  <c r="FT17" i="112"/>
  <c r="FS17" i="112"/>
  <c r="GY17" i="112"/>
  <c r="FR17" i="112"/>
  <c r="FQ17" i="112"/>
  <c r="GX17" i="112"/>
  <c r="FP17" i="112"/>
  <c r="FO17" i="112"/>
  <c r="FN17" i="112"/>
  <c r="GV17" i="112"/>
  <c r="FM17" i="112"/>
  <c r="FL17" i="112"/>
  <c r="FK17" i="112"/>
  <c r="GU17" i="112"/>
  <c r="FJ17" i="112"/>
  <c r="FI17" i="112"/>
  <c r="GT17" i="112"/>
  <c r="FH17" i="112"/>
  <c r="FG17" i="112"/>
  <c r="GS17" i="112"/>
  <c r="FF17" i="112"/>
  <c r="FE17" i="112"/>
  <c r="FD17" i="112"/>
  <c r="FC17" i="112"/>
  <c r="GQ17" i="112"/>
  <c r="FB17" i="112"/>
  <c r="FA17" i="112"/>
  <c r="GP17" i="112"/>
  <c r="EZ17" i="112"/>
  <c r="EY17" i="112"/>
  <c r="EW17" i="112"/>
  <c r="GN17" i="112"/>
  <c r="EV17" i="112"/>
  <c r="EU17" i="112"/>
  <c r="GM17" i="112"/>
  <c r="ET17" i="112"/>
  <c r="ES17" i="112"/>
  <c r="ER17" i="112"/>
  <c r="EQ17" i="112"/>
  <c r="GK17" i="112"/>
  <c r="EP17" i="112"/>
  <c r="EO17" i="112"/>
  <c r="EN17" i="112"/>
  <c r="EM17" i="112"/>
  <c r="GI17" i="112"/>
  <c r="EL17" i="112"/>
  <c r="EK17" i="112"/>
  <c r="GH17" i="112"/>
  <c r="EJ17" i="112"/>
  <c r="GG17" i="112"/>
  <c r="EI17" i="112"/>
  <c r="EG17" i="112"/>
  <c r="EF17" i="112"/>
  <c r="GE17" i="112"/>
  <c r="EE17" i="112"/>
  <c r="ED17" i="112"/>
  <c r="EC17" i="112"/>
  <c r="GD17" i="112"/>
  <c r="EB17" i="112"/>
  <c r="EA17" i="112"/>
  <c r="GC17" i="112"/>
  <c r="DZ17" i="112"/>
  <c r="DY17" i="112"/>
  <c r="DX17" i="112"/>
  <c r="GA17" i="112"/>
  <c r="DW17" i="112"/>
  <c r="DV17" i="112"/>
  <c r="DU17" i="112"/>
  <c r="FZ17" i="112"/>
  <c r="DT17" i="112"/>
  <c r="DS17" i="112"/>
  <c r="FY17" i="112"/>
  <c r="GZ16" i="112"/>
  <c r="GW16" i="112"/>
  <c r="GR16" i="112"/>
  <c r="GO16" i="112"/>
  <c r="GL16" i="112"/>
  <c r="GJ16" i="112"/>
  <c r="GF16" i="112"/>
  <c r="GB16" i="112"/>
  <c r="FX16" i="112"/>
  <c r="FW16" i="112"/>
  <c r="HA16" i="112"/>
  <c r="FV16" i="112"/>
  <c r="FU16" i="112"/>
  <c r="FT16" i="112"/>
  <c r="FS16" i="112"/>
  <c r="GY16" i="112"/>
  <c r="FR16" i="112"/>
  <c r="FQ16" i="112"/>
  <c r="GX16" i="112"/>
  <c r="FP16" i="112"/>
  <c r="FO16" i="112"/>
  <c r="FN16" i="112"/>
  <c r="GV16" i="112"/>
  <c r="FM16" i="112"/>
  <c r="FL16" i="112"/>
  <c r="FK16" i="112"/>
  <c r="GU16" i="112"/>
  <c r="FJ16" i="112"/>
  <c r="FI16" i="112"/>
  <c r="GT16" i="112"/>
  <c r="FH16" i="112"/>
  <c r="FG16" i="112"/>
  <c r="GS16" i="112"/>
  <c r="FF16" i="112"/>
  <c r="FE16" i="112"/>
  <c r="FD16" i="112"/>
  <c r="FC16" i="112"/>
  <c r="GQ16" i="112"/>
  <c r="FB16" i="112"/>
  <c r="FA16" i="112"/>
  <c r="GP16" i="112"/>
  <c r="EZ16" i="112"/>
  <c r="EY16" i="112"/>
  <c r="EW16" i="112"/>
  <c r="GN16" i="112"/>
  <c r="EV16" i="112"/>
  <c r="EU16" i="112"/>
  <c r="GM16" i="112"/>
  <c r="ET16" i="112"/>
  <c r="ES16" i="112"/>
  <c r="ER16" i="112"/>
  <c r="EQ16" i="112"/>
  <c r="GK16" i="112"/>
  <c r="EP16" i="112"/>
  <c r="EO16" i="112"/>
  <c r="EN16" i="112"/>
  <c r="EM16" i="112"/>
  <c r="GI16" i="112"/>
  <c r="EL16" i="112"/>
  <c r="EK16" i="112"/>
  <c r="GH16" i="112"/>
  <c r="EJ16" i="112"/>
  <c r="GG16" i="112"/>
  <c r="EI16" i="112"/>
  <c r="EG16" i="112"/>
  <c r="EF16" i="112"/>
  <c r="EE16" i="112"/>
  <c r="GE16" i="112"/>
  <c r="ED16" i="112"/>
  <c r="GD16" i="112"/>
  <c r="EC16" i="112"/>
  <c r="EB16" i="112"/>
  <c r="EA16" i="112"/>
  <c r="GC16" i="112"/>
  <c r="DZ16" i="112"/>
  <c r="DY16" i="112"/>
  <c r="DX16" i="112"/>
  <c r="DW16" i="112"/>
  <c r="GA16" i="112"/>
  <c r="DV16" i="112"/>
  <c r="DU16" i="112"/>
  <c r="FZ16" i="112"/>
  <c r="DT16" i="112"/>
  <c r="DS16" i="112"/>
  <c r="FY16" i="112"/>
  <c r="GZ15" i="112"/>
  <c r="GW15" i="112"/>
  <c r="GR15" i="112"/>
  <c r="GO15" i="112"/>
  <c r="GL15" i="112"/>
  <c r="GJ15" i="112"/>
  <c r="GF15" i="112"/>
  <c r="GB15" i="112"/>
  <c r="FX15" i="112"/>
  <c r="FW15" i="112"/>
  <c r="HA15" i="112"/>
  <c r="FV15" i="112"/>
  <c r="FU15" i="112"/>
  <c r="FT15" i="112"/>
  <c r="FS15" i="112"/>
  <c r="FR15" i="112"/>
  <c r="FQ15" i="112"/>
  <c r="GX15" i="112"/>
  <c r="FP15" i="112"/>
  <c r="FO15" i="112"/>
  <c r="FN15" i="112"/>
  <c r="GV15" i="112"/>
  <c r="FM15" i="112"/>
  <c r="FL15" i="112"/>
  <c r="FK15" i="112"/>
  <c r="FJ15" i="112"/>
  <c r="FI15" i="112"/>
  <c r="GT15" i="112"/>
  <c r="FH15" i="112"/>
  <c r="FG15" i="112"/>
  <c r="GS15" i="112"/>
  <c r="FF15" i="112"/>
  <c r="FE15" i="112"/>
  <c r="FD15" i="112"/>
  <c r="FC15" i="112"/>
  <c r="FB15" i="112"/>
  <c r="FA15" i="112"/>
  <c r="GP15" i="112"/>
  <c r="EZ15" i="112"/>
  <c r="EY15" i="112"/>
  <c r="EW15" i="112"/>
  <c r="GN15" i="112"/>
  <c r="EV15" i="112"/>
  <c r="EU15" i="112"/>
  <c r="GM15" i="112"/>
  <c r="ET15" i="112"/>
  <c r="ES15" i="112"/>
  <c r="ER15" i="112"/>
  <c r="EQ15" i="112"/>
  <c r="GK15" i="112"/>
  <c r="EP15" i="112"/>
  <c r="EO15" i="112"/>
  <c r="EN15" i="112"/>
  <c r="EM15" i="112"/>
  <c r="GI15" i="112"/>
  <c r="EL15" i="112"/>
  <c r="EK15" i="112"/>
  <c r="GH15" i="112"/>
  <c r="EJ15" i="112"/>
  <c r="EI15" i="112"/>
  <c r="GG15" i="112"/>
  <c r="EG15" i="112"/>
  <c r="EF15" i="112"/>
  <c r="EE15" i="112"/>
  <c r="GE15" i="112"/>
  <c r="ED15" i="112"/>
  <c r="GD15" i="112"/>
  <c r="EC15" i="112"/>
  <c r="EB15" i="112"/>
  <c r="EA15" i="112"/>
  <c r="GC15" i="112"/>
  <c r="DZ15" i="112"/>
  <c r="DY15" i="112"/>
  <c r="DX15" i="112"/>
  <c r="DW15" i="112"/>
  <c r="GA15" i="112"/>
  <c r="DV15" i="112"/>
  <c r="DU15" i="112"/>
  <c r="DT15" i="112"/>
  <c r="DS15" i="112"/>
  <c r="FY15" i="112"/>
  <c r="GZ14" i="112"/>
  <c r="GV14" i="112"/>
  <c r="GT14" i="112"/>
  <c r="GR14" i="112"/>
  <c r="GN14" i="112"/>
  <c r="FX14" i="112"/>
  <c r="FW14" i="112"/>
  <c r="HA14" i="112"/>
  <c r="FV14" i="112"/>
  <c r="FU14" i="112"/>
  <c r="FT14" i="112"/>
  <c r="FS14" i="112"/>
  <c r="FR14" i="112"/>
  <c r="FQ14" i="112"/>
  <c r="GX14" i="112"/>
  <c r="FP14" i="112"/>
  <c r="FO14" i="112"/>
  <c r="GW14" i="112"/>
  <c r="FN14" i="112"/>
  <c r="FM14" i="112"/>
  <c r="FL14" i="112"/>
  <c r="FK14" i="112"/>
  <c r="FJ14" i="112"/>
  <c r="FI14" i="112"/>
  <c r="FH14" i="112"/>
  <c r="FG14" i="112"/>
  <c r="GS14" i="112"/>
  <c r="FF14" i="112"/>
  <c r="FE14" i="112"/>
  <c r="FD14" i="112"/>
  <c r="FC14" i="112"/>
  <c r="FB14" i="112"/>
  <c r="FA14" i="112"/>
  <c r="GP14" i="112"/>
  <c r="EZ14" i="112"/>
  <c r="EY14" i="112"/>
  <c r="GO14" i="112"/>
  <c r="EW14" i="112"/>
  <c r="EV14" i="112"/>
  <c r="EU14" i="112"/>
  <c r="GM14" i="112"/>
  <c r="ET14" i="112"/>
  <c r="ES14" i="112"/>
  <c r="GL14" i="112"/>
  <c r="ER14" i="112"/>
  <c r="EQ14" i="112"/>
  <c r="EP14" i="112"/>
  <c r="GJ14" i="112"/>
  <c r="EO14" i="112"/>
  <c r="EN14" i="112"/>
  <c r="EM14" i="112"/>
  <c r="GI14" i="112"/>
  <c r="EL14" i="112"/>
  <c r="EK14" i="112"/>
  <c r="EJ14" i="112"/>
  <c r="EI14" i="112"/>
  <c r="GG14" i="112"/>
  <c r="EG14" i="112"/>
  <c r="GF14" i="112"/>
  <c r="EF14" i="112"/>
  <c r="EE14" i="112"/>
  <c r="GE14" i="112"/>
  <c r="ED14" i="112"/>
  <c r="GD14" i="112"/>
  <c r="EC14" i="112"/>
  <c r="EB14" i="112"/>
  <c r="EA14" i="112"/>
  <c r="GC14" i="112"/>
  <c r="DZ14" i="112"/>
  <c r="DY14" i="112"/>
  <c r="GB14" i="112"/>
  <c r="DX14" i="112"/>
  <c r="DW14" i="112"/>
  <c r="GA14" i="112"/>
  <c r="DV14" i="112"/>
  <c r="DU14" i="112"/>
  <c r="DT14" i="112"/>
  <c r="DS14" i="112"/>
  <c r="FY14" i="112"/>
  <c r="GZ13" i="112"/>
  <c r="GR13" i="112"/>
  <c r="GJ13" i="112"/>
  <c r="GE13" i="112"/>
  <c r="GB13" i="112"/>
  <c r="FX13" i="112"/>
  <c r="FW13" i="112"/>
  <c r="HA13" i="112"/>
  <c r="FV13" i="112"/>
  <c r="FU13" i="112"/>
  <c r="FT13" i="112"/>
  <c r="FS13" i="112"/>
  <c r="GY13" i="112"/>
  <c r="FR13" i="112"/>
  <c r="FQ13" i="112"/>
  <c r="GX13" i="112"/>
  <c r="FP13" i="112"/>
  <c r="FO13" i="112"/>
  <c r="GW13" i="112"/>
  <c r="FN13" i="112"/>
  <c r="FM13" i="112"/>
  <c r="GV13" i="112"/>
  <c r="FL13" i="112"/>
  <c r="GU13" i="112"/>
  <c r="FK13" i="112"/>
  <c r="FJ13" i="112"/>
  <c r="FI13" i="112"/>
  <c r="GT13" i="112"/>
  <c r="FH13" i="112"/>
  <c r="FG13" i="112"/>
  <c r="GS13" i="112"/>
  <c r="FF13" i="112"/>
  <c r="FE13" i="112"/>
  <c r="FD13" i="112"/>
  <c r="FC13" i="112"/>
  <c r="GQ13" i="112"/>
  <c r="FB13" i="112"/>
  <c r="FA13" i="112"/>
  <c r="GP13" i="112"/>
  <c r="EZ13" i="112"/>
  <c r="EY13" i="112"/>
  <c r="GO13" i="112"/>
  <c r="EW13" i="112"/>
  <c r="GN13" i="112"/>
  <c r="EV13" i="112"/>
  <c r="EU13" i="112"/>
  <c r="GM13" i="112"/>
  <c r="ET13" i="112"/>
  <c r="ES13" i="112"/>
  <c r="GL13" i="112"/>
  <c r="ER13" i="112"/>
  <c r="EQ13" i="112"/>
  <c r="GK13" i="112"/>
  <c r="EP13" i="112"/>
  <c r="EO13" i="112"/>
  <c r="EN13" i="112"/>
  <c r="EM13" i="112"/>
  <c r="GI13" i="112"/>
  <c r="EL13" i="112"/>
  <c r="EK13" i="112"/>
  <c r="GH13" i="112"/>
  <c r="EJ13" i="112"/>
  <c r="GG13" i="112"/>
  <c r="EI13" i="112"/>
  <c r="EG13" i="112"/>
  <c r="GF13" i="112"/>
  <c r="EF13" i="112"/>
  <c r="EE13" i="112"/>
  <c r="ED13" i="112"/>
  <c r="EC13" i="112"/>
  <c r="GD13" i="112"/>
  <c r="EB13" i="112"/>
  <c r="EA13" i="112"/>
  <c r="GC13" i="112"/>
  <c r="DZ13" i="112"/>
  <c r="DY13" i="112"/>
  <c r="DX13" i="112"/>
  <c r="DW13" i="112"/>
  <c r="GA13" i="112"/>
  <c r="DV13" i="112"/>
  <c r="DU13" i="112"/>
  <c r="FZ13" i="112"/>
  <c r="DT13" i="112"/>
  <c r="DS13" i="112"/>
  <c r="FY13" i="112"/>
  <c r="GZ12" i="112"/>
  <c r="GR12" i="112"/>
  <c r="GN12" i="112"/>
  <c r="GJ12" i="112"/>
  <c r="GE12" i="112"/>
  <c r="GB12" i="112"/>
  <c r="GA12" i="112"/>
  <c r="FX12" i="112"/>
  <c r="FW12" i="112"/>
  <c r="HA12" i="112"/>
  <c r="FV12" i="112"/>
  <c r="FU12" i="112"/>
  <c r="FT12" i="112"/>
  <c r="FS12" i="112"/>
  <c r="GY12" i="112"/>
  <c r="FR12" i="112"/>
  <c r="FQ12" i="112"/>
  <c r="GX12" i="112"/>
  <c r="FP12" i="112"/>
  <c r="FO12" i="112"/>
  <c r="GW12" i="112"/>
  <c r="FN12" i="112"/>
  <c r="FM12" i="112"/>
  <c r="GV12" i="112"/>
  <c r="FL12" i="112"/>
  <c r="GU12" i="112"/>
  <c r="FK12" i="112"/>
  <c r="FJ12" i="112"/>
  <c r="FI12" i="112"/>
  <c r="GT12" i="112"/>
  <c r="FH12" i="112"/>
  <c r="FG12" i="112"/>
  <c r="GS12" i="112"/>
  <c r="FF12" i="112"/>
  <c r="FE12" i="112"/>
  <c r="FD12" i="112"/>
  <c r="FC12" i="112"/>
  <c r="GQ12" i="112"/>
  <c r="FB12" i="112"/>
  <c r="FA12" i="112"/>
  <c r="GP12" i="112"/>
  <c r="EZ12" i="112"/>
  <c r="EY12" i="112"/>
  <c r="GO12" i="112"/>
  <c r="EW12" i="112"/>
  <c r="EV12" i="112"/>
  <c r="EU12" i="112"/>
  <c r="GM12" i="112"/>
  <c r="ET12" i="112"/>
  <c r="ES12" i="112"/>
  <c r="GL12" i="112"/>
  <c r="ER12" i="112"/>
  <c r="EQ12" i="112"/>
  <c r="GK12" i="112"/>
  <c r="EP12" i="112"/>
  <c r="EO12" i="112"/>
  <c r="EN12" i="112"/>
  <c r="EM12" i="112"/>
  <c r="GI12" i="112"/>
  <c r="EL12" i="112"/>
  <c r="EK12" i="112"/>
  <c r="GH12" i="112"/>
  <c r="EJ12" i="112"/>
  <c r="EI12" i="112"/>
  <c r="GG12" i="112"/>
  <c r="EG12" i="112"/>
  <c r="GF12" i="112"/>
  <c r="EF12" i="112"/>
  <c r="EE12" i="112"/>
  <c r="ED12" i="112"/>
  <c r="EC12" i="112"/>
  <c r="GD12" i="112"/>
  <c r="EB12" i="112"/>
  <c r="EA12" i="112"/>
  <c r="GC12" i="112"/>
  <c r="DZ12" i="112"/>
  <c r="DY12" i="112"/>
  <c r="DX12" i="112"/>
  <c r="DW12" i="112"/>
  <c r="DV12" i="112"/>
  <c r="DU12" i="112"/>
  <c r="FZ12" i="112"/>
  <c r="DT12" i="112"/>
  <c r="DS12" i="112"/>
  <c r="FY12" i="112"/>
  <c r="GZ11" i="112"/>
  <c r="GR11" i="112"/>
  <c r="GE11" i="112"/>
  <c r="FX11" i="112"/>
  <c r="FX33" i="112"/>
  <c r="FW11" i="112"/>
  <c r="FW33" i="112"/>
  <c r="FV11" i="112"/>
  <c r="FV33" i="112"/>
  <c r="FU11" i="112"/>
  <c r="FU33" i="112"/>
  <c r="FT11" i="112"/>
  <c r="FT33" i="112"/>
  <c r="FS11" i="112"/>
  <c r="FS33" i="112"/>
  <c r="FR11" i="112"/>
  <c r="FR33" i="112"/>
  <c r="FQ11" i="112"/>
  <c r="FQ33" i="112"/>
  <c r="FP11" i="112"/>
  <c r="FP33" i="112"/>
  <c r="FO11" i="112"/>
  <c r="FO33" i="112"/>
  <c r="FN11" i="112"/>
  <c r="FN33" i="112"/>
  <c r="FM11" i="112"/>
  <c r="FM33" i="112"/>
  <c r="FL11" i="112"/>
  <c r="FL33" i="112"/>
  <c r="FK11" i="112"/>
  <c r="FK33" i="112"/>
  <c r="FJ11" i="112"/>
  <c r="FJ33" i="112"/>
  <c r="FI11" i="112"/>
  <c r="FI33" i="112"/>
  <c r="FH11" i="112"/>
  <c r="FH33" i="112"/>
  <c r="FG11" i="112"/>
  <c r="FG33" i="112"/>
  <c r="FF11" i="112"/>
  <c r="FF33" i="112"/>
  <c r="FE11" i="112"/>
  <c r="FE33" i="112"/>
  <c r="FD11" i="112"/>
  <c r="FD33" i="112"/>
  <c r="FC11" i="112"/>
  <c r="FC33" i="112"/>
  <c r="FB11" i="112"/>
  <c r="FB33" i="112"/>
  <c r="FA11" i="112"/>
  <c r="FA33" i="112"/>
  <c r="EZ11" i="112"/>
  <c r="EZ33" i="112"/>
  <c r="EY11" i="112"/>
  <c r="EY33" i="112"/>
  <c r="EW11" i="112"/>
  <c r="EW33" i="112"/>
  <c r="EV11" i="112"/>
  <c r="EV33" i="112"/>
  <c r="EU11" i="112"/>
  <c r="EU33" i="112"/>
  <c r="ET11" i="112"/>
  <c r="ET33" i="112"/>
  <c r="ES11" i="112"/>
  <c r="ES33" i="112"/>
  <c r="ER11" i="112"/>
  <c r="ER33" i="112"/>
  <c r="EQ11" i="112"/>
  <c r="EQ33" i="112"/>
  <c r="EP11" i="112"/>
  <c r="EP33" i="112"/>
  <c r="EO11" i="112"/>
  <c r="EO33" i="112"/>
  <c r="EN11" i="112"/>
  <c r="EN33" i="112"/>
  <c r="EM11" i="112"/>
  <c r="EM33" i="112"/>
  <c r="EL11" i="112"/>
  <c r="EL33" i="112"/>
  <c r="EK11" i="112"/>
  <c r="EK33" i="112"/>
  <c r="EJ11" i="112"/>
  <c r="EJ33" i="112"/>
  <c r="EI11" i="112"/>
  <c r="EI33" i="112"/>
  <c r="EG11" i="112"/>
  <c r="EG33" i="112"/>
  <c r="EF11" i="112"/>
  <c r="EF33" i="112"/>
  <c r="EE11" i="112"/>
  <c r="EE33" i="112"/>
  <c r="ED11" i="112"/>
  <c r="ED33" i="112"/>
  <c r="EC11" i="112"/>
  <c r="EC33" i="112"/>
  <c r="EB11" i="112"/>
  <c r="EB33" i="112"/>
  <c r="EA11" i="112"/>
  <c r="EA33" i="112"/>
  <c r="DZ11" i="112"/>
  <c r="DZ33" i="112"/>
  <c r="DY11" i="112"/>
  <c r="DY33" i="112"/>
  <c r="DX11" i="112"/>
  <c r="DX33" i="112"/>
  <c r="DW11" i="112"/>
  <c r="DW33" i="112"/>
  <c r="DV11" i="112"/>
  <c r="DV33" i="112"/>
  <c r="DU11" i="112"/>
  <c r="DU33" i="112"/>
  <c r="DT11" i="112"/>
  <c r="DT33" i="112"/>
  <c r="DS11" i="112"/>
  <c r="DS33" i="112"/>
  <c r="GZ10" i="112"/>
  <c r="GV10" i="112"/>
  <c r="GR10" i="112"/>
  <c r="GN10" i="112"/>
  <c r="GJ10" i="112"/>
  <c r="GE10" i="112"/>
  <c r="GB10" i="112"/>
  <c r="GA10" i="112"/>
  <c r="FX10" i="112"/>
  <c r="FW10" i="112"/>
  <c r="HA10" i="112"/>
  <c r="FV10" i="112"/>
  <c r="FU10" i="112"/>
  <c r="FT10" i="112"/>
  <c r="FS10" i="112"/>
  <c r="GY10" i="112"/>
  <c r="FR10" i="112"/>
  <c r="FQ10" i="112"/>
  <c r="GX10" i="112"/>
  <c r="FP10" i="112"/>
  <c r="FO10" i="112"/>
  <c r="GW10" i="112"/>
  <c r="FN10" i="112"/>
  <c r="FM10" i="112"/>
  <c r="FL10" i="112"/>
  <c r="GU10" i="112"/>
  <c r="FK10" i="112"/>
  <c r="FJ10" i="112"/>
  <c r="FI10" i="112"/>
  <c r="GT10" i="112"/>
  <c r="FH10" i="112"/>
  <c r="FG10" i="112"/>
  <c r="GS10" i="112"/>
  <c r="FF10" i="112"/>
  <c r="FE10" i="112"/>
  <c r="FD10" i="112"/>
  <c r="FC10" i="112"/>
  <c r="GQ10" i="112"/>
  <c r="FB10" i="112"/>
  <c r="FA10" i="112"/>
  <c r="GP10" i="112"/>
  <c r="EZ10" i="112"/>
  <c r="EY10" i="112"/>
  <c r="GO10" i="112"/>
  <c r="EW10" i="112"/>
  <c r="EV10" i="112"/>
  <c r="EU10" i="112"/>
  <c r="GM10" i="112"/>
  <c r="ET10" i="112"/>
  <c r="ES10" i="112"/>
  <c r="GL10" i="112"/>
  <c r="ER10" i="112"/>
  <c r="EQ10" i="112"/>
  <c r="GK10" i="112"/>
  <c r="EP10" i="112"/>
  <c r="EO10" i="112"/>
  <c r="EN10" i="112"/>
  <c r="EM10" i="112"/>
  <c r="GI10" i="112"/>
  <c r="EL10" i="112"/>
  <c r="EK10" i="112"/>
  <c r="GH10" i="112"/>
  <c r="EJ10" i="112"/>
  <c r="EI10" i="112"/>
  <c r="GG10" i="112"/>
  <c r="EG10" i="112"/>
  <c r="GF10" i="112"/>
  <c r="EF10" i="112"/>
  <c r="EE10" i="112"/>
  <c r="ED10" i="112"/>
  <c r="EC10" i="112"/>
  <c r="GD10" i="112"/>
  <c r="EB10" i="112"/>
  <c r="EA10" i="112"/>
  <c r="GC10" i="112"/>
  <c r="DZ10" i="112"/>
  <c r="DY10" i="112"/>
  <c r="DX10" i="112"/>
  <c r="DW10" i="112"/>
  <c r="DV10" i="112"/>
  <c r="DU10" i="112"/>
  <c r="FZ10" i="112"/>
  <c r="DT10" i="112"/>
  <c r="DS10" i="112"/>
  <c r="FY10" i="112"/>
  <c r="GZ9" i="112"/>
  <c r="GV9" i="112"/>
  <c r="GR9" i="112"/>
  <c r="GN9" i="112"/>
  <c r="GJ9" i="112"/>
  <c r="GE9" i="112"/>
  <c r="GB9" i="112"/>
  <c r="GA9" i="112"/>
  <c r="FX9" i="112"/>
  <c r="FW9" i="112"/>
  <c r="HA9" i="112"/>
  <c r="FV9" i="112"/>
  <c r="FU9" i="112"/>
  <c r="FT9" i="112"/>
  <c r="FS9" i="112"/>
  <c r="GY9" i="112"/>
  <c r="FR9" i="112"/>
  <c r="FQ9" i="112"/>
  <c r="GX9" i="112"/>
  <c r="FP9" i="112"/>
  <c r="FO9" i="112"/>
  <c r="GW9" i="112"/>
  <c r="FN9" i="112"/>
  <c r="FM9" i="112"/>
  <c r="FL9" i="112"/>
  <c r="GU9" i="112"/>
  <c r="FK9" i="112"/>
  <c r="FJ9" i="112"/>
  <c r="FI9" i="112"/>
  <c r="GT9" i="112"/>
  <c r="FH9" i="112"/>
  <c r="FG9" i="112"/>
  <c r="GS9" i="112"/>
  <c r="FF9" i="112"/>
  <c r="FE9" i="112"/>
  <c r="FD9" i="112"/>
  <c r="FC9" i="112"/>
  <c r="GQ9" i="112"/>
  <c r="FB9" i="112"/>
  <c r="FA9" i="112"/>
  <c r="GP9" i="112"/>
  <c r="EZ9" i="112"/>
  <c r="EY9" i="112"/>
  <c r="GO9" i="112"/>
  <c r="EW9" i="112"/>
  <c r="EV9" i="112"/>
  <c r="EU9" i="112"/>
  <c r="GM9" i="112"/>
  <c r="ET9" i="112"/>
  <c r="ES9" i="112"/>
  <c r="GL9" i="112"/>
  <c r="ER9" i="112"/>
  <c r="EQ9" i="112"/>
  <c r="GK9" i="112"/>
  <c r="EP9" i="112"/>
  <c r="EO9" i="112"/>
  <c r="EN9" i="112"/>
  <c r="EM9" i="112"/>
  <c r="GI9" i="112"/>
  <c r="EL9" i="112"/>
  <c r="EK9" i="112"/>
  <c r="GH9" i="112"/>
  <c r="EJ9" i="112"/>
  <c r="EI9" i="112"/>
  <c r="GG9" i="112"/>
  <c r="EG9" i="112"/>
  <c r="GF9" i="112"/>
  <c r="EF9" i="112"/>
  <c r="EE9" i="112"/>
  <c r="ED9" i="112"/>
  <c r="EC9" i="112"/>
  <c r="GD9" i="112"/>
  <c r="EB9" i="112"/>
  <c r="EA9" i="112"/>
  <c r="GC9" i="112"/>
  <c r="DZ9" i="112"/>
  <c r="DY9" i="112"/>
  <c r="DX9" i="112"/>
  <c r="DW9" i="112"/>
  <c r="DV9" i="112"/>
  <c r="DU9" i="112"/>
  <c r="FZ9" i="112"/>
  <c r="DT9" i="112"/>
  <c r="DS9" i="112"/>
  <c r="FY9" i="112"/>
  <c r="GZ8" i="112"/>
  <c r="GZ34" i="112"/>
  <c r="GV8" i="112"/>
  <c r="GV34" i="112"/>
  <c r="GR8" i="112"/>
  <c r="GR34" i="112"/>
  <c r="GN8" i="112"/>
  <c r="GN34" i="112"/>
  <c r="GJ8" i="112"/>
  <c r="GJ34" i="112"/>
  <c r="GE8" i="112"/>
  <c r="GE34" i="112"/>
  <c r="GB8" i="112"/>
  <c r="GB34" i="112"/>
  <c r="GA8" i="112"/>
  <c r="GA34" i="112"/>
  <c r="FX8" i="112"/>
  <c r="FX34" i="112"/>
  <c r="FW8" i="112"/>
  <c r="FW34" i="112"/>
  <c r="FV8" i="112"/>
  <c r="FV34" i="112"/>
  <c r="FU8" i="112"/>
  <c r="FU34" i="112"/>
  <c r="FT8" i="112"/>
  <c r="FT34" i="112"/>
  <c r="FS8" i="112"/>
  <c r="FS34" i="112"/>
  <c r="FR8" i="112"/>
  <c r="FR34" i="112"/>
  <c r="FQ8" i="112"/>
  <c r="FQ34" i="112"/>
  <c r="FP8" i="112"/>
  <c r="FP34" i="112"/>
  <c r="FO8" i="112"/>
  <c r="FO34" i="112"/>
  <c r="FN8" i="112"/>
  <c r="FN34" i="112"/>
  <c r="FM8" i="112"/>
  <c r="FM34" i="112"/>
  <c r="FL8" i="112"/>
  <c r="FL34" i="112"/>
  <c r="FK8" i="112"/>
  <c r="FK34" i="112"/>
  <c r="FJ8" i="112"/>
  <c r="FJ34" i="112"/>
  <c r="FI8" i="112"/>
  <c r="FI34" i="112"/>
  <c r="FH8" i="112"/>
  <c r="FH34" i="112"/>
  <c r="FG8" i="112"/>
  <c r="FG34" i="112"/>
  <c r="FF8" i="112"/>
  <c r="FF34" i="112"/>
  <c r="FE8" i="112"/>
  <c r="FE34" i="112"/>
  <c r="FD8" i="112"/>
  <c r="FD34" i="112"/>
  <c r="FC8" i="112"/>
  <c r="FC34" i="112"/>
  <c r="FB8" i="112"/>
  <c r="FB34" i="112"/>
  <c r="FA8" i="112"/>
  <c r="FA34" i="112"/>
  <c r="EZ8" i="112"/>
  <c r="EZ34" i="112"/>
  <c r="EY8" i="112"/>
  <c r="EY34" i="112"/>
  <c r="EW8" i="112"/>
  <c r="EW34" i="112"/>
  <c r="EV8" i="112"/>
  <c r="EV34" i="112"/>
  <c r="EU8" i="112"/>
  <c r="EU34" i="112"/>
  <c r="ET8" i="112"/>
  <c r="ET34" i="112"/>
  <c r="ES8" i="112"/>
  <c r="ES34" i="112"/>
  <c r="ER8" i="112"/>
  <c r="ER34" i="112"/>
  <c r="EQ8" i="112"/>
  <c r="EQ34" i="112"/>
  <c r="EP8" i="112"/>
  <c r="EP34" i="112"/>
  <c r="EO8" i="112"/>
  <c r="EO34" i="112"/>
  <c r="EN8" i="112"/>
  <c r="EN34" i="112"/>
  <c r="EM8" i="112"/>
  <c r="EM34" i="112"/>
  <c r="EL8" i="112"/>
  <c r="EL34" i="112"/>
  <c r="EK8" i="112"/>
  <c r="EK34" i="112"/>
  <c r="EJ8" i="112"/>
  <c r="EJ34" i="112"/>
  <c r="EI8" i="112"/>
  <c r="EI34" i="112"/>
  <c r="EG8" i="112"/>
  <c r="EG34" i="112"/>
  <c r="EF8" i="112"/>
  <c r="EF34" i="112"/>
  <c r="EE8" i="112"/>
  <c r="EE34" i="112"/>
  <c r="ED8" i="112"/>
  <c r="ED34" i="112"/>
  <c r="EC8" i="112"/>
  <c r="EC34" i="112"/>
  <c r="EB8" i="112"/>
  <c r="EB34" i="112"/>
  <c r="EA8" i="112"/>
  <c r="EA34" i="112"/>
  <c r="DZ8" i="112"/>
  <c r="DZ34" i="112"/>
  <c r="DY8" i="112"/>
  <c r="DY34" i="112"/>
  <c r="DX8" i="112"/>
  <c r="DX34" i="112"/>
  <c r="DW8" i="112"/>
  <c r="DW34" i="112"/>
  <c r="DV8" i="112"/>
  <c r="DV34" i="112"/>
  <c r="DU8" i="112"/>
  <c r="DU34" i="112"/>
  <c r="DT8" i="112"/>
  <c r="DT34" i="112"/>
  <c r="DS8" i="112"/>
  <c r="DS34" i="112"/>
  <c r="GZ7" i="112"/>
  <c r="GV7" i="112"/>
  <c r="GR7" i="112"/>
  <c r="GN7" i="112"/>
  <c r="GJ7" i="112"/>
  <c r="GE7" i="112"/>
  <c r="GB7" i="112"/>
  <c r="GA7" i="112"/>
  <c r="FX7" i="112"/>
  <c r="FW7" i="112"/>
  <c r="HA7" i="112"/>
  <c r="FV7" i="112"/>
  <c r="FU7" i="112"/>
  <c r="FT7" i="112"/>
  <c r="FS7" i="112"/>
  <c r="GY7" i="112"/>
  <c r="FR7" i="112"/>
  <c r="FQ7" i="112"/>
  <c r="GX7" i="112"/>
  <c r="FP7" i="112"/>
  <c r="FO7" i="112"/>
  <c r="GW7" i="112"/>
  <c r="FN7" i="112"/>
  <c r="FM7" i="112"/>
  <c r="FL7" i="112"/>
  <c r="GU7" i="112"/>
  <c r="FK7" i="112"/>
  <c r="FJ7" i="112"/>
  <c r="FI7" i="112"/>
  <c r="GT7" i="112"/>
  <c r="FH7" i="112"/>
  <c r="FG7" i="112"/>
  <c r="GS7" i="112"/>
  <c r="FF7" i="112"/>
  <c r="FE7" i="112"/>
  <c r="FD7" i="112"/>
  <c r="FC7" i="112"/>
  <c r="GQ7" i="112"/>
  <c r="FB7" i="112"/>
  <c r="FA7" i="112"/>
  <c r="GP7" i="112"/>
  <c r="EZ7" i="112"/>
  <c r="EY7" i="112"/>
  <c r="GO7" i="112"/>
  <c r="EW7" i="112"/>
  <c r="EV7" i="112"/>
  <c r="EU7" i="112"/>
  <c r="GM7" i="112"/>
  <c r="ET7" i="112"/>
  <c r="ES7" i="112"/>
  <c r="GL7" i="112"/>
  <c r="ER7" i="112"/>
  <c r="EQ7" i="112"/>
  <c r="GK7" i="112"/>
  <c r="EP7" i="112"/>
  <c r="EO7" i="112"/>
  <c r="EN7" i="112"/>
  <c r="EM7" i="112"/>
  <c r="GI7" i="112"/>
  <c r="EL7" i="112"/>
  <c r="EK7" i="112"/>
  <c r="GH7" i="112"/>
  <c r="EJ7" i="112"/>
  <c r="EI7" i="112"/>
  <c r="GG7" i="112"/>
  <c r="EG7" i="112"/>
  <c r="GF7" i="112"/>
  <c r="EF7" i="112"/>
  <c r="EE7" i="112"/>
  <c r="ED7" i="112"/>
  <c r="EC7" i="112"/>
  <c r="GD7" i="112"/>
  <c r="EB7" i="112"/>
  <c r="EA7" i="112"/>
  <c r="GC7" i="112"/>
  <c r="DZ7" i="112"/>
  <c r="DY7" i="112"/>
  <c r="DX7" i="112"/>
  <c r="DW7" i="112"/>
  <c r="DV7" i="112"/>
  <c r="DU7" i="112"/>
  <c r="FZ7" i="112"/>
  <c r="DT7" i="112"/>
  <c r="DS7" i="112"/>
  <c r="FY7" i="112"/>
  <c r="GZ6" i="112"/>
  <c r="GZ36" i="112"/>
  <c r="GV6" i="112"/>
  <c r="GV36" i="112"/>
  <c r="GR6" i="112"/>
  <c r="GR36" i="112"/>
  <c r="GN6" i="112"/>
  <c r="GN36" i="112"/>
  <c r="GJ6" i="112"/>
  <c r="GJ36" i="112"/>
  <c r="GE6" i="112"/>
  <c r="GE36" i="112"/>
  <c r="GB6" i="112"/>
  <c r="GB36" i="112"/>
  <c r="GA6" i="112"/>
  <c r="GA36" i="112"/>
  <c r="FX6" i="112"/>
  <c r="FX36" i="112"/>
  <c r="FW6" i="112"/>
  <c r="FW36" i="112"/>
  <c r="FV6" i="112"/>
  <c r="FV36" i="112"/>
  <c r="FU6" i="112"/>
  <c r="FU36" i="112"/>
  <c r="FT6" i="112"/>
  <c r="FT36" i="112"/>
  <c r="FS6" i="112"/>
  <c r="FS36" i="112"/>
  <c r="FR6" i="112"/>
  <c r="FR36" i="112"/>
  <c r="FQ6" i="112"/>
  <c r="FQ36" i="112"/>
  <c r="FP6" i="112"/>
  <c r="FP36" i="112"/>
  <c r="FO6" i="112"/>
  <c r="FO36" i="112"/>
  <c r="FN6" i="112"/>
  <c r="FN36" i="112"/>
  <c r="FM6" i="112"/>
  <c r="FM36" i="112"/>
  <c r="FL6" i="112"/>
  <c r="FL36" i="112"/>
  <c r="FK6" i="112"/>
  <c r="FK36" i="112"/>
  <c r="FJ6" i="112"/>
  <c r="FJ36" i="112"/>
  <c r="FI6" i="112"/>
  <c r="FI36" i="112"/>
  <c r="FH6" i="112"/>
  <c r="FH36" i="112"/>
  <c r="FG6" i="112"/>
  <c r="FG36" i="112"/>
  <c r="FF6" i="112"/>
  <c r="FF36" i="112"/>
  <c r="FE6" i="112"/>
  <c r="FE36" i="112"/>
  <c r="FD6" i="112"/>
  <c r="FD36" i="112"/>
  <c r="FC6" i="112"/>
  <c r="FC36" i="112"/>
  <c r="FB6" i="112"/>
  <c r="FB36" i="112"/>
  <c r="FA6" i="112"/>
  <c r="FA36" i="112"/>
  <c r="EZ6" i="112"/>
  <c r="EZ36" i="112"/>
  <c r="EY6" i="112"/>
  <c r="EY36" i="112"/>
  <c r="EW6" i="112"/>
  <c r="EW36" i="112"/>
  <c r="EV6" i="112"/>
  <c r="EV36" i="112"/>
  <c r="EU6" i="112"/>
  <c r="EU36" i="112"/>
  <c r="ET6" i="112"/>
  <c r="ET36" i="112"/>
  <c r="ES6" i="112"/>
  <c r="ES36" i="112"/>
  <c r="ER6" i="112"/>
  <c r="ER36" i="112"/>
  <c r="EQ6" i="112"/>
  <c r="EQ36" i="112"/>
  <c r="EP6" i="112"/>
  <c r="EP36" i="112"/>
  <c r="EO6" i="112"/>
  <c r="EO36" i="112"/>
  <c r="EN6" i="112"/>
  <c r="EN36" i="112"/>
  <c r="EM6" i="112"/>
  <c r="EM36" i="112"/>
  <c r="EL6" i="112"/>
  <c r="EL36" i="112"/>
  <c r="EK6" i="112"/>
  <c r="EK36" i="112"/>
  <c r="EJ6" i="112"/>
  <c r="EJ36" i="112"/>
  <c r="EI6" i="112"/>
  <c r="EI36" i="112"/>
  <c r="EG6" i="112"/>
  <c r="EG36" i="112"/>
  <c r="EF6" i="112"/>
  <c r="EF36" i="112"/>
  <c r="EE6" i="112"/>
  <c r="EE36" i="112"/>
  <c r="ED6" i="112"/>
  <c r="ED36" i="112"/>
  <c r="EC6" i="112"/>
  <c r="EC36" i="112"/>
  <c r="EB6" i="112"/>
  <c r="EB36" i="112"/>
  <c r="EA6" i="112"/>
  <c r="EA36" i="112"/>
  <c r="DZ6" i="112"/>
  <c r="DZ36" i="112"/>
  <c r="DY6" i="112"/>
  <c r="DY36" i="112"/>
  <c r="DX6" i="112"/>
  <c r="DX36" i="112"/>
  <c r="DW6" i="112"/>
  <c r="DW36" i="112"/>
  <c r="DV6" i="112"/>
  <c r="DV36" i="112"/>
  <c r="DU6" i="112"/>
  <c r="DU36" i="112"/>
  <c r="DT6" i="112"/>
  <c r="DT36" i="112"/>
  <c r="DS6" i="112"/>
  <c r="DS36" i="112"/>
  <c r="GZ5" i="112"/>
  <c r="GV5" i="112"/>
  <c r="GR5" i="112"/>
  <c r="GN5" i="112"/>
  <c r="GJ5" i="112"/>
  <c r="GE5" i="112"/>
  <c r="GB5" i="112"/>
  <c r="GA5" i="112"/>
  <c r="FX5" i="112"/>
  <c r="FW5" i="112"/>
  <c r="HA5" i="112"/>
  <c r="FV5" i="112"/>
  <c r="FU5" i="112"/>
  <c r="FT5" i="112"/>
  <c r="FS5" i="112"/>
  <c r="GY5" i="112"/>
  <c r="FR5" i="112"/>
  <c r="FQ5" i="112"/>
  <c r="GX5" i="112"/>
  <c r="FP5" i="112"/>
  <c r="FO5" i="112"/>
  <c r="GW5" i="112"/>
  <c r="FN5" i="112"/>
  <c r="FM5" i="112"/>
  <c r="FL5" i="112"/>
  <c r="GU5" i="112"/>
  <c r="FK5" i="112"/>
  <c r="FJ5" i="112"/>
  <c r="FI5" i="112"/>
  <c r="GT5" i="112"/>
  <c r="FH5" i="112"/>
  <c r="FG5" i="112"/>
  <c r="GS5" i="112"/>
  <c r="FF5" i="112"/>
  <c r="FE5" i="112"/>
  <c r="FD5" i="112"/>
  <c r="FC5" i="112"/>
  <c r="GQ5" i="112"/>
  <c r="FB5" i="112"/>
  <c r="FA5" i="112"/>
  <c r="GP5" i="112"/>
  <c r="EZ5" i="112"/>
  <c r="EY5" i="112"/>
  <c r="GO5" i="112"/>
  <c r="EW5" i="112"/>
  <c r="EV5" i="112"/>
  <c r="EU5" i="112"/>
  <c r="GM5" i="112"/>
  <c r="ET5" i="112"/>
  <c r="GL5" i="112"/>
  <c r="ES5" i="112"/>
  <c r="ER5" i="112"/>
  <c r="EQ5" i="112"/>
  <c r="GK5" i="112"/>
  <c r="EP5" i="112"/>
  <c r="EO5" i="112"/>
  <c r="EN5" i="112"/>
  <c r="EM5" i="112"/>
  <c r="GI5" i="112"/>
  <c r="EL5" i="112"/>
  <c r="EK5" i="112"/>
  <c r="GH5" i="112"/>
  <c r="EJ5" i="112"/>
  <c r="EI5" i="112"/>
  <c r="GG5" i="112"/>
  <c r="EG5" i="112"/>
  <c r="GF5" i="112"/>
  <c r="EF5" i="112"/>
  <c r="EE5" i="112"/>
  <c r="ED5" i="112"/>
  <c r="EC5" i="112"/>
  <c r="GD5" i="112"/>
  <c r="EB5" i="112"/>
  <c r="EA5" i="112"/>
  <c r="GC5" i="112"/>
  <c r="DZ5" i="112"/>
  <c r="DY5" i="112"/>
  <c r="DX5" i="112"/>
  <c r="DW5" i="112"/>
  <c r="DV5" i="112"/>
  <c r="DU5" i="112"/>
  <c r="FZ5" i="112"/>
  <c r="DT5" i="112"/>
  <c r="DS5" i="112"/>
  <c r="FY5" i="112"/>
  <c r="GZ4" i="112"/>
  <c r="GV4" i="112"/>
  <c r="GR4" i="112"/>
  <c r="GN4" i="112"/>
  <c r="GE4" i="112"/>
  <c r="GA4" i="112"/>
  <c r="FX4" i="112"/>
  <c r="FW4" i="112"/>
  <c r="HA4" i="112"/>
  <c r="FV4" i="112"/>
  <c r="FU4" i="112"/>
  <c r="FT4" i="112"/>
  <c r="FS4" i="112"/>
  <c r="FR4" i="112"/>
  <c r="FQ4" i="112"/>
  <c r="FP4" i="112"/>
  <c r="FO4" i="112"/>
  <c r="FN4" i="112"/>
  <c r="FM4" i="112"/>
  <c r="FL4" i="112"/>
  <c r="FK4" i="112"/>
  <c r="FJ4" i="112"/>
  <c r="FI4" i="112"/>
  <c r="GT4" i="112"/>
  <c r="FH4" i="112"/>
  <c r="FG4" i="112"/>
  <c r="GS4" i="112"/>
  <c r="FF4" i="112"/>
  <c r="FE4" i="112"/>
  <c r="FD4" i="112"/>
  <c r="FC4" i="112"/>
  <c r="FB4" i="112"/>
  <c r="FA4" i="112"/>
  <c r="EZ4" i="112"/>
  <c r="EY4" i="112"/>
  <c r="EW4" i="112"/>
  <c r="EV4" i="112"/>
  <c r="EU4" i="112"/>
  <c r="ET4" i="112"/>
  <c r="GL4" i="112"/>
  <c r="ES4" i="112"/>
  <c r="ER4" i="112"/>
  <c r="EQ4" i="112"/>
  <c r="GK4" i="112"/>
  <c r="EP4" i="112"/>
  <c r="GJ4" i="112"/>
  <c r="EO4" i="112"/>
  <c r="EN4" i="112"/>
  <c r="EM4" i="112"/>
  <c r="EL4" i="112"/>
  <c r="EK4" i="112"/>
  <c r="EJ4" i="112"/>
  <c r="EI4" i="112"/>
  <c r="EG4" i="112"/>
  <c r="EF4" i="112"/>
  <c r="EE4" i="112"/>
  <c r="ED4" i="112"/>
  <c r="EC4" i="112"/>
  <c r="GD4" i="112"/>
  <c r="EB4" i="112"/>
  <c r="EA4" i="112"/>
  <c r="GC4" i="112"/>
  <c r="DZ4" i="112"/>
  <c r="DY4" i="112"/>
  <c r="GB4" i="112"/>
  <c r="DX4" i="112"/>
  <c r="DW4" i="112"/>
  <c r="DV4" i="112"/>
  <c r="DU4" i="112"/>
  <c r="FZ4" i="112"/>
  <c r="DT4" i="112"/>
  <c r="DS4" i="112"/>
  <c r="J121" i="28"/>
  <c r="K121" i="28"/>
  <c r="HK9" i="112"/>
  <c r="HB9" i="112"/>
  <c r="HK10" i="112"/>
  <c r="HB10" i="112"/>
  <c r="HJ5" i="112"/>
  <c r="HJ7" i="112"/>
  <c r="HJ9" i="112"/>
  <c r="HJ10" i="112"/>
  <c r="HK7" i="112"/>
  <c r="HB7" i="112"/>
  <c r="GJ35" i="112"/>
  <c r="HC5" i="112"/>
  <c r="HI7" i="112"/>
  <c r="HC7" i="112"/>
  <c r="HI9" i="112"/>
  <c r="HI10" i="112"/>
  <c r="HK13" i="112"/>
  <c r="HB13" i="112"/>
  <c r="GS35" i="112"/>
  <c r="GK35" i="112"/>
  <c r="HK12" i="112"/>
  <c r="HB12" i="112"/>
  <c r="HJ13" i="112"/>
  <c r="GC35" i="112"/>
  <c r="GT35" i="112"/>
  <c r="GT24" i="112"/>
  <c r="GT26" i="112"/>
  <c r="B23" i="113"/>
  <c r="D23" i="113"/>
  <c r="HJ12" i="112"/>
  <c r="HI13" i="112"/>
  <c r="HC13" i="112"/>
  <c r="HK5" i="112"/>
  <c r="HB5" i="112"/>
  <c r="HA35" i="112"/>
  <c r="HI12" i="112"/>
  <c r="HI5" i="112"/>
  <c r="GD35" i="112"/>
  <c r="GL35" i="112"/>
  <c r="GB35" i="112"/>
  <c r="GB24" i="112"/>
  <c r="GB26" i="112"/>
  <c r="B5" i="113"/>
  <c r="D5" i="113"/>
  <c r="FZ35" i="112"/>
  <c r="EM35" i="112"/>
  <c r="EM24" i="112"/>
  <c r="FL35" i="112"/>
  <c r="FL24" i="112"/>
  <c r="GR35" i="112"/>
  <c r="GR24" i="112"/>
  <c r="GR26" i="112"/>
  <c r="B21" i="113"/>
  <c r="D21" i="113"/>
  <c r="EM37" i="112"/>
  <c r="FL37" i="112"/>
  <c r="FT37" i="112"/>
  <c r="GB11" i="112"/>
  <c r="GJ11" i="112"/>
  <c r="GJ24" i="112"/>
  <c r="GJ26" i="112"/>
  <c r="B13" i="113"/>
  <c r="D13" i="113"/>
  <c r="GR33" i="112"/>
  <c r="GR25" i="112"/>
  <c r="GR27" i="112"/>
  <c r="GZ33" i="112"/>
  <c r="GZ37" i="112"/>
  <c r="GZ25" i="112"/>
  <c r="GZ27" i="112"/>
  <c r="ED35" i="112"/>
  <c r="ED37" i="112"/>
  <c r="ED24" i="112"/>
  <c r="FD35" i="112"/>
  <c r="FD37" i="112"/>
  <c r="FD24" i="112"/>
  <c r="GZ35" i="112"/>
  <c r="GZ24" i="112"/>
  <c r="GZ26" i="112"/>
  <c r="B29" i="113"/>
  <c r="D29" i="113"/>
  <c r="DW35" i="112"/>
  <c r="DW24" i="112"/>
  <c r="EE35" i="112"/>
  <c r="EE37" i="112"/>
  <c r="EE24" i="112"/>
  <c r="EN35" i="112"/>
  <c r="EN37" i="112"/>
  <c r="EN24" i="112"/>
  <c r="EV35" i="112"/>
  <c r="EV37" i="112"/>
  <c r="EV24" i="112"/>
  <c r="FE35" i="112"/>
  <c r="FE24" i="112"/>
  <c r="FM35" i="112"/>
  <c r="FM37" i="112"/>
  <c r="FM24" i="112"/>
  <c r="FU35" i="112"/>
  <c r="FU24" i="112"/>
  <c r="GC6" i="112"/>
  <c r="GC36" i="112"/>
  <c r="GK6" i="112"/>
  <c r="GK24" i="112"/>
  <c r="GK26" i="112"/>
  <c r="B14" i="113"/>
  <c r="D14" i="113"/>
  <c r="GS6" i="112"/>
  <c r="GS36" i="112"/>
  <c r="HA6" i="112"/>
  <c r="HA24" i="112"/>
  <c r="HA26" i="112"/>
  <c r="B30" i="113"/>
  <c r="D30" i="113"/>
  <c r="GC8" i="112"/>
  <c r="GC34" i="112"/>
  <c r="GK8" i="112"/>
  <c r="GS8" i="112"/>
  <c r="GS34" i="112"/>
  <c r="HA8" i="112"/>
  <c r="DW37" i="112"/>
  <c r="FE37" i="112"/>
  <c r="FU37" i="112"/>
  <c r="GC11" i="112"/>
  <c r="GK11" i="112"/>
  <c r="GS11" i="112"/>
  <c r="HA11" i="112"/>
  <c r="DV35" i="112"/>
  <c r="DV37" i="112"/>
  <c r="DV24" i="112"/>
  <c r="EU35" i="112"/>
  <c r="EU37" i="112"/>
  <c r="EU24" i="112"/>
  <c r="FT35" i="112"/>
  <c r="FT24" i="112"/>
  <c r="DX35" i="112"/>
  <c r="DX24" i="112"/>
  <c r="EF35" i="112"/>
  <c r="EF37" i="112"/>
  <c r="EF24" i="112"/>
  <c r="EO35" i="112"/>
  <c r="EO37" i="112"/>
  <c r="EO24" i="112"/>
  <c r="EW35" i="112"/>
  <c r="EW24" i="112"/>
  <c r="FF35" i="112"/>
  <c r="FF24" i="112"/>
  <c r="FN35" i="112"/>
  <c r="FN37" i="112"/>
  <c r="FN24" i="112"/>
  <c r="FV35" i="112"/>
  <c r="FV24" i="112"/>
  <c r="GD6" i="112"/>
  <c r="GD36" i="112"/>
  <c r="GL6" i="112"/>
  <c r="GL36" i="112"/>
  <c r="GT6" i="112"/>
  <c r="GT36" i="112"/>
  <c r="GD8" i="112"/>
  <c r="GD34" i="112"/>
  <c r="GL8" i="112"/>
  <c r="GL34" i="112"/>
  <c r="GT8" i="112"/>
  <c r="GT34" i="112"/>
  <c r="DX37" i="112"/>
  <c r="EW37" i="112"/>
  <c r="FF37" i="112"/>
  <c r="FV37" i="112"/>
  <c r="GD11" i="112"/>
  <c r="GL11" i="112"/>
  <c r="GT11" i="112"/>
  <c r="HK15" i="112"/>
  <c r="HB15" i="112"/>
  <c r="HE19" i="112"/>
  <c r="HJ20" i="112"/>
  <c r="EP35" i="112"/>
  <c r="EP24" i="112"/>
  <c r="EY35" i="112"/>
  <c r="EY24" i="112"/>
  <c r="FW35" i="112"/>
  <c r="FW24" i="112"/>
  <c r="GE35" i="112"/>
  <c r="GE24" i="112"/>
  <c r="GE26" i="112"/>
  <c r="B8" i="113"/>
  <c r="D8" i="113"/>
  <c r="GM4" i="112"/>
  <c r="HJ4" i="112"/>
  <c r="GU4" i="112"/>
  <c r="GM6" i="112"/>
  <c r="GM36" i="112"/>
  <c r="GU6" i="112"/>
  <c r="GU36" i="112"/>
  <c r="GM8" i="112"/>
  <c r="GM34" i="112"/>
  <c r="GU8" i="112"/>
  <c r="GU34" i="112"/>
  <c r="EP37" i="112"/>
  <c r="EY37" i="112"/>
  <c r="FW37" i="112"/>
  <c r="GE25" i="112"/>
  <c r="GE27" i="112"/>
  <c r="GE33" i="112"/>
  <c r="GE37" i="112"/>
  <c r="GM11" i="112"/>
  <c r="GU11" i="112"/>
  <c r="HI20" i="112"/>
  <c r="EG35" i="112"/>
  <c r="EG37" i="112"/>
  <c r="EG24" i="112"/>
  <c r="EI35" i="112"/>
  <c r="EI37" i="112"/>
  <c r="EI24" i="112"/>
  <c r="FX35" i="112"/>
  <c r="FX37" i="112"/>
  <c r="FX24" i="112"/>
  <c r="GF6" i="112"/>
  <c r="GF36" i="112"/>
  <c r="GF8" i="112"/>
  <c r="GF34" i="112"/>
  <c r="GF11" i="112"/>
  <c r="GN11" i="112"/>
  <c r="GV11" i="112"/>
  <c r="GK14" i="112"/>
  <c r="HJ14" i="112"/>
  <c r="FZ15" i="112"/>
  <c r="HI15" i="112"/>
  <c r="GQ15" i="112"/>
  <c r="HJ15" i="112"/>
  <c r="GU15" i="112"/>
  <c r="GY15" i="112"/>
  <c r="HC15" i="112"/>
  <c r="HJ19" i="112"/>
  <c r="HJ22" i="112"/>
  <c r="FO35" i="112"/>
  <c r="FO37" i="112"/>
  <c r="FO24" i="112"/>
  <c r="EQ35" i="112"/>
  <c r="EQ37" i="112"/>
  <c r="EQ24" i="112"/>
  <c r="FH35" i="112"/>
  <c r="FH37" i="112"/>
  <c r="FH24" i="112"/>
  <c r="GF4" i="112"/>
  <c r="GV35" i="112"/>
  <c r="GV24" i="112"/>
  <c r="GV26" i="112"/>
  <c r="B25" i="113"/>
  <c r="D25" i="113"/>
  <c r="DS35" i="112"/>
  <c r="DS24" i="112"/>
  <c r="EA35" i="112"/>
  <c r="EA37" i="112"/>
  <c r="EA24" i="112"/>
  <c r="EJ35" i="112"/>
  <c r="EJ37" i="112"/>
  <c r="EJ24" i="112"/>
  <c r="ER35" i="112"/>
  <c r="ER24" i="112"/>
  <c r="FA35" i="112"/>
  <c r="FA24" i="112"/>
  <c r="FI35" i="112"/>
  <c r="FI37" i="112"/>
  <c r="FI24" i="112"/>
  <c r="FQ35" i="112"/>
  <c r="FQ24" i="112"/>
  <c r="FY4" i="112"/>
  <c r="GG4" i="112"/>
  <c r="GO4" i="112"/>
  <c r="GW4" i="112"/>
  <c r="FY6" i="112"/>
  <c r="GG6" i="112"/>
  <c r="GG36" i="112"/>
  <c r="GO6" i="112"/>
  <c r="GO36" i="112"/>
  <c r="GW6" i="112"/>
  <c r="FY8" i="112"/>
  <c r="GG8" i="112"/>
  <c r="GG34" i="112"/>
  <c r="GO8" i="112"/>
  <c r="GO34" i="112"/>
  <c r="GW8" i="112"/>
  <c r="DS37" i="112"/>
  <c r="ER37" i="112"/>
  <c r="FA37" i="112"/>
  <c r="FQ37" i="112"/>
  <c r="FY11" i="112"/>
  <c r="GG11" i="112"/>
  <c r="GO11" i="112"/>
  <c r="GW11" i="112"/>
  <c r="HJ16" i="112"/>
  <c r="HJ17" i="112"/>
  <c r="HJ18" i="112"/>
  <c r="HI19" i="112"/>
  <c r="HC19" i="112"/>
  <c r="HI22" i="112"/>
  <c r="HC22" i="112"/>
  <c r="DY35" i="112"/>
  <c r="DY37" i="112"/>
  <c r="DY24" i="112"/>
  <c r="FG35" i="112"/>
  <c r="FG37" i="112"/>
  <c r="FG24" i="112"/>
  <c r="DZ35" i="112"/>
  <c r="DZ37" i="112"/>
  <c r="DZ24" i="112"/>
  <c r="EZ35" i="112"/>
  <c r="EZ37" i="112"/>
  <c r="EZ24" i="112"/>
  <c r="FP35" i="112"/>
  <c r="FP37" i="112"/>
  <c r="FP24" i="112"/>
  <c r="GN35" i="112"/>
  <c r="GN24" i="112"/>
  <c r="GN26" i="112"/>
  <c r="B17" i="113"/>
  <c r="D17" i="113"/>
  <c r="DT35" i="112"/>
  <c r="DT24" i="112"/>
  <c r="EB35" i="112"/>
  <c r="EB24" i="112"/>
  <c r="EK35" i="112"/>
  <c r="EK24" i="112"/>
  <c r="ES35" i="112"/>
  <c r="ES24" i="112"/>
  <c r="FB35" i="112"/>
  <c r="FB37" i="112"/>
  <c r="FB24" i="112"/>
  <c r="FJ35" i="112"/>
  <c r="FJ37" i="112"/>
  <c r="FJ24" i="112"/>
  <c r="FR35" i="112"/>
  <c r="FR24" i="112"/>
  <c r="GH4" i="112"/>
  <c r="GP4" i="112"/>
  <c r="GX4" i="112"/>
  <c r="FZ6" i="112"/>
  <c r="FZ36" i="112"/>
  <c r="GH6" i="112"/>
  <c r="GH36" i="112"/>
  <c r="GP6" i="112"/>
  <c r="GP36" i="112"/>
  <c r="GX6" i="112"/>
  <c r="FZ8" i="112"/>
  <c r="FZ34" i="112"/>
  <c r="GH8" i="112"/>
  <c r="GH34" i="112"/>
  <c r="GP8" i="112"/>
  <c r="GP34" i="112"/>
  <c r="GX8" i="112"/>
  <c r="DT37" i="112"/>
  <c r="EB37" i="112"/>
  <c r="EK37" i="112"/>
  <c r="ES37" i="112"/>
  <c r="FR37" i="112"/>
  <c r="FZ11" i="112"/>
  <c r="GH11" i="112"/>
  <c r="GP11" i="112"/>
  <c r="GX11" i="112"/>
  <c r="GH14" i="112"/>
  <c r="HI16" i="112"/>
  <c r="HI17" i="112"/>
  <c r="HI18" i="112"/>
  <c r="HC18" i="112"/>
  <c r="HK23" i="112"/>
  <c r="HB23" i="112"/>
  <c r="DU35" i="112"/>
  <c r="DU24" i="112"/>
  <c r="EC35" i="112"/>
  <c r="EC24" i="112"/>
  <c r="EL35" i="112"/>
  <c r="EL24" i="112"/>
  <c r="ET35" i="112"/>
  <c r="ET24" i="112"/>
  <c r="FC35" i="112"/>
  <c r="FC37" i="112"/>
  <c r="FC24" i="112"/>
  <c r="FK35" i="112"/>
  <c r="FK37" i="112"/>
  <c r="FK24" i="112"/>
  <c r="FS35" i="112"/>
  <c r="FS24" i="112"/>
  <c r="GA35" i="112"/>
  <c r="GA24" i="112"/>
  <c r="GA26" i="112"/>
  <c r="B4" i="113"/>
  <c r="D4" i="113"/>
  <c r="GI4" i="112"/>
  <c r="GQ4" i="112"/>
  <c r="GY4" i="112"/>
  <c r="GI6" i="112"/>
  <c r="GI36" i="112"/>
  <c r="GQ6" i="112"/>
  <c r="GQ36" i="112"/>
  <c r="GY6" i="112"/>
  <c r="GI8" i="112"/>
  <c r="GI34" i="112"/>
  <c r="GQ8" i="112"/>
  <c r="GQ34" i="112"/>
  <c r="GY8" i="112"/>
  <c r="DU37" i="112"/>
  <c r="EC37" i="112"/>
  <c r="EL37" i="112"/>
  <c r="ET37" i="112"/>
  <c r="FS37" i="112"/>
  <c r="GA11" i="112"/>
  <c r="GI11" i="112"/>
  <c r="GQ11" i="112"/>
  <c r="GY11" i="112"/>
  <c r="FZ14" i="112"/>
  <c r="HI14" i="112"/>
  <c r="GQ14" i="112"/>
  <c r="GU14" i="112"/>
  <c r="GY14" i="112"/>
  <c r="HD19" i="112"/>
  <c r="HJ23" i="112"/>
  <c r="GU44" i="112"/>
  <c r="GZ44" i="112"/>
  <c r="HG44" i="112"/>
  <c r="GU46" i="112"/>
  <c r="GZ46" i="112"/>
  <c r="HG46" i="112"/>
  <c r="HB16" i="112"/>
  <c r="HB17" i="112"/>
  <c r="HB18" i="112"/>
  <c r="HB19" i="112"/>
  <c r="HB20" i="112"/>
  <c r="HB21" i="112"/>
  <c r="HC21" i="112"/>
  <c r="HB22" i="112"/>
  <c r="HK16" i="112"/>
  <c r="HK17" i="112"/>
  <c r="HK18" i="112"/>
  <c r="HK19" i="112"/>
  <c r="HK20" i="112"/>
  <c r="HK21" i="112"/>
  <c r="HK22" i="112"/>
  <c r="GN43" i="112"/>
  <c r="GN45" i="112"/>
  <c r="GI44" i="112"/>
  <c r="GI46" i="112"/>
  <c r="HJ35" i="112"/>
  <c r="E30" i="113"/>
  <c r="F14" i="113"/>
  <c r="E14" i="113"/>
  <c r="E13" i="113"/>
  <c r="FY36" i="112"/>
  <c r="HI6" i="112"/>
  <c r="HI36" i="112"/>
  <c r="GI33" i="112"/>
  <c r="GI25" i="112"/>
  <c r="GI27" i="112"/>
  <c r="GH25" i="112"/>
  <c r="GH27" i="112"/>
  <c r="GH33" i="112"/>
  <c r="GW35" i="112"/>
  <c r="GW24" i="112"/>
  <c r="GW26" i="112"/>
  <c r="B26" i="113"/>
  <c r="D26" i="113"/>
  <c r="HK4" i="112"/>
  <c r="HF19" i="112"/>
  <c r="HL19" i="112"/>
  <c r="FZ24" i="112"/>
  <c r="FZ26" i="112"/>
  <c r="B3" i="113"/>
  <c r="D3" i="113"/>
  <c r="GD24" i="112"/>
  <c r="GD26" i="112"/>
  <c r="B7" i="113"/>
  <c r="D7" i="113"/>
  <c r="GY35" i="112"/>
  <c r="GY24" i="112"/>
  <c r="GY26" i="112"/>
  <c r="B28" i="113"/>
  <c r="D28" i="113"/>
  <c r="E29" i="113"/>
  <c r="HB4" i="112"/>
  <c r="GZ45" i="112"/>
  <c r="HG45" i="112"/>
  <c r="GU45" i="112"/>
  <c r="GA33" i="112"/>
  <c r="GA37" i="112"/>
  <c r="GA25" i="112"/>
  <c r="GA27" i="112"/>
  <c r="GY34" i="112"/>
  <c r="GI35" i="112"/>
  <c r="GI24" i="112"/>
  <c r="GI26" i="112"/>
  <c r="B12" i="113"/>
  <c r="D12" i="113"/>
  <c r="HC17" i="112"/>
  <c r="HE17" i="112"/>
  <c r="FZ25" i="112"/>
  <c r="FZ27" i="112"/>
  <c r="FZ33" i="112"/>
  <c r="FZ37" i="112"/>
  <c r="GX34" i="112"/>
  <c r="GX35" i="112"/>
  <c r="GX24" i="112"/>
  <c r="GX26" i="112"/>
  <c r="B27" i="113"/>
  <c r="D27" i="113"/>
  <c r="GO35" i="112"/>
  <c r="GO24" i="112"/>
  <c r="GO26" i="112"/>
  <c r="B18" i="113"/>
  <c r="D18" i="113"/>
  <c r="GV33" i="112"/>
  <c r="GV37" i="112"/>
  <c r="GV25" i="112"/>
  <c r="GV27" i="112"/>
  <c r="GK34" i="112"/>
  <c r="HJ8" i="112"/>
  <c r="HJ34" i="112"/>
  <c r="GC24" i="112"/>
  <c r="GC26" i="112"/>
  <c r="B6" i="113"/>
  <c r="D6" i="113"/>
  <c r="E6" i="113"/>
  <c r="E4" i="113"/>
  <c r="GP35" i="112"/>
  <c r="GP24" i="112"/>
  <c r="GP26" i="112"/>
  <c r="B19" i="113"/>
  <c r="D19" i="113"/>
  <c r="HH19" i="112"/>
  <c r="F25" i="113"/>
  <c r="GN33" i="112"/>
  <c r="GN37" i="112"/>
  <c r="GN25" i="112"/>
  <c r="GN27" i="112"/>
  <c r="E5" i="113"/>
  <c r="HA34" i="112"/>
  <c r="F17" i="113"/>
  <c r="GG35" i="112"/>
  <c r="GG24" i="112"/>
  <c r="GG26" i="112"/>
  <c r="B10" i="113"/>
  <c r="D10" i="113"/>
  <c r="HC16" i="112"/>
  <c r="GH35" i="112"/>
  <c r="GH24" i="112"/>
  <c r="GH26" i="112"/>
  <c r="B11" i="113"/>
  <c r="D11" i="113"/>
  <c r="E11" i="113"/>
  <c r="GW33" i="112"/>
  <c r="GW25" i="112"/>
  <c r="GW27" i="112"/>
  <c r="HK11" i="112"/>
  <c r="HB11" i="112"/>
  <c r="FY35" i="112"/>
  <c r="FY24" i="112"/>
  <c r="FY26" i="112"/>
  <c r="B2" i="113"/>
  <c r="D2" i="113"/>
  <c r="HI4" i="112"/>
  <c r="GF25" i="112"/>
  <c r="GF27" i="112"/>
  <c r="GF33" i="112"/>
  <c r="GU33" i="112"/>
  <c r="GU25" i="112"/>
  <c r="GU27" i="112"/>
  <c r="GU35" i="112"/>
  <c r="GU24" i="112"/>
  <c r="GU26" i="112"/>
  <c r="B24" i="113"/>
  <c r="D24" i="113"/>
  <c r="HA36" i="112"/>
  <c r="HC23" i="112"/>
  <c r="GW34" i="112"/>
  <c r="HK8" i="112"/>
  <c r="HK34" i="112"/>
  <c r="HB8" i="112"/>
  <c r="GQ35" i="112"/>
  <c r="GQ24" i="112"/>
  <c r="GQ26" i="112"/>
  <c r="B20" i="113"/>
  <c r="D20" i="113"/>
  <c r="FY34" i="112"/>
  <c r="HI8" i="112"/>
  <c r="HI34" i="112"/>
  <c r="HG19" i="112"/>
  <c r="GY36" i="112"/>
  <c r="GO33" i="112"/>
  <c r="GO37" i="112"/>
  <c r="GO25" i="112"/>
  <c r="GO27" i="112"/>
  <c r="GW36" i="112"/>
  <c r="HK6" i="112"/>
  <c r="HK36" i="112"/>
  <c r="HB6" i="112"/>
  <c r="GF35" i="112"/>
  <c r="GF24" i="112"/>
  <c r="GF26" i="112"/>
  <c r="B9" i="113"/>
  <c r="D9" i="113"/>
  <c r="E9" i="113"/>
  <c r="HD15" i="112"/>
  <c r="HF15" i="112"/>
  <c r="HG15" i="112"/>
  <c r="GM33" i="112"/>
  <c r="GM37" i="112"/>
  <c r="GM25" i="112"/>
  <c r="GM27" i="112"/>
  <c r="GM35" i="112"/>
  <c r="GM24" i="112"/>
  <c r="GM26" i="112"/>
  <c r="B16" i="113"/>
  <c r="D16" i="113"/>
  <c r="GT33" i="112"/>
  <c r="GT37" i="112"/>
  <c r="GT25" i="112"/>
  <c r="GT27" i="112"/>
  <c r="HA33" i="112"/>
  <c r="HA25" i="112"/>
  <c r="HA27" i="112"/>
  <c r="GR37" i="112"/>
  <c r="HE15" i="112"/>
  <c r="GV45" i="112"/>
  <c r="GO45" i="112"/>
  <c r="HC10" i="112"/>
  <c r="GQ33" i="112"/>
  <c r="GQ25" i="112"/>
  <c r="GQ27" i="112"/>
  <c r="GP33" i="112"/>
  <c r="GP37" i="112"/>
  <c r="GP25" i="112"/>
  <c r="GP27" i="112"/>
  <c r="GC25" i="112"/>
  <c r="GC27" i="112"/>
  <c r="GC33" i="112"/>
  <c r="GC37" i="112"/>
  <c r="HD16" i="112"/>
  <c r="GZ43" i="112"/>
  <c r="HG43" i="112"/>
  <c r="GU43" i="112"/>
  <c r="HE22" i="112"/>
  <c r="HF22" i="112"/>
  <c r="GX36" i="112"/>
  <c r="HC6" i="112"/>
  <c r="GG25" i="112"/>
  <c r="GG27" i="112"/>
  <c r="GG33" i="112"/>
  <c r="GG37" i="112"/>
  <c r="HD21" i="112"/>
  <c r="E8" i="113"/>
  <c r="HD23" i="112"/>
  <c r="GL33" i="112"/>
  <c r="GL37" i="112"/>
  <c r="GL25" i="112"/>
  <c r="GL27" i="112"/>
  <c r="GS33" i="112"/>
  <c r="GS37" i="112"/>
  <c r="GS25" i="112"/>
  <c r="GS27" i="112"/>
  <c r="GK36" i="112"/>
  <c r="HJ6" i="112"/>
  <c r="HJ36" i="112"/>
  <c r="F29" i="113"/>
  <c r="HD18" i="112"/>
  <c r="HF18" i="112"/>
  <c r="GJ25" i="112"/>
  <c r="GJ27" i="112"/>
  <c r="GJ33" i="112"/>
  <c r="GJ37" i="112"/>
  <c r="HB14" i="112"/>
  <c r="HC14" i="112"/>
  <c r="HD13" i="112"/>
  <c r="HD7" i="112"/>
  <c r="GS24" i="112"/>
  <c r="GS26" i="112"/>
  <c r="B22" i="113"/>
  <c r="D22" i="113"/>
  <c r="HE7" i="112"/>
  <c r="HF7" i="112"/>
  <c r="HE16" i="112"/>
  <c r="E23" i="113"/>
  <c r="HD22" i="112"/>
  <c r="GY33" i="112"/>
  <c r="GY37" i="112"/>
  <c r="GY25" i="112"/>
  <c r="GY27" i="112"/>
  <c r="GX33" i="112"/>
  <c r="GX25" i="112"/>
  <c r="GX27" i="112"/>
  <c r="FY25" i="112"/>
  <c r="FY27" i="112"/>
  <c r="FY33" i="112"/>
  <c r="HI11" i="112"/>
  <c r="HI33" i="112"/>
  <c r="HE18" i="112"/>
  <c r="HC20" i="112"/>
  <c r="GD25" i="112"/>
  <c r="GD27" i="112"/>
  <c r="GD33" i="112"/>
  <c r="GD37" i="112"/>
  <c r="GK33" i="112"/>
  <c r="GK25" i="112"/>
  <c r="GK27" i="112"/>
  <c r="HJ11" i="112"/>
  <c r="HJ33" i="112"/>
  <c r="HD17" i="112"/>
  <c r="GB25" i="112"/>
  <c r="GB27" i="112"/>
  <c r="GB33" i="112"/>
  <c r="GB37" i="112"/>
  <c r="F21" i="113"/>
  <c r="HK14" i="112"/>
  <c r="GL24" i="112"/>
  <c r="GL26" i="112"/>
  <c r="B15" i="113"/>
  <c r="D15" i="113"/>
  <c r="J3" i="113"/>
  <c r="HC12" i="112"/>
  <c r="HD5" i="112"/>
  <c r="HC9" i="112"/>
  <c r="HG16" i="112"/>
  <c r="HH16" i="112"/>
  <c r="HD9" i="112"/>
  <c r="GX37" i="112"/>
  <c r="F23" i="113"/>
  <c r="GO46" i="112"/>
  <c r="GV46" i="112"/>
  <c r="HD10" i="112"/>
  <c r="HF10" i="112"/>
  <c r="HE10" i="112"/>
  <c r="HG10" i="112"/>
  <c r="GZ59" i="112"/>
  <c r="GX59" i="112"/>
  <c r="HA46" i="112"/>
  <c r="HD14" i="112"/>
  <c r="HH14" i="112"/>
  <c r="HL14" i="112"/>
  <c r="F24" i="113"/>
  <c r="E24" i="113"/>
  <c r="J2" i="113"/>
  <c r="J4" i="113"/>
  <c r="J22" i="113"/>
  <c r="J7" i="113"/>
  <c r="E25" i="113"/>
  <c r="HF17" i="112"/>
  <c r="HH15" i="112"/>
  <c r="HG14" i="112"/>
  <c r="HE14" i="112"/>
  <c r="HF14" i="112"/>
  <c r="HA37" i="112"/>
  <c r="GC45" i="112"/>
  <c r="GJ45" i="112"/>
  <c r="F18" i="113"/>
  <c r="E18" i="113"/>
  <c r="HG22" i="112"/>
  <c r="HH22" i="112"/>
  <c r="HL22" i="112"/>
  <c r="GI37" i="112"/>
  <c r="GJ44" i="112"/>
  <c r="GC44" i="112"/>
  <c r="HE5" i="112"/>
  <c r="HF5" i="112"/>
  <c r="HC36" i="112"/>
  <c r="HE21" i="112"/>
  <c r="HG21" i="112"/>
  <c r="HH21" i="112"/>
  <c r="F20" i="113"/>
  <c r="E20" i="113"/>
  <c r="HB33" i="112"/>
  <c r="HB25" i="112"/>
  <c r="HB27" i="112"/>
  <c r="HK35" i="112"/>
  <c r="HK24" i="112"/>
  <c r="HI35" i="112"/>
  <c r="HI24" i="112"/>
  <c r="HI37" i="112"/>
  <c r="HG7" i="112"/>
  <c r="HH7" i="112"/>
  <c r="HD6" i="112"/>
  <c r="HE13" i="112"/>
  <c r="GU37" i="112"/>
  <c r="HK33" i="112"/>
  <c r="F19" i="113"/>
  <c r="E19" i="113"/>
  <c r="HD20" i="112"/>
  <c r="E12" i="113"/>
  <c r="GJ46" i="112"/>
  <c r="GC46" i="112"/>
  <c r="HJ37" i="112"/>
  <c r="F15" i="113"/>
  <c r="E15" i="113"/>
  <c r="E10" i="113"/>
  <c r="HL15" i="112"/>
  <c r="F27" i="113"/>
  <c r="E27" i="113"/>
  <c r="E7" i="113"/>
  <c r="F26" i="113"/>
  <c r="E26" i="113"/>
  <c r="J23" i="113"/>
  <c r="J18" i="113"/>
  <c r="HF16" i="112"/>
  <c r="F30" i="113"/>
  <c r="GX57" i="112"/>
  <c r="HA44" i="112"/>
  <c r="GZ57" i="112"/>
  <c r="HD12" i="112"/>
  <c r="GC43" i="112"/>
  <c r="FY37" i="112"/>
  <c r="GJ43" i="112"/>
  <c r="HB34" i="112"/>
  <c r="GV43" i="112"/>
  <c r="GO43" i="112"/>
  <c r="GK37" i="112"/>
  <c r="HE12" i="112"/>
  <c r="HG18" i="112"/>
  <c r="HH18" i="112"/>
  <c r="HL18" i="112"/>
  <c r="HB36" i="112"/>
  <c r="HE6" i="112"/>
  <c r="HE36" i="112"/>
  <c r="HE23" i="112"/>
  <c r="HF23" i="112"/>
  <c r="GF37" i="112"/>
  <c r="GO44" i="112"/>
  <c r="GV44" i="112"/>
  <c r="E3" i="113"/>
  <c r="HA45" i="112"/>
  <c r="GZ58" i="112"/>
  <c r="GX58" i="112"/>
  <c r="HF21" i="112"/>
  <c r="J17" i="113"/>
  <c r="HJ24" i="112"/>
  <c r="F28" i="113"/>
  <c r="E28" i="113"/>
  <c r="F22" i="113"/>
  <c r="E22" i="113"/>
  <c r="F16" i="113"/>
  <c r="E16" i="113"/>
  <c r="E21" i="113"/>
  <c r="HC11" i="112"/>
  <c r="GQ37" i="112"/>
  <c r="HE20" i="112"/>
  <c r="HF20" i="112"/>
  <c r="HF6" i="112"/>
  <c r="GZ56" i="112"/>
  <c r="HA43" i="112"/>
  <c r="GX56" i="112"/>
  <c r="GW37" i="112"/>
  <c r="E17" i="113"/>
  <c r="HC8" i="112"/>
  <c r="HB35" i="112"/>
  <c r="HB24" i="112"/>
  <c r="HB26" i="112"/>
  <c r="B31" i="113"/>
  <c r="D31" i="113"/>
  <c r="HC4" i="112"/>
  <c r="HD4" i="112"/>
  <c r="GH37" i="112"/>
  <c r="J12" i="113"/>
  <c r="HH10" i="112"/>
  <c r="HD35" i="112"/>
  <c r="HD24" i="112"/>
  <c r="HD26" i="112"/>
  <c r="B33" i="113"/>
  <c r="D33" i="113"/>
  <c r="HH20" i="112"/>
  <c r="HC34" i="112"/>
  <c r="HE8" i="112"/>
  <c r="HD8" i="112"/>
  <c r="HA57" i="112"/>
  <c r="GY57" i="112"/>
  <c r="J19" i="113"/>
  <c r="J20" i="113"/>
  <c r="HD36" i="112"/>
  <c r="HB37" i="112"/>
  <c r="J5" i="113"/>
  <c r="HF36" i="112"/>
  <c r="HG6" i="112"/>
  <c r="J24" i="113"/>
  <c r="J25" i="113"/>
  <c r="HF13" i="112"/>
  <c r="HG5" i="112"/>
  <c r="HG13" i="112"/>
  <c r="HH13" i="112"/>
  <c r="GJ47" i="112"/>
  <c r="GC47" i="112"/>
  <c r="GJ38" i="112"/>
  <c r="GC38" i="112"/>
  <c r="HL21" i="112"/>
  <c r="HG17" i="112"/>
  <c r="HH17" i="112"/>
  <c r="HL17" i="112"/>
  <c r="HC35" i="112"/>
  <c r="HC24" i="112"/>
  <c r="HC26" i="112"/>
  <c r="B32" i="113"/>
  <c r="D32" i="113"/>
  <c r="GZ60" i="112"/>
  <c r="GX60" i="112"/>
  <c r="HA47" i="112"/>
  <c r="HA38" i="112"/>
  <c r="HG20" i="112"/>
  <c r="HL20" i="112"/>
  <c r="HE4" i="112"/>
  <c r="HL7" i="112"/>
  <c r="HA58" i="112"/>
  <c r="GY58" i="112"/>
  <c r="GO47" i="112"/>
  <c r="GV38" i="112"/>
  <c r="GO38" i="112"/>
  <c r="GV47" i="112"/>
  <c r="HF12" i="112"/>
  <c r="HG12" i="112"/>
  <c r="HH12" i="112"/>
  <c r="HL12" i="112"/>
  <c r="HJ38" i="112"/>
  <c r="HK37" i="112"/>
  <c r="HL10" i="112"/>
  <c r="GY56" i="112"/>
  <c r="HA56" i="112"/>
  <c r="F31" i="113"/>
  <c r="E31" i="113"/>
  <c r="HC33" i="112"/>
  <c r="HC25" i="112"/>
  <c r="HC27" i="112"/>
  <c r="HD11" i="112"/>
  <c r="HE11" i="112"/>
  <c r="HG23" i="112"/>
  <c r="HH23" i="112"/>
  <c r="HL16" i="112"/>
  <c r="HA59" i="112"/>
  <c r="GY59" i="112"/>
  <c r="HE9" i="112"/>
  <c r="HF9" i="112"/>
  <c r="HE33" i="112"/>
  <c r="HE25" i="112"/>
  <c r="HE27" i="112"/>
  <c r="HF11" i="112"/>
  <c r="HL5" i="112"/>
  <c r="HL13" i="112"/>
  <c r="F33" i="113"/>
  <c r="E33" i="113"/>
  <c r="HD33" i="112"/>
  <c r="HD37" i="112"/>
  <c r="HD25" i="112"/>
  <c r="HD27" i="112"/>
  <c r="HH5" i="112"/>
  <c r="HE35" i="112"/>
  <c r="HE24" i="112"/>
  <c r="HE26" i="112"/>
  <c r="B34" i="113"/>
  <c r="HH6" i="112"/>
  <c r="HH36" i="112"/>
  <c r="HE59" i="112"/>
  <c r="HG9" i="112"/>
  <c r="HF4" i="112"/>
  <c r="HD34" i="112"/>
  <c r="HF8" i="112"/>
  <c r="HF34" i="112"/>
  <c r="HC37" i="112"/>
  <c r="F32" i="113"/>
  <c r="E32" i="113"/>
  <c r="HH9" i="112"/>
  <c r="HL9" i="112"/>
  <c r="HE34" i="112"/>
  <c r="HA60" i="112"/>
  <c r="GY60" i="112"/>
  <c r="HG36" i="112"/>
  <c r="HG59" i="112"/>
  <c r="HG4" i="112"/>
  <c r="HL23" i="112"/>
  <c r="HF33" i="112"/>
  <c r="HF25" i="112"/>
  <c r="HF27" i="112"/>
  <c r="HG35" i="112"/>
  <c r="HH4" i="112"/>
  <c r="C34" i="113"/>
  <c r="D34" i="113"/>
  <c r="HG11" i="112"/>
  <c r="HF35" i="112"/>
  <c r="HF24" i="112"/>
  <c r="HF26" i="112"/>
  <c r="B35" i="113"/>
  <c r="HE37" i="112"/>
  <c r="HH46" i="112"/>
  <c r="HL4" i="112"/>
  <c r="HL6" i="112"/>
  <c r="HL36" i="112"/>
  <c r="HG8" i="112"/>
  <c r="F34" i="113"/>
  <c r="E34" i="113"/>
  <c r="HL35" i="112"/>
  <c r="C35" i="113"/>
  <c r="D35" i="113"/>
  <c r="HF37" i="112"/>
  <c r="HG33" i="112"/>
  <c r="HG25" i="112"/>
  <c r="HG27" i="112"/>
  <c r="HL11" i="112"/>
  <c r="HL33" i="112"/>
  <c r="HL37" i="112"/>
  <c r="HH11" i="112"/>
  <c r="HH35" i="112"/>
  <c r="HE58" i="112"/>
  <c r="HH24" i="112"/>
  <c r="HH26" i="112"/>
  <c r="B37" i="113"/>
  <c r="HH59" i="112"/>
  <c r="HF59" i="112"/>
  <c r="HG34" i="112"/>
  <c r="HL8" i="112"/>
  <c r="HL34" i="112"/>
  <c r="HH8" i="112"/>
  <c r="HH34" i="112"/>
  <c r="HE57" i="112"/>
  <c r="HG24" i="112"/>
  <c r="HG26" i="112"/>
  <c r="B36" i="113"/>
  <c r="F35" i="113"/>
  <c r="E35" i="113"/>
  <c r="HH44" i="112"/>
  <c r="HG57" i="112"/>
  <c r="HL39" i="112"/>
  <c r="HL38" i="112"/>
  <c r="HG37" i="112"/>
  <c r="C37" i="113"/>
  <c r="D37" i="113"/>
  <c r="D36" i="113"/>
  <c r="C36" i="113"/>
  <c r="HH45" i="112"/>
  <c r="HH33" i="112"/>
  <c r="HE56" i="112"/>
  <c r="HH25" i="112"/>
  <c r="HH27" i="112"/>
  <c r="HL24" i="112"/>
  <c r="HG58" i="112"/>
  <c r="F37" i="113"/>
  <c r="E37" i="113"/>
  <c r="J8" i="113"/>
  <c r="HH57" i="112"/>
  <c r="HF57" i="112"/>
  <c r="HH43" i="112"/>
  <c r="HF58" i="112"/>
  <c r="HH58" i="112"/>
  <c r="HH37" i="112"/>
  <c r="HG56" i="112"/>
  <c r="HG60" i="112"/>
  <c r="F36" i="113"/>
  <c r="E36" i="113"/>
  <c r="J13" i="113"/>
  <c r="J14" i="113"/>
  <c r="J15" i="113"/>
  <c r="J10" i="113"/>
  <c r="J9" i="113"/>
  <c r="HH56" i="112"/>
  <c r="HF56" i="112"/>
  <c r="HH38" i="112"/>
  <c r="HE60" i="112"/>
  <c r="HH47" i="112"/>
  <c r="HH60" i="112"/>
  <c r="HH49" i="112"/>
  <c r="HF60" i="112"/>
  <c r="K37" i="21"/>
  <c r="AH12" i="21"/>
  <c r="AJ12" i="21" s="1"/>
  <c r="AH11" i="21"/>
  <c r="AH8" i="21"/>
  <c r="AH4" i="21"/>
  <c r="AH5" i="21"/>
  <c r="AH6" i="21"/>
  <c r="AJ6" i="21" s="1"/>
  <c r="AH7" i="21"/>
  <c r="AH9" i="21"/>
  <c r="AH10" i="21"/>
  <c r="AW16" i="21"/>
  <c r="J226" i="59"/>
  <c r="J88" i="28"/>
  <c r="K88" i="28"/>
  <c r="J89" i="28"/>
  <c r="K89" i="28"/>
  <c r="J90" i="28"/>
  <c r="K90" i="28"/>
  <c r="J87" i="28"/>
  <c r="K87" i="28"/>
  <c r="J83" i="28"/>
  <c r="K83" i="28"/>
  <c r="J84" i="28"/>
  <c r="K84" i="28"/>
  <c r="J85" i="28"/>
  <c r="K85" i="28"/>
  <c r="J86" i="28"/>
  <c r="K86" i="28"/>
  <c r="J79" i="28"/>
  <c r="K79" i="28"/>
  <c r="J77" i="28"/>
  <c r="K77" i="28"/>
  <c r="J75" i="28"/>
  <c r="K75" i="28"/>
  <c r="K73" i="28"/>
  <c r="D32" i="75" s="1"/>
  <c r="J73" i="28"/>
  <c r="D29" i="75"/>
  <c r="AD38" i="21"/>
  <c r="AE38" i="21"/>
  <c r="AE51" i="21"/>
  <c r="AF38" i="21"/>
  <c r="AF51" i="21" s="1"/>
  <c r="AG51" i="21" s="1"/>
  <c r="I226" i="59"/>
  <c r="F54" i="97"/>
  <c r="F36" i="97"/>
  <c r="F39" i="97"/>
  <c r="H32" i="97"/>
  <c r="H31" i="97"/>
  <c r="H30" i="97"/>
  <c r="H29" i="97"/>
  <c r="H28" i="97"/>
  <c r="H10" i="97"/>
  <c r="H9" i="97"/>
  <c r="H8" i="97"/>
  <c r="H7" i="97"/>
  <c r="H6" i="97"/>
  <c r="P21" i="21"/>
  <c r="AY6" i="62"/>
  <c r="AZ6" i="62"/>
  <c r="BA6" i="62"/>
  <c r="AY7" i="62"/>
  <c r="AZ7" i="62"/>
  <c r="BA7" i="62"/>
  <c r="AY8" i="62"/>
  <c r="AZ8" i="62"/>
  <c r="BA8" i="62"/>
  <c r="AZ5" i="62"/>
  <c r="BA5" i="62"/>
  <c r="BA11" i="62" s="1"/>
  <c r="AY5" i="62"/>
  <c r="Q9" i="62"/>
  <c r="R9" i="62"/>
  <c r="F11" i="48"/>
  <c r="E22" i="48"/>
  <c r="H226" i="59"/>
  <c r="B213" i="59"/>
  <c r="B212" i="59"/>
  <c r="AD16" i="21"/>
  <c r="AD17" i="21" s="1"/>
  <c r="FQ85" i="110"/>
  <c r="FQ86" i="110" s="1"/>
  <c r="IS92" i="110"/>
  <c r="HC92" i="110"/>
  <c r="GU92" i="110"/>
  <c r="GM92" i="110"/>
  <c r="FJ92" i="110"/>
  <c r="HF91" i="110"/>
  <c r="HD91" i="110"/>
  <c r="HC91" i="110"/>
  <c r="GY91" i="110"/>
  <c r="GX91" i="110"/>
  <c r="GV91" i="110"/>
  <c r="GU91" i="110"/>
  <c r="GQ91" i="110"/>
  <c r="GP91" i="110"/>
  <c r="GN91" i="110"/>
  <c r="GM91" i="110"/>
  <c r="GI91" i="110"/>
  <c r="GH91" i="110"/>
  <c r="GF91" i="110"/>
  <c r="GE91" i="110"/>
  <c r="IS90" i="110"/>
  <c r="IR90" i="110"/>
  <c r="IR92" i="110"/>
  <c r="IQ90" i="110"/>
  <c r="IP90" i="110"/>
  <c r="IO90" i="110"/>
  <c r="IO92" i="110"/>
  <c r="IN90" i="110"/>
  <c r="IN91" i="110"/>
  <c r="IM90" i="110"/>
  <c r="IL90" i="110"/>
  <c r="IM92" i="110"/>
  <c r="IK90" i="110"/>
  <c r="IK91" i="110"/>
  <c r="HI90" i="110"/>
  <c r="HI92" i="110"/>
  <c r="HH90" i="110"/>
  <c r="HH92" i="110"/>
  <c r="HF90" i="110"/>
  <c r="HE90" i="110"/>
  <c r="HE92" i="110"/>
  <c r="HD90" i="110"/>
  <c r="HD92" i="110"/>
  <c r="HC90" i="110"/>
  <c r="HB90" i="110"/>
  <c r="HA90" i="110"/>
  <c r="HA92" i="110"/>
  <c r="GZ90" i="110"/>
  <c r="GZ92" i="110"/>
  <c r="GY90" i="110"/>
  <c r="GY92" i="110"/>
  <c r="GX90" i="110"/>
  <c r="GW90" i="110"/>
  <c r="GW92" i="110"/>
  <c r="GV90" i="110"/>
  <c r="GV92" i="110"/>
  <c r="GU90" i="110"/>
  <c r="GT90" i="110"/>
  <c r="GS90" i="110"/>
  <c r="GS92" i="110"/>
  <c r="GR90" i="110"/>
  <c r="GR92" i="110"/>
  <c r="GQ90" i="110"/>
  <c r="GQ92" i="110"/>
  <c r="GP90" i="110"/>
  <c r="GO90" i="110"/>
  <c r="GO92" i="110"/>
  <c r="GN90" i="110"/>
  <c r="GN92" i="110"/>
  <c r="GM90" i="110"/>
  <c r="GL90" i="110"/>
  <c r="GK90" i="110"/>
  <c r="GK92" i="110"/>
  <c r="GJ90" i="110"/>
  <c r="GJ92" i="110"/>
  <c r="GI90" i="110"/>
  <c r="GI92" i="110"/>
  <c r="GH90" i="110"/>
  <c r="GG90" i="110"/>
  <c r="GG92" i="110"/>
  <c r="GF90" i="110"/>
  <c r="GE90" i="110"/>
  <c r="GD90" i="110"/>
  <c r="GD91" i="110"/>
  <c r="GC90" i="110"/>
  <c r="GC91" i="110"/>
  <c r="GB90" i="110"/>
  <c r="GB91" i="110"/>
  <c r="GA90" i="110"/>
  <c r="GA92" i="110"/>
  <c r="FZ90" i="110"/>
  <c r="FY90" i="110"/>
  <c r="FY92" i="110"/>
  <c r="FX90" i="110"/>
  <c r="FX92" i="110"/>
  <c r="FW90" i="110"/>
  <c r="FW92" i="110"/>
  <c r="FV90" i="110"/>
  <c r="FV92" i="110"/>
  <c r="FU90" i="110"/>
  <c r="FU92" i="110"/>
  <c r="FT90" i="110"/>
  <c r="FT92" i="110"/>
  <c r="FS90" i="110"/>
  <c r="FS92" i="110"/>
  <c r="FR90" i="110"/>
  <c r="FQ90" i="110"/>
  <c r="FQ92" i="110"/>
  <c r="FP90" i="110"/>
  <c r="FP92" i="110"/>
  <c r="FO90" i="110"/>
  <c r="FO92" i="110"/>
  <c r="FN90" i="110"/>
  <c r="FN92" i="110"/>
  <c r="FM90" i="110"/>
  <c r="FM92" i="110"/>
  <c r="FL90" i="110"/>
  <c r="FL92" i="110"/>
  <c r="FK90" i="110"/>
  <c r="FK92" i="110"/>
  <c r="FJ90" i="110"/>
  <c r="FI90" i="110"/>
  <c r="FH90" i="110"/>
  <c r="FG90" i="110"/>
  <c r="FG92" i="110"/>
  <c r="FF90" i="110"/>
  <c r="FF92" i="110"/>
  <c r="FE90" i="110"/>
  <c r="FE92" i="110"/>
  <c r="FD90" i="110"/>
  <c r="FD92" i="110"/>
  <c r="FC90" i="110"/>
  <c r="FC92" i="110"/>
  <c r="FB90" i="110"/>
  <c r="FA90" i="110"/>
  <c r="FA92" i="110"/>
  <c r="EZ90" i="110"/>
  <c r="EZ92" i="110"/>
  <c r="EY90" i="110"/>
  <c r="EY92" i="110"/>
  <c r="EX90" i="110"/>
  <c r="EX92" i="110"/>
  <c r="EU90" i="110"/>
  <c r="EU92" i="110"/>
  <c r="ET90" i="110"/>
  <c r="ES90" i="110"/>
  <c r="ES92" i="110"/>
  <c r="ER90" i="110"/>
  <c r="ER92" i="110"/>
  <c r="EQ90" i="110"/>
  <c r="EQ92" i="110"/>
  <c r="EP90" i="110"/>
  <c r="EP92" i="110"/>
  <c r="EO90" i="110"/>
  <c r="EO92" i="110"/>
  <c r="EN90" i="110"/>
  <c r="EN92" i="110"/>
  <c r="EM90" i="110"/>
  <c r="EM92" i="110"/>
  <c r="EL90" i="110"/>
  <c r="EK90" i="110"/>
  <c r="EK92" i="110"/>
  <c r="EJ90" i="110"/>
  <c r="EJ92" i="110"/>
  <c r="EI90" i="110"/>
  <c r="EI92" i="110"/>
  <c r="EH90" i="110"/>
  <c r="EH92" i="110"/>
  <c r="EG90" i="110"/>
  <c r="EG92" i="110"/>
  <c r="EF90" i="110"/>
  <c r="EF92" i="110"/>
  <c r="EE90" i="110"/>
  <c r="EE92" i="110"/>
  <c r="ED90" i="110"/>
  <c r="EC90" i="110"/>
  <c r="EC92" i="110"/>
  <c r="EB90" i="110"/>
  <c r="EB92" i="110"/>
  <c r="EA90" i="110"/>
  <c r="EA92" i="110"/>
  <c r="DZ90" i="110"/>
  <c r="DZ92" i="110"/>
  <c r="DY90" i="110"/>
  <c r="DY92" i="110"/>
  <c r="DX90" i="110"/>
  <c r="DX92" i="110"/>
  <c r="DW90" i="110"/>
  <c r="DW92" i="110"/>
  <c r="DV90" i="110"/>
  <c r="DU90" i="110"/>
  <c r="DU92" i="110"/>
  <c r="DT90" i="110"/>
  <c r="DT92" i="110"/>
  <c r="DS90" i="110"/>
  <c r="DS92" i="110"/>
  <c r="DR90" i="110"/>
  <c r="DR92" i="110"/>
  <c r="DQ90" i="110"/>
  <c r="DQ92" i="110"/>
  <c r="DP90" i="110"/>
  <c r="DP92" i="110"/>
  <c r="DO90" i="110"/>
  <c r="DO92" i="110"/>
  <c r="DN90" i="110"/>
  <c r="DM90" i="110"/>
  <c r="DM92" i="110"/>
  <c r="DL90" i="110"/>
  <c r="DL92" i="110"/>
  <c r="DK90" i="110"/>
  <c r="DK92" i="110"/>
  <c r="DJ90" i="110"/>
  <c r="DJ92" i="110"/>
  <c r="DI90" i="110"/>
  <c r="DI92" i="110"/>
  <c r="DH90" i="110"/>
  <c r="DH92" i="110"/>
  <c r="DG90" i="110"/>
  <c r="DG92" i="110"/>
  <c r="DF90" i="110"/>
  <c r="DE90" i="110"/>
  <c r="DE92" i="110"/>
  <c r="DD90" i="110"/>
  <c r="DD92" i="110"/>
  <c r="DC90" i="110"/>
  <c r="DC92" i="110"/>
  <c r="DB90" i="110"/>
  <c r="DB92" i="110"/>
  <c r="DA90" i="110"/>
  <c r="DA92" i="110"/>
  <c r="CZ90" i="110"/>
  <c r="CZ92" i="110"/>
  <c r="CY90" i="110"/>
  <c r="CY92" i="110"/>
  <c r="CX90" i="110"/>
  <c r="CW90" i="110"/>
  <c r="CW92" i="110"/>
  <c r="CV90" i="110"/>
  <c r="CV92" i="110"/>
  <c r="CU90" i="110"/>
  <c r="CU92" i="110"/>
  <c r="CT90" i="110"/>
  <c r="CT92" i="110"/>
  <c r="CS90" i="110"/>
  <c r="CS92" i="110"/>
  <c r="CR90" i="110"/>
  <c r="CR92" i="110"/>
  <c r="CQ90" i="110"/>
  <c r="CQ92" i="110"/>
  <c r="CP90" i="110"/>
  <c r="CO90" i="110"/>
  <c r="CO92" i="110"/>
  <c r="CN90" i="110"/>
  <c r="CN92" i="110"/>
  <c r="CM90" i="110"/>
  <c r="CM92" i="110"/>
  <c r="CL90" i="110"/>
  <c r="CL92" i="110"/>
  <c r="CK90" i="110"/>
  <c r="CK92" i="110"/>
  <c r="CJ90" i="110"/>
  <c r="CJ92" i="110"/>
  <c r="CI90" i="110"/>
  <c r="CI92" i="110"/>
  <c r="CH90" i="110"/>
  <c r="CG90" i="110"/>
  <c r="CG92" i="110"/>
  <c r="CF90" i="110"/>
  <c r="CF92" i="110"/>
  <c r="CE90" i="110"/>
  <c r="CE92" i="110"/>
  <c r="CD90" i="110"/>
  <c r="CD92" i="110"/>
  <c r="CC90" i="110"/>
  <c r="CC92" i="110"/>
  <c r="CB90" i="110"/>
  <c r="CB92" i="110"/>
  <c r="CA90" i="110"/>
  <c r="CA92" i="110"/>
  <c r="BZ90" i="110"/>
  <c r="BY90" i="110"/>
  <c r="BY92" i="110"/>
  <c r="BX90" i="110"/>
  <c r="BX92" i="110"/>
  <c r="BW90" i="110"/>
  <c r="BW92" i="110"/>
  <c r="BV90" i="110"/>
  <c r="BV92" i="110"/>
  <c r="BU90" i="110"/>
  <c r="BU92" i="110"/>
  <c r="BT90" i="110"/>
  <c r="BT92" i="110"/>
  <c r="BS90" i="110"/>
  <c r="BS92" i="110"/>
  <c r="BR90" i="110"/>
  <c r="BQ90" i="110"/>
  <c r="BQ92" i="110"/>
  <c r="BP90" i="110"/>
  <c r="BP92" i="110"/>
  <c r="BO90" i="110"/>
  <c r="BO92" i="110"/>
  <c r="BN90" i="110"/>
  <c r="BN92" i="110"/>
  <c r="BM90" i="110"/>
  <c r="BM92" i="110"/>
  <c r="BL90" i="110"/>
  <c r="BL92" i="110"/>
  <c r="BK90" i="110"/>
  <c r="BK92" i="110"/>
  <c r="BJ90" i="110"/>
  <c r="BI90" i="110"/>
  <c r="BI92" i="110"/>
  <c r="BH90" i="110"/>
  <c r="BH92" i="110"/>
  <c r="BG90" i="110"/>
  <c r="BG92" i="110"/>
  <c r="BF90" i="110"/>
  <c r="BF92" i="110"/>
  <c r="BE90" i="110"/>
  <c r="BE92" i="110"/>
  <c r="BD90" i="110"/>
  <c r="BD92" i="110"/>
  <c r="BC90" i="110"/>
  <c r="BC92" i="110"/>
  <c r="BB90" i="110"/>
  <c r="BA90" i="110"/>
  <c r="BA92" i="110"/>
  <c r="AZ90" i="110"/>
  <c r="AZ92" i="110"/>
  <c r="AY90" i="110"/>
  <c r="AY92" i="110"/>
  <c r="AX90" i="110"/>
  <c r="AX92" i="110"/>
  <c r="AW90" i="110"/>
  <c r="AW92" i="110"/>
  <c r="AV90" i="110"/>
  <c r="AV92" i="110"/>
  <c r="AU90" i="110"/>
  <c r="AU92" i="110"/>
  <c r="AT90" i="110"/>
  <c r="AS90" i="110"/>
  <c r="AS92" i="110"/>
  <c r="AR90" i="110"/>
  <c r="AR92" i="110"/>
  <c r="AQ90" i="110"/>
  <c r="AQ92" i="110"/>
  <c r="AP90" i="110"/>
  <c r="AP92" i="110"/>
  <c r="AO90" i="110"/>
  <c r="AO92" i="110"/>
  <c r="AN90" i="110"/>
  <c r="AN92" i="110"/>
  <c r="AM90" i="110"/>
  <c r="AM92" i="110"/>
  <c r="AL90" i="110"/>
  <c r="AK90" i="110"/>
  <c r="AK92" i="110"/>
  <c r="AJ90" i="110"/>
  <c r="AJ92" i="110"/>
  <c r="AI90" i="110"/>
  <c r="AI92" i="110"/>
  <c r="AH90" i="110"/>
  <c r="AH92" i="110"/>
  <c r="AG90" i="110"/>
  <c r="AG92" i="110"/>
  <c r="AF90" i="110"/>
  <c r="AF92" i="110"/>
  <c r="AE90" i="110"/>
  <c r="AE92" i="110"/>
  <c r="AD90" i="110"/>
  <c r="AC90" i="110"/>
  <c r="AC92" i="110"/>
  <c r="AB90" i="110"/>
  <c r="AB92" i="110"/>
  <c r="AA90" i="110"/>
  <c r="AA92" i="110"/>
  <c r="Z90" i="110"/>
  <c r="Z92" i="110"/>
  <c r="Y90" i="110"/>
  <c r="Y92" i="110"/>
  <c r="X90" i="110"/>
  <c r="X92" i="110"/>
  <c r="W90" i="110"/>
  <c r="W92" i="110"/>
  <c r="V90" i="110"/>
  <c r="U90" i="110"/>
  <c r="U92" i="110"/>
  <c r="T90" i="110"/>
  <c r="T92" i="110"/>
  <c r="S90" i="110"/>
  <c r="S92" i="110"/>
  <c r="R90" i="110"/>
  <c r="R92" i="110"/>
  <c r="Q90" i="110"/>
  <c r="Q92" i="110"/>
  <c r="P90" i="110"/>
  <c r="P92" i="110"/>
  <c r="O90" i="110"/>
  <c r="N90" i="110"/>
  <c r="M90" i="110"/>
  <c r="L90" i="110"/>
  <c r="K90" i="110"/>
  <c r="J90" i="110"/>
  <c r="V92" i="110"/>
  <c r="I90" i="110"/>
  <c r="H90" i="110"/>
  <c r="G90" i="110"/>
  <c r="F90" i="110"/>
  <c r="E90" i="110"/>
  <c r="D90" i="110"/>
  <c r="IS89" i="110"/>
  <c r="IQ89" i="110"/>
  <c r="IP89" i="110"/>
  <c r="IO89" i="110"/>
  <c r="IN89" i="110"/>
  <c r="IM89" i="110"/>
  <c r="IL89" i="110"/>
  <c r="ES89" i="110"/>
  <c r="IO87" i="110"/>
  <c r="HT87" i="110"/>
  <c r="HL87" i="110"/>
  <c r="HI87" i="110"/>
  <c r="HH87" i="110"/>
  <c r="HF87" i="110"/>
  <c r="HE87" i="110"/>
  <c r="HD87" i="110"/>
  <c r="HC87" i="110"/>
  <c r="HB87" i="110"/>
  <c r="HA87" i="110"/>
  <c r="GZ87" i="110"/>
  <c r="GY87" i="110"/>
  <c r="GX87" i="110"/>
  <c r="GW87" i="110"/>
  <c r="GV87" i="110"/>
  <c r="GU87" i="110"/>
  <c r="GT87" i="110"/>
  <c r="GS87" i="110"/>
  <c r="GR87" i="110"/>
  <c r="GQ87" i="110"/>
  <c r="GP87" i="110"/>
  <c r="GO87" i="110"/>
  <c r="GN87" i="110"/>
  <c r="GM87" i="110"/>
  <c r="GL87" i="110"/>
  <c r="GK87" i="110"/>
  <c r="GJ87" i="110"/>
  <c r="GI87" i="110"/>
  <c r="GH87" i="110"/>
  <c r="GG87" i="110"/>
  <c r="EM87" i="110"/>
  <c r="IS86" i="110"/>
  <c r="IQ86" i="110"/>
  <c r="IQ91" i="110"/>
  <c r="IP86" i="110"/>
  <c r="IP91" i="110"/>
  <c r="IO86" i="110"/>
  <c r="IO91" i="110"/>
  <c r="IM86" i="110"/>
  <c r="IM91" i="110"/>
  <c r="IL86" i="110"/>
  <c r="IL91" i="110"/>
  <c r="HT86" i="110"/>
  <c r="HS86" i="110"/>
  <c r="HR86" i="110"/>
  <c r="HQ86" i="110"/>
  <c r="HP86" i="110"/>
  <c r="HO86" i="110"/>
  <c r="HN86" i="110"/>
  <c r="HM86" i="110"/>
  <c r="HL86" i="110"/>
  <c r="HK86" i="110"/>
  <c r="HJ86" i="110"/>
  <c r="HG86" i="110"/>
  <c r="EZ86" i="110"/>
  <c r="EZ89" i="110"/>
  <c r="EY86" i="110"/>
  <c r="EY89" i="110"/>
  <c r="EX86" i="110"/>
  <c r="ES86" i="110"/>
  <c r="ES87" i="110"/>
  <c r="EP86" i="110"/>
  <c r="EP87" i="110"/>
  <c r="EO86" i="110"/>
  <c r="EN86" i="110"/>
  <c r="EN87" i="110"/>
  <c r="EM86" i="110"/>
  <c r="EH86" i="110"/>
  <c r="EH87" i="110"/>
  <c r="DP86" i="110"/>
  <c r="IV85" i="110"/>
  <c r="IU85" i="110"/>
  <c r="JK85" i="110"/>
  <c r="IT85" i="110"/>
  <c r="IR85" i="110"/>
  <c r="IR86" i="110"/>
  <c r="IR87" i="110"/>
  <c r="IA85" i="110"/>
  <c r="HW85" i="110"/>
  <c r="HT85" i="110"/>
  <c r="HS85" i="110"/>
  <c r="HR85" i="110"/>
  <c r="HQ85" i="110"/>
  <c r="HP85" i="110"/>
  <c r="HO85" i="110"/>
  <c r="HN85" i="110"/>
  <c r="HM85" i="110"/>
  <c r="HL85" i="110"/>
  <c r="HK85" i="110"/>
  <c r="HJ85" i="110"/>
  <c r="HG85" i="110"/>
  <c r="FV85" i="110"/>
  <c r="FU85" i="110"/>
  <c r="FU86" i="110" s="1"/>
  <c r="FT85" i="110"/>
  <c r="FT86" i="110" s="1"/>
  <c r="FS85" i="110"/>
  <c r="FS86" i="110" s="1"/>
  <c r="FR85" i="110"/>
  <c r="FR86" i="110" s="1"/>
  <c r="FP85" i="110"/>
  <c r="IG85" i="110" s="1"/>
  <c r="FO85" i="110"/>
  <c r="FO86" i="110" s="1"/>
  <c r="FN85" i="110"/>
  <c r="FN86" i="110" s="1"/>
  <c r="FM85" i="110"/>
  <c r="FM86" i="110" s="1"/>
  <c r="FM91" i="110" s="1"/>
  <c r="FL85" i="110"/>
  <c r="FL86" i="110" s="1"/>
  <c r="FK85" i="110"/>
  <c r="FK86" i="110" s="1"/>
  <c r="FJ85" i="110"/>
  <c r="FJ86" i="110" s="1"/>
  <c r="FI85" i="110"/>
  <c r="FI86" i="110" s="1"/>
  <c r="FH85" i="110"/>
  <c r="FG85" i="110"/>
  <c r="FG86" i="110" s="1"/>
  <c r="FF85" i="110"/>
  <c r="FF86" i="110" s="1"/>
  <c r="FE85" i="110"/>
  <c r="FE86" i="110" s="1"/>
  <c r="FD85" i="110"/>
  <c r="FD86" i="110" s="1"/>
  <c r="FC85" i="110"/>
  <c r="FC86" i="110" s="1"/>
  <c r="FB85" i="110"/>
  <c r="FB86" i="110" s="1"/>
  <c r="FB87" i="110" s="1"/>
  <c r="FA85" i="110"/>
  <c r="FA86" i="110" s="1"/>
  <c r="EU85" i="110"/>
  <c r="ET85" i="110"/>
  <c r="ET86" i="110"/>
  <c r="ER85" i="110"/>
  <c r="ER86" i="110"/>
  <c r="EQ85" i="110"/>
  <c r="EQ86" i="110"/>
  <c r="EQ87" i="110"/>
  <c r="EP85" i="110"/>
  <c r="HX85" i="110"/>
  <c r="EL85" i="110"/>
  <c r="EL86" i="110"/>
  <c r="EK85" i="110"/>
  <c r="EK86" i="110"/>
  <c r="EK87" i="110"/>
  <c r="EJ85" i="110"/>
  <c r="EJ86" i="110"/>
  <c r="EJ87" i="110"/>
  <c r="EI85" i="110"/>
  <c r="EH85" i="110"/>
  <c r="EG85" i="110"/>
  <c r="EG86" i="110"/>
  <c r="EG87" i="110"/>
  <c r="EF85" i="110"/>
  <c r="EF86" i="110"/>
  <c r="JQ84" i="110"/>
  <c r="JP84" i="110"/>
  <c r="JA84" i="110"/>
  <c r="IZ84" i="110"/>
  <c r="JO83" i="110"/>
  <c r="JN83" i="110"/>
  <c r="JL83" i="110"/>
  <c r="JC83" i="110"/>
  <c r="JA83" i="110"/>
  <c r="IZ83" i="110"/>
  <c r="JP83" i="110"/>
  <c r="IY83" i="110"/>
  <c r="IX83" i="110"/>
  <c r="IW83" i="110"/>
  <c r="IV83" i="110"/>
  <c r="JK83" i="110"/>
  <c r="IU83" i="110"/>
  <c r="IT83" i="110"/>
  <c r="IJ83" i="110"/>
  <c r="II83" i="110"/>
  <c r="IH83" i="110"/>
  <c r="IG83" i="110"/>
  <c r="IF83" i="110"/>
  <c r="IE83" i="110"/>
  <c r="ID83" i="110"/>
  <c r="IC83" i="110"/>
  <c r="IB83" i="110"/>
  <c r="IA83" i="110"/>
  <c r="HZ83" i="110"/>
  <c r="HY83" i="110"/>
  <c r="HX83" i="110"/>
  <c r="HW83" i="110"/>
  <c r="HV83" i="110"/>
  <c r="HU83" i="110"/>
  <c r="HT83" i="110"/>
  <c r="HS83" i="110"/>
  <c r="HR83" i="110"/>
  <c r="HQ83" i="110"/>
  <c r="HP83" i="110"/>
  <c r="HO83" i="110"/>
  <c r="HN83" i="110"/>
  <c r="HM83" i="110"/>
  <c r="HL83" i="110"/>
  <c r="HK83" i="110"/>
  <c r="HJ83" i="110"/>
  <c r="HG83" i="110"/>
  <c r="JL82" i="110"/>
  <c r="JC82" i="110"/>
  <c r="JA82" i="110"/>
  <c r="IZ82" i="110"/>
  <c r="IY82" i="110"/>
  <c r="JQ82" i="110"/>
  <c r="IX82" i="110"/>
  <c r="JP82" i="110"/>
  <c r="IW82" i="110"/>
  <c r="JM82" i="110"/>
  <c r="IV82" i="110"/>
  <c r="JK82" i="110"/>
  <c r="IU82" i="110"/>
  <c r="IT82" i="110"/>
  <c r="IJ82" i="110"/>
  <c r="II82" i="110"/>
  <c r="IH82" i="110"/>
  <c r="IG82" i="110"/>
  <c r="IF82" i="110"/>
  <c r="IE82" i="110"/>
  <c r="ID82" i="110"/>
  <c r="IC82" i="110"/>
  <c r="IB82" i="110"/>
  <c r="IA82" i="110"/>
  <c r="HZ82" i="110"/>
  <c r="HY82" i="110"/>
  <c r="HX82" i="110"/>
  <c r="HW82" i="110"/>
  <c r="HV82" i="110"/>
  <c r="HU82" i="110"/>
  <c r="HT82" i="110"/>
  <c r="HS82" i="110"/>
  <c r="HR82" i="110"/>
  <c r="HQ82" i="110"/>
  <c r="HP82" i="110"/>
  <c r="HO82" i="110"/>
  <c r="HN82" i="110"/>
  <c r="HM82" i="110"/>
  <c r="HL82" i="110"/>
  <c r="HK82" i="110"/>
  <c r="HJ82" i="110"/>
  <c r="HG82" i="110"/>
  <c r="JP81" i="110"/>
  <c r="JA81" i="110"/>
  <c r="IZ81" i="110"/>
  <c r="IY81" i="110"/>
  <c r="JC81" i="110"/>
  <c r="JL81" i="110"/>
  <c r="IX81" i="110"/>
  <c r="JO81" i="110"/>
  <c r="IW81" i="110"/>
  <c r="IV81" i="110"/>
  <c r="JK81" i="110"/>
  <c r="IU81" i="110"/>
  <c r="IT81" i="110"/>
  <c r="IJ81" i="110"/>
  <c r="II81" i="110"/>
  <c r="IH81" i="110"/>
  <c r="IG81" i="110"/>
  <c r="IF81" i="110"/>
  <c r="IE81" i="110"/>
  <c r="ID81" i="110"/>
  <c r="IC81" i="110"/>
  <c r="IB81" i="110"/>
  <c r="IA81" i="110"/>
  <c r="HZ81" i="110"/>
  <c r="HY81" i="110"/>
  <c r="HX81" i="110"/>
  <c r="HW81" i="110"/>
  <c r="HV81" i="110"/>
  <c r="HU81" i="110"/>
  <c r="HT81" i="110"/>
  <c r="HS81" i="110"/>
  <c r="HR81" i="110"/>
  <c r="HQ81" i="110"/>
  <c r="HP81" i="110"/>
  <c r="HO81" i="110"/>
  <c r="HN81" i="110"/>
  <c r="HM81" i="110"/>
  <c r="HL81" i="110"/>
  <c r="HK81" i="110"/>
  <c r="HJ81" i="110"/>
  <c r="HG81" i="110"/>
  <c r="JM80" i="110"/>
  <c r="JK80" i="110"/>
  <c r="JA80" i="110"/>
  <c r="IZ80" i="110"/>
  <c r="JP80" i="110"/>
  <c r="IY80" i="110"/>
  <c r="JO80" i="110"/>
  <c r="IX80" i="110"/>
  <c r="IW80" i="110"/>
  <c r="IV80" i="110"/>
  <c r="IU80" i="110"/>
  <c r="IT80" i="110"/>
  <c r="IJ80" i="110"/>
  <c r="II80" i="110"/>
  <c r="IH80" i="110"/>
  <c r="IG80" i="110"/>
  <c r="IF80" i="110"/>
  <c r="IE80" i="110"/>
  <c r="ID80" i="110"/>
  <c r="IC80" i="110"/>
  <c r="IB80" i="110"/>
  <c r="IA80" i="110"/>
  <c r="HZ80" i="110"/>
  <c r="HY80" i="110"/>
  <c r="HX80" i="110"/>
  <c r="HW80" i="110"/>
  <c r="HV80" i="110"/>
  <c r="HU80" i="110"/>
  <c r="HT80" i="110"/>
  <c r="HS80" i="110"/>
  <c r="HR80" i="110"/>
  <c r="HQ80" i="110"/>
  <c r="HP80" i="110"/>
  <c r="HO80" i="110"/>
  <c r="HN80" i="110"/>
  <c r="HM80" i="110"/>
  <c r="HL80" i="110"/>
  <c r="HK80" i="110"/>
  <c r="HJ80" i="110"/>
  <c r="HG80" i="110"/>
  <c r="JM79" i="110"/>
  <c r="JA79" i="110"/>
  <c r="IZ79" i="110"/>
  <c r="IY79" i="110"/>
  <c r="JO79" i="110"/>
  <c r="IX79" i="110"/>
  <c r="IW79" i="110"/>
  <c r="IV79" i="110"/>
  <c r="IU79" i="110"/>
  <c r="JK79" i="110"/>
  <c r="IT79" i="110"/>
  <c r="IJ79" i="110"/>
  <c r="II79" i="110"/>
  <c r="IH79" i="110"/>
  <c r="IG79" i="110"/>
  <c r="IF79" i="110"/>
  <c r="IE79" i="110"/>
  <c r="ID79" i="110"/>
  <c r="IC79" i="110"/>
  <c r="IB79" i="110"/>
  <c r="IA79" i="110"/>
  <c r="HZ79" i="110"/>
  <c r="HY79" i="110"/>
  <c r="HX79" i="110"/>
  <c r="HW79" i="110"/>
  <c r="HV79" i="110"/>
  <c r="HU79" i="110"/>
  <c r="HT79" i="110"/>
  <c r="HS79" i="110"/>
  <c r="HR79" i="110"/>
  <c r="HQ79" i="110"/>
  <c r="HP79" i="110"/>
  <c r="HO79" i="110"/>
  <c r="HN79" i="110"/>
  <c r="HM79" i="110"/>
  <c r="HL79" i="110"/>
  <c r="HK79" i="110"/>
  <c r="HJ79" i="110"/>
  <c r="HG79" i="110"/>
  <c r="JO78" i="110"/>
  <c r="JC78" i="110"/>
  <c r="JL78" i="110"/>
  <c r="JA78" i="110"/>
  <c r="IZ78" i="110"/>
  <c r="IY78" i="110"/>
  <c r="JQ78" i="110"/>
  <c r="IX78" i="110"/>
  <c r="IW78" i="110"/>
  <c r="JN78" i="110"/>
  <c r="IV78" i="110"/>
  <c r="IU78" i="110"/>
  <c r="IT78" i="110"/>
  <c r="IJ78" i="110"/>
  <c r="II78" i="110"/>
  <c r="IH78" i="110"/>
  <c r="IG78" i="110"/>
  <c r="IF78" i="110"/>
  <c r="IE78" i="110"/>
  <c r="ID78" i="110"/>
  <c r="IC78" i="110"/>
  <c r="IB78" i="110"/>
  <c r="IA78" i="110"/>
  <c r="HZ78" i="110"/>
  <c r="HY78" i="110"/>
  <c r="HX78" i="110"/>
  <c r="HW78" i="110"/>
  <c r="HV78" i="110"/>
  <c r="HU78" i="110"/>
  <c r="HT78" i="110"/>
  <c r="HS78" i="110"/>
  <c r="HR78" i="110"/>
  <c r="HQ78" i="110"/>
  <c r="HP78" i="110"/>
  <c r="HO78" i="110"/>
  <c r="HN78" i="110"/>
  <c r="HM78" i="110"/>
  <c r="HL78" i="110"/>
  <c r="HK78" i="110"/>
  <c r="HJ78" i="110"/>
  <c r="HG78" i="110"/>
  <c r="JN77" i="110"/>
  <c r="JA77" i="110"/>
  <c r="IZ77" i="110"/>
  <c r="IY77" i="110"/>
  <c r="JO77" i="110"/>
  <c r="IX77" i="110"/>
  <c r="JP77" i="110"/>
  <c r="IW77" i="110"/>
  <c r="IV77" i="110"/>
  <c r="IU77" i="110"/>
  <c r="IT77" i="110"/>
  <c r="IJ77" i="110"/>
  <c r="II77" i="110"/>
  <c r="IH77" i="110"/>
  <c r="IG77" i="110"/>
  <c r="IF77" i="110"/>
  <c r="IE77" i="110"/>
  <c r="ID77" i="110"/>
  <c r="IC77" i="110"/>
  <c r="IB77" i="110"/>
  <c r="IA77" i="110"/>
  <c r="HZ77" i="110"/>
  <c r="HY77" i="110"/>
  <c r="HX77" i="110"/>
  <c r="HW77" i="110"/>
  <c r="HV77" i="110"/>
  <c r="HU77" i="110"/>
  <c r="HT77" i="110"/>
  <c r="HS77" i="110"/>
  <c r="HR77" i="110"/>
  <c r="HQ77" i="110"/>
  <c r="HP77" i="110"/>
  <c r="HO77" i="110"/>
  <c r="HN77" i="110"/>
  <c r="HM77" i="110"/>
  <c r="HL77" i="110"/>
  <c r="HK77" i="110"/>
  <c r="HJ77" i="110"/>
  <c r="HG77" i="110"/>
  <c r="JK76" i="110"/>
  <c r="JA76" i="110"/>
  <c r="IZ76" i="110"/>
  <c r="IY76" i="110"/>
  <c r="JQ76" i="110"/>
  <c r="IX76" i="110"/>
  <c r="JP76" i="110"/>
  <c r="IW76" i="110"/>
  <c r="IV76" i="110"/>
  <c r="IU76" i="110"/>
  <c r="IT76" i="110"/>
  <c r="IJ76" i="110"/>
  <c r="II76" i="110"/>
  <c r="IH76" i="110"/>
  <c r="IG76" i="110"/>
  <c r="IF76" i="110"/>
  <c r="IE76" i="110"/>
  <c r="ID76" i="110"/>
  <c r="IC76" i="110"/>
  <c r="IB76" i="110"/>
  <c r="IA76" i="110"/>
  <c r="HZ76" i="110"/>
  <c r="HY76" i="110"/>
  <c r="HX76" i="110"/>
  <c r="HW76" i="110"/>
  <c r="HV76" i="110"/>
  <c r="HU76" i="110"/>
  <c r="HT76" i="110"/>
  <c r="HS76" i="110"/>
  <c r="HR76" i="110"/>
  <c r="HQ76" i="110"/>
  <c r="HP76" i="110"/>
  <c r="HO76" i="110"/>
  <c r="HN76" i="110"/>
  <c r="HM76" i="110"/>
  <c r="HL76" i="110"/>
  <c r="HK76" i="110"/>
  <c r="HJ76" i="110"/>
  <c r="HG76" i="110"/>
  <c r="JM75" i="110"/>
  <c r="JA75" i="110"/>
  <c r="IZ75" i="110"/>
  <c r="IY75" i="110"/>
  <c r="JC75" i="110"/>
  <c r="JL75" i="110"/>
  <c r="IX75" i="110"/>
  <c r="IW75" i="110"/>
  <c r="IV75" i="110"/>
  <c r="IU75" i="110"/>
  <c r="JK75" i="110"/>
  <c r="IT75" i="110"/>
  <c r="IJ75" i="110"/>
  <c r="II75" i="110"/>
  <c r="IH75" i="110"/>
  <c r="IG75" i="110"/>
  <c r="IF75" i="110"/>
  <c r="IE75" i="110"/>
  <c r="ID75" i="110"/>
  <c r="IC75" i="110"/>
  <c r="IB75" i="110"/>
  <c r="IA75" i="110"/>
  <c r="HZ75" i="110"/>
  <c r="HY75" i="110"/>
  <c r="HX75" i="110"/>
  <c r="HW75" i="110"/>
  <c r="HV75" i="110"/>
  <c r="HU75" i="110"/>
  <c r="HT75" i="110"/>
  <c r="HS75" i="110"/>
  <c r="HR75" i="110"/>
  <c r="HQ75" i="110"/>
  <c r="HP75" i="110"/>
  <c r="HO75" i="110"/>
  <c r="HN75" i="110"/>
  <c r="HM75" i="110"/>
  <c r="HL75" i="110"/>
  <c r="HK75" i="110"/>
  <c r="HJ75" i="110"/>
  <c r="HG75" i="110"/>
  <c r="JO74" i="110"/>
  <c r="JL74" i="110"/>
  <c r="JC74" i="110"/>
  <c r="JA74" i="110"/>
  <c r="IZ74" i="110"/>
  <c r="IY74" i="110"/>
  <c r="JQ74" i="110"/>
  <c r="IX74" i="110"/>
  <c r="JN74" i="110"/>
  <c r="IW74" i="110"/>
  <c r="JM74" i="110"/>
  <c r="IV74" i="110"/>
  <c r="IU74" i="110"/>
  <c r="IT74" i="110"/>
  <c r="IJ74" i="110"/>
  <c r="II74" i="110"/>
  <c r="IH74" i="110"/>
  <c r="IG74" i="110"/>
  <c r="IF74" i="110"/>
  <c r="IE74" i="110"/>
  <c r="ID74" i="110"/>
  <c r="IC74" i="110"/>
  <c r="IB74" i="110"/>
  <c r="IA74" i="110"/>
  <c r="HZ74" i="110"/>
  <c r="HY74" i="110"/>
  <c r="HX74" i="110"/>
  <c r="HW74" i="110"/>
  <c r="HV74" i="110"/>
  <c r="HU74" i="110"/>
  <c r="HT74" i="110"/>
  <c r="HS74" i="110"/>
  <c r="HR74" i="110"/>
  <c r="HQ74" i="110"/>
  <c r="HP74" i="110"/>
  <c r="HO74" i="110"/>
  <c r="HN74" i="110"/>
  <c r="HM74" i="110"/>
  <c r="HL74" i="110"/>
  <c r="HK74" i="110"/>
  <c r="HJ74" i="110"/>
  <c r="HG74" i="110"/>
  <c r="JN73" i="110"/>
  <c r="JA73" i="110"/>
  <c r="IZ73" i="110"/>
  <c r="JP73" i="110"/>
  <c r="IY73" i="110"/>
  <c r="JO73" i="110"/>
  <c r="IX73" i="110"/>
  <c r="IW73" i="110"/>
  <c r="IV73" i="110"/>
  <c r="JK73" i="110"/>
  <c r="IU73" i="110"/>
  <c r="IT73" i="110"/>
  <c r="IJ73" i="110"/>
  <c r="II73" i="110"/>
  <c r="IH73" i="110"/>
  <c r="IG73" i="110"/>
  <c r="IF73" i="110"/>
  <c r="IE73" i="110"/>
  <c r="ID73" i="110"/>
  <c r="IC73" i="110"/>
  <c r="IB73" i="110"/>
  <c r="IA73" i="110"/>
  <c r="HZ73" i="110"/>
  <c r="HY73" i="110"/>
  <c r="HX73" i="110"/>
  <c r="HW73" i="110"/>
  <c r="HV73" i="110"/>
  <c r="HU73" i="110"/>
  <c r="HT73" i="110"/>
  <c r="HS73" i="110"/>
  <c r="HR73" i="110"/>
  <c r="HQ73" i="110"/>
  <c r="HP73" i="110"/>
  <c r="HO73" i="110"/>
  <c r="HN73" i="110"/>
  <c r="HM73" i="110"/>
  <c r="HL73" i="110"/>
  <c r="HK73" i="110"/>
  <c r="HJ73" i="110"/>
  <c r="HG73" i="110"/>
  <c r="JK72" i="110"/>
  <c r="JA72" i="110"/>
  <c r="IZ72" i="110"/>
  <c r="IY72" i="110"/>
  <c r="JQ72" i="110"/>
  <c r="IX72" i="110"/>
  <c r="JN72" i="110"/>
  <c r="IW72" i="110"/>
  <c r="IV72" i="110"/>
  <c r="IU72" i="110"/>
  <c r="IT72" i="110"/>
  <c r="IJ72" i="110"/>
  <c r="II72" i="110"/>
  <c r="IH72" i="110"/>
  <c r="IG72" i="110"/>
  <c r="IF72" i="110"/>
  <c r="IE72" i="110"/>
  <c r="ID72" i="110"/>
  <c r="IC72" i="110"/>
  <c r="IB72" i="110"/>
  <c r="IA72" i="110"/>
  <c r="HZ72" i="110"/>
  <c r="HY72" i="110"/>
  <c r="HX72" i="110"/>
  <c r="HW72" i="110"/>
  <c r="HV72" i="110"/>
  <c r="HU72" i="110"/>
  <c r="HT72" i="110"/>
  <c r="HS72" i="110"/>
  <c r="HR72" i="110"/>
  <c r="HQ72" i="110"/>
  <c r="HP72" i="110"/>
  <c r="HO72" i="110"/>
  <c r="HN72" i="110"/>
  <c r="HM72" i="110"/>
  <c r="HL72" i="110"/>
  <c r="HK72" i="110"/>
  <c r="HJ72" i="110"/>
  <c r="HG72" i="110"/>
  <c r="JM71" i="110"/>
  <c r="JA71" i="110"/>
  <c r="IZ71" i="110"/>
  <c r="JP71" i="110"/>
  <c r="IY71" i="110"/>
  <c r="JC71" i="110"/>
  <c r="JL71" i="110"/>
  <c r="IX71" i="110"/>
  <c r="IW71" i="110"/>
  <c r="IV71" i="110"/>
  <c r="IU71" i="110"/>
  <c r="JK71" i="110"/>
  <c r="IT71" i="110"/>
  <c r="IJ71" i="110"/>
  <c r="II71" i="110"/>
  <c r="IH71" i="110"/>
  <c r="IG71" i="110"/>
  <c r="IF71" i="110"/>
  <c r="IE71" i="110"/>
  <c r="ID71" i="110"/>
  <c r="IC71" i="110"/>
  <c r="IB71" i="110"/>
  <c r="IA71" i="110"/>
  <c r="HZ71" i="110"/>
  <c r="HY71" i="110"/>
  <c r="HX71" i="110"/>
  <c r="HW71" i="110"/>
  <c r="HV71" i="110"/>
  <c r="HU71" i="110"/>
  <c r="HT71" i="110"/>
  <c r="HS71" i="110"/>
  <c r="HR71" i="110"/>
  <c r="HQ71" i="110"/>
  <c r="HP71" i="110"/>
  <c r="HO71" i="110"/>
  <c r="HN71" i="110"/>
  <c r="HM71" i="110"/>
  <c r="HL71" i="110"/>
  <c r="HK71" i="110"/>
  <c r="HJ71" i="110"/>
  <c r="HG71" i="110"/>
  <c r="JO70" i="110"/>
  <c r="JL70" i="110"/>
  <c r="JC70" i="110"/>
  <c r="JA70" i="110"/>
  <c r="IZ70" i="110"/>
  <c r="IY70" i="110"/>
  <c r="JQ70" i="110"/>
  <c r="IX70" i="110"/>
  <c r="JN70" i="110"/>
  <c r="IW70" i="110"/>
  <c r="JM70" i="110"/>
  <c r="IV70" i="110"/>
  <c r="IU70" i="110"/>
  <c r="IT70" i="110"/>
  <c r="IJ70" i="110"/>
  <c r="II70" i="110"/>
  <c r="IH70" i="110"/>
  <c r="IG70" i="110"/>
  <c r="IF70" i="110"/>
  <c r="IE70" i="110"/>
  <c r="ID70" i="110"/>
  <c r="IC70" i="110"/>
  <c r="IB70" i="110"/>
  <c r="IA70" i="110"/>
  <c r="HZ70" i="110"/>
  <c r="HY70" i="110"/>
  <c r="HX70" i="110"/>
  <c r="HW70" i="110"/>
  <c r="HV70" i="110"/>
  <c r="HU70" i="110"/>
  <c r="HT70" i="110"/>
  <c r="HS70" i="110"/>
  <c r="HR70" i="110"/>
  <c r="HQ70" i="110"/>
  <c r="HP70" i="110"/>
  <c r="HO70" i="110"/>
  <c r="HN70" i="110"/>
  <c r="HM70" i="110"/>
  <c r="HL70" i="110"/>
  <c r="HK70" i="110"/>
  <c r="HJ70" i="110"/>
  <c r="HG70" i="110"/>
  <c r="JN69" i="110"/>
  <c r="JA69" i="110"/>
  <c r="IZ69" i="110"/>
  <c r="JP69" i="110"/>
  <c r="IY69" i="110"/>
  <c r="JO69" i="110"/>
  <c r="IX69" i="110"/>
  <c r="IW69" i="110"/>
  <c r="IV69" i="110"/>
  <c r="JK69" i="110"/>
  <c r="IU69" i="110"/>
  <c r="IT69" i="110"/>
  <c r="IJ69" i="110"/>
  <c r="II69" i="110"/>
  <c r="IH69" i="110"/>
  <c r="IG69" i="110"/>
  <c r="IF69" i="110"/>
  <c r="IE69" i="110"/>
  <c r="ID69" i="110"/>
  <c r="IC69" i="110"/>
  <c r="IB69" i="110"/>
  <c r="IA69" i="110"/>
  <c r="HZ69" i="110"/>
  <c r="HY69" i="110"/>
  <c r="HX69" i="110"/>
  <c r="HW69" i="110"/>
  <c r="HV69" i="110"/>
  <c r="HU69" i="110"/>
  <c r="HT69" i="110"/>
  <c r="HS69" i="110"/>
  <c r="HR69" i="110"/>
  <c r="HQ69" i="110"/>
  <c r="HP69" i="110"/>
  <c r="HO69" i="110"/>
  <c r="HN69" i="110"/>
  <c r="HM69" i="110"/>
  <c r="HL69" i="110"/>
  <c r="HK69" i="110"/>
  <c r="HJ69" i="110"/>
  <c r="HG69" i="110"/>
  <c r="JK68" i="110"/>
  <c r="JA68" i="110"/>
  <c r="IZ68" i="110"/>
  <c r="IY68" i="110"/>
  <c r="JQ68" i="110"/>
  <c r="IX68" i="110"/>
  <c r="JN68" i="110"/>
  <c r="IW68" i="110"/>
  <c r="IV68" i="110"/>
  <c r="IU68" i="110"/>
  <c r="IT68" i="110"/>
  <c r="IJ68" i="110"/>
  <c r="II68" i="110"/>
  <c r="IH68" i="110"/>
  <c r="IG68" i="110"/>
  <c r="IF68" i="110"/>
  <c r="IE68" i="110"/>
  <c r="ID68" i="110"/>
  <c r="IC68" i="110"/>
  <c r="IB68" i="110"/>
  <c r="IA68" i="110"/>
  <c r="HZ68" i="110"/>
  <c r="HY68" i="110"/>
  <c r="HX68" i="110"/>
  <c r="HW68" i="110"/>
  <c r="HV68" i="110"/>
  <c r="HU68" i="110"/>
  <c r="HT68" i="110"/>
  <c r="HS68" i="110"/>
  <c r="HR68" i="110"/>
  <c r="HQ68" i="110"/>
  <c r="HP68" i="110"/>
  <c r="HO68" i="110"/>
  <c r="HN68" i="110"/>
  <c r="HM68" i="110"/>
  <c r="HL68" i="110"/>
  <c r="HK68" i="110"/>
  <c r="HJ68" i="110"/>
  <c r="HG68" i="110"/>
  <c r="JM67" i="110"/>
  <c r="JA67" i="110"/>
  <c r="IZ67" i="110"/>
  <c r="JP67" i="110"/>
  <c r="IY67" i="110"/>
  <c r="IX67" i="110"/>
  <c r="IW67" i="110"/>
  <c r="IV67" i="110"/>
  <c r="IU67" i="110"/>
  <c r="JK67" i="110"/>
  <c r="IT67" i="110"/>
  <c r="IJ67" i="110"/>
  <c r="II67" i="110"/>
  <c r="IH67" i="110"/>
  <c r="IG67" i="110"/>
  <c r="IF67" i="110"/>
  <c r="IE67" i="110"/>
  <c r="ID67" i="110"/>
  <c r="IC67" i="110"/>
  <c r="IB67" i="110"/>
  <c r="IA67" i="110"/>
  <c r="HZ67" i="110"/>
  <c r="HY67" i="110"/>
  <c r="HX67" i="110"/>
  <c r="HW67" i="110"/>
  <c r="HV67" i="110"/>
  <c r="HU67" i="110"/>
  <c r="HT67" i="110"/>
  <c r="HS67" i="110"/>
  <c r="HR67" i="110"/>
  <c r="HQ67" i="110"/>
  <c r="HP67" i="110"/>
  <c r="HO67" i="110"/>
  <c r="HN67" i="110"/>
  <c r="HM67" i="110"/>
  <c r="HL67" i="110"/>
  <c r="HK67" i="110"/>
  <c r="HJ67" i="110"/>
  <c r="HG67" i="110"/>
  <c r="JO66" i="110"/>
  <c r="JL66" i="110"/>
  <c r="JC66" i="110"/>
  <c r="JA66" i="110"/>
  <c r="IZ66" i="110"/>
  <c r="IY66" i="110"/>
  <c r="JQ66" i="110"/>
  <c r="IX66" i="110"/>
  <c r="JN66" i="110"/>
  <c r="IW66" i="110"/>
  <c r="JM66" i="110"/>
  <c r="IV66" i="110"/>
  <c r="IU66" i="110"/>
  <c r="IT66" i="110"/>
  <c r="IJ66" i="110"/>
  <c r="II66" i="110"/>
  <c r="IH66" i="110"/>
  <c r="IG66" i="110"/>
  <c r="IF66" i="110"/>
  <c r="IE66" i="110"/>
  <c r="ID66" i="110"/>
  <c r="IC66" i="110"/>
  <c r="IB66" i="110"/>
  <c r="IA66" i="110"/>
  <c r="HZ66" i="110"/>
  <c r="HY66" i="110"/>
  <c r="HX66" i="110"/>
  <c r="HW66" i="110"/>
  <c r="HV66" i="110"/>
  <c r="HU66" i="110"/>
  <c r="HT66" i="110"/>
  <c r="HS66" i="110"/>
  <c r="HR66" i="110"/>
  <c r="HQ66" i="110"/>
  <c r="HP66" i="110"/>
  <c r="HO66" i="110"/>
  <c r="HN66" i="110"/>
  <c r="HM66" i="110"/>
  <c r="HL66" i="110"/>
  <c r="HK66" i="110"/>
  <c r="HJ66" i="110"/>
  <c r="HG66" i="110"/>
  <c r="JN65" i="110"/>
  <c r="JA65" i="110"/>
  <c r="IZ65" i="110"/>
  <c r="JP65" i="110"/>
  <c r="IY65" i="110"/>
  <c r="IX65" i="110"/>
  <c r="IW65" i="110"/>
  <c r="IV65" i="110"/>
  <c r="JK65" i="110"/>
  <c r="IU65" i="110"/>
  <c r="IT65" i="110"/>
  <c r="IJ65" i="110"/>
  <c r="II65" i="110"/>
  <c r="IH65" i="110"/>
  <c r="IG65" i="110"/>
  <c r="IF65" i="110"/>
  <c r="IE65" i="110"/>
  <c r="ID65" i="110"/>
  <c r="IC65" i="110"/>
  <c r="IB65" i="110"/>
  <c r="IA65" i="110"/>
  <c r="HZ65" i="110"/>
  <c r="HY65" i="110"/>
  <c r="HX65" i="110"/>
  <c r="HW65" i="110"/>
  <c r="HV65" i="110"/>
  <c r="HU65" i="110"/>
  <c r="HT65" i="110"/>
  <c r="HS65" i="110"/>
  <c r="HR65" i="110"/>
  <c r="HQ65" i="110"/>
  <c r="HP65" i="110"/>
  <c r="HO65" i="110"/>
  <c r="HN65" i="110"/>
  <c r="HM65" i="110"/>
  <c r="HL65" i="110"/>
  <c r="HK65" i="110"/>
  <c r="HJ65" i="110"/>
  <c r="HG65" i="110"/>
  <c r="JK64" i="110"/>
  <c r="JA64" i="110"/>
  <c r="IZ64" i="110"/>
  <c r="IY64" i="110"/>
  <c r="JQ64" i="110"/>
  <c r="IX64" i="110"/>
  <c r="JN64" i="110"/>
  <c r="IW64" i="110"/>
  <c r="IV64" i="110"/>
  <c r="IU64" i="110"/>
  <c r="IT64" i="110"/>
  <c r="IJ64" i="110"/>
  <c r="II64" i="110"/>
  <c r="IH64" i="110"/>
  <c r="IG64" i="110"/>
  <c r="IF64" i="110"/>
  <c r="IE64" i="110"/>
  <c r="ID64" i="110"/>
  <c r="IC64" i="110"/>
  <c r="IB64" i="110"/>
  <c r="IA64" i="110"/>
  <c r="HZ64" i="110"/>
  <c r="HY64" i="110"/>
  <c r="HX64" i="110"/>
  <c r="HW64" i="110"/>
  <c r="HV64" i="110"/>
  <c r="HU64" i="110"/>
  <c r="HT64" i="110"/>
  <c r="HS64" i="110"/>
  <c r="HR64" i="110"/>
  <c r="HQ64" i="110"/>
  <c r="HP64" i="110"/>
  <c r="HO64" i="110"/>
  <c r="HN64" i="110"/>
  <c r="HM64" i="110"/>
  <c r="HL64" i="110"/>
  <c r="HK64" i="110"/>
  <c r="HJ64" i="110"/>
  <c r="HG64" i="110"/>
  <c r="JM63" i="110"/>
  <c r="JA63" i="110"/>
  <c r="IZ63" i="110"/>
  <c r="JP63" i="110"/>
  <c r="IY63" i="110"/>
  <c r="IX63" i="110"/>
  <c r="IW63" i="110"/>
  <c r="IV63" i="110"/>
  <c r="IU63" i="110"/>
  <c r="JK63" i="110"/>
  <c r="IT63" i="110"/>
  <c r="IJ63" i="110"/>
  <c r="II63" i="110"/>
  <c r="IH63" i="110"/>
  <c r="IG63" i="110"/>
  <c r="IF63" i="110"/>
  <c r="IE63" i="110"/>
  <c r="ID63" i="110"/>
  <c r="IC63" i="110"/>
  <c r="IB63" i="110"/>
  <c r="IA63" i="110"/>
  <c r="HZ63" i="110"/>
  <c r="HY63" i="110"/>
  <c r="HX63" i="110"/>
  <c r="HW63" i="110"/>
  <c r="HV63" i="110"/>
  <c r="HU63" i="110"/>
  <c r="HT63" i="110"/>
  <c r="HS63" i="110"/>
  <c r="HR63" i="110"/>
  <c r="HQ63" i="110"/>
  <c r="HP63" i="110"/>
  <c r="HO63" i="110"/>
  <c r="HN63" i="110"/>
  <c r="HM63" i="110"/>
  <c r="HL63" i="110"/>
  <c r="HK63" i="110"/>
  <c r="HJ63" i="110"/>
  <c r="HG63" i="110"/>
  <c r="JO62" i="110"/>
  <c r="JC62" i="110"/>
  <c r="JL62" i="110"/>
  <c r="JA62" i="110"/>
  <c r="IZ62" i="110"/>
  <c r="IY62" i="110"/>
  <c r="JQ62" i="110"/>
  <c r="IX62" i="110"/>
  <c r="IW62" i="110"/>
  <c r="JM62" i="110"/>
  <c r="IV62" i="110"/>
  <c r="IU62" i="110"/>
  <c r="IT62" i="110"/>
  <c r="IJ62" i="110"/>
  <c r="II62" i="110"/>
  <c r="IH62" i="110"/>
  <c r="IG62" i="110"/>
  <c r="IF62" i="110"/>
  <c r="IE62" i="110"/>
  <c r="ID62" i="110"/>
  <c r="IC62" i="110"/>
  <c r="IB62" i="110"/>
  <c r="IA62" i="110"/>
  <c r="HZ62" i="110"/>
  <c r="HY62" i="110"/>
  <c r="HX62" i="110"/>
  <c r="HW62" i="110"/>
  <c r="HV62" i="110"/>
  <c r="HU62" i="110"/>
  <c r="HT62" i="110"/>
  <c r="HS62" i="110"/>
  <c r="HR62" i="110"/>
  <c r="HQ62" i="110"/>
  <c r="HP62" i="110"/>
  <c r="HO62" i="110"/>
  <c r="HN62" i="110"/>
  <c r="HM62" i="110"/>
  <c r="HL62" i="110"/>
  <c r="HK62" i="110"/>
  <c r="HJ62" i="110"/>
  <c r="HG62" i="110"/>
  <c r="JN61" i="110"/>
  <c r="JA61" i="110"/>
  <c r="IZ61" i="110"/>
  <c r="JP61" i="110"/>
  <c r="IY61" i="110"/>
  <c r="JQ61" i="110"/>
  <c r="IX61" i="110"/>
  <c r="IW61" i="110"/>
  <c r="IV61" i="110"/>
  <c r="IU61" i="110"/>
  <c r="IT61" i="110"/>
  <c r="IJ61" i="110"/>
  <c r="II61" i="110"/>
  <c r="IH61" i="110"/>
  <c r="IG61" i="110"/>
  <c r="IF61" i="110"/>
  <c r="IE61" i="110"/>
  <c r="ID61" i="110"/>
  <c r="IC61" i="110"/>
  <c r="IB61" i="110"/>
  <c r="IA61" i="110"/>
  <c r="HZ61" i="110"/>
  <c r="HY61" i="110"/>
  <c r="HX61" i="110"/>
  <c r="HW61" i="110"/>
  <c r="HV61" i="110"/>
  <c r="HU61" i="110"/>
  <c r="HT61" i="110"/>
  <c r="HS61" i="110"/>
  <c r="HR61" i="110"/>
  <c r="HQ61" i="110"/>
  <c r="HP61" i="110"/>
  <c r="HO61" i="110"/>
  <c r="HN61" i="110"/>
  <c r="HM61" i="110"/>
  <c r="HL61" i="110"/>
  <c r="HK61" i="110"/>
  <c r="HJ61" i="110"/>
  <c r="HG61" i="110"/>
  <c r="JK60" i="110"/>
  <c r="JA60" i="110"/>
  <c r="IZ60" i="110"/>
  <c r="IY60" i="110"/>
  <c r="JQ60" i="110"/>
  <c r="IX60" i="110"/>
  <c r="JP60" i="110"/>
  <c r="IW60" i="110"/>
  <c r="IV60" i="110"/>
  <c r="IU60" i="110"/>
  <c r="IT60" i="110"/>
  <c r="IJ60" i="110"/>
  <c r="II60" i="110"/>
  <c r="IH60" i="110"/>
  <c r="IG60" i="110"/>
  <c r="IF60" i="110"/>
  <c r="IE60" i="110"/>
  <c r="ID60" i="110"/>
  <c r="IC60" i="110"/>
  <c r="IB60" i="110"/>
  <c r="IA60" i="110"/>
  <c r="HZ60" i="110"/>
  <c r="HY60" i="110"/>
  <c r="HX60" i="110"/>
  <c r="HW60" i="110"/>
  <c r="HV60" i="110"/>
  <c r="HU60" i="110"/>
  <c r="HT60" i="110"/>
  <c r="HS60" i="110"/>
  <c r="HR60" i="110"/>
  <c r="HQ60" i="110"/>
  <c r="HP60" i="110"/>
  <c r="HO60" i="110"/>
  <c r="HN60" i="110"/>
  <c r="HM60" i="110"/>
  <c r="HL60" i="110"/>
  <c r="HK60" i="110"/>
  <c r="HJ60" i="110"/>
  <c r="HG60" i="110"/>
  <c r="JM59" i="110"/>
  <c r="JA59" i="110"/>
  <c r="IZ59" i="110"/>
  <c r="JP59" i="110"/>
  <c r="IY59" i="110"/>
  <c r="IX59" i="110"/>
  <c r="IW59" i="110"/>
  <c r="IV59" i="110"/>
  <c r="IU59" i="110"/>
  <c r="JK59" i="110"/>
  <c r="IT59" i="110"/>
  <c r="IJ59" i="110"/>
  <c r="II59" i="110"/>
  <c r="IH59" i="110"/>
  <c r="IG59" i="110"/>
  <c r="IF59" i="110"/>
  <c r="IE59" i="110"/>
  <c r="ID59" i="110"/>
  <c r="IC59" i="110"/>
  <c r="IB59" i="110"/>
  <c r="IA59" i="110"/>
  <c r="HZ59" i="110"/>
  <c r="HY59" i="110"/>
  <c r="HX59" i="110"/>
  <c r="HW59" i="110"/>
  <c r="HV59" i="110"/>
  <c r="HU59" i="110"/>
  <c r="HT59" i="110"/>
  <c r="HS59" i="110"/>
  <c r="HR59" i="110"/>
  <c r="HQ59" i="110"/>
  <c r="HP59" i="110"/>
  <c r="HO59" i="110"/>
  <c r="HN59" i="110"/>
  <c r="HM59" i="110"/>
  <c r="HL59" i="110"/>
  <c r="HK59" i="110"/>
  <c r="HJ59" i="110"/>
  <c r="HG59" i="110"/>
  <c r="JO58" i="110"/>
  <c r="JK58" i="110"/>
  <c r="JC58" i="110"/>
  <c r="JL58" i="110"/>
  <c r="JA58" i="110"/>
  <c r="IZ58" i="110"/>
  <c r="IY58" i="110"/>
  <c r="JQ58" i="110"/>
  <c r="IX58" i="110"/>
  <c r="JN58" i="110"/>
  <c r="IW58" i="110"/>
  <c r="JM58" i="110"/>
  <c r="IV58" i="110"/>
  <c r="IU58" i="110"/>
  <c r="IT58" i="110"/>
  <c r="IJ58" i="110"/>
  <c r="II58" i="110"/>
  <c r="IH58" i="110"/>
  <c r="IG58" i="110"/>
  <c r="IF58" i="110"/>
  <c r="IE58" i="110"/>
  <c r="ID58" i="110"/>
  <c r="IC58" i="110"/>
  <c r="IB58" i="110"/>
  <c r="IA58" i="110"/>
  <c r="HZ58" i="110"/>
  <c r="HY58" i="110"/>
  <c r="HX58" i="110"/>
  <c r="HW58" i="110"/>
  <c r="HV58" i="110"/>
  <c r="HU58" i="110"/>
  <c r="HT58" i="110"/>
  <c r="HS58" i="110"/>
  <c r="HR58" i="110"/>
  <c r="HQ58" i="110"/>
  <c r="HP58" i="110"/>
  <c r="HO58" i="110"/>
  <c r="HN58" i="110"/>
  <c r="HM58" i="110"/>
  <c r="HL58" i="110"/>
  <c r="HK58" i="110"/>
  <c r="HJ58" i="110"/>
  <c r="HG58" i="110"/>
  <c r="JN57" i="110"/>
  <c r="JA57" i="110"/>
  <c r="IZ57" i="110"/>
  <c r="JP57" i="110"/>
  <c r="IY57" i="110"/>
  <c r="IX57" i="110"/>
  <c r="IW57" i="110"/>
  <c r="IV57" i="110"/>
  <c r="IU57" i="110"/>
  <c r="IT57" i="110"/>
  <c r="IJ57" i="110"/>
  <c r="II57" i="110"/>
  <c r="IH57" i="110"/>
  <c r="IG57" i="110"/>
  <c r="IF57" i="110"/>
  <c r="IE57" i="110"/>
  <c r="ID57" i="110"/>
  <c r="IC57" i="110"/>
  <c r="IB57" i="110"/>
  <c r="IA57" i="110"/>
  <c r="HZ57" i="110"/>
  <c r="HY57" i="110"/>
  <c r="HX57" i="110"/>
  <c r="HW57" i="110"/>
  <c r="HV57" i="110"/>
  <c r="HU57" i="110"/>
  <c r="HT57" i="110"/>
  <c r="HS57" i="110"/>
  <c r="HR57" i="110"/>
  <c r="HQ57" i="110"/>
  <c r="HP57" i="110"/>
  <c r="HO57" i="110"/>
  <c r="HN57" i="110"/>
  <c r="HM57" i="110"/>
  <c r="HL57" i="110"/>
  <c r="HK57" i="110"/>
  <c r="HJ57" i="110"/>
  <c r="HJ90" i="110"/>
  <c r="HJ92" i="110"/>
  <c r="HG57" i="110"/>
  <c r="JK56" i="110"/>
  <c r="JA56" i="110"/>
  <c r="IZ56" i="110"/>
  <c r="IY56" i="110"/>
  <c r="JQ56" i="110"/>
  <c r="IX56" i="110"/>
  <c r="JP56" i="110"/>
  <c r="IW56" i="110"/>
  <c r="IV56" i="110"/>
  <c r="IU56" i="110"/>
  <c r="IT56" i="110"/>
  <c r="IJ56" i="110"/>
  <c r="II56" i="110"/>
  <c r="IH56" i="110"/>
  <c r="IG56" i="110"/>
  <c r="IF56" i="110"/>
  <c r="IE56" i="110"/>
  <c r="ID56" i="110"/>
  <c r="IC56" i="110"/>
  <c r="IB56" i="110"/>
  <c r="IA56" i="110"/>
  <c r="HZ56" i="110"/>
  <c r="HY56" i="110"/>
  <c r="HX56" i="110"/>
  <c r="HW56" i="110"/>
  <c r="HV56" i="110"/>
  <c r="HU56" i="110"/>
  <c r="HT56" i="110"/>
  <c r="HS56" i="110"/>
  <c r="HR56" i="110"/>
  <c r="HQ56" i="110"/>
  <c r="HP56" i="110"/>
  <c r="HO56" i="110"/>
  <c r="HN56" i="110"/>
  <c r="HM56" i="110"/>
  <c r="HL56" i="110"/>
  <c r="HK56" i="110"/>
  <c r="HJ56" i="110"/>
  <c r="HG56" i="110"/>
  <c r="JM55" i="110"/>
  <c r="JA55" i="110"/>
  <c r="IZ55" i="110"/>
  <c r="JP55" i="110"/>
  <c r="IY55" i="110"/>
  <c r="JC55" i="110"/>
  <c r="JL55" i="110"/>
  <c r="IX55" i="110"/>
  <c r="IW55" i="110"/>
  <c r="IV55" i="110"/>
  <c r="IU55" i="110"/>
  <c r="JK55" i="110"/>
  <c r="IT55" i="110"/>
  <c r="IJ55" i="110"/>
  <c r="II55" i="110"/>
  <c r="IH55" i="110"/>
  <c r="IH90" i="110"/>
  <c r="IG55" i="110"/>
  <c r="IF55" i="110"/>
  <c r="IE55" i="110"/>
  <c r="ID55" i="110"/>
  <c r="IC55" i="110"/>
  <c r="IB55" i="110"/>
  <c r="IA55" i="110"/>
  <c r="HZ55" i="110"/>
  <c r="HY55" i="110"/>
  <c r="HX55" i="110"/>
  <c r="HW55" i="110"/>
  <c r="HV55" i="110"/>
  <c r="HU55" i="110"/>
  <c r="HT55" i="110"/>
  <c r="HS55" i="110"/>
  <c r="HR55" i="110"/>
  <c r="HQ55" i="110"/>
  <c r="HP55" i="110"/>
  <c r="HO55" i="110"/>
  <c r="HN55" i="110"/>
  <c r="HM55" i="110"/>
  <c r="HL55" i="110"/>
  <c r="HK55" i="110"/>
  <c r="HJ55" i="110"/>
  <c r="HG55" i="110"/>
  <c r="JL54" i="110"/>
  <c r="JK54" i="110"/>
  <c r="JC54" i="110"/>
  <c r="JA54" i="110"/>
  <c r="IZ54" i="110"/>
  <c r="IY54" i="110"/>
  <c r="IW54" i="110"/>
  <c r="IV54" i="110"/>
  <c r="IU54" i="110"/>
  <c r="IT54" i="110"/>
  <c r="IJ54" i="110"/>
  <c r="II54" i="110"/>
  <c r="IH54" i="110"/>
  <c r="IG54" i="110"/>
  <c r="IF54" i="110"/>
  <c r="IF90" i="110"/>
  <c r="IE54" i="110"/>
  <c r="ID54" i="110"/>
  <c r="IC54" i="110"/>
  <c r="IB54" i="110"/>
  <c r="IA54" i="110"/>
  <c r="HY54" i="110"/>
  <c r="HX54" i="110"/>
  <c r="HX90" i="110"/>
  <c r="HW54" i="110"/>
  <c r="HV54" i="110"/>
  <c r="HU54" i="110"/>
  <c r="HT54" i="110"/>
  <c r="HS54" i="110"/>
  <c r="HR54" i="110"/>
  <c r="HQ54" i="110"/>
  <c r="HP54" i="110"/>
  <c r="HP90" i="110"/>
  <c r="HO54" i="110"/>
  <c r="HN54" i="110"/>
  <c r="HM54" i="110"/>
  <c r="HL54" i="110"/>
  <c r="HK54" i="110"/>
  <c r="HJ54" i="110"/>
  <c r="HG54" i="110"/>
  <c r="EW54" i="110"/>
  <c r="EV54" i="110"/>
  <c r="IX54" i="110"/>
  <c r="JO54" i="110"/>
  <c r="JQ53" i="110"/>
  <c r="JP53" i="110"/>
  <c r="JO53" i="110"/>
  <c r="JI53" i="110"/>
  <c r="JH53" i="110"/>
  <c r="JC53" i="110"/>
  <c r="JL53" i="110"/>
  <c r="IY53" i="110"/>
  <c r="IX53" i="110"/>
  <c r="JN53" i="110"/>
  <c r="IW53" i="110"/>
  <c r="IV53" i="110"/>
  <c r="IU53" i="110"/>
  <c r="IT53" i="110"/>
  <c r="IB53" i="110"/>
  <c r="IA53" i="110"/>
  <c r="HZ53" i="110"/>
  <c r="HY53" i="110"/>
  <c r="HX53" i="110"/>
  <c r="HW53" i="110"/>
  <c r="HV53" i="110"/>
  <c r="HU53" i="110"/>
  <c r="HT53" i="110"/>
  <c r="HS53" i="110"/>
  <c r="HR53" i="110"/>
  <c r="HQ53" i="110"/>
  <c r="HP53" i="110"/>
  <c r="HO53" i="110"/>
  <c r="HN53" i="110"/>
  <c r="HM53" i="110"/>
  <c r="HL53" i="110"/>
  <c r="HK53" i="110"/>
  <c r="HJ53" i="110"/>
  <c r="HG53" i="110"/>
  <c r="DF51" i="110"/>
  <c r="IU46" i="110"/>
  <c r="IT46" i="110"/>
  <c r="HR46" i="110"/>
  <c r="HQ46" i="110"/>
  <c r="HP46" i="110"/>
  <c r="HO46" i="110"/>
  <c r="HN46" i="110"/>
  <c r="HM46" i="110"/>
  <c r="IU45" i="110"/>
  <c r="IT45" i="110"/>
  <c r="HR45" i="110"/>
  <c r="HQ45" i="110"/>
  <c r="HP45" i="110"/>
  <c r="HO45" i="110"/>
  <c r="HN45" i="110"/>
  <c r="HM45" i="110"/>
  <c r="IU44" i="110"/>
  <c r="HR44" i="110"/>
  <c r="HQ44" i="110"/>
  <c r="HO44" i="110"/>
  <c r="HN44" i="110"/>
  <c r="HM44" i="110"/>
  <c r="DQ44" i="110"/>
  <c r="IU43" i="110"/>
  <c r="IT43" i="110"/>
  <c r="HR43" i="110"/>
  <c r="HQ43" i="110"/>
  <c r="HP43" i="110"/>
  <c r="HO43" i="110"/>
  <c r="HN43" i="110"/>
  <c r="HM43" i="110"/>
  <c r="IU42" i="110"/>
  <c r="IT42" i="110"/>
  <c r="HR42" i="110"/>
  <c r="HQ42" i="110"/>
  <c r="HP42" i="110"/>
  <c r="HO42" i="110"/>
  <c r="HN42" i="110"/>
  <c r="HM42" i="110"/>
  <c r="IU41" i="110"/>
  <c r="IT41" i="110"/>
  <c r="HR41" i="110"/>
  <c r="HQ41" i="110"/>
  <c r="HP41" i="110"/>
  <c r="HO41" i="110"/>
  <c r="HN41" i="110"/>
  <c r="HM41" i="110"/>
  <c r="IU40" i="110"/>
  <c r="IT40" i="110"/>
  <c r="HR40" i="110"/>
  <c r="HQ40" i="110"/>
  <c r="HP40" i="110"/>
  <c r="HO40" i="110"/>
  <c r="HN40" i="110"/>
  <c r="HM40" i="110"/>
  <c r="IU37" i="110"/>
  <c r="IU34" i="110"/>
  <c r="IT34" i="110"/>
  <c r="HR34" i="110"/>
  <c r="HQ34" i="110"/>
  <c r="HP34" i="110"/>
  <c r="HO34" i="110"/>
  <c r="HN34" i="110"/>
  <c r="HM34" i="110"/>
  <c r="IU33" i="110"/>
  <c r="IT33" i="110"/>
  <c r="IU32" i="110"/>
  <c r="IT32" i="110"/>
  <c r="HR32" i="110"/>
  <c r="HQ32" i="110"/>
  <c r="HP32" i="110"/>
  <c r="HO32" i="110"/>
  <c r="HN32" i="110"/>
  <c r="HM32" i="110"/>
  <c r="IU31" i="110"/>
  <c r="IT31" i="110"/>
  <c r="HR31" i="110"/>
  <c r="HQ31" i="110"/>
  <c r="HP31" i="110"/>
  <c r="HO31" i="110"/>
  <c r="HN31" i="110"/>
  <c r="HM31" i="110"/>
  <c r="IU30" i="110"/>
  <c r="IT30" i="110"/>
  <c r="HR30" i="110"/>
  <c r="HQ30" i="110"/>
  <c r="HP30" i="110"/>
  <c r="HO30" i="110"/>
  <c r="HN30" i="110"/>
  <c r="HM30" i="110"/>
  <c r="IU29" i="110"/>
  <c r="IT29" i="110"/>
  <c r="HR29" i="110"/>
  <c r="HQ29" i="110"/>
  <c r="HP29" i="110"/>
  <c r="HO29" i="110"/>
  <c r="HN29" i="110"/>
  <c r="HM29" i="110"/>
  <c r="IU28" i="110"/>
  <c r="IT28" i="110"/>
  <c r="HR28" i="110"/>
  <c r="HQ28" i="110"/>
  <c r="HP28" i="110"/>
  <c r="HO28" i="110"/>
  <c r="HN28" i="110"/>
  <c r="HM28" i="110"/>
  <c r="IU27" i="110"/>
  <c r="IT27" i="110"/>
  <c r="HR27" i="110"/>
  <c r="HQ27" i="110"/>
  <c r="HP27" i="110"/>
  <c r="HO27" i="110"/>
  <c r="HN27" i="110"/>
  <c r="HM27" i="110"/>
  <c r="IU26" i="110"/>
  <c r="IT26" i="110"/>
  <c r="HR26" i="110"/>
  <c r="HQ26" i="110"/>
  <c r="HP26" i="110"/>
  <c r="HO26" i="110"/>
  <c r="HN26" i="110"/>
  <c r="HM26" i="110"/>
  <c r="IU21" i="110"/>
  <c r="IU20" i="110"/>
  <c r="IT20" i="110"/>
  <c r="IT21" i="110"/>
  <c r="HR20" i="110"/>
  <c r="HQ20" i="110"/>
  <c r="HP20" i="110"/>
  <c r="HO20" i="110"/>
  <c r="HN20" i="110"/>
  <c r="HM20" i="110"/>
  <c r="IU19" i="110"/>
  <c r="IT19" i="110"/>
  <c r="HR19" i="110"/>
  <c r="HQ19" i="110"/>
  <c r="HP19" i="110"/>
  <c r="HO19" i="110"/>
  <c r="HN19" i="110"/>
  <c r="HM19" i="110"/>
  <c r="IU18" i="110"/>
  <c r="IT18" i="110"/>
  <c r="HR18" i="110"/>
  <c r="HQ18" i="110"/>
  <c r="HP18" i="110"/>
  <c r="HO18" i="110"/>
  <c r="HN18" i="110"/>
  <c r="HM18" i="110"/>
  <c r="IU15" i="110"/>
  <c r="IU23" i="110"/>
  <c r="IU13" i="110"/>
  <c r="IT13" i="110"/>
  <c r="IU12" i="110"/>
  <c r="IT12" i="110"/>
  <c r="HQ12" i="110"/>
  <c r="HQ13" i="110"/>
  <c r="HP12" i="110"/>
  <c r="HP13" i="110"/>
  <c r="HO12" i="110"/>
  <c r="HO13" i="110"/>
  <c r="HN12" i="110"/>
  <c r="HN13" i="110"/>
  <c r="HM12" i="110"/>
  <c r="HM13" i="110"/>
  <c r="EU12" i="110"/>
  <c r="EI12" i="110"/>
  <c r="DW12" i="110"/>
  <c r="HR12" i="110"/>
  <c r="HR13" i="110"/>
  <c r="IT11" i="110"/>
  <c r="HQ11" i="110"/>
  <c r="HP11" i="110"/>
  <c r="HO11" i="110"/>
  <c r="HN11" i="110"/>
  <c r="HM11" i="110"/>
  <c r="EV11" i="110"/>
  <c r="EJ11" i="110"/>
  <c r="DX11" i="110"/>
  <c r="IU11" i="110"/>
  <c r="IU10" i="110"/>
  <c r="IT10" i="110"/>
  <c r="HR10" i="110"/>
  <c r="HQ10" i="110"/>
  <c r="HP10" i="110"/>
  <c r="HO10" i="110"/>
  <c r="HN10" i="110"/>
  <c r="HM10" i="110"/>
  <c r="G226" i="59"/>
  <c r="G231" i="59" s="1"/>
  <c r="M55" i="109"/>
  <c r="M54" i="109"/>
  <c r="L54" i="109"/>
  <c r="M53" i="109"/>
  <c r="L53" i="109"/>
  <c r="M52" i="109"/>
  <c r="L52" i="109"/>
  <c r="L51" i="109"/>
  <c r="C51" i="109"/>
  <c r="M51" i="109"/>
  <c r="L50" i="109"/>
  <c r="I50" i="109"/>
  <c r="M50" i="109"/>
  <c r="L49" i="109"/>
  <c r="I49" i="109"/>
  <c r="C49" i="109"/>
  <c r="M48" i="109"/>
  <c r="H48" i="109"/>
  <c r="F48" i="109"/>
  <c r="D48" i="109"/>
  <c r="B48" i="109"/>
  <c r="M47" i="109"/>
  <c r="F47" i="109"/>
  <c r="D47" i="109"/>
  <c r="B47" i="109"/>
  <c r="G46" i="109"/>
  <c r="E46" i="109"/>
  <c r="C46" i="109"/>
  <c r="B46" i="109"/>
  <c r="L46" i="109"/>
  <c r="E45" i="109"/>
  <c r="C45" i="109"/>
  <c r="B45" i="109"/>
  <c r="L45" i="109"/>
  <c r="M44" i="109"/>
  <c r="H44" i="109"/>
  <c r="F44" i="109"/>
  <c r="D44" i="109"/>
  <c r="B44" i="109"/>
  <c r="I43" i="109"/>
  <c r="H43" i="109"/>
  <c r="G43" i="109"/>
  <c r="F43" i="109"/>
  <c r="E43" i="109"/>
  <c r="D43" i="109"/>
  <c r="C43" i="109"/>
  <c r="B43" i="109"/>
  <c r="M42" i="109"/>
  <c r="F42" i="109"/>
  <c r="D42" i="109"/>
  <c r="B42" i="109"/>
  <c r="I41" i="109"/>
  <c r="H41" i="109"/>
  <c r="G41" i="109"/>
  <c r="F41" i="109"/>
  <c r="E41" i="109"/>
  <c r="D41" i="109"/>
  <c r="C41" i="109"/>
  <c r="B41" i="109"/>
  <c r="I40" i="109"/>
  <c r="H40" i="109"/>
  <c r="G40" i="109"/>
  <c r="F40" i="109"/>
  <c r="E40" i="109"/>
  <c r="D40" i="109"/>
  <c r="C40" i="109"/>
  <c r="B40" i="109"/>
  <c r="M39" i="109"/>
  <c r="H39" i="109"/>
  <c r="F39" i="109"/>
  <c r="D39" i="109"/>
  <c r="B39" i="109"/>
  <c r="I38" i="109"/>
  <c r="H38" i="109"/>
  <c r="G38" i="109"/>
  <c r="F38" i="109"/>
  <c r="E38" i="109"/>
  <c r="D38" i="109"/>
  <c r="C38" i="109"/>
  <c r="B38" i="109"/>
  <c r="G80" i="109"/>
  <c r="M80" i="109"/>
  <c r="M79" i="109"/>
  <c r="B79" i="109"/>
  <c r="L79" i="109"/>
  <c r="M78" i="109"/>
  <c r="L78" i="109"/>
  <c r="L77" i="109"/>
  <c r="E77" i="109"/>
  <c r="C77" i="109"/>
  <c r="M77" i="109"/>
  <c r="L76" i="109"/>
  <c r="I76" i="109"/>
  <c r="C76" i="109"/>
  <c r="M76" i="109"/>
  <c r="L75" i="109"/>
  <c r="I75" i="109"/>
  <c r="C75" i="109"/>
  <c r="M74" i="109"/>
  <c r="H74" i="109"/>
  <c r="F74" i="109"/>
  <c r="D74" i="109"/>
  <c r="B74" i="109"/>
  <c r="M73" i="109"/>
  <c r="F73" i="109"/>
  <c r="D73" i="109"/>
  <c r="B73" i="109"/>
  <c r="I72" i="109"/>
  <c r="G72" i="109"/>
  <c r="E72" i="109"/>
  <c r="C72" i="109"/>
  <c r="B72" i="109"/>
  <c r="L72" i="109"/>
  <c r="I71" i="109"/>
  <c r="G71" i="109"/>
  <c r="E71" i="109"/>
  <c r="C71" i="109"/>
  <c r="B71" i="109"/>
  <c r="L71" i="109"/>
  <c r="I70" i="109"/>
  <c r="H70" i="109"/>
  <c r="L70" i="109"/>
  <c r="G70" i="109"/>
  <c r="F70" i="109"/>
  <c r="D70" i="109"/>
  <c r="C70" i="109"/>
  <c r="B70" i="109"/>
  <c r="I69" i="109"/>
  <c r="H69" i="109"/>
  <c r="G69" i="109"/>
  <c r="E69" i="109"/>
  <c r="D69" i="109"/>
  <c r="C69" i="109"/>
  <c r="B69" i="109"/>
  <c r="M68" i="109"/>
  <c r="H68" i="109"/>
  <c r="F68" i="109"/>
  <c r="D68" i="109"/>
  <c r="B68" i="109"/>
  <c r="I67" i="109"/>
  <c r="H67" i="109"/>
  <c r="G67" i="109"/>
  <c r="F67" i="109"/>
  <c r="E67" i="109"/>
  <c r="D67" i="109"/>
  <c r="C67" i="109"/>
  <c r="B67" i="109"/>
  <c r="I66" i="109"/>
  <c r="H66" i="109"/>
  <c r="G66" i="109"/>
  <c r="F66" i="109"/>
  <c r="E66" i="109"/>
  <c r="D66" i="109"/>
  <c r="C66" i="109"/>
  <c r="B66" i="109"/>
  <c r="I65" i="109"/>
  <c r="H65" i="109"/>
  <c r="G65" i="109"/>
  <c r="F65" i="109"/>
  <c r="E65" i="109"/>
  <c r="D65" i="109"/>
  <c r="C65" i="109"/>
  <c r="B65" i="109"/>
  <c r="I64" i="109"/>
  <c r="H64" i="109"/>
  <c r="G64" i="109"/>
  <c r="F64" i="109"/>
  <c r="E64" i="109"/>
  <c r="D64" i="109"/>
  <c r="C64" i="109"/>
  <c r="B64" i="109"/>
  <c r="FE43" i="70"/>
  <c r="FF43" i="70"/>
  <c r="FG43" i="70"/>
  <c r="FH43" i="70"/>
  <c r="FI43" i="70"/>
  <c r="FJ43" i="70"/>
  <c r="FK43" i="70"/>
  <c r="FL43" i="70"/>
  <c r="FM43" i="70"/>
  <c r="FN43" i="70"/>
  <c r="FO43" i="70"/>
  <c r="FP43" i="70"/>
  <c r="FQ43" i="70"/>
  <c r="GC45" i="70" s="1"/>
  <c r="FR43" i="70"/>
  <c r="GD45" i="70" s="1"/>
  <c r="FS43" i="70"/>
  <c r="FT43" i="70"/>
  <c r="FU43" i="70"/>
  <c r="GG45" i="70" s="1"/>
  <c r="FV43" i="70"/>
  <c r="GH45" i="70" s="1"/>
  <c r="FW43" i="70"/>
  <c r="FX43" i="70"/>
  <c r="FY43" i="70"/>
  <c r="GK45" i="70" s="1"/>
  <c r="FZ43" i="70"/>
  <c r="GL45" i="70" s="1"/>
  <c r="GA43" i="70"/>
  <c r="GN43" i="70"/>
  <c r="GN44" i="70" s="1"/>
  <c r="GO43" i="70"/>
  <c r="GO44" i="70" s="1"/>
  <c r="GP43" i="70"/>
  <c r="GP44" i="70" s="1"/>
  <c r="GQ43" i="70"/>
  <c r="GR43" i="70"/>
  <c r="GR44" i="70" s="1"/>
  <c r="GS43" i="70"/>
  <c r="GS45" i="70" s="1"/>
  <c r="GS44" i="70"/>
  <c r="GT43" i="70"/>
  <c r="GT44" i="70" s="1"/>
  <c r="GU43" i="70"/>
  <c r="GU44" i="70" s="1"/>
  <c r="GV43" i="70"/>
  <c r="GV44" i="70" s="1"/>
  <c r="GW43" i="70"/>
  <c r="GW44" i="70" s="1"/>
  <c r="GX43" i="70"/>
  <c r="GY43" i="70"/>
  <c r="GY44" i="70" s="1"/>
  <c r="GZ43" i="70"/>
  <c r="GZ44" i="70" s="1"/>
  <c r="HA43" i="70"/>
  <c r="HA44" i="70" s="1"/>
  <c r="HB43" i="70"/>
  <c r="HC43" i="70"/>
  <c r="HC44" i="70" s="1"/>
  <c r="HD43" i="70"/>
  <c r="HD44" i="70" s="1"/>
  <c r="HE43" i="70"/>
  <c r="HE44" i="70" s="1"/>
  <c r="HF43" i="70"/>
  <c r="HG43" i="70"/>
  <c r="HG44" i="70" s="1"/>
  <c r="HH43" i="70"/>
  <c r="HH44" i="70" s="1"/>
  <c r="HI43" i="70"/>
  <c r="HJ43" i="70"/>
  <c r="HJ44" i="70" s="1"/>
  <c r="HK43" i="70"/>
  <c r="HK44" i="70" s="1"/>
  <c r="HL43" i="70"/>
  <c r="HL44" i="70" s="1"/>
  <c r="HM43" i="70"/>
  <c r="HM44" i="70" s="1"/>
  <c r="HN43" i="70"/>
  <c r="HN44" i="70" s="1"/>
  <c r="HO43" i="70"/>
  <c r="HO44" i="70" s="1"/>
  <c r="HP43" i="70"/>
  <c r="HP44" i="70" s="1"/>
  <c r="HQ43" i="70"/>
  <c r="HQ44" i="70" s="1"/>
  <c r="HR43" i="70"/>
  <c r="HT43" i="70"/>
  <c r="HT44" i="70" s="1"/>
  <c r="HU43" i="70"/>
  <c r="HU44" i="70" s="1"/>
  <c r="JA43" i="70"/>
  <c r="JA44" i="70" s="1"/>
  <c r="JB43" i="70"/>
  <c r="JC43" i="70"/>
  <c r="JD43" i="70"/>
  <c r="JD44" i="70" s="1"/>
  <c r="JE43" i="70"/>
  <c r="JF45" i="70" s="1"/>
  <c r="JF43" i="70"/>
  <c r="JG43" i="70"/>
  <c r="JG45" i="70" s="1"/>
  <c r="JH43" i="70"/>
  <c r="JI43" i="70"/>
  <c r="FD43" i="70"/>
  <c r="AE37" i="21"/>
  <c r="AE49" i="21" s="1"/>
  <c r="FW85" i="110"/>
  <c r="FX85" i="110"/>
  <c r="FX86" i="110" s="1"/>
  <c r="FY85" i="110"/>
  <c r="FY86" i="110" s="1"/>
  <c r="FY89" i="110" s="1"/>
  <c r="L37" i="21"/>
  <c r="M37" i="21" s="1"/>
  <c r="G12" i="108"/>
  <c r="F11" i="108"/>
  <c r="J128" i="28"/>
  <c r="E11" i="108"/>
  <c r="J127" i="28"/>
  <c r="D11" i="108"/>
  <c r="J126" i="28"/>
  <c r="C11" i="108"/>
  <c r="J125" i="28"/>
  <c r="J129" i="28"/>
  <c r="F10" i="108"/>
  <c r="I128" i="28"/>
  <c r="E10" i="108"/>
  <c r="I127" i="28"/>
  <c r="D10" i="108"/>
  <c r="I126" i="28"/>
  <c r="C10" i="108"/>
  <c r="I125" i="28"/>
  <c r="I129" i="28"/>
  <c r="F9" i="108"/>
  <c r="H128" i="28"/>
  <c r="E9" i="108"/>
  <c r="H127" i="28"/>
  <c r="D9" i="108"/>
  <c r="H126" i="28"/>
  <c r="C9" i="108"/>
  <c r="H125" i="28"/>
  <c r="H129" i="28"/>
  <c r="F8" i="108"/>
  <c r="G128" i="28"/>
  <c r="E8" i="108"/>
  <c r="G127" i="28"/>
  <c r="D8" i="108"/>
  <c r="G126" i="28"/>
  <c r="C8" i="108"/>
  <c r="G125" i="28"/>
  <c r="G129" i="28"/>
  <c r="AD32" i="21"/>
  <c r="AD33" i="21"/>
  <c r="AD34" i="21"/>
  <c r="AD35" i="21"/>
  <c r="AE32" i="21"/>
  <c r="AE39" i="21" s="1"/>
  <c r="AE33" i="21"/>
  <c r="AE41" i="21" s="1"/>
  <c r="AE34" i="21"/>
  <c r="AE35" i="21"/>
  <c r="AE36" i="21"/>
  <c r="AE47" i="21" s="1"/>
  <c r="AW7" i="21"/>
  <c r="N244" i="59"/>
  <c r="M244" i="59"/>
  <c r="M245" i="59" s="1"/>
  <c r="L244" i="59"/>
  <c r="L245" i="59" s="1"/>
  <c r="K244" i="59"/>
  <c r="J244" i="59"/>
  <c r="I244" i="59"/>
  <c r="H244" i="59"/>
  <c r="G244" i="59"/>
  <c r="G245" i="59"/>
  <c r="F244" i="59"/>
  <c r="F245" i="59" s="1"/>
  <c r="E244" i="59"/>
  <c r="E245" i="59" s="1"/>
  <c r="D244" i="59"/>
  <c r="D245" i="59" s="1"/>
  <c r="C244" i="59"/>
  <c r="C243" i="59"/>
  <c r="N243" i="59"/>
  <c r="M243" i="59"/>
  <c r="L243" i="59"/>
  <c r="K243" i="59"/>
  <c r="J243" i="59"/>
  <c r="I243" i="59"/>
  <c r="H243" i="59"/>
  <c r="G243" i="59"/>
  <c r="F243" i="59"/>
  <c r="E243" i="59"/>
  <c r="D243" i="59"/>
  <c r="N240" i="59"/>
  <c r="M240" i="59"/>
  <c r="M241" i="59" s="1"/>
  <c r="L240" i="59"/>
  <c r="L241" i="59" s="1"/>
  <c r="K240" i="59"/>
  <c r="J240" i="59"/>
  <c r="J241" i="59" s="1"/>
  <c r="I240" i="59"/>
  <c r="H240" i="59"/>
  <c r="H241" i="59" s="1"/>
  <c r="G240" i="59"/>
  <c r="F240" i="59"/>
  <c r="E240" i="59"/>
  <c r="E241" i="59"/>
  <c r="D240" i="59"/>
  <c r="D241" i="59" s="1"/>
  <c r="N239" i="59"/>
  <c r="M239" i="59"/>
  <c r="L239" i="59"/>
  <c r="K239" i="59"/>
  <c r="J239" i="59"/>
  <c r="I239" i="59"/>
  <c r="H239" i="59"/>
  <c r="G239" i="59"/>
  <c r="F239" i="59"/>
  <c r="E239" i="59"/>
  <c r="D239" i="59"/>
  <c r="M72" i="109"/>
  <c r="M69" i="109"/>
  <c r="G81" i="109"/>
  <c r="L69" i="109"/>
  <c r="L44" i="109"/>
  <c r="H81" i="109"/>
  <c r="M71" i="109"/>
  <c r="M75" i="109"/>
  <c r="G10" i="108"/>
  <c r="G11" i="108"/>
  <c r="G9" i="108"/>
  <c r="G8" i="108"/>
  <c r="FV86" i="110"/>
  <c r="FV91" i="110" s="1"/>
  <c r="JE57" i="110"/>
  <c r="JO57" i="110"/>
  <c r="JC57" i="110"/>
  <c r="JL57" i="110"/>
  <c r="JE65" i="110"/>
  <c r="EW90" i="110"/>
  <c r="EW92" i="110"/>
  <c r="EW86" i="110"/>
  <c r="HZ54" i="110"/>
  <c r="HZ90" i="110"/>
  <c r="JC59" i="110"/>
  <c r="JL59" i="110"/>
  <c r="JG73" i="110"/>
  <c r="JE76" i="110"/>
  <c r="JD70" i="110"/>
  <c r="JE71" i="110"/>
  <c r="HR90" i="110"/>
  <c r="JD61" i="110"/>
  <c r="JP64" i="110"/>
  <c r="JC67" i="110"/>
  <c r="JL67" i="110"/>
  <c r="JE69" i="110"/>
  <c r="JE70" i="110"/>
  <c r="HR11" i="110"/>
  <c r="IV89" i="110"/>
  <c r="IV86" i="110"/>
  <c r="JE53" i="110"/>
  <c r="JM61" i="110"/>
  <c r="JK61" i="110"/>
  <c r="JE75" i="110"/>
  <c r="JE78" i="110"/>
  <c r="JE62" i="110"/>
  <c r="JE63" i="110"/>
  <c r="JM53" i="110"/>
  <c r="IC90" i="110"/>
  <c r="IT90" i="110"/>
  <c r="IT92" i="110"/>
  <c r="JD56" i="110"/>
  <c r="JM57" i="110"/>
  <c r="JK57" i="110"/>
  <c r="JE58" i="110"/>
  <c r="JE60" i="110"/>
  <c r="JO65" i="110"/>
  <c r="JC65" i="110"/>
  <c r="JL65" i="110"/>
  <c r="JQ65" i="110"/>
  <c r="JE73" i="110"/>
  <c r="JE74" i="110"/>
  <c r="JK53" i="110"/>
  <c r="IT44" i="110"/>
  <c r="HP44" i="110"/>
  <c r="HM90" i="110"/>
  <c r="HM92" i="110"/>
  <c r="HU90" i="110"/>
  <c r="JE56" i="110"/>
  <c r="JQ57" i="110"/>
  <c r="JE59" i="110"/>
  <c r="JF60" i="110"/>
  <c r="JN62" i="110"/>
  <c r="JE68" i="110"/>
  <c r="JP68" i="110"/>
  <c r="JG72" i="110"/>
  <c r="JE55" i="110"/>
  <c r="JO60" i="110"/>
  <c r="JN60" i="110"/>
  <c r="JO61" i="110"/>
  <c r="JC61" i="110"/>
  <c r="JL61" i="110"/>
  <c r="JC63" i="110"/>
  <c r="JL63" i="110"/>
  <c r="JE77" i="110"/>
  <c r="JE80" i="110"/>
  <c r="JN54" i="110"/>
  <c r="IX90" i="110"/>
  <c r="JP54" i="110"/>
  <c r="IW90" i="110"/>
  <c r="JM54" i="110"/>
  <c r="JO56" i="110"/>
  <c r="JN56" i="110"/>
  <c r="JE67" i="110"/>
  <c r="JE72" i="110"/>
  <c r="JP72" i="110"/>
  <c r="JD76" i="110"/>
  <c r="ET87" i="110"/>
  <c r="ET89" i="110"/>
  <c r="HJ91" i="110"/>
  <c r="JF66" i="110"/>
  <c r="JQ69" i="110"/>
  <c r="HG90" i="110"/>
  <c r="HG92" i="110"/>
  <c r="HQ90" i="110"/>
  <c r="HQ92" i="110"/>
  <c r="HY90" i="110"/>
  <c r="IG90" i="110"/>
  <c r="IG92" i="110"/>
  <c r="JN55" i="110"/>
  <c r="JC56" i="110"/>
  <c r="JL56" i="110"/>
  <c r="JG58" i="110"/>
  <c r="JP58" i="110"/>
  <c r="JN59" i="110"/>
  <c r="JC60" i="110"/>
  <c r="JL60" i="110"/>
  <c r="JP62" i="110"/>
  <c r="JN63" i="110"/>
  <c r="JC64" i="110"/>
  <c r="JL64" i="110"/>
  <c r="JP66" i="110"/>
  <c r="JN67" i="110"/>
  <c r="JC68" i="110"/>
  <c r="JL68" i="110"/>
  <c r="JP70" i="110"/>
  <c r="JN71" i="110"/>
  <c r="JC72" i="110"/>
  <c r="JL72" i="110"/>
  <c r="JP74" i="110"/>
  <c r="JN75" i="110"/>
  <c r="JC76" i="110"/>
  <c r="JL76" i="110"/>
  <c r="JP78" i="110"/>
  <c r="JN79" i="110"/>
  <c r="JN80" i="110"/>
  <c r="JQ83" i="110"/>
  <c r="HV85" i="110"/>
  <c r="EI86" i="110"/>
  <c r="EU86" i="110"/>
  <c r="HZ85" i="110"/>
  <c r="FH86" i="110"/>
  <c r="FH89" i="110" s="1"/>
  <c r="EX89" i="110"/>
  <c r="EX87" i="110"/>
  <c r="HK91" i="110"/>
  <c r="HK87" i="110"/>
  <c r="HO87" i="110"/>
  <c r="HS87" i="110"/>
  <c r="FI92" i="110"/>
  <c r="IR91" i="110"/>
  <c r="BR92" i="110"/>
  <c r="ED92" i="110"/>
  <c r="JC80" i="110"/>
  <c r="JL80" i="110"/>
  <c r="HR91" i="110"/>
  <c r="BJ92" i="110"/>
  <c r="IY90" i="110"/>
  <c r="IY92" i="110"/>
  <c r="JQ54" i="110"/>
  <c r="JO55" i="110"/>
  <c r="JM56" i="110"/>
  <c r="JO59" i="110"/>
  <c r="JM60" i="110"/>
  <c r="JO63" i="110"/>
  <c r="JM64" i="110"/>
  <c r="JO67" i="110"/>
  <c r="JM68" i="110"/>
  <c r="JO71" i="110"/>
  <c r="JM72" i="110"/>
  <c r="JO75" i="110"/>
  <c r="JM76" i="110"/>
  <c r="JK77" i="110"/>
  <c r="IS87" i="110"/>
  <c r="IS91" i="110"/>
  <c r="GH92" i="110"/>
  <c r="GP92" i="110"/>
  <c r="GX92" i="110"/>
  <c r="HF92" i="110"/>
  <c r="BZ92" i="110"/>
  <c r="EL92" i="110"/>
  <c r="JD71" i="110"/>
  <c r="JQ73" i="110"/>
  <c r="JQ77" i="110"/>
  <c r="DV92" i="110"/>
  <c r="IT89" i="110"/>
  <c r="IT86" i="110"/>
  <c r="HK90" i="110"/>
  <c r="HS90" i="110"/>
  <c r="IA90" i="110"/>
  <c r="IA92" i="110"/>
  <c r="II90" i="110"/>
  <c r="IZ90" i="110"/>
  <c r="IZ92" i="110"/>
  <c r="JC69" i="110"/>
  <c r="JL69" i="110"/>
  <c r="JC73" i="110"/>
  <c r="JL73" i="110"/>
  <c r="JP75" i="110"/>
  <c r="JN76" i="110"/>
  <c r="JC77" i="110"/>
  <c r="JL77" i="110"/>
  <c r="JP79" i="110"/>
  <c r="JQ80" i="110"/>
  <c r="JM81" i="110"/>
  <c r="JD82" i="110"/>
  <c r="JE82" i="110"/>
  <c r="HM91" i="110"/>
  <c r="IA86" i="110"/>
  <c r="CH92" i="110"/>
  <c r="ET92" i="110"/>
  <c r="IU89" i="110"/>
  <c r="IU86" i="110"/>
  <c r="JD64" i="110"/>
  <c r="HL90" i="110"/>
  <c r="HT90" i="110"/>
  <c r="IB90" i="110"/>
  <c r="IB92" i="110"/>
  <c r="IJ90" i="110"/>
  <c r="IJ92" i="110"/>
  <c r="JA90" i="110"/>
  <c r="JQ55" i="110"/>
  <c r="JQ59" i="110"/>
  <c r="JK62" i="110"/>
  <c r="JQ63" i="110"/>
  <c r="JO64" i="110"/>
  <c r="JM65" i="110"/>
  <c r="JK66" i="110"/>
  <c r="JQ67" i="110"/>
  <c r="JO68" i="110"/>
  <c r="JM69" i="110"/>
  <c r="JK70" i="110"/>
  <c r="JQ71" i="110"/>
  <c r="JO72" i="110"/>
  <c r="JM73" i="110"/>
  <c r="JK74" i="110"/>
  <c r="JQ75" i="110"/>
  <c r="JO76" i="110"/>
  <c r="JM77" i="110"/>
  <c r="JK78" i="110"/>
  <c r="JQ79" i="110"/>
  <c r="JN81" i="110"/>
  <c r="EL87" i="110"/>
  <c r="HW86" i="110"/>
  <c r="HN91" i="110"/>
  <c r="AD92" i="110"/>
  <c r="CP92" i="110"/>
  <c r="FB92" i="110"/>
  <c r="JD83" i="110"/>
  <c r="HN90" i="110"/>
  <c r="HN92" i="110"/>
  <c r="HV90" i="110"/>
  <c r="HV92" i="110"/>
  <c r="IU90" i="110"/>
  <c r="IU92" i="110"/>
  <c r="JD54" i="110"/>
  <c r="JM78" i="110"/>
  <c r="JN82" i="110"/>
  <c r="HU86" i="110"/>
  <c r="EF87" i="110"/>
  <c r="HX86" i="110"/>
  <c r="HP91" i="110"/>
  <c r="GL92" i="110"/>
  <c r="GL91" i="110"/>
  <c r="GT92" i="110"/>
  <c r="GT91" i="110"/>
  <c r="HB92" i="110"/>
  <c r="HB91" i="110"/>
  <c r="IQ92" i="110"/>
  <c r="IP92" i="110"/>
  <c r="AT92" i="110"/>
  <c r="DF92" i="110"/>
  <c r="FR92" i="110"/>
  <c r="AL92" i="110"/>
  <c r="CX92" i="110"/>
  <c r="IW89" i="110"/>
  <c r="IW86" i="110"/>
  <c r="ID90" i="110"/>
  <c r="ID92" i="110"/>
  <c r="IX89" i="110"/>
  <c r="IX86" i="110"/>
  <c r="JF67" i="110"/>
  <c r="IX85" i="110"/>
  <c r="EV90" i="110"/>
  <c r="EV92" i="110"/>
  <c r="EV86" i="110"/>
  <c r="HO90" i="110"/>
  <c r="HO92" i="110"/>
  <c r="HW90" i="110"/>
  <c r="HW92" i="110"/>
  <c r="IE90" i="110"/>
  <c r="IV90" i="110"/>
  <c r="IV92" i="110"/>
  <c r="JE54" i="110"/>
  <c r="JC79" i="110"/>
  <c r="JL79" i="110"/>
  <c r="JF83" i="110"/>
  <c r="ER89" i="110"/>
  <c r="HY86" i="110"/>
  <c r="ER87" i="110"/>
  <c r="JE85" i="110"/>
  <c r="HG91" i="110"/>
  <c r="HQ91" i="110"/>
  <c r="BB92" i="110"/>
  <c r="DN92" i="110"/>
  <c r="FZ92" i="110"/>
  <c r="JQ81" i="110"/>
  <c r="JF82" i="110"/>
  <c r="JO82" i="110"/>
  <c r="JM83" i="110"/>
  <c r="HM87" i="110"/>
  <c r="IM87" i="110"/>
  <c r="IR89" i="110"/>
  <c r="GG91" i="110"/>
  <c r="GO91" i="110"/>
  <c r="GW91" i="110"/>
  <c r="HE91" i="110"/>
  <c r="JE83" i="110"/>
  <c r="HY85" i="110"/>
  <c r="IW85" i="110"/>
  <c r="EO87" i="110"/>
  <c r="HN87" i="110"/>
  <c r="IN87" i="110"/>
  <c r="HG87" i="110"/>
  <c r="IN92" i="110"/>
  <c r="EY87" i="110"/>
  <c r="HP87" i="110"/>
  <c r="IP87" i="110"/>
  <c r="GJ91" i="110"/>
  <c r="GR91" i="110"/>
  <c r="GZ91" i="110"/>
  <c r="HH91" i="110"/>
  <c r="EZ87" i="110"/>
  <c r="HQ87" i="110"/>
  <c r="IQ87" i="110"/>
  <c r="GK91" i="110"/>
  <c r="GS91" i="110"/>
  <c r="HA91" i="110"/>
  <c r="HI91" i="110"/>
  <c r="HU85" i="110"/>
  <c r="HJ87" i="110"/>
  <c r="HR87" i="110"/>
  <c r="M45" i="109"/>
  <c r="L47" i="109"/>
  <c r="M49" i="109"/>
  <c r="C56" i="109"/>
  <c r="L43" i="109"/>
  <c r="M43" i="109"/>
  <c r="E81" i="109"/>
  <c r="M46" i="109"/>
  <c r="F81" i="109"/>
  <c r="D56" i="109"/>
  <c r="D57" i="109"/>
  <c r="J135" i="28"/>
  <c r="E56" i="109"/>
  <c r="I81" i="109"/>
  <c r="H82" i="109"/>
  <c r="I137" i="28"/>
  <c r="M70" i="109"/>
  <c r="F56" i="109"/>
  <c r="L64" i="109"/>
  <c r="L65" i="109"/>
  <c r="L66" i="109"/>
  <c r="L67" i="109"/>
  <c r="L68" i="109"/>
  <c r="G56" i="109"/>
  <c r="L40" i="109"/>
  <c r="L41" i="109"/>
  <c r="L48" i="109"/>
  <c r="M64" i="109"/>
  <c r="M65" i="109"/>
  <c r="M66" i="109"/>
  <c r="M67" i="109"/>
  <c r="L74" i="109"/>
  <c r="H56" i="109"/>
  <c r="M40" i="109"/>
  <c r="M41" i="109"/>
  <c r="L42" i="109"/>
  <c r="D81" i="109"/>
  <c r="D82" i="109"/>
  <c r="I135" i="28"/>
  <c r="I56" i="109"/>
  <c r="L73" i="109"/>
  <c r="B56" i="109"/>
  <c r="B57" i="109"/>
  <c r="J134" i="28"/>
  <c r="L39" i="109"/>
  <c r="L38" i="109"/>
  <c r="B81" i="109"/>
  <c r="M38" i="109"/>
  <c r="C81" i="109"/>
  <c r="AE43" i="21"/>
  <c r="AE45" i="21"/>
  <c r="E226" i="59"/>
  <c r="E231" i="59" s="1"/>
  <c r="F226" i="59"/>
  <c r="F231" i="59" s="1"/>
  <c r="F82" i="109"/>
  <c r="I136" i="28"/>
  <c r="F57" i="109"/>
  <c r="J136" i="28"/>
  <c r="IA91" i="110"/>
  <c r="IA87" i="110"/>
  <c r="JG82" i="110"/>
  <c r="HS92" i="110"/>
  <c r="HZ86" i="110"/>
  <c r="EU89" i="110"/>
  <c r="EU87" i="110"/>
  <c r="JG70" i="110"/>
  <c r="JD72" i="110"/>
  <c r="JF81" i="110"/>
  <c r="JF69" i="110"/>
  <c r="JF75" i="110"/>
  <c r="JF63" i="110"/>
  <c r="JD74" i="110"/>
  <c r="JF65" i="110"/>
  <c r="JG60" i="110"/>
  <c r="JF72" i="110"/>
  <c r="JG55" i="110"/>
  <c r="JG59" i="110"/>
  <c r="JG77" i="110"/>
  <c r="JG85" i="110"/>
  <c r="JN85" i="110"/>
  <c r="HT92" i="110"/>
  <c r="HT91" i="110"/>
  <c r="HK92" i="110"/>
  <c r="JG83" i="110"/>
  <c r="EI87" i="110"/>
  <c r="HV86" i="110"/>
  <c r="JF73" i="110"/>
  <c r="IW92" i="110"/>
  <c r="JD80" i="110"/>
  <c r="JD58" i="110"/>
  <c r="JF61" i="110"/>
  <c r="IC92" i="110"/>
  <c r="JD60" i="110"/>
  <c r="JF79" i="110"/>
  <c r="JG67" i="110"/>
  <c r="HX92" i="110"/>
  <c r="IX91" i="110"/>
  <c r="JN86" i="110"/>
  <c r="IX87" i="110"/>
  <c r="JF53" i="110"/>
  <c r="JG76" i="110"/>
  <c r="JF58" i="110"/>
  <c r="JG53" i="110"/>
  <c r="HX91" i="110"/>
  <c r="HX87" i="110"/>
  <c r="HL92" i="110"/>
  <c r="HL91" i="110"/>
  <c r="JF80" i="110"/>
  <c r="IT91" i="110"/>
  <c r="IT87" i="110"/>
  <c r="JD79" i="110"/>
  <c r="HS91" i="110"/>
  <c r="JG62" i="110"/>
  <c r="JG54" i="110"/>
  <c r="JG69" i="110"/>
  <c r="JF59" i="110"/>
  <c r="JF57" i="110"/>
  <c r="JG71" i="110"/>
  <c r="JD57" i="110"/>
  <c r="JD78" i="110"/>
  <c r="JE64" i="110"/>
  <c r="HR92" i="110"/>
  <c r="JE66" i="110"/>
  <c r="HP92" i="110"/>
  <c r="HO91" i="110"/>
  <c r="IU91" i="110"/>
  <c r="IU87" i="110"/>
  <c r="JD85" i="110"/>
  <c r="JD55" i="110"/>
  <c r="JD59" i="110"/>
  <c r="JD63" i="110"/>
  <c r="JG74" i="110"/>
  <c r="JF78" i="110"/>
  <c r="JF68" i="110"/>
  <c r="JG57" i="110"/>
  <c r="JG78" i="110"/>
  <c r="JG56" i="110"/>
  <c r="JD68" i="110"/>
  <c r="JD69" i="110"/>
  <c r="JD53" i="110"/>
  <c r="JD65" i="110"/>
  <c r="HZ92" i="110"/>
  <c r="JF55" i="110"/>
  <c r="JF85" i="110"/>
  <c r="JM85" i="110"/>
  <c r="IE92" i="110"/>
  <c r="JD75" i="110"/>
  <c r="JF70" i="110"/>
  <c r="JD81" i="110"/>
  <c r="HY92" i="110"/>
  <c r="JF74" i="110"/>
  <c r="IX92" i="110"/>
  <c r="JF56" i="110"/>
  <c r="JD77" i="110"/>
  <c r="JG63" i="110"/>
  <c r="JG68" i="110"/>
  <c r="IV91" i="110"/>
  <c r="IV87" i="110"/>
  <c r="JK86" i="110"/>
  <c r="JE81" i="110"/>
  <c r="JE61" i="110"/>
  <c r="JF71" i="110"/>
  <c r="JF62" i="110"/>
  <c r="JE79" i="110"/>
  <c r="JG80" i="110"/>
  <c r="JG64" i="110"/>
  <c r="EW89" i="110"/>
  <c r="EW87" i="110"/>
  <c r="IF92" i="110"/>
  <c r="HY91" i="110"/>
  <c r="HY87" i="110"/>
  <c r="IW91" i="110"/>
  <c r="JM86" i="110"/>
  <c r="IW87" i="110"/>
  <c r="FH92" i="110"/>
  <c r="FH91" i="110"/>
  <c r="JG66" i="110"/>
  <c r="JD66" i="110"/>
  <c r="JG75" i="110"/>
  <c r="HU92" i="110"/>
  <c r="JG79" i="110"/>
  <c r="JG65" i="110"/>
  <c r="JD62" i="110"/>
  <c r="JF76" i="110"/>
  <c r="JF54" i="110"/>
  <c r="EV89" i="110"/>
  <c r="EV87" i="110"/>
  <c r="HU91" i="110"/>
  <c r="HU87" i="110"/>
  <c r="HW91" i="110"/>
  <c r="HW87" i="110"/>
  <c r="II92" i="110"/>
  <c r="JG81" i="110"/>
  <c r="JD67" i="110"/>
  <c r="JF77" i="110"/>
  <c r="JD73" i="110"/>
  <c r="JG61" i="110"/>
  <c r="IH92" i="110"/>
  <c r="JF64" i="110"/>
  <c r="L56" i="109"/>
  <c r="L81" i="109"/>
  <c r="M81" i="109"/>
  <c r="H57" i="109"/>
  <c r="J137" i="28"/>
  <c r="M56" i="109"/>
  <c r="B82" i="109"/>
  <c r="C21" i="21"/>
  <c r="K35" i="28"/>
  <c r="K36" i="28"/>
  <c r="L82" i="109"/>
  <c r="I134" i="28"/>
  <c r="J141" i="28"/>
  <c r="L57" i="109"/>
  <c r="HZ91" i="110"/>
  <c r="HZ87" i="110"/>
  <c r="HV91" i="110"/>
  <c r="HV87" i="110"/>
  <c r="AF37" i="21"/>
  <c r="AF49" i="21"/>
  <c r="M5" i="72"/>
  <c r="M8" i="72"/>
  <c r="B6" i="72"/>
  <c r="C6" i="72"/>
  <c r="N6" i="72"/>
  <c r="O6" i="72"/>
  <c r="L7" i="72"/>
  <c r="M7" i="72"/>
  <c r="G8" i="72"/>
  <c r="H8" i="72"/>
  <c r="I8" i="72"/>
  <c r="J8" i="72"/>
  <c r="K8" i="72"/>
  <c r="L8" i="72"/>
  <c r="O8" i="72"/>
  <c r="G9" i="72"/>
  <c r="H9" i="72"/>
  <c r="I9" i="72"/>
  <c r="J9" i="72"/>
  <c r="K9" i="72"/>
  <c r="L9" i="72"/>
  <c r="M9" i="72"/>
  <c r="N9" i="72"/>
  <c r="O9" i="72"/>
  <c r="G10" i="72"/>
  <c r="H10" i="72"/>
  <c r="I10" i="72"/>
  <c r="J10" i="72"/>
  <c r="K10" i="72"/>
  <c r="L10" i="72"/>
  <c r="M10" i="72"/>
  <c r="N10" i="72"/>
  <c r="O10" i="72"/>
  <c r="N8" i="72"/>
  <c r="FP38" i="70"/>
  <c r="KJ34" i="70"/>
  <c r="KJ6" i="70"/>
  <c r="HU40" i="70"/>
  <c r="HT40" i="70"/>
  <c r="HR40" i="70"/>
  <c r="HQ40" i="70"/>
  <c r="HP40" i="70"/>
  <c r="HO40" i="70"/>
  <c r="HN40" i="70"/>
  <c r="HM40" i="70"/>
  <c r="HL40" i="70"/>
  <c r="HK40" i="70"/>
  <c r="HJ40" i="70"/>
  <c r="HI40" i="70"/>
  <c r="HH40" i="70"/>
  <c r="HG40" i="70"/>
  <c r="HF40" i="70"/>
  <c r="HE40" i="70"/>
  <c r="HD40" i="70"/>
  <c r="HC40" i="70"/>
  <c r="HB40" i="70"/>
  <c r="HA40" i="70"/>
  <c r="GZ40" i="70"/>
  <c r="GY40" i="70"/>
  <c r="GX40" i="70"/>
  <c r="GW40" i="70"/>
  <c r="GV40" i="70"/>
  <c r="GU40" i="70"/>
  <c r="GT40" i="70"/>
  <c r="GS40" i="70"/>
  <c r="D43" i="70"/>
  <c r="KK34" i="70"/>
  <c r="FQ38" i="70"/>
  <c r="FQ39" i="70" s="1"/>
  <c r="KK6" i="70"/>
  <c r="KB6" i="70"/>
  <c r="IS7" i="70"/>
  <c r="IT7" i="70"/>
  <c r="IU7" i="70"/>
  <c r="IV7" i="70"/>
  <c r="IS9" i="70"/>
  <c r="IT9" i="70"/>
  <c r="IU9" i="70"/>
  <c r="IV9" i="70"/>
  <c r="IS8" i="70"/>
  <c r="IT8" i="70"/>
  <c r="IU8" i="70"/>
  <c r="IV8" i="70"/>
  <c r="IS10" i="70"/>
  <c r="IT10" i="70"/>
  <c r="IU10" i="70"/>
  <c r="IV10" i="70"/>
  <c r="IS14" i="70"/>
  <c r="IT14" i="70"/>
  <c r="IU14" i="70"/>
  <c r="IV14" i="70"/>
  <c r="IS19" i="70"/>
  <c r="IT19" i="70"/>
  <c r="IU19" i="70"/>
  <c r="IV19" i="70"/>
  <c r="IS11" i="70"/>
  <c r="IT11" i="70"/>
  <c r="IU11" i="70"/>
  <c r="IV11" i="70"/>
  <c r="IS25" i="70"/>
  <c r="IT25" i="70"/>
  <c r="IU25" i="70"/>
  <c r="IV25" i="70"/>
  <c r="IS20" i="70"/>
  <c r="IT20" i="70"/>
  <c r="IU20" i="70"/>
  <c r="IV20" i="70"/>
  <c r="IS12" i="70"/>
  <c r="IT12" i="70"/>
  <c r="IU12" i="70"/>
  <c r="IV12" i="70"/>
  <c r="IS13" i="70"/>
  <c r="IT13" i="70"/>
  <c r="IU13" i="70"/>
  <c r="IV13" i="70"/>
  <c r="IS16" i="70"/>
  <c r="IT16" i="70"/>
  <c r="IU16" i="70"/>
  <c r="IV16" i="70"/>
  <c r="IS22" i="70"/>
  <c r="IT22" i="70"/>
  <c r="IU22" i="70"/>
  <c r="IV22" i="70"/>
  <c r="IS18" i="70"/>
  <c r="IT18" i="70"/>
  <c r="IU18" i="70"/>
  <c r="IV18" i="70"/>
  <c r="IS21" i="70"/>
  <c r="IT21" i="70"/>
  <c r="IU21" i="70"/>
  <c r="IV21" i="70"/>
  <c r="IS15" i="70"/>
  <c r="IT15" i="70"/>
  <c r="IU15" i="70"/>
  <c r="IV15" i="70"/>
  <c r="IS17" i="70"/>
  <c r="IT17" i="70"/>
  <c r="IU17" i="70"/>
  <c r="IV17" i="70"/>
  <c r="IS23" i="70"/>
  <c r="IT23" i="70"/>
  <c r="IU23" i="70"/>
  <c r="IV23" i="70"/>
  <c r="IS36" i="70"/>
  <c r="IT36" i="70"/>
  <c r="IU36" i="70"/>
  <c r="IV36" i="70"/>
  <c r="IS29" i="70"/>
  <c r="IT29" i="70"/>
  <c r="IU29" i="70"/>
  <c r="IV29" i="70"/>
  <c r="IS26" i="70"/>
  <c r="IT26" i="70"/>
  <c r="IU26" i="70"/>
  <c r="IV26" i="70"/>
  <c r="IS35" i="70"/>
  <c r="IT35" i="70"/>
  <c r="IU35" i="70"/>
  <c r="IV35" i="70"/>
  <c r="IS24" i="70"/>
  <c r="IT24" i="70"/>
  <c r="IU24" i="70"/>
  <c r="IV24" i="70"/>
  <c r="IS28" i="70"/>
  <c r="IT28" i="70"/>
  <c r="IU28" i="70"/>
  <c r="IV28" i="70"/>
  <c r="IS37" i="70"/>
  <c r="IT37" i="70"/>
  <c r="IU37" i="70"/>
  <c r="IV37" i="70"/>
  <c r="IS30" i="70"/>
  <c r="IT30" i="70"/>
  <c r="IU30" i="70"/>
  <c r="IV30" i="70"/>
  <c r="IS27" i="70"/>
  <c r="IT27" i="70"/>
  <c r="IU27" i="70"/>
  <c r="IV27" i="70"/>
  <c r="IS31" i="70"/>
  <c r="IT31" i="70"/>
  <c r="IU31" i="70"/>
  <c r="IV31" i="70"/>
  <c r="IS32" i="70"/>
  <c r="IT32" i="70"/>
  <c r="IU32" i="70"/>
  <c r="IV32" i="70"/>
  <c r="IS33" i="70"/>
  <c r="IT33" i="70"/>
  <c r="IU33" i="70"/>
  <c r="IV33" i="70"/>
  <c r="FU45" i="70"/>
  <c r="FW45" i="70"/>
  <c r="C29" i="75"/>
  <c r="K64" i="28"/>
  <c r="J32" i="75"/>
  <c r="K65" i="28"/>
  <c r="O14" i="9"/>
  <c r="K66" i="28"/>
  <c r="K32" i="75"/>
  <c r="I9" i="28"/>
  <c r="J109" i="28"/>
  <c r="K109" i="28"/>
  <c r="K95" i="28"/>
  <c r="K97" i="28"/>
  <c r="K99" i="28"/>
  <c r="K100" i="28"/>
  <c r="K101" i="28"/>
  <c r="K103" i="28"/>
  <c r="E32" i="75"/>
  <c r="K112" i="28"/>
  <c r="J64" i="28"/>
  <c r="J29" i="75"/>
  <c r="J65" i="28"/>
  <c r="N14" i="9"/>
  <c r="L29" i="75"/>
  <c r="J66" i="28"/>
  <c r="K29" i="75"/>
  <c r="J49" i="28"/>
  <c r="I28" i="60"/>
  <c r="AF36" i="21"/>
  <c r="AF47" i="21" s="1"/>
  <c r="AF35" i="21"/>
  <c r="AF45" i="21" s="1"/>
  <c r="AG45" i="21" s="1"/>
  <c r="AF34" i="21"/>
  <c r="AF43" i="21" s="1"/>
  <c r="AF33" i="21"/>
  <c r="AF41" i="21" s="1"/>
  <c r="AF32" i="21"/>
  <c r="FR38" i="70"/>
  <c r="FS38" i="70"/>
  <c r="FS39" i="70" s="1"/>
  <c r="FT38" i="70"/>
  <c r="FT39" i="70" s="1"/>
  <c r="FU38" i="70"/>
  <c r="FU39" i="70" s="1"/>
  <c r="FU44" i="70" s="1"/>
  <c r="FV38" i="70"/>
  <c r="FV39" i="70" s="1"/>
  <c r="FW38" i="70"/>
  <c r="FW39" i="70" s="1"/>
  <c r="FX38" i="70"/>
  <c r="FX39" i="70" s="1"/>
  <c r="R2" i="21"/>
  <c r="R8" i="21" s="1"/>
  <c r="AF39" i="21"/>
  <c r="C240" i="59"/>
  <c r="C239" i="59"/>
  <c r="N230" i="59"/>
  <c r="M230" i="59"/>
  <c r="L230" i="59"/>
  <c r="K230" i="59"/>
  <c r="J230" i="59"/>
  <c r="I230" i="59"/>
  <c r="H230" i="59"/>
  <c r="G230" i="59"/>
  <c r="F230" i="59"/>
  <c r="E230" i="59"/>
  <c r="D230" i="59"/>
  <c r="C230" i="59"/>
  <c r="N229" i="59"/>
  <c r="M229" i="59"/>
  <c r="L229" i="59"/>
  <c r="K229" i="59"/>
  <c r="J229" i="59"/>
  <c r="I229" i="59"/>
  <c r="H229" i="59"/>
  <c r="G229" i="59"/>
  <c r="F229" i="59"/>
  <c r="E229" i="59"/>
  <c r="D229" i="59"/>
  <c r="C229" i="59"/>
  <c r="D226" i="59"/>
  <c r="C226" i="59"/>
  <c r="D250" i="59" s="1"/>
  <c r="P225" i="59"/>
  <c r="O225" i="59"/>
  <c r="O230" i="59" s="1"/>
  <c r="P224" i="59"/>
  <c r="O224" i="59"/>
  <c r="P223" i="59"/>
  <c r="P229" i="59" s="1"/>
  <c r="O223" i="59"/>
  <c r="O229" i="59" s="1"/>
  <c r="AW12" i="21"/>
  <c r="AW11" i="21"/>
  <c r="AW6" i="21"/>
  <c r="AV5" i="21"/>
  <c r="AV7" i="21"/>
  <c r="AV8" i="21"/>
  <c r="AV9" i="21"/>
  <c r="AV10" i="21"/>
  <c r="AV11" i="21"/>
  <c r="AV12" i="21"/>
  <c r="AV4" i="21"/>
  <c r="AU5" i="21"/>
  <c r="AU6" i="21"/>
  <c r="AU7" i="21"/>
  <c r="AU8" i="21"/>
  <c r="AU9" i="21"/>
  <c r="AU10" i="21"/>
  <c r="AU11" i="21"/>
  <c r="AU12" i="21"/>
  <c r="AU4" i="21"/>
  <c r="AE4" i="21"/>
  <c r="AW5" i="21"/>
  <c r="AW8" i="21"/>
  <c r="AW9" i="21"/>
  <c r="AW10" i="21"/>
  <c r="AV6" i="21"/>
  <c r="G34" i="97"/>
  <c r="G50" i="97"/>
  <c r="G49" i="97"/>
  <c r="F49" i="97"/>
  <c r="H48" i="97"/>
  <c r="K34" i="28"/>
  <c r="H47" i="97"/>
  <c r="G12" i="97"/>
  <c r="G33" i="97"/>
  <c r="K33" i="28"/>
  <c r="F33" i="97"/>
  <c r="K32" i="28"/>
  <c r="G11" i="97"/>
  <c r="K30" i="28"/>
  <c r="F11" i="97"/>
  <c r="K29" i="28"/>
  <c r="D6" i="97"/>
  <c r="D7" i="97"/>
  <c r="D8" i="97"/>
  <c r="D9" i="97"/>
  <c r="D10" i="97"/>
  <c r="C19" i="94"/>
  <c r="D19" i="94"/>
  <c r="E21" i="95"/>
  <c r="D21" i="95"/>
  <c r="C21" i="95"/>
  <c r="E18" i="95"/>
  <c r="D18" i="95"/>
  <c r="C18" i="95"/>
  <c r="E15" i="95"/>
  <c r="D15" i="95"/>
  <c r="C15" i="95"/>
  <c r="E12" i="95"/>
  <c r="D12" i="95"/>
  <c r="C12" i="95"/>
  <c r="D10" i="95"/>
  <c r="E10" i="95"/>
  <c r="C10" i="95"/>
  <c r="D5" i="95"/>
  <c r="E5" i="95"/>
  <c r="C5" i="95"/>
  <c r="K14" i="93"/>
  <c r="K13" i="93"/>
  <c r="K12" i="93"/>
  <c r="K11" i="93"/>
  <c r="K10" i="93"/>
  <c r="K9" i="93"/>
  <c r="K8" i="93"/>
  <c r="K7" i="93"/>
  <c r="C15" i="93"/>
  <c r="D15" i="93"/>
  <c r="E15" i="93"/>
  <c r="F15" i="93"/>
  <c r="G15" i="93"/>
  <c r="H15" i="93"/>
  <c r="I8" i="50"/>
  <c r="I5" i="50"/>
  <c r="I4" i="50"/>
  <c r="D11" i="49"/>
  <c r="E11" i="49"/>
  <c r="F11" i="49"/>
  <c r="G11" i="49"/>
  <c r="H11" i="49"/>
  <c r="I11" i="49"/>
  <c r="J11" i="49"/>
  <c r="K11" i="49"/>
  <c r="L11" i="49"/>
  <c r="M11" i="49"/>
  <c r="N11" i="49"/>
  <c r="O11" i="49"/>
  <c r="P11" i="49"/>
  <c r="Q11" i="49"/>
  <c r="Q12" i="49"/>
  <c r="K105" i="28"/>
  <c r="K98" i="28"/>
  <c r="K15" i="93"/>
  <c r="J18" i="94"/>
  <c r="J110" i="28"/>
  <c r="F29" i="75"/>
  <c r="K110" i="28"/>
  <c r="H18" i="94"/>
  <c r="J111" i="28"/>
  <c r="G29" i="75"/>
  <c r="K111" i="28"/>
  <c r="K114" i="28"/>
  <c r="Y4" i="49"/>
  <c r="H49" i="97"/>
  <c r="H33" i="97"/>
  <c r="H11" i="97"/>
  <c r="H16" i="94"/>
  <c r="J16" i="94"/>
  <c r="D16" i="93"/>
  <c r="C16" i="93"/>
  <c r="E16" i="93"/>
  <c r="G16" i="93"/>
  <c r="H16" i="93"/>
  <c r="F16" i="93"/>
  <c r="Y7" i="49"/>
  <c r="Y10" i="49"/>
  <c r="Y8" i="49"/>
  <c r="Y6" i="49"/>
  <c r="Y9" i="49"/>
  <c r="Y5" i="49"/>
  <c r="Y11" i="49"/>
  <c r="B63" i="60"/>
  <c r="C63" i="60"/>
  <c r="D63" i="60"/>
  <c r="E63" i="60"/>
  <c r="F63" i="60"/>
  <c r="G63" i="60"/>
  <c r="H63" i="60"/>
  <c r="C15" i="60"/>
  <c r="D15" i="60"/>
  <c r="E15" i="60"/>
  <c r="F15" i="60"/>
  <c r="G15" i="60"/>
  <c r="H15" i="60"/>
  <c r="J14" i="60"/>
  <c r="B15" i="60"/>
  <c r="F17" i="48"/>
  <c r="I10" i="97"/>
  <c r="I8" i="97"/>
  <c r="I7" i="97"/>
  <c r="I6" i="97"/>
  <c r="I9" i="97"/>
  <c r="G32" i="75"/>
  <c r="J11" i="60"/>
  <c r="J12" i="60"/>
  <c r="K31" i="28"/>
  <c r="H50" i="97"/>
  <c r="H51" i="97"/>
  <c r="K113" i="28"/>
  <c r="F32" i="75"/>
  <c r="I48" i="97"/>
  <c r="I47" i="97"/>
  <c r="H34" i="97"/>
  <c r="H35" i="97"/>
  <c r="I38" i="97"/>
  <c r="I28" i="97"/>
  <c r="I31" i="97"/>
  <c r="I32" i="97"/>
  <c r="I29" i="97"/>
  <c r="I30" i="97"/>
  <c r="F18" i="97"/>
  <c r="H12" i="97"/>
  <c r="H13" i="97"/>
  <c r="J10" i="60"/>
  <c r="J13" i="60"/>
  <c r="J9" i="60"/>
  <c r="I53" i="97"/>
  <c r="IO7" i="70"/>
  <c r="IP7" i="70"/>
  <c r="IQ7" i="70"/>
  <c r="IR7" i="70"/>
  <c r="IO9" i="70"/>
  <c r="IP9" i="70"/>
  <c r="IQ9" i="70"/>
  <c r="IR9" i="70"/>
  <c r="IO8" i="70"/>
  <c r="IP8" i="70"/>
  <c r="IQ8" i="70"/>
  <c r="IR8" i="70"/>
  <c r="IO10" i="70"/>
  <c r="IP10" i="70"/>
  <c r="IQ10" i="70"/>
  <c r="IR10" i="70"/>
  <c r="IO14" i="70"/>
  <c r="IP14" i="70"/>
  <c r="IQ14" i="70"/>
  <c r="IR14" i="70"/>
  <c r="IO19" i="70"/>
  <c r="IP19" i="70"/>
  <c r="IQ19" i="70"/>
  <c r="IR19" i="70"/>
  <c r="IO11" i="70"/>
  <c r="IP11" i="70"/>
  <c r="IQ11" i="70"/>
  <c r="IR11" i="70"/>
  <c r="IO25" i="70"/>
  <c r="IP25" i="70"/>
  <c r="IQ25" i="70"/>
  <c r="IR25" i="70"/>
  <c r="JO6" i="70"/>
  <c r="KK8" i="70"/>
  <c r="KK14" i="70"/>
  <c r="KK19" i="70"/>
  <c r="JO20" i="70"/>
  <c r="KK18" i="70"/>
  <c r="JO15" i="70"/>
  <c r="JO17" i="70"/>
  <c r="JO23" i="70"/>
  <c r="JO36" i="70"/>
  <c r="KK36" i="70" s="1"/>
  <c r="JO29" i="70"/>
  <c r="KK29" i="70" s="1"/>
  <c r="JO26" i="70"/>
  <c r="KK26" i="70" s="1"/>
  <c r="JO35" i="70"/>
  <c r="KK35" i="70" s="1"/>
  <c r="JO24" i="70"/>
  <c r="KK24" i="70" s="1"/>
  <c r="JO28" i="70"/>
  <c r="KK28" i="70" s="1"/>
  <c r="JO37" i="70"/>
  <c r="KK37" i="70" s="1"/>
  <c r="JO30" i="70"/>
  <c r="KK30" i="70" s="1"/>
  <c r="JO27" i="70"/>
  <c r="JO31" i="70"/>
  <c r="JO32" i="70"/>
  <c r="KK32" i="70" s="1"/>
  <c r="JO33" i="70"/>
  <c r="IO18" i="70"/>
  <c r="IP18" i="70"/>
  <c r="IQ18" i="70"/>
  <c r="IR18" i="70"/>
  <c r="IO21" i="70"/>
  <c r="IP21" i="70"/>
  <c r="IQ21" i="70"/>
  <c r="IR21" i="70"/>
  <c r="IO15" i="70"/>
  <c r="IP15" i="70"/>
  <c r="IQ15" i="70"/>
  <c r="IR15" i="70"/>
  <c r="IO17" i="70"/>
  <c r="IP17" i="70"/>
  <c r="IQ17" i="70"/>
  <c r="IR17" i="70"/>
  <c r="IO23" i="70"/>
  <c r="IP23" i="70"/>
  <c r="IQ23" i="70"/>
  <c r="IR23" i="70"/>
  <c r="IO36" i="70"/>
  <c r="IP36" i="70"/>
  <c r="IQ36" i="70"/>
  <c r="IR36" i="70"/>
  <c r="IO29" i="70"/>
  <c r="IP29" i="70"/>
  <c r="IQ29" i="70"/>
  <c r="IR29" i="70"/>
  <c r="IO26" i="70"/>
  <c r="IP26" i="70"/>
  <c r="IQ26" i="70"/>
  <c r="IR26" i="70"/>
  <c r="IO35" i="70"/>
  <c r="IP35" i="70"/>
  <c r="IQ35" i="70"/>
  <c r="IR35" i="70"/>
  <c r="IO24" i="70"/>
  <c r="IP24" i="70"/>
  <c r="IQ24" i="70"/>
  <c r="IR24" i="70"/>
  <c r="IO28" i="70"/>
  <c r="IP28" i="70"/>
  <c r="IQ28" i="70"/>
  <c r="IR28" i="70"/>
  <c r="IO37" i="70"/>
  <c r="IP37" i="70"/>
  <c r="IQ37" i="70"/>
  <c r="IR37" i="70"/>
  <c r="IO30" i="70"/>
  <c r="IP30" i="70"/>
  <c r="IQ30" i="70"/>
  <c r="IR30" i="70"/>
  <c r="IO27" i="70"/>
  <c r="IP27" i="70"/>
  <c r="IQ27" i="70"/>
  <c r="IR27" i="70"/>
  <c r="IO31" i="70"/>
  <c r="IP31" i="70"/>
  <c r="IQ31" i="70"/>
  <c r="IR31" i="70"/>
  <c r="IO32" i="70"/>
  <c r="IP32" i="70"/>
  <c r="IQ32" i="70"/>
  <c r="IR32" i="70"/>
  <c r="IO33" i="70"/>
  <c r="IP33" i="70"/>
  <c r="IQ33" i="70"/>
  <c r="IR33" i="70"/>
  <c r="IR22" i="70"/>
  <c r="IQ22" i="70"/>
  <c r="IO12" i="70"/>
  <c r="IP12" i="70"/>
  <c r="IQ12" i="70"/>
  <c r="IR12" i="70"/>
  <c r="IO13" i="70"/>
  <c r="IP13" i="70"/>
  <c r="IQ13" i="70"/>
  <c r="IR13" i="70"/>
  <c r="IO16" i="70"/>
  <c r="IP16" i="70"/>
  <c r="IQ16" i="70"/>
  <c r="IR16" i="70"/>
  <c r="IO22" i="70"/>
  <c r="IP22" i="70"/>
  <c r="IR20" i="70"/>
  <c r="IQ20" i="70"/>
  <c r="IP20" i="70"/>
  <c r="IO20" i="70"/>
  <c r="FO38" i="70"/>
  <c r="FO39" i="70" s="1"/>
  <c r="FO44" i="70" s="1"/>
  <c r="FN38" i="70"/>
  <c r="FN39" i="70" s="1"/>
  <c r="FM38" i="70"/>
  <c r="FM39" i="70" s="1"/>
  <c r="FL38" i="70"/>
  <c r="FL39" i="70" s="1"/>
  <c r="FK38" i="70"/>
  <c r="FK39" i="70" s="1"/>
  <c r="FJ38" i="70"/>
  <c r="FJ39" i="70" s="1"/>
  <c r="FJ42" i="70" s="1"/>
  <c r="FI38" i="70"/>
  <c r="FI39" i="70" s="1"/>
  <c r="FH38" i="70"/>
  <c r="FH39" i="70" s="1"/>
  <c r="FG38" i="70"/>
  <c r="FG39" i="70" s="1"/>
  <c r="FF38" i="70"/>
  <c r="FF39" i="70" s="1"/>
  <c r="FF42" i="70" s="1"/>
  <c r="FE38" i="70"/>
  <c r="FD38" i="70"/>
  <c r="FD39" i="70" s="1"/>
  <c r="FD42" i="70" s="1"/>
  <c r="ER38" i="70"/>
  <c r="EU38" i="70"/>
  <c r="ET38" i="70"/>
  <c r="ET39" i="70" s="1"/>
  <c r="FC38" i="70"/>
  <c r="FC39" i="70" s="1"/>
  <c r="FC40" i="70" s="1"/>
  <c r="FB38" i="70"/>
  <c r="FB39" i="70" s="1"/>
  <c r="FB42" i="70" s="1"/>
  <c r="FA38" i="70"/>
  <c r="FA39" i="70" s="1"/>
  <c r="FA42" i="70" s="1"/>
  <c r="KI6" i="70"/>
  <c r="KA6" i="70"/>
  <c r="E29" i="75"/>
  <c r="H214" i="59"/>
  <c r="G214" i="59"/>
  <c r="F214" i="59"/>
  <c r="E214" i="59"/>
  <c r="D214" i="59"/>
  <c r="C214" i="59"/>
  <c r="C249" i="59"/>
  <c r="H249" i="59"/>
  <c r="G249" i="59"/>
  <c r="F249" i="59"/>
  <c r="E249" i="59"/>
  <c r="D249" i="59"/>
  <c r="D231" i="59"/>
  <c r="H231" i="59"/>
  <c r="E7" i="95"/>
  <c r="D7" i="95"/>
  <c r="C7" i="95"/>
  <c r="C23" i="95"/>
  <c r="D23" i="95"/>
  <c r="E23" i="95"/>
  <c r="H16" i="21"/>
  <c r="H20" i="21" s="1"/>
  <c r="C57" i="28" s="1"/>
  <c r="J16" i="21"/>
  <c r="J39" i="21" s="1"/>
  <c r="J40" i="21" s="1"/>
  <c r="K16" i="21"/>
  <c r="K41" i="21" s="1"/>
  <c r="M16" i="21"/>
  <c r="M51" i="21" s="1"/>
  <c r="N16" i="21"/>
  <c r="M41" i="21"/>
  <c r="M42" i="21" s="1"/>
  <c r="N41" i="21"/>
  <c r="J41" i="21"/>
  <c r="L36" i="21"/>
  <c r="M36" i="21" s="1"/>
  <c r="I51" i="28"/>
  <c r="H51" i="28"/>
  <c r="I49" i="28"/>
  <c r="J95" i="28"/>
  <c r="J97" i="28"/>
  <c r="J99" i="28"/>
  <c r="J101" i="28"/>
  <c r="J103" i="28"/>
  <c r="C33" i="97"/>
  <c r="B33" i="97"/>
  <c r="D32" i="97"/>
  <c r="D31" i="97"/>
  <c r="D30" i="97"/>
  <c r="C49" i="97"/>
  <c r="B49" i="97"/>
  <c r="D29" i="97"/>
  <c r="D48" i="97"/>
  <c r="D28" i="97"/>
  <c r="D47" i="97"/>
  <c r="C11" i="97"/>
  <c r="B11" i="97"/>
  <c r="I18" i="94"/>
  <c r="G18" i="94"/>
  <c r="I16" i="94"/>
  <c r="G16" i="94"/>
  <c r="I8" i="94"/>
  <c r="J8" i="94"/>
  <c r="G8" i="94"/>
  <c r="H8" i="94"/>
  <c r="I6" i="94"/>
  <c r="J6" i="94"/>
  <c r="G6" i="94"/>
  <c r="H6" i="94"/>
  <c r="H8" i="50"/>
  <c r="G8" i="50"/>
  <c r="G4" i="50"/>
  <c r="F8" i="50"/>
  <c r="F4" i="50"/>
  <c r="E8" i="50"/>
  <c r="D8" i="50"/>
  <c r="C8" i="50"/>
  <c r="H5" i="50"/>
  <c r="G5" i="50"/>
  <c r="F5" i="50"/>
  <c r="E5" i="50"/>
  <c r="E4" i="50"/>
  <c r="D5" i="50"/>
  <c r="D4" i="50"/>
  <c r="C5" i="50"/>
  <c r="C4" i="50"/>
  <c r="H4" i="50"/>
  <c r="C33" i="49"/>
  <c r="U11" i="49"/>
  <c r="V9" i="49"/>
  <c r="U9" i="49"/>
  <c r="X8" i="49"/>
  <c r="U8" i="49"/>
  <c r="U7" i="49"/>
  <c r="X6" i="49"/>
  <c r="V6" i="49"/>
  <c r="U6" i="49"/>
  <c r="V5" i="49"/>
  <c r="U5" i="49"/>
  <c r="X4" i="49"/>
  <c r="V4" i="49"/>
  <c r="U4" i="49"/>
  <c r="D33" i="97"/>
  <c r="D49" i="97"/>
  <c r="P12" i="49"/>
  <c r="J105" i="28"/>
  <c r="X11" i="49"/>
  <c r="X5" i="49"/>
  <c r="X7" i="49"/>
  <c r="D11" i="97"/>
  <c r="S5" i="49"/>
  <c r="K12" i="49"/>
  <c r="S8" i="49"/>
  <c r="S7" i="49"/>
  <c r="S9" i="49"/>
  <c r="S4" i="49"/>
  <c r="W4" i="49"/>
  <c r="S6" i="49"/>
  <c r="W9" i="49"/>
  <c r="T9" i="49"/>
  <c r="V11" i="49"/>
  <c r="V7" i="49"/>
  <c r="V8" i="49"/>
  <c r="X9" i="49"/>
  <c r="W11" i="49"/>
  <c r="W7" i="49"/>
  <c r="W8" i="49"/>
  <c r="N12" i="49"/>
  <c r="O12" i="49"/>
  <c r="W5" i="49"/>
  <c r="W6" i="49"/>
  <c r="B18" i="97"/>
  <c r="B19" i="97"/>
  <c r="J11" i="97"/>
  <c r="K12" i="97"/>
  <c r="J49" i="97"/>
  <c r="D51" i="97"/>
  <c r="K50" i="97"/>
  <c r="D34" i="97"/>
  <c r="J33" i="97"/>
  <c r="D35" i="97"/>
  <c r="K34" i="97"/>
  <c r="D50" i="97"/>
  <c r="E47" i="97"/>
  <c r="E48" i="97"/>
  <c r="E30" i="97"/>
  <c r="E28" i="97"/>
  <c r="E32" i="97"/>
  <c r="E31" i="97"/>
  <c r="E29" i="97"/>
  <c r="E9" i="97"/>
  <c r="E6" i="97"/>
  <c r="J96" i="28"/>
  <c r="J104" i="28"/>
  <c r="J100" i="28"/>
  <c r="J102" i="28"/>
  <c r="J98" i="28"/>
  <c r="T8" i="49"/>
  <c r="E10" i="97"/>
  <c r="E7" i="97"/>
  <c r="E38" i="97"/>
  <c r="E53" i="97"/>
  <c r="F19" i="97"/>
  <c r="E8" i="97"/>
  <c r="D12" i="97"/>
  <c r="D13" i="97"/>
  <c r="M12" i="49"/>
  <c r="T5" i="49"/>
  <c r="L12" i="49"/>
  <c r="T7" i="49"/>
  <c r="T4" i="49"/>
  <c r="T6" i="49"/>
  <c r="S11" i="49"/>
  <c r="T11" i="49"/>
  <c r="F16" i="48"/>
  <c r="F23" i="48"/>
  <c r="C24" i="48"/>
  <c r="F15" i="48"/>
  <c r="F14" i="48"/>
  <c r="F13" i="48"/>
  <c r="F12" i="48"/>
  <c r="F9" i="48"/>
  <c r="F8" i="48"/>
  <c r="F5" i="48"/>
  <c r="F6" i="48"/>
  <c r="D24" i="48"/>
  <c r="F10" i="48"/>
  <c r="F7" i="48"/>
  <c r="I65" i="28"/>
  <c r="N218" i="59"/>
  <c r="M218" i="59"/>
  <c r="L218" i="59"/>
  <c r="N217" i="59"/>
  <c r="M217" i="59"/>
  <c r="L217" i="59"/>
  <c r="L205" i="59"/>
  <c r="M205" i="59"/>
  <c r="N205" i="59"/>
  <c r="L206" i="59"/>
  <c r="M206" i="59"/>
  <c r="N206" i="59"/>
  <c r="I214" i="59"/>
  <c r="J214" i="59"/>
  <c r="K214" i="59"/>
  <c r="L214" i="59"/>
  <c r="M214" i="59"/>
  <c r="N214" i="59"/>
  <c r="P213" i="59"/>
  <c r="P230" i="59"/>
  <c r="O213" i="59"/>
  <c r="P212" i="59"/>
  <c r="O212" i="59"/>
  <c r="P211" i="59"/>
  <c r="O211" i="59"/>
  <c r="C217" i="59"/>
  <c r="K218" i="59"/>
  <c r="J218" i="59"/>
  <c r="I218" i="59"/>
  <c r="H218" i="59"/>
  <c r="G218" i="59"/>
  <c r="F218" i="59"/>
  <c r="E218" i="59"/>
  <c r="D218" i="59"/>
  <c r="C218" i="59"/>
  <c r="K217" i="59"/>
  <c r="J217" i="59"/>
  <c r="I217" i="59"/>
  <c r="H217" i="59"/>
  <c r="G217" i="59"/>
  <c r="F217" i="59"/>
  <c r="E217" i="59"/>
  <c r="D217" i="59"/>
  <c r="C205" i="59"/>
  <c r="J249" i="59"/>
  <c r="M249" i="59"/>
  <c r="I249" i="59"/>
  <c r="L249" i="59"/>
  <c r="K249" i="59"/>
  <c r="N249" i="59"/>
  <c r="K231" i="59"/>
  <c r="N231" i="59"/>
  <c r="M231" i="59"/>
  <c r="O214" i="59"/>
  <c r="P214" i="59"/>
  <c r="AT6" i="21"/>
  <c r="AT5" i="21"/>
  <c r="AS5" i="21"/>
  <c r="AS6" i="21"/>
  <c r="AS4" i="21"/>
  <c r="AR5" i="21"/>
  <c r="AR6" i="21"/>
  <c r="AR4" i="21"/>
  <c r="Z16" i="21"/>
  <c r="L202" i="59"/>
  <c r="K202" i="59"/>
  <c r="K219" i="59"/>
  <c r="J202" i="59"/>
  <c r="J219" i="59"/>
  <c r="I202" i="59"/>
  <c r="I219" i="59"/>
  <c r="H202" i="59"/>
  <c r="H219" i="59"/>
  <c r="G202" i="59"/>
  <c r="G219" i="59"/>
  <c r="F202" i="59"/>
  <c r="F219" i="59"/>
  <c r="E202" i="59"/>
  <c r="E219" i="59"/>
  <c r="D202" i="59"/>
  <c r="D219" i="59"/>
  <c r="C202" i="59"/>
  <c r="F248" i="59"/>
  <c r="E248" i="59"/>
  <c r="L248" i="59"/>
  <c r="D248" i="59"/>
  <c r="K248" i="59"/>
  <c r="C248" i="59"/>
  <c r="J248" i="59"/>
  <c r="I248" i="59"/>
  <c r="H248" i="59"/>
  <c r="G248" i="59"/>
  <c r="C219" i="59"/>
  <c r="L219" i="59"/>
  <c r="O199" i="59"/>
  <c r="P199" i="59"/>
  <c r="O200" i="59"/>
  <c r="P200" i="59"/>
  <c r="O201" i="59"/>
  <c r="P201" i="59"/>
  <c r="O202" i="59"/>
  <c r="O217" i="59"/>
  <c r="P218" i="59"/>
  <c r="O218" i="59"/>
  <c r="P217" i="59"/>
  <c r="P202" i="59"/>
  <c r="K205" i="59"/>
  <c r="K206" i="59"/>
  <c r="P219" i="59"/>
  <c r="O219" i="59"/>
  <c r="JN28" i="70"/>
  <c r="KJ28" i="70" s="1"/>
  <c r="JN15" i="70"/>
  <c r="JN30" i="70"/>
  <c r="KJ30" i="70" s="1"/>
  <c r="JN23" i="70"/>
  <c r="JN26" i="70"/>
  <c r="KJ26" i="70" s="1"/>
  <c r="JN29" i="70"/>
  <c r="KI29" i="70" s="1"/>
  <c r="JN24" i="70"/>
  <c r="KI24" i="70" s="1"/>
  <c r="JN37" i="70"/>
  <c r="JN17" i="70"/>
  <c r="KJ17" i="70" s="1"/>
  <c r="JN20" i="70"/>
  <c r="KI20" i="70" s="1"/>
  <c r="JN33" i="70"/>
  <c r="KJ33" i="70" s="1"/>
  <c r="JN35" i="70"/>
  <c r="KJ35" i="70" s="1"/>
  <c r="JN6" i="70"/>
  <c r="JN32" i="70"/>
  <c r="KI32" i="70" s="1"/>
  <c r="JN31" i="70"/>
  <c r="KI31" i="70" s="1"/>
  <c r="JN27" i="70"/>
  <c r="JN36" i="70"/>
  <c r="W13" i="21"/>
  <c r="W16" i="21" s="1"/>
  <c r="W14" i="21"/>
  <c r="X14" i="21" s="1"/>
  <c r="W15" i="21"/>
  <c r="X15" i="21" s="1"/>
  <c r="KJ8" i="70"/>
  <c r="KI9" i="70"/>
  <c r="KJ37" i="70"/>
  <c r="KI23" i="70"/>
  <c r="KI14" i="70"/>
  <c r="KJ14" i="70"/>
  <c r="KJ36" i="70"/>
  <c r="KJ27" i="70"/>
  <c r="KJ19" i="70"/>
  <c r="KI35" i="70"/>
  <c r="KJ16" i="70"/>
  <c r="H28" i="98"/>
  <c r="H27" i="98"/>
  <c r="CB9" i="62"/>
  <c r="CB10" i="62"/>
  <c r="CB11" i="62"/>
  <c r="CB12" i="62"/>
  <c r="CB13" i="62"/>
  <c r="CB14" i="62"/>
  <c r="CB15" i="62"/>
  <c r="CB16" i="62"/>
  <c r="CB8" i="62"/>
  <c r="CA19" i="62"/>
  <c r="CA18" i="62"/>
  <c r="CA17" i="62"/>
  <c r="CK3" i="62"/>
  <c r="CJ3" i="62"/>
  <c r="CI3" i="62"/>
  <c r="I205" i="59"/>
  <c r="J205" i="59"/>
  <c r="I206" i="59"/>
  <c r="J206" i="59"/>
  <c r="I95" i="28"/>
  <c r="I97" i="28"/>
  <c r="I99" i="28"/>
  <c r="I101" i="28"/>
  <c r="I103" i="28"/>
  <c r="I105" i="28"/>
  <c r="I111" i="28"/>
  <c r="J114" i="28"/>
  <c r="I110" i="28"/>
  <c r="J113" i="28"/>
  <c r="I109" i="28"/>
  <c r="J112" i="28"/>
  <c r="F205" i="59"/>
  <c r="G205" i="59"/>
  <c r="F206" i="59"/>
  <c r="G206" i="59"/>
  <c r="H205" i="59"/>
  <c r="H206" i="59"/>
  <c r="N190" i="59"/>
  <c r="M190" i="59"/>
  <c r="L190" i="59"/>
  <c r="L207" i="59"/>
  <c r="K190" i="59"/>
  <c r="K207" i="59"/>
  <c r="J190" i="59"/>
  <c r="J207" i="59"/>
  <c r="I190" i="59"/>
  <c r="H190" i="59"/>
  <c r="H207" i="59"/>
  <c r="G190" i="59"/>
  <c r="G207" i="59"/>
  <c r="F190" i="59"/>
  <c r="F207" i="59"/>
  <c r="E190" i="59"/>
  <c r="E207" i="59"/>
  <c r="D190" i="59"/>
  <c r="D207" i="59"/>
  <c r="C190" i="59"/>
  <c r="C207" i="59"/>
  <c r="E206" i="59"/>
  <c r="D206" i="59"/>
  <c r="C206" i="59"/>
  <c r="E205" i="59"/>
  <c r="D205" i="59"/>
  <c r="K11" i="22"/>
  <c r="M11" i="22"/>
  <c r="M10" i="22"/>
  <c r="L9" i="22"/>
  <c r="M8" i="22"/>
  <c r="L8" i="22"/>
  <c r="M7" i="22"/>
  <c r="M6" i="22"/>
  <c r="L6" i="22"/>
  <c r="M5" i="22"/>
  <c r="L5" i="22"/>
  <c r="M4" i="22"/>
  <c r="L4" i="22"/>
  <c r="M3" i="22"/>
  <c r="L3" i="22"/>
  <c r="K6" i="16"/>
  <c r="L5" i="16"/>
  <c r="J6" i="16"/>
  <c r="L6" i="16"/>
  <c r="I6" i="16"/>
  <c r="K7" i="15"/>
  <c r="L7" i="15"/>
  <c r="J7" i="15"/>
  <c r="I7" i="15"/>
  <c r="H7" i="15"/>
  <c r="G7" i="15"/>
  <c r="F7" i="15"/>
  <c r="E7" i="15"/>
  <c r="D7" i="15"/>
  <c r="K31" i="14"/>
  <c r="M28" i="14"/>
  <c r="J31" i="14"/>
  <c r="I31" i="14"/>
  <c r="H31" i="14"/>
  <c r="G31" i="14"/>
  <c r="F31" i="14"/>
  <c r="E31" i="14"/>
  <c r="D31" i="14"/>
  <c r="M30" i="14"/>
  <c r="M29" i="14"/>
  <c r="L29" i="14"/>
  <c r="L28" i="14"/>
  <c r="L27" i="14"/>
  <c r="M26" i="14"/>
  <c r="L26" i="14"/>
  <c r="M25" i="14"/>
  <c r="L25" i="14"/>
  <c r="L24" i="14"/>
  <c r="L23" i="14"/>
  <c r="M22" i="14"/>
  <c r="L22" i="14"/>
  <c r="M21" i="14"/>
  <c r="L21" i="14"/>
  <c r="O15" i="14"/>
  <c r="O14" i="14"/>
  <c r="O13" i="14"/>
  <c r="O12" i="14"/>
  <c r="O11" i="14"/>
  <c r="O10" i="14"/>
  <c r="O9" i="14"/>
  <c r="O8" i="14"/>
  <c r="O7" i="14"/>
  <c r="O6" i="14"/>
  <c r="O5" i="14"/>
  <c r="K10" i="13"/>
  <c r="L10" i="13"/>
  <c r="J10" i="13"/>
  <c r="N18" i="12"/>
  <c r="K18" i="12"/>
  <c r="M18" i="12"/>
  <c r="O17" i="12"/>
  <c r="N17" i="12"/>
  <c r="O16" i="12"/>
  <c r="N16" i="12"/>
  <c r="O15" i="12"/>
  <c r="N15" i="12"/>
  <c r="O14" i="12"/>
  <c r="N14" i="12"/>
  <c r="M14" i="12"/>
  <c r="O13" i="12"/>
  <c r="N13" i="12"/>
  <c r="M13" i="12"/>
  <c r="P12" i="12"/>
  <c r="O12" i="12"/>
  <c r="N12" i="12"/>
  <c r="M12" i="12"/>
  <c r="O11" i="12"/>
  <c r="P11" i="12"/>
  <c r="N11" i="12"/>
  <c r="M11" i="12"/>
  <c r="O10" i="12"/>
  <c r="N10" i="12"/>
  <c r="M10" i="12"/>
  <c r="O9" i="12"/>
  <c r="N9" i="12"/>
  <c r="M9" i="12"/>
  <c r="O8" i="12"/>
  <c r="N8" i="12"/>
  <c r="M8" i="12"/>
  <c r="O7" i="12"/>
  <c r="P7" i="12"/>
  <c r="N7" i="12"/>
  <c r="M7" i="12"/>
  <c r="O6" i="12"/>
  <c r="P6" i="12"/>
  <c r="N6" i="12"/>
  <c r="M6" i="12"/>
  <c r="O5" i="12"/>
  <c r="P5" i="12"/>
  <c r="N5" i="12"/>
  <c r="M5" i="12"/>
  <c r="K8" i="11"/>
  <c r="L7" i="11"/>
  <c r="J8" i="11"/>
  <c r="I8" i="11"/>
  <c r="L8" i="10"/>
  <c r="K8" i="10"/>
  <c r="L7" i="10"/>
  <c r="L4" i="10"/>
  <c r="L6" i="10"/>
  <c r="L5" i="10"/>
  <c r="I18" i="23"/>
  <c r="H18" i="23"/>
  <c r="G18" i="23"/>
  <c r="J17" i="23"/>
  <c r="I16" i="23"/>
  <c r="J16" i="23"/>
  <c r="H16" i="23"/>
  <c r="G16" i="23"/>
  <c r="F16" i="23"/>
  <c r="E16" i="23"/>
  <c r="D16" i="23"/>
  <c r="C16" i="23"/>
  <c r="B16" i="23"/>
  <c r="J15" i="23"/>
  <c r="J14" i="23"/>
  <c r="J13" i="23"/>
  <c r="J12" i="23"/>
  <c r="J11" i="23"/>
  <c r="J10" i="23"/>
  <c r="J9" i="23"/>
  <c r="J8" i="23"/>
  <c r="J7" i="23"/>
  <c r="J6" i="23"/>
  <c r="J5" i="23"/>
  <c r="H25" i="9"/>
  <c r="H27" i="9"/>
  <c r="F25" i="9"/>
  <c r="F17" i="9" s="1"/>
  <c r="F18" i="9" s="1"/>
  <c r="E25" i="9"/>
  <c r="E17" i="9" s="1"/>
  <c r="E18" i="9" s="1"/>
  <c r="D25" i="9"/>
  <c r="D27" i="9"/>
  <c r="C25" i="9"/>
  <c r="C17" i="9" s="1"/>
  <c r="C18" i="9" s="1"/>
  <c r="B25" i="9"/>
  <c r="B27" i="9" s="1"/>
  <c r="A25" i="9"/>
  <c r="L14" i="9"/>
  <c r="K14" i="9"/>
  <c r="M14" i="9"/>
  <c r="K12" i="9"/>
  <c r="L12" i="9"/>
  <c r="M12" i="9"/>
  <c r="J12" i="9"/>
  <c r="J10" i="9"/>
  <c r="K10" i="9"/>
  <c r="L10" i="9"/>
  <c r="M10" i="9"/>
  <c r="J9" i="9"/>
  <c r="K9" i="9"/>
  <c r="L9" i="9"/>
  <c r="M9" i="9"/>
  <c r="J8" i="9"/>
  <c r="K8" i="9"/>
  <c r="L8" i="9"/>
  <c r="M8" i="9"/>
  <c r="P36" i="64"/>
  <c r="O36" i="64"/>
  <c r="N36" i="64"/>
  <c r="F36" i="64"/>
  <c r="D36" i="64"/>
  <c r="H35" i="64"/>
  <c r="T35" i="64"/>
  <c r="N34" i="64"/>
  <c r="H34" i="64"/>
  <c r="T34" i="64"/>
  <c r="F34" i="64"/>
  <c r="D34" i="64"/>
  <c r="H33" i="64"/>
  <c r="T33" i="64"/>
  <c r="F33" i="64"/>
  <c r="D33" i="64"/>
  <c r="T32" i="64"/>
  <c r="H32" i="64"/>
  <c r="F32" i="64"/>
  <c r="D32" i="64"/>
  <c r="T31" i="64"/>
  <c r="N31" i="64"/>
  <c r="H31" i="64"/>
  <c r="F31" i="64"/>
  <c r="D31" i="64"/>
  <c r="N30" i="64"/>
  <c r="H30" i="64"/>
  <c r="T30" i="64"/>
  <c r="F30" i="64"/>
  <c r="D30" i="64"/>
  <c r="N29" i="64"/>
  <c r="H29" i="64"/>
  <c r="T29" i="64"/>
  <c r="F29" i="64"/>
  <c r="D29" i="64"/>
  <c r="N28" i="64"/>
  <c r="H28" i="64"/>
  <c r="T28" i="64"/>
  <c r="F28" i="64"/>
  <c r="D28" i="64"/>
  <c r="N27" i="64"/>
  <c r="H27" i="64"/>
  <c r="T27" i="64"/>
  <c r="F27" i="64"/>
  <c r="D27" i="64"/>
  <c r="N26" i="64"/>
  <c r="H26" i="64"/>
  <c r="T26" i="64"/>
  <c r="F26" i="64"/>
  <c r="D26" i="64"/>
  <c r="N25" i="64"/>
  <c r="H25" i="64"/>
  <c r="T25" i="64"/>
  <c r="F25" i="64"/>
  <c r="D25" i="64"/>
  <c r="N24" i="64"/>
  <c r="H24" i="64"/>
  <c r="T24" i="64"/>
  <c r="F24" i="64"/>
  <c r="D24" i="64"/>
  <c r="T23" i="64"/>
  <c r="N23" i="64"/>
  <c r="H23" i="64"/>
  <c r="F23" i="64"/>
  <c r="D23" i="64"/>
  <c r="N22" i="64"/>
  <c r="H22" i="64"/>
  <c r="T22" i="64"/>
  <c r="F22" i="64"/>
  <c r="D22" i="64"/>
  <c r="N21" i="64"/>
  <c r="H21" i="64"/>
  <c r="T21" i="64"/>
  <c r="F21" i="64"/>
  <c r="D21" i="64"/>
  <c r="N20" i="64"/>
  <c r="H20" i="64"/>
  <c r="T20" i="64"/>
  <c r="F20" i="64"/>
  <c r="D20" i="64"/>
  <c r="N19" i="64"/>
  <c r="H19" i="64"/>
  <c r="T19" i="64"/>
  <c r="F19" i="64"/>
  <c r="D19" i="64"/>
  <c r="N18" i="64"/>
  <c r="H18" i="64"/>
  <c r="T18" i="64"/>
  <c r="F18" i="64"/>
  <c r="D18" i="64"/>
  <c r="N17" i="64"/>
  <c r="H17" i="64"/>
  <c r="T17" i="64"/>
  <c r="F17" i="64"/>
  <c r="D17" i="64"/>
  <c r="T16" i="64"/>
  <c r="N16" i="64"/>
  <c r="H16" i="64"/>
  <c r="F16" i="64"/>
  <c r="D16" i="64"/>
  <c r="T15" i="64"/>
  <c r="N15" i="64"/>
  <c r="H15" i="64"/>
  <c r="F15" i="64"/>
  <c r="D15" i="64"/>
  <c r="T14" i="64"/>
  <c r="N14" i="64"/>
  <c r="H14" i="64"/>
  <c r="F14" i="64"/>
  <c r="D14" i="64"/>
  <c r="N13" i="64"/>
  <c r="H13" i="64"/>
  <c r="T13" i="64"/>
  <c r="F13" i="64"/>
  <c r="D13" i="64"/>
  <c r="N12" i="64"/>
  <c r="V15" i="77"/>
  <c r="W15" i="77"/>
  <c r="F12" i="64"/>
  <c r="D12" i="64"/>
  <c r="K99" i="77"/>
  <c r="K98" i="77"/>
  <c r="K95" i="77"/>
  <c r="K91" i="77"/>
  <c r="K90" i="77"/>
  <c r="K87" i="77"/>
  <c r="K83" i="77"/>
  <c r="K82" i="77"/>
  <c r="J81" i="77"/>
  <c r="K86" i="77"/>
  <c r="K97" i="77"/>
  <c r="D81" i="77"/>
  <c r="E85" i="77"/>
  <c r="E98" i="77"/>
  <c r="R72" i="77"/>
  <c r="P66" i="77"/>
  <c r="R65" i="77"/>
  <c r="J63" i="77"/>
  <c r="J71" i="77"/>
  <c r="P57" i="77"/>
  <c r="R56" i="77"/>
  <c r="J56" i="77"/>
  <c r="P52" i="77"/>
  <c r="R51" i="77"/>
  <c r="J48" i="77"/>
  <c r="P46" i="77"/>
  <c r="R45" i="77"/>
  <c r="J41" i="77"/>
  <c r="P39" i="77"/>
  <c r="P32" i="77"/>
  <c r="R31" i="77"/>
  <c r="R30" i="77"/>
  <c r="R29" i="77"/>
  <c r="AB19" i="77"/>
  <c r="U15" i="77"/>
  <c r="T15" i="77"/>
  <c r="U14" i="77"/>
  <c r="T14" i="77"/>
  <c r="U13" i="77"/>
  <c r="T13" i="77"/>
  <c r="T12" i="77"/>
  <c r="U11" i="77"/>
  <c r="T11" i="77"/>
  <c r="U10" i="77"/>
  <c r="T10" i="77"/>
  <c r="P10" i="77"/>
  <c r="U8" i="77"/>
  <c r="U9" i="77"/>
  <c r="T9" i="77"/>
  <c r="J9" i="77"/>
  <c r="AA8" i="77"/>
  <c r="AB45" i="77"/>
  <c r="AB55" i="77"/>
  <c r="T8" i="77"/>
  <c r="Z5" i="77"/>
  <c r="Q59" i="71"/>
  <c r="R59" i="71"/>
  <c r="S59" i="71"/>
  <c r="P59" i="71"/>
  <c r="O59" i="71"/>
  <c r="N59" i="71"/>
  <c r="M59" i="71"/>
  <c r="L59" i="71"/>
  <c r="K59" i="71"/>
  <c r="J59" i="71"/>
  <c r="I59" i="71"/>
  <c r="H59" i="71"/>
  <c r="G59" i="71"/>
  <c r="F59" i="71"/>
  <c r="E59" i="71"/>
  <c r="D59" i="71"/>
  <c r="C59" i="71"/>
  <c r="B59" i="71"/>
  <c r="A59" i="71"/>
  <c r="Q58" i="71"/>
  <c r="P58" i="71"/>
  <c r="O58" i="71"/>
  <c r="N58" i="71"/>
  <c r="M58" i="71"/>
  <c r="L58" i="71"/>
  <c r="K58" i="71"/>
  <c r="J58" i="71"/>
  <c r="I58" i="71"/>
  <c r="H58" i="71"/>
  <c r="G58" i="71"/>
  <c r="F58" i="71"/>
  <c r="E58" i="71"/>
  <c r="R58" i="71"/>
  <c r="S58" i="71"/>
  <c r="D58" i="71"/>
  <c r="C58" i="71"/>
  <c r="B58" i="71"/>
  <c r="A58" i="71"/>
  <c r="Q57" i="71"/>
  <c r="P57" i="71"/>
  <c r="O57" i="71"/>
  <c r="N57" i="71"/>
  <c r="M57" i="71"/>
  <c r="L57" i="71"/>
  <c r="K57" i="71"/>
  <c r="J57" i="71"/>
  <c r="I57" i="71"/>
  <c r="H57" i="71"/>
  <c r="G57" i="71"/>
  <c r="F57" i="71"/>
  <c r="E57" i="71"/>
  <c r="D57" i="71"/>
  <c r="R57" i="71"/>
  <c r="S57" i="71"/>
  <c r="C57" i="71"/>
  <c r="B57" i="71"/>
  <c r="A57" i="71"/>
  <c r="Q52" i="71"/>
  <c r="P52" i="71"/>
  <c r="O52" i="71"/>
  <c r="N52" i="71"/>
  <c r="M52" i="71"/>
  <c r="L52" i="71"/>
  <c r="K52" i="71"/>
  <c r="J52" i="71"/>
  <c r="I52" i="71"/>
  <c r="R52" i="71"/>
  <c r="S52" i="71"/>
  <c r="H52" i="71"/>
  <c r="G52" i="71"/>
  <c r="F52" i="71"/>
  <c r="E52" i="71"/>
  <c r="D52" i="71"/>
  <c r="C52" i="71"/>
  <c r="B52" i="71"/>
  <c r="A52" i="71"/>
  <c r="Q51" i="71"/>
  <c r="P51" i="71"/>
  <c r="O51" i="71"/>
  <c r="N51" i="71"/>
  <c r="M51" i="71"/>
  <c r="L51" i="71"/>
  <c r="K51" i="71"/>
  <c r="J51" i="71"/>
  <c r="I51" i="71"/>
  <c r="H51" i="71"/>
  <c r="G51" i="71"/>
  <c r="F51" i="71"/>
  <c r="E51" i="71"/>
  <c r="D51" i="71"/>
  <c r="C51" i="71"/>
  <c r="B51" i="71"/>
  <c r="A51" i="71"/>
  <c r="P50" i="71"/>
  <c r="O50" i="71"/>
  <c r="N50" i="71"/>
  <c r="M50" i="71"/>
  <c r="L50" i="71"/>
  <c r="K50" i="71"/>
  <c r="J50" i="71"/>
  <c r="I50" i="71"/>
  <c r="H50" i="71"/>
  <c r="G50" i="71"/>
  <c r="F50" i="71"/>
  <c r="E50" i="71"/>
  <c r="D50" i="71"/>
  <c r="C50" i="71"/>
  <c r="B50" i="71"/>
  <c r="A50" i="71"/>
  <c r="Q39" i="71"/>
  <c r="P39" i="71"/>
  <c r="O39" i="71"/>
  <c r="N39" i="71"/>
  <c r="M39" i="71"/>
  <c r="L39" i="71"/>
  <c r="K39" i="71"/>
  <c r="S39" i="71"/>
  <c r="J39" i="71"/>
  <c r="I39" i="71"/>
  <c r="H39" i="71"/>
  <c r="G39" i="71"/>
  <c r="F39" i="71"/>
  <c r="E39" i="71"/>
  <c r="D39" i="71"/>
  <c r="C39" i="71"/>
  <c r="B39" i="71"/>
  <c r="A39" i="71"/>
  <c r="Q38" i="71"/>
  <c r="P38" i="71"/>
  <c r="O38" i="71"/>
  <c r="N38" i="71"/>
  <c r="M38" i="71"/>
  <c r="L38" i="71"/>
  <c r="S38" i="71"/>
  <c r="U38" i="71"/>
  <c r="K38" i="71"/>
  <c r="J38" i="71"/>
  <c r="I38" i="71"/>
  <c r="H38" i="71"/>
  <c r="G38" i="71"/>
  <c r="F38" i="71"/>
  <c r="E38" i="71"/>
  <c r="D38" i="71"/>
  <c r="C38" i="71"/>
  <c r="B38" i="71"/>
  <c r="A38" i="71"/>
  <c r="Q37" i="71"/>
  <c r="P37" i="71"/>
  <c r="O37" i="71"/>
  <c r="N37" i="71"/>
  <c r="M37" i="71"/>
  <c r="L37" i="71"/>
  <c r="K37" i="71"/>
  <c r="J37" i="71"/>
  <c r="S37" i="71"/>
  <c r="U37" i="71"/>
  <c r="I37" i="71"/>
  <c r="H37" i="71"/>
  <c r="G37" i="71"/>
  <c r="F37" i="71"/>
  <c r="E37" i="71"/>
  <c r="D37" i="71"/>
  <c r="C37" i="71"/>
  <c r="B37" i="71"/>
  <c r="A37" i="71"/>
  <c r="T36" i="71"/>
  <c r="Q36" i="71"/>
  <c r="P36" i="71"/>
  <c r="O36" i="71"/>
  <c r="N36" i="71"/>
  <c r="M36" i="71"/>
  <c r="L36" i="71"/>
  <c r="S36" i="71"/>
  <c r="U36" i="71"/>
  <c r="K36" i="71"/>
  <c r="J36" i="71"/>
  <c r="I36" i="71"/>
  <c r="H36" i="71"/>
  <c r="G36" i="71"/>
  <c r="F36" i="71"/>
  <c r="E36" i="71"/>
  <c r="D36" i="71"/>
  <c r="C36" i="71"/>
  <c r="B36" i="71"/>
  <c r="A36" i="71"/>
  <c r="T35" i="71"/>
  <c r="Q35" i="71"/>
  <c r="P35" i="71"/>
  <c r="O35" i="71"/>
  <c r="N35" i="71"/>
  <c r="M35" i="71"/>
  <c r="L35" i="71"/>
  <c r="S35" i="71"/>
  <c r="U35" i="71"/>
  <c r="K35" i="71"/>
  <c r="J35" i="71"/>
  <c r="I35" i="71"/>
  <c r="H35" i="71"/>
  <c r="G35" i="71"/>
  <c r="F35" i="71"/>
  <c r="E35" i="71"/>
  <c r="D35" i="71"/>
  <c r="C35" i="71"/>
  <c r="B35" i="71"/>
  <c r="A35" i="71"/>
  <c r="T34" i="71"/>
  <c r="Q34" i="71"/>
  <c r="P34" i="71"/>
  <c r="O34" i="71"/>
  <c r="N34" i="71"/>
  <c r="M34" i="71"/>
  <c r="L34" i="71"/>
  <c r="K34" i="71"/>
  <c r="J34" i="71"/>
  <c r="I34" i="71"/>
  <c r="H34" i="71"/>
  <c r="G34" i="71"/>
  <c r="F34" i="71"/>
  <c r="E34" i="71"/>
  <c r="D34" i="71"/>
  <c r="C34" i="71"/>
  <c r="B34" i="71"/>
  <c r="A34" i="71"/>
  <c r="T33" i="71"/>
  <c r="Q33" i="71"/>
  <c r="P33" i="71"/>
  <c r="O33" i="71"/>
  <c r="N33" i="71"/>
  <c r="M33" i="71"/>
  <c r="L33" i="71"/>
  <c r="K33" i="71"/>
  <c r="J33" i="71"/>
  <c r="S33" i="71"/>
  <c r="U33" i="71"/>
  <c r="I33" i="71"/>
  <c r="H33" i="71"/>
  <c r="G33" i="71"/>
  <c r="F33" i="71"/>
  <c r="E33" i="71"/>
  <c r="D33" i="71"/>
  <c r="C33" i="71"/>
  <c r="B33" i="71"/>
  <c r="A33" i="71"/>
  <c r="T32" i="71"/>
  <c r="Q32" i="71"/>
  <c r="P32" i="71"/>
  <c r="O32" i="71"/>
  <c r="N32" i="71"/>
  <c r="M32" i="71"/>
  <c r="L32" i="71"/>
  <c r="S32" i="71"/>
  <c r="U32" i="71"/>
  <c r="K32" i="71"/>
  <c r="J32" i="71"/>
  <c r="I32" i="71"/>
  <c r="H32" i="71"/>
  <c r="G32" i="71"/>
  <c r="F32" i="71"/>
  <c r="E32" i="71"/>
  <c r="D32" i="71"/>
  <c r="C32" i="71"/>
  <c r="B32" i="71"/>
  <c r="A32" i="71"/>
  <c r="T31" i="71"/>
  <c r="Q31" i="71"/>
  <c r="P31" i="71"/>
  <c r="O31" i="71"/>
  <c r="N31" i="71"/>
  <c r="M31" i="71"/>
  <c r="L31" i="71"/>
  <c r="K31" i="71"/>
  <c r="J31" i="71"/>
  <c r="I31" i="71"/>
  <c r="H31" i="71"/>
  <c r="G31" i="71"/>
  <c r="F31" i="71"/>
  <c r="E31" i="71"/>
  <c r="D31" i="71"/>
  <c r="C31" i="71"/>
  <c r="B31" i="71"/>
  <c r="A31" i="71"/>
  <c r="T30" i="71"/>
  <c r="Q30" i="71"/>
  <c r="P30" i="71"/>
  <c r="O30" i="71"/>
  <c r="N30" i="71"/>
  <c r="M30" i="71"/>
  <c r="L30" i="71"/>
  <c r="K30" i="71"/>
  <c r="J30" i="71"/>
  <c r="S30" i="71"/>
  <c r="U30" i="71"/>
  <c r="I30" i="71"/>
  <c r="H30" i="71"/>
  <c r="G30" i="71"/>
  <c r="F30" i="71"/>
  <c r="E30" i="71"/>
  <c r="D30" i="71"/>
  <c r="C30" i="71"/>
  <c r="B30" i="71"/>
  <c r="A30" i="71"/>
  <c r="T29" i="71"/>
  <c r="Q29" i="71"/>
  <c r="P29" i="71"/>
  <c r="O29" i="71"/>
  <c r="N29" i="71"/>
  <c r="M29" i="71"/>
  <c r="L29" i="71"/>
  <c r="K29" i="71"/>
  <c r="S29" i="71"/>
  <c r="U29" i="71"/>
  <c r="J29" i="71"/>
  <c r="I29" i="71"/>
  <c r="H29" i="71"/>
  <c r="G29" i="71"/>
  <c r="F29" i="71"/>
  <c r="E29" i="71"/>
  <c r="D29" i="71"/>
  <c r="C29" i="71"/>
  <c r="B29" i="71"/>
  <c r="A29" i="71"/>
  <c r="T28" i="71"/>
  <c r="Q28" i="71"/>
  <c r="P28" i="71"/>
  <c r="O28" i="71"/>
  <c r="N28" i="71"/>
  <c r="M28" i="71"/>
  <c r="L28" i="71"/>
  <c r="K28" i="71"/>
  <c r="J28" i="71"/>
  <c r="I28" i="71"/>
  <c r="H28" i="71"/>
  <c r="G28" i="71"/>
  <c r="F28" i="71"/>
  <c r="E28" i="71"/>
  <c r="D28" i="71"/>
  <c r="C28" i="71"/>
  <c r="B28" i="71"/>
  <c r="A28" i="71"/>
  <c r="T27" i="71"/>
  <c r="Q27" i="71"/>
  <c r="P27" i="71"/>
  <c r="O27" i="71"/>
  <c r="N27" i="71"/>
  <c r="M27" i="71"/>
  <c r="L27" i="71"/>
  <c r="K27" i="71"/>
  <c r="J27" i="71"/>
  <c r="I27" i="71"/>
  <c r="H27" i="71"/>
  <c r="G27" i="71"/>
  <c r="F27" i="71"/>
  <c r="E27" i="71"/>
  <c r="D27" i="71"/>
  <c r="C27" i="71"/>
  <c r="B27" i="71"/>
  <c r="A27" i="71"/>
  <c r="Q26" i="71"/>
  <c r="P26" i="71"/>
  <c r="O26" i="71"/>
  <c r="N26" i="71"/>
  <c r="M26" i="71"/>
  <c r="L26" i="71"/>
  <c r="K26" i="71"/>
  <c r="J26" i="71"/>
  <c r="I26" i="71"/>
  <c r="H26" i="71"/>
  <c r="G26" i="71"/>
  <c r="F26" i="71"/>
  <c r="E26" i="71"/>
  <c r="D26" i="71"/>
  <c r="C26" i="71"/>
  <c r="B26" i="71"/>
  <c r="A26" i="71"/>
  <c r="R20" i="71"/>
  <c r="S20" i="71"/>
  <c r="S19" i="71"/>
  <c r="R19" i="71"/>
  <c r="T38" i="71"/>
  <c r="R18" i="71"/>
  <c r="S17" i="71"/>
  <c r="S16" i="71"/>
  <c r="S15" i="71"/>
  <c r="S14" i="71"/>
  <c r="S13" i="71"/>
  <c r="S12" i="71"/>
  <c r="S11" i="71"/>
  <c r="S10" i="71"/>
  <c r="S9" i="71"/>
  <c r="S8" i="71"/>
  <c r="FN6" i="63"/>
  <c r="FM6" i="63"/>
  <c r="FN5" i="63"/>
  <c r="FM5" i="63"/>
  <c r="FM9" i="29"/>
  <c r="FM8" i="29"/>
  <c r="FM7" i="29"/>
  <c r="Q10" i="87"/>
  <c r="P9" i="87"/>
  <c r="Q9" i="87"/>
  <c r="O9" i="87"/>
  <c r="N9" i="87"/>
  <c r="M9" i="87"/>
  <c r="L9" i="87"/>
  <c r="K9" i="87"/>
  <c r="J9" i="87"/>
  <c r="I9" i="87"/>
  <c r="H9" i="87"/>
  <c r="G9" i="87"/>
  <c r="Q8" i="87"/>
  <c r="P7" i="87"/>
  <c r="Q7" i="87"/>
  <c r="O7" i="87"/>
  <c r="N7" i="87"/>
  <c r="M7" i="87"/>
  <c r="L7" i="87"/>
  <c r="K7" i="87"/>
  <c r="J7" i="87"/>
  <c r="I7" i="87"/>
  <c r="H7" i="87"/>
  <c r="G7" i="87"/>
  <c r="Q6" i="87"/>
  <c r="G6" i="87"/>
  <c r="P5" i="87"/>
  <c r="Q5" i="87"/>
  <c r="O5" i="87"/>
  <c r="N5" i="87"/>
  <c r="M5" i="87"/>
  <c r="L5" i="87"/>
  <c r="K5" i="87"/>
  <c r="J5" i="87"/>
  <c r="I5" i="87"/>
  <c r="H5" i="87"/>
  <c r="G5" i="87"/>
  <c r="F5" i="87"/>
  <c r="E5" i="87"/>
  <c r="D5" i="87"/>
  <c r="C5" i="87"/>
  <c r="P19" i="36"/>
  <c r="P18" i="36"/>
  <c r="P17" i="36"/>
  <c r="I89" i="28"/>
  <c r="P16" i="36"/>
  <c r="D15" i="36"/>
  <c r="H10" i="36"/>
  <c r="D10" i="36"/>
  <c r="AG79" i="62"/>
  <c r="AF79" i="62"/>
  <c r="AE79" i="62"/>
  <c r="AD79" i="62"/>
  <c r="AC79" i="62"/>
  <c r="AB79" i="62"/>
  <c r="AA79" i="62"/>
  <c r="Z79" i="62"/>
  <c r="Y79" i="62"/>
  <c r="X79" i="62"/>
  <c r="W79" i="62"/>
  <c r="V79" i="62"/>
  <c r="AG72" i="62"/>
  <c r="AF72" i="62"/>
  <c r="AE72" i="62"/>
  <c r="AD72" i="62"/>
  <c r="AC72" i="62"/>
  <c r="AB72" i="62"/>
  <c r="AA72" i="62"/>
  <c r="Z72" i="62"/>
  <c r="Y72" i="62"/>
  <c r="X72" i="62"/>
  <c r="W72" i="62"/>
  <c r="V72" i="62"/>
  <c r="Y63" i="62"/>
  <c r="X63" i="62"/>
  <c r="W63" i="62"/>
  <c r="V63" i="62"/>
  <c r="AG56" i="62"/>
  <c r="AG55" i="62"/>
  <c r="AG63" i="62"/>
  <c r="AF56" i="62"/>
  <c r="AF55" i="62"/>
  <c r="AF63" i="62"/>
  <c r="AE56" i="62"/>
  <c r="AE55" i="62"/>
  <c r="AE63" i="62"/>
  <c r="AD56" i="62"/>
  <c r="AD55" i="62"/>
  <c r="AD63" i="62"/>
  <c r="AC56" i="62"/>
  <c r="AC55" i="62"/>
  <c r="AB56" i="62"/>
  <c r="AB55" i="62"/>
  <c r="AB63" i="62"/>
  <c r="AA56" i="62"/>
  <c r="AA55" i="62"/>
  <c r="Z56" i="62"/>
  <c r="Z55" i="62"/>
  <c r="Z63" i="62"/>
  <c r="AG44" i="62"/>
  <c r="AF44" i="62"/>
  <c r="AE44" i="62"/>
  <c r="AD44" i="62"/>
  <c r="AC44" i="62"/>
  <c r="AB44" i="62"/>
  <c r="AA44" i="62"/>
  <c r="Z44" i="62"/>
  <c r="Y44" i="62"/>
  <c r="X44" i="62"/>
  <c r="W44" i="62"/>
  <c r="BS23" i="62"/>
  <c r="AG41" i="62"/>
  <c r="AG40" i="62"/>
  <c r="AF41" i="62"/>
  <c r="AF40" i="62"/>
  <c r="AE41" i="62"/>
  <c r="AE40" i="62"/>
  <c r="AE49" i="62"/>
  <c r="AD41" i="62"/>
  <c r="AD40" i="62"/>
  <c r="AC41" i="62"/>
  <c r="AC40" i="62"/>
  <c r="AB41" i="62"/>
  <c r="AB40" i="62"/>
  <c r="AA41" i="62"/>
  <c r="AA40" i="62"/>
  <c r="AA49" i="62"/>
  <c r="Z41" i="62"/>
  <c r="Z40" i="62"/>
  <c r="Z49" i="62"/>
  <c r="Y41" i="62"/>
  <c r="Y40" i="62"/>
  <c r="Y49" i="62"/>
  <c r="X41" i="62"/>
  <c r="X40" i="62"/>
  <c r="X49" i="62"/>
  <c r="W41" i="62"/>
  <c r="W40" i="62"/>
  <c r="W49" i="62"/>
  <c r="V41" i="62"/>
  <c r="V40" i="62"/>
  <c r="BJ20" i="62"/>
  <c r="BJ19" i="62"/>
  <c r="BJ18" i="62"/>
  <c r="BJ16" i="62"/>
  <c r="BI16" i="62"/>
  <c r="BK16" i="62"/>
  <c r="BJ15" i="62"/>
  <c r="BI15" i="62"/>
  <c r="BK15" i="62"/>
  <c r="BJ14" i="62"/>
  <c r="BI14" i="62"/>
  <c r="BK14" i="62"/>
  <c r="AF33" i="62"/>
  <c r="AE33" i="62"/>
  <c r="AD33" i="62"/>
  <c r="AC33" i="62"/>
  <c r="AB33" i="62"/>
  <c r="AA33" i="62"/>
  <c r="Z33" i="62"/>
  <c r="Y33" i="62"/>
  <c r="X33" i="62"/>
  <c r="W33" i="62"/>
  <c r="V33" i="62"/>
  <c r="BJ13" i="62"/>
  <c r="BI13" i="62"/>
  <c r="BK13" i="62"/>
  <c r="BJ12" i="62"/>
  <c r="BI12" i="62"/>
  <c r="BK12" i="62"/>
  <c r="AF31" i="62"/>
  <c r="AE31" i="62"/>
  <c r="AD31" i="62"/>
  <c r="AC31" i="62"/>
  <c r="AB31" i="62"/>
  <c r="AA31" i="62"/>
  <c r="Z31" i="62"/>
  <c r="Y31" i="62"/>
  <c r="X31" i="62"/>
  <c r="W31" i="62"/>
  <c r="V31" i="62"/>
  <c r="BJ11" i="62"/>
  <c r="BI11" i="62"/>
  <c r="AU11" i="62"/>
  <c r="AT11" i="62"/>
  <c r="AS11" i="62"/>
  <c r="AR11" i="62"/>
  <c r="AQ11" i="62"/>
  <c r="AP11" i="62"/>
  <c r="AO11" i="62"/>
  <c r="AN11" i="62"/>
  <c r="AM11" i="62"/>
  <c r="AL11" i="62"/>
  <c r="AB29" i="62"/>
  <c r="AB30" i="62"/>
  <c r="AA29" i="62"/>
  <c r="AA23" i="62"/>
  <c r="AA17" i="62"/>
  <c r="Z29" i="62"/>
  <c r="Z30" i="62"/>
  <c r="Y29" i="62"/>
  <c r="Y32" i="62"/>
  <c r="X29" i="62"/>
  <c r="X32" i="62"/>
  <c r="V29" i="62"/>
  <c r="V30" i="62"/>
  <c r="BJ9" i="62"/>
  <c r="BI9" i="62"/>
  <c r="BK9" i="62"/>
  <c r="I9" i="62"/>
  <c r="H9" i="62"/>
  <c r="G9" i="62"/>
  <c r="F9" i="62"/>
  <c r="E9" i="62"/>
  <c r="D9" i="62"/>
  <c r="C9" i="62"/>
  <c r="BJ8" i="62"/>
  <c r="BI8" i="62"/>
  <c r="BK8" i="62"/>
  <c r="AX8" i="62"/>
  <c r="O8" i="62"/>
  <c r="H79" i="28"/>
  <c r="AW8" i="62"/>
  <c r="N8" i="62"/>
  <c r="H78" i="28"/>
  <c r="AV8" i="62"/>
  <c r="M8" i="62"/>
  <c r="G79" i="28"/>
  <c r="AF27" i="62"/>
  <c r="AE27" i="62"/>
  <c r="AD25" i="62"/>
  <c r="AB25" i="62"/>
  <c r="AA25" i="62"/>
  <c r="L8" i="62"/>
  <c r="F79" i="28"/>
  <c r="K8" i="62"/>
  <c r="E79" i="28"/>
  <c r="J8" i="62"/>
  <c r="D79" i="28"/>
  <c r="A8" i="62"/>
  <c r="BJ7" i="62"/>
  <c r="BI7" i="62"/>
  <c r="BK7" i="62"/>
  <c r="AX7" i="62"/>
  <c r="O7" i="62"/>
  <c r="H77" i="28"/>
  <c r="AW7" i="62"/>
  <c r="N7" i="62"/>
  <c r="H76" i="28"/>
  <c r="AV7" i="62"/>
  <c r="M7" i="62"/>
  <c r="G77" i="28"/>
  <c r="AF26" i="62"/>
  <c r="L7" i="62"/>
  <c r="F77" i="28"/>
  <c r="K7" i="62"/>
  <c r="E77" i="28"/>
  <c r="J7" i="62"/>
  <c r="A7" i="62"/>
  <c r="BJ6" i="62"/>
  <c r="BI6" i="62"/>
  <c r="BK6" i="62"/>
  <c r="AX6" i="62"/>
  <c r="O6" i="62"/>
  <c r="H75" i="28"/>
  <c r="AW6" i="62"/>
  <c r="N6" i="62"/>
  <c r="H74" i="28"/>
  <c r="AV6" i="62"/>
  <c r="M6" i="62"/>
  <c r="G75" i="28"/>
  <c r="Z25" i="62"/>
  <c r="Y25" i="62"/>
  <c r="X25" i="62"/>
  <c r="V25" i="62"/>
  <c r="L6" i="62"/>
  <c r="F75" i="28"/>
  <c r="K6" i="62"/>
  <c r="E75" i="28"/>
  <c r="J6" i="62"/>
  <c r="D75" i="28"/>
  <c r="A6" i="62"/>
  <c r="BJ5" i="62"/>
  <c r="BI5" i="62"/>
  <c r="BK5" i="62"/>
  <c r="AX5" i="62"/>
  <c r="BI19" i="62"/>
  <c r="BK19" i="62"/>
  <c r="L5" i="62"/>
  <c r="C16" i="75"/>
  <c r="K5" i="62"/>
  <c r="C13" i="75"/>
  <c r="J5" i="62"/>
  <c r="J9" i="62"/>
  <c r="BH4" i="62"/>
  <c r="BG4" i="62"/>
  <c r="L3" i="62"/>
  <c r="C15" i="75"/>
  <c r="H245" i="59"/>
  <c r="N202" i="59"/>
  <c r="M202" i="59"/>
  <c r="N194" i="59"/>
  <c r="M194" i="59"/>
  <c r="L194" i="59"/>
  <c r="K194" i="59"/>
  <c r="J194" i="59"/>
  <c r="I194" i="59"/>
  <c r="H194" i="59"/>
  <c r="G194" i="59"/>
  <c r="F194" i="59"/>
  <c r="E194" i="59"/>
  <c r="D194" i="59"/>
  <c r="C194" i="59"/>
  <c r="N193" i="59"/>
  <c r="M193" i="59"/>
  <c r="L193" i="59"/>
  <c r="K193" i="59"/>
  <c r="J193" i="59"/>
  <c r="I193" i="59"/>
  <c r="H193" i="59"/>
  <c r="G193" i="59"/>
  <c r="F193" i="59"/>
  <c r="E193" i="59"/>
  <c r="D193" i="59"/>
  <c r="C193" i="59"/>
  <c r="P189" i="59"/>
  <c r="P206" i="59"/>
  <c r="O189" i="59"/>
  <c r="O206" i="59"/>
  <c r="P188" i="59"/>
  <c r="O188" i="59"/>
  <c r="P187" i="59"/>
  <c r="O187" i="59"/>
  <c r="N182" i="59"/>
  <c r="M182" i="59"/>
  <c r="L182" i="59"/>
  <c r="K182" i="59"/>
  <c r="J182" i="59"/>
  <c r="I182" i="59"/>
  <c r="H182" i="59"/>
  <c r="G182" i="59"/>
  <c r="F182" i="59"/>
  <c r="E182" i="59"/>
  <c r="D182" i="59"/>
  <c r="C182" i="59"/>
  <c r="N181" i="59"/>
  <c r="M181" i="59"/>
  <c r="L181" i="59"/>
  <c r="K181" i="59"/>
  <c r="J181" i="59"/>
  <c r="I181" i="59"/>
  <c r="H181" i="59"/>
  <c r="G181" i="59"/>
  <c r="F181" i="59"/>
  <c r="E181" i="59"/>
  <c r="D181" i="59"/>
  <c r="C181" i="59"/>
  <c r="N178" i="59"/>
  <c r="M178" i="59"/>
  <c r="L178" i="59"/>
  <c r="L195" i="59"/>
  <c r="K178" i="59"/>
  <c r="K195" i="59"/>
  <c r="J178" i="59"/>
  <c r="I178" i="59"/>
  <c r="I195" i="59"/>
  <c r="H178" i="59"/>
  <c r="G178" i="59"/>
  <c r="F178" i="59"/>
  <c r="E178" i="59"/>
  <c r="E195" i="59"/>
  <c r="D178" i="59"/>
  <c r="D195" i="59"/>
  <c r="C178" i="59"/>
  <c r="C195" i="59"/>
  <c r="P177" i="59"/>
  <c r="O177" i="59"/>
  <c r="P176" i="59"/>
  <c r="O176" i="59"/>
  <c r="P175" i="59"/>
  <c r="O175" i="59"/>
  <c r="N170" i="59"/>
  <c r="M170" i="59"/>
  <c r="L170" i="59"/>
  <c r="K170" i="59"/>
  <c r="J170" i="59"/>
  <c r="I170" i="59"/>
  <c r="H170" i="59"/>
  <c r="G170" i="59"/>
  <c r="F170" i="59"/>
  <c r="E170" i="59"/>
  <c r="D170" i="59"/>
  <c r="C170" i="59"/>
  <c r="N169" i="59"/>
  <c r="M169" i="59"/>
  <c r="L169" i="59"/>
  <c r="K169" i="59"/>
  <c r="J169" i="59"/>
  <c r="I169" i="59"/>
  <c r="H169" i="59"/>
  <c r="G169" i="59"/>
  <c r="F169" i="59"/>
  <c r="E169" i="59"/>
  <c r="D169" i="59"/>
  <c r="C169" i="59"/>
  <c r="N166" i="59"/>
  <c r="M166" i="59"/>
  <c r="L166" i="59"/>
  <c r="K166" i="59"/>
  <c r="J166" i="59"/>
  <c r="I166" i="59"/>
  <c r="H166" i="59"/>
  <c r="G166" i="59"/>
  <c r="F166" i="59"/>
  <c r="E166" i="59"/>
  <c r="D166" i="59"/>
  <c r="C166" i="59"/>
  <c r="P165" i="59"/>
  <c r="P170" i="59"/>
  <c r="O165" i="59"/>
  <c r="P164" i="59"/>
  <c r="O164" i="59"/>
  <c r="P163" i="59"/>
  <c r="O163" i="59"/>
  <c r="N158" i="59"/>
  <c r="M158" i="59"/>
  <c r="L158" i="59"/>
  <c r="K158" i="59"/>
  <c r="J158" i="59"/>
  <c r="I158" i="59"/>
  <c r="H158" i="59"/>
  <c r="G158" i="59"/>
  <c r="F158" i="59"/>
  <c r="E158" i="59"/>
  <c r="D158" i="59"/>
  <c r="C158" i="59"/>
  <c r="N157" i="59"/>
  <c r="M157" i="59"/>
  <c r="L157" i="59"/>
  <c r="K157" i="59"/>
  <c r="J157" i="59"/>
  <c r="I157" i="59"/>
  <c r="H157" i="59"/>
  <c r="G157" i="59"/>
  <c r="F157" i="59"/>
  <c r="E157" i="59"/>
  <c r="D157" i="59"/>
  <c r="C157" i="59"/>
  <c r="N154" i="59"/>
  <c r="M154" i="59"/>
  <c r="L154" i="59"/>
  <c r="K154" i="59"/>
  <c r="J154" i="59"/>
  <c r="I154" i="59"/>
  <c r="H154" i="59"/>
  <c r="G154" i="59"/>
  <c r="F154" i="59"/>
  <c r="E154" i="59"/>
  <c r="D154" i="59"/>
  <c r="C154" i="59"/>
  <c r="P153" i="59"/>
  <c r="Z55" i="59"/>
  <c r="O153" i="59"/>
  <c r="P152" i="59"/>
  <c r="Z54" i="59"/>
  <c r="O152" i="59"/>
  <c r="P151" i="59"/>
  <c r="P157" i="59"/>
  <c r="O151" i="59"/>
  <c r="N146" i="59"/>
  <c r="M146" i="59"/>
  <c r="L146" i="59"/>
  <c r="K146" i="59"/>
  <c r="J146" i="59"/>
  <c r="I146" i="59"/>
  <c r="H146" i="59"/>
  <c r="G146" i="59"/>
  <c r="F146" i="59"/>
  <c r="E146" i="59"/>
  <c r="D146" i="59"/>
  <c r="C146" i="59"/>
  <c r="N145" i="59"/>
  <c r="M145" i="59"/>
  <c r="L145" i="59"/>
  <c r="K145" i="59"/>
  <c r="J145" i="59"/>
  <c r="I145" i="59"/>
  <c r="H145" i="59"/>
  <c r="G145" i="59"/>
  <c r="F145" i="59"/>
  <c r="E145" i="59"/>
  <c r="D145" i="59"/>
  <c r="C145" i="59"/>
  <c r="N142" i="59"/>
  <c r="M142" i="59"/>
  <c r="L142" i="59"/>
  <c r="K142" i="59"/>
  <c r="J142" i="59"/>
  <c r="I142" i="59"/>
  <c r="H142" i="59"/>
  <c r="G142" i="59"/>
  <c r="F142" i="59"/>
  <c r="E142" i="59"/>
  <c r="D142" i="59"/>
  <c r="C142" i="59"/>
  <c r="P141" i="59"/>
  <c r="P146" i="59"/>
  <c r="O141" i="59"/>
  <c r="P140" i="59"/>
  <c r="Y54" i="59"/>
  <c r="O140" i="59"/>
  <c r="P139" i="59"/>
  <c r="P145" i="59"/>
  <c r="O139" i="59"/>
  <c r="O142" i="59"/>
  <c r="N134" i="59"/>
  <c r="M134" i="59"/>
  <c r="L134" i="59"/>
  <c r="K134" i="59"/>
  <c r="J134" i="59"/>
  <c r="I134" i="59"/>
  <c r="H134" i="59"/>
  <c r="G134" i="59"/>
  <c r="F134" i="59"/>
  <c r="E134" i="59"/>
  <c r="D134" i="59"/>
  <c r="C134" i="59"/>
  <c r="N130" i="59"/>
  <c r="M130" i="59"/>
  <c r="L130" i="59"/>
  <c r="K130" i="59"/>
  <c r="J130" i="59"/>
  <c r="I130" i="59"/>
  <c r="H130" i="59"/>
  <c r="G130" i="59"/>
  <c r="F130" i="59"/>
  <c r="E130" i="59"/>
  <c r="D130" i="59"/>
  <c r="C130" i="59"/>
  <c r="P129" i="59"/>
  <c r="P134" i="59"/>
  <c r="O129" i="59"/>
  <c r="P128" i="59"/>
  <c r="X54" i="59"/>
  <c r="O128" i="59"/>
  <c r="P127" i="59"/>
  <c r="O127" i="59"/>
  <c r="N122" i="59"/>
  <c r="M122" i="59"/>
  <c r="L122" i="59"/>
  <c r="K122" i="59"/>
  <c r="J122" i="59"/>
  <c r="I122" i="59"/>
  <c r="H122" i="59"/>
  <c r="G122" i="59"/>
  <c r="F122" i="59"/>
  <c r="E122" i="59"/>
  <c r="D122" i="59"/>
  <c r="C122" i="59"/>
  <c r="P117" i="59"/>
  <c r="W55" i="59"/>
  <c r="O117" i="59"/>
  <c r="P116" i="59"/>
  <c r="W54" i="59"/>
  <c r="O116" i="59"/>
  <c r="N115" i="59"/>
  <c r="N133" i="59"/>
  <c r="M115" i="59"/>
  <c r="M133" i="59"/>
  <c r="L115" i="59"/>
  <c r="K115" i="59"/>
  <c r="K118" i="59"/>
  <c r="J115" i="59"/>
  <c r="J133" i="59"/>
  <c r="I115" i="59"/>
  <c r="I133" i="59"/>
  <c r="H115" i="59"/>
  <c r="H118" i="59"/>
  <c r="G115" i="59"/>
  <c r="G118" i="59"/>
  <c r="F115" i="59"/>
  <c r="F118" i="59"/>
  <c r="E115" i="59"/>
  <c r="E133" i="59"/>
  <c r="D115" i="59"/>
  <c r="C115" i="59"/>
  <c r="N110" i="59"/>
  <c r="M110" i="59"/>
  <c r="L110" i="59"/>
  <c r="K110" i="59"/>
  <c r="J110" i="59"/>
  <c r="I110" i="59"/>
  <c r="H110" i="59"/>
  <c r="G110" i="59"/>
  <c r="F110" i="59"/>
  <c r="E110" i="59"/>
  <c r="D110" i="59"/>
  <c r="C110" i="59"/>
  <c r="I106" i="59"/>
  <c r="P105" i="59"/>
  <c r="P110" i="59"/>
  <c r="O105" i="59"/>
  <c r="P104" i="59"/>
  <c r="V54" i="59"/>
  <c r="O104" i="59"/>
  <c r="N103" i="59"/>
  <c r="N106" i="59"/>
  <c r="M103" i="59"/>
  <c r="M106" i="59"/>
  <c r="L103" i="59"/>
  <c r="K103" i="59"/>
  <c r="K106" i="59"/>
  <c r="J103" i="59"/>
  <c r="J109" i="59"/>
  <c r="I103" i="59"/>
  <c r="H103" i="59"/>
  <c r="G103" i="59"/>
  <c r="G106" i="59"/>
  <c r="F103" i="59"/>
  <c r="F106" i="59"/>
  <c r="E103" i="59"/>
  <c r="E106" i="59"/>
  <c r="D103" i="59"/>
  <c r="D106" i="59"/>
  <c r="C103" i="59"/>
  <c r="N98" i="59"/>
  <c r="M98" i="59"/>
  <c r="L98" i="59"/>
  <c r="K98" i="59"/>
  <c r="J98" i="59"/>
  <c r="I98" i="59"/>
  <c r="H98" i="59"/>
  <c r="G98" i="59"/>
  <c r="F98" i="59"/>
  <c r="E98" i="59"/>
  <c r="D98" i="59"/>
  <c r="C98" i="59"/>
  <c r="P93" i="59"/>
  <c r="P98" i="59"/>
  <c r="O93" i="59"/>
  <c r="P92" i="59"/>
  <c r="U54" i="59"/>
  <c r="O92" i="59"/>
  <c r="N91" i="59"/>
  <c r="N94" i="59"/>
  <c r="M91" i="59"/>
  <c r="L91" i="59"/>
  <c r="L94" i="59"/>
  <c r="K91" i="59"/>
  <c r="K94" i="59"/>
  <c r="J91" i="59"/>
  <c r="I91" i="59"/>
  <c r="I94" i="59"/>
  <c r="H91" i="59"/>
  <c r="H97" i="59"/>
  <c r="G91" i="59"/>
  <c r="G97" i="59"/>
  <c r="F91" i="59"/>
  <c r="F94" i="59"/>
  <c r="E91" i="59"/>
  <c r="E94" i="59"/>
  <c r="D91" i="59"/>
  <c r="D94" i="59"/>
  <c r="C91" i="59"/>
  <c r="C97" i="59"/>
  <c r="N85" i="59"/>
  <c r="M85" i="59"/>
  <c r="L85" i="59"/>
  <c r="K85" i="59"/>
  <c r="J85" i="59"/>
  <c r="I85" i="59"/>
  <c r="N81" i="59"/>
  <c r="M81" i="59"/>
  <c r="L81" i="59"/>
  <c r="K81" i="59"/>
  <c r="J81" i="59"/>
  <c r="I81" i="59"/>
  <c r="H81" i="59"/>
  <c r="G81" i="59"/>
  <c r="F81" i="59"/>
  <c r="E81" i="59"/>
  <c r="D81" i="59"/>
  <c r="C81" i="59"/>
  <c r="P80" i="59"/>
  <c r="T55" i="59"/>
  <c r="O80" i="59"/>
  <c r="P79" i="59"/>
  <c r="T54" i="59"/>
  <c r="O79" i="59"/>
  <c r="P78" i="59"/>
  <c r="O78" i="59"/>
  <c r="H67" i="59"/>
  <c r="H85" i="59"/>
  <c r="G67" i="59"/>
  <c r="G85" i="59"/>
  <c r="F67" i="59"/>
  <c r="F85" i="59"/>
  <c r="E67" i="59"/>
  <c r="E85" i="59"/>
  <c r="D67" i="59"/>
  <c r="D85" i="59"/>
  <c r="C67" i="59"/>
  <c r="P66" i="59"/>
  <c r="S54" i="59"/>
  <c r="O66" i="59"/>
  <c r="N65" i="59"/>
  <c r="N84" i="59"/>
  <c r="M65" i="59"/>
  <c r="M84" i="59"/>
  <c r="L65" i="59"/>
  <c r="L84" i="59"/>
  <c r="K65" i="59"/>
  <c r="K68" i="59"/>
  <c r="J65" i="59"/>
  <c r="J68" i="59"/>
  <c r="I65" i="59"/>
  <c r="I84" i="59"/>
  <c r="H65" i="59"/>
  <c r="G65" i="59"/>
  <c r="G84" i="59"/>
  <c r="F65" i="59"/>
  <c r="F84" i="59"/>
  <c r="E65" i="59"/>
  <c r="E84" i="59"/>
  <c r="D65" i="59"/>
  <c r="D84" i="59"/>
  <c r="C65" i="59"/>
  <c r="N55" i="59"/>
  <c r="N72" i="59"/>
  <c r="M55" i="59"/>
  <c r="M72" i="59"/>
  <c r="L55" i="59"/>
  <c r="L60" i="59"/>
  <c r="K55" i="59"/>
  <c r="J55" i="59"/>
  <c r="J60" i="59"/>
  <c r="I55" i="59"/>
  <c r="H55" i="59"/>
  <c r="H60" i="59"/>
  <c r="G55" i="59"/>
  <c r="F55" i="59"/>
  <c r="E55" i="59"/>
  <c r="E60" i="59"/>
  <c r="D55" i="59"/>
  <c r="D60" i="59"/>
  <c r="C55" i="59"/>
  <c r="P54" i="59"/>
  <c r="R54" i="59"/>
  <c r="O54" i="59"/>
  <c r="N53" i="59"/>
  <c r="M53" i="59"/>
  <c r="L53" i="59"/>
  <c r="K53" i="59"/>
  <c r="K59" i="59"/>
  <c r="J53" i="59"/>
  <c r="I53" i="59"/>
  <c r="I59" i="59"/>
  <c r="H53" i="59"/>
  <c r="H59" i="59"/>
  <c r="G53" i="59"/>
  <c r="F53" i="59"/>
  <c r="F59" i="59"/>
  <c r="E53" i="59"/>
  <c r="D53" i="59"/>
  <c r="C53" i="59"/>
  <c r="C59" i="59"/>
  <c r="K46" i="59"/>
  <c r="L43" i="59"/>
  <c r="K43" i="59"/>
  <c r="J43" i="59"/>
  <c r="H43" i="59"/>
  <c r="G43" i="59"/>
  <c r="F43" i="59"/>
  <c r="D43" i="59"/>
  <c r="C43" i="59"/>
  <c r="N42" i="59"/>
  <c r="M42" i="59"/>
  <c r="M47" i="59"/>
  <c r="I42" i="59"/>
  <c r="I43" i="59"/>
  <c r="P41" i="59"/>
  <c r="O41" i="59"/>
  <c r="N40" i="59"/>
  <c r="N46" i="59"/>
  <c r="M40" i="59"/>
  <c r="E40" i="59"/>
  <c r="N29" i="59"/>
  <c r="N30" i="59"/>
  <c r="L29" i="59"/>
  <c r="L47" i="59"/>
  <c r="K29" i="59"/>
  <c r="K30" i="59"/>
  <c r="J29" i="59"/>
  <c r="J47" i="59"/>
  <c r="I29" i="59"/>
  <c r="H29" i="59"/>
  <c r="H47" i="59"/>
  <c r="G29" i="59"/>
  <c r="F29" i="59"/>
  <c r="F47" i="59"/>
  <c r="E29" i="59"/>
  <c r="E47" i="59"/>
  <c r="D29" i="59"/>
  <c r="C29" i="59"/>
  <c r="C47" i="59"/>
  <c r="P28" i="59"/>
  <c r="O28" i="59"/>
  <c r="M27" i="59"/>
  <c r="L27" i="59"/>
  <c r="L46" i="59"/>
  <c r="J27" i="59"/>
  <c r="I27" i="59"/>
  <c r="I46" i="59"/>
  <c r="H27" i="59"/>
  <c r="H33" i="59"/>
  <c r="G27" i="59"/>
  <c r="G46" i="59"/>
  <c r="F27" i="59"/>
  <c r="F46" i="59"/>
  <c r="E27" i="59"/>
  <c r="D27" i="59"/>
  <c r="C27" i="59"/>
  <c r="C46" i="59"/>
  <c r="N16" i="59"/>
  <c r="M16" i="59"/>
  <c r="M34" i="59"/>
  <c r="L16" i="59"/>
  <c r="K16" i="59"/>
  <c r="J16" i="59"/>
  <c r="I16" i="59"/>
  <c r="H16" i="59"/>
  <c r="G16" i="59"/>
  <c r="F16" i="59"/>
  <c r="E16" i="59"/>
  <c r="D16" i="59"/>
  <c r="C16" i="59"/>
  <c r="N15" i="59"/>
  <c r="N33" i="59"/>
  <c r="M15" i="59"/>
  <c r="L15" i="59"/>
  <c r="K15" i="59"/>
  <c r="K33" i="59"/>
  <c r="J15" i="59"/>
  <c r="I15" i="59"/>
  <c r="I17" i="59"/>
  <c r="H15" i="59"/>
  <c r="H20" i="59"/>
  <c r="G15" i="59"/>
  <c r="F15" i="59"/>
  <c r="F33" i="59"/>
  <c r="E15" i="59"/>
  <c r="D15" i="59"/>
  <c r="C15" i="59"/>
  <c r="C20" i="59"/>
  <c r="N8" i="59"/>
  <c r="N21" i="59"/>
  <c r="M8" i="59"/>
  <c r="L8" i="59"/>
  <c r="K8" i="59"/>
  <c r="J8" i="59"/>
  <c r="I8" i="59"/>
  <c r="H8" i="59"/>
  <c r="H21" i="59"/>
  <c r="G8" i="59"/>
  <c r="F8" i="59"/>
  <c r="E8" i="59"/>
  <c r="D8" i="59"/>
  <c r="D9" i="59"/>
  <c r="C8" i="59"/>
  <c r="N7" i="59"/>
  <c r="M7" i="59"/>
  <c r="L7" i="59"/>
  <c r="K7" i="59"/>
  <c r="J7" i="59"/>
  <c r="I7" i="59"/>
  <c r="H7" i="59"/>
  <c r="G7" i="59"/>
  <c r="F7" i="59"/>
  <c r="E7" i="59"/>
  <c r="E20" i="59"/>
  <c r="D7" i="59"/>
  <c r="C7" i="59"/>
  <c r="FC43" i="70"/>
  <c r="FB43" i="70"/>
  <c r="FN45" i="70" s="1"/>
  <c r="FA43" i="70"/>
  <c r="FM45" i="70" s="1"/>
  <c r="EZ43" i="70"/>
  <c r="FL45" i="70" s="1"/>
  <c r="EY43" i="70"/>
  <c r="FK45" i="70" s="1"/>
  <c r="EX43" i="70"/>
  <c r="FJ45" i="70" s="1"/>
  <c r="EW43" i="70"/>
  <c r="EU43" i="70"/>
  <c r="ET43" i="70"/>
  <c r="FF45" i="70" s="1"/>
  <c r="ES43" i="70"/>
  <c r="FE45" i="70" s="1"/>
  <c r="ER43" i="70"/>
  <c r="EQ43" i="70"/>
  <c r="EP43" i="70"/>
  <c r="FB45" i="70" s="1"/>
  <c r="EO43" i="70"/>
  <c r="EN43" i="70"/>
  <c r="EM43" i="70"/>
  <c r="EL43" i="70"/>
  <c r="EK43" i="70"/>
  <c r="EJ43" i="70"/>
  <c r="EI43" i="70"/>
  <c r="EH43" i="70"/>
  <c r="EG43" i="70"/>
  <c r="ES45" i="70" s="1"/>
  <c r="EF43" i="70"/>
  <c r="EE43" i="70"/>
  <c r="ED43" i="70"/>
  <c r="EC43" i="70"/>
  <c r="EB43" i="70"/>
  <c r="EN45" i="70" s="1"/>
  <c r="EA43" i="70"/>
  <c r="DZ43" i="70"/>
  <c r="DY43" i="70"/>
  <c r="DX43" i="70"/>
  <c r="DW43" i="70"/>
  <c r="DV43" i="70"/>
  <c r="DU43" i="70"/>
  <c r="DT43" i="70"/>
  <c r="DS43" i="70"/>
  <c r="DR43" i="70"/>
  <c r="DR45" i="70" s="1"/>
  <c r="DQ43" i="70"/>
  <c r="DQ45" i="70" s="1"/>
  <c r="DP43" i="70"/>
  <c r="DO43" i="70"/>
  <c r="DN43" i="70"/>
  <c r="DM43" i="70"/>
  <c r="DL43" i="70"/>
  <c r="DK43" i="70"/>
  <c r="DJ43" i="70"/>
  <c r="DJ45" i="70" s="1"/>
  <c r="DI43" i="70"/>
  <c r="DH43" i="70"/>
  <c r="DG43" i="70"/>
  <c r="DF43" i="70"/>
  <c r="DE43" i="70"/>
  <c r="DD43" i="70"/>
  <c r="DC43" i="70"/>
  <c r="DB43" i="70"/>
  <c r="DA43" i="70"/>
  <c r="DA45" i="70" s="1"/>
  <c r="CZ43" i="70"/>
  <c r="CY43" i="70"/>
  <c r="CX43" i="70"/>
  <c r="CW43" i="70"/>
  <c r="CV43" i="70"/>
  <c r="CU43" i="70"/>
  <c r="CT43" i="70"/>
  <c r="CS43" i="70"/>
  <c r="DE45" i="70" s="1"/>
  <c r="CR43" i="70"/>
  <c r="CQ43" i="70"/>
  <c r="CP43" i="70"/>
  <c r="CO43" i="70"/>
  <c r="CN43" i="70"/>
  <c r="CZ45" i="70" s="1"/>
  <c r="CM43" i="70"/>
  <c r="CL43" i="70"/>
  <c r="CL45" i="70" s="1"/>
  <c r="CK43" i="70"/>
  <c r="CJ43" i="70"/>
  <c r="CI43" i="70"/>
  <c r="CH43" i="70"/>
  <c r="CG43" i="70"/>
  <c r="CF43" i="70"/>
  <c r="CE43" i="70"/>
  <c r="CD43" i="70"/>
  <c r="CC43" i="70"/>
  <c r="CO45" i="70" s="1"/>
  <c r="CB43" i="70"/>
  <c r="CA43" i="70"/>
  <c r="BZ43" i="70"/>
  <c r="BY43" i="70"/>
  <c r="BX43" i="70"/>
  <c r="BW43" i="70"/>
  <c r="BV43" i="70"/>
  <c r="BU43" i="70"/>
  <c r="BT43" i="70"/>
  <c r="BS43" i="70"/>
  <c r="BR43" i="70"/>
  <c r="BQ43" i="70"/>
  <c r="BP43" i="70"/>
  <c r="BO43" i="70"/>
  <c r="BN43" i="70"/>
  <c r="BM43" i="70"/>
  <c r="BM45" i="70" s="1"/>
  <c r="BL43" i="70"/>
  <c r="BK43" i="70"/>
  <c r="BJ43" i="70"/>
  <c r="BI43" i="70"/>
  <c r="BH43" i="70"/>
  <c r="BG43" i="70"/>
  <c r="BF43" i="70"/>
  <c r="BR45" i="70" s="1"/>
  <c r="BE43" i="70"/>
  <c r="BE45" i="70" s="1"/>
  <c r="BD43" i="70"/>
  <c r="BC43" i="70"/>
  <c r="BB43" i="70"/>
  <c r="BA43" i="70"/>
  <c r="AZ43" i="70"/>
  <c r="AY43" i="70"/>
  <c r="AX43" i="70"/>
  <c r="AW43" i="70"/>
  <c r="AV43" i="70"/>
  <c r="AU43" i="70"/>
  <c r="AT43" i="70"/>
  <c r="AS43" i="70"/>
  <c r="AR43" i="70"/>
  <c r="AQ43" i="70"/>
  <c r="AP43" i="70"/>
  <c r="AO43" i="70"/>
  <c r="AN43" i="70"/>
  <c r="AM43" i="70"/>
  <c r="AL43" i="70"/>
  <c r="AK43" i="70"/>
  <c r="AJ43" i="70"/>
  <c r="AI43" i="70"/>
  <c r="AH43" i="70"/>
  <c r="AG43" i="70"/>
  <c r="AG45" i="70" s="1"/>
  <c r="AF43" i="70"/>
  <c r="AE43" i="70"/>
  <c r="AD43" i="70"/>
  <c r="AC43" i="70"/>
  <c r="AB43" i="70"/>
  <c r="AA43" i="70"/>
  <c r="Z43" i="70"/>
  <c r="Y43" i="70"/>
  <c r="AK45" i="70" s="1"/>
  <c r="X43" i="70"/>
  <c r="W43" i="70"/>
  <c r="V43" i="70"/>
  <c r="U43" i="70"/>
  <c r="T43" i="70"/>
  <c r="S43" i="70"/>
  <c r="R43" i="70"/>
  <c r="Q43" i="70"/>
  <c r="AC45" i="70" s="1"/>
  <c r="P43" i="70"/>
  <c r="O43" i="70"/>
  <c r="N43" i="70"/>
  <c r="M43" i="70"/>
  <c r="L43" i="70"/>
  <c r="K43" i="70"/>
  <c r="J43" i="70"/>
  <c r="I43" i="70"/>
  <c r="H43" i="70"/>
  <c r="G43" i="70"/>
  <c r="F43" i="70"/>
  <c r="E43" i="70"/>
  <c r="JI42" i="70"/>
  <c r="JG42" i="70"/>
  <c r="JF42" i="70"/>
  <c r="JE42" i="70"/>
  <c r="JD42" i="70"/>
  <c r="JC42" i="70"/>
  <c r="JB42" i="70"/>
  <c r="JI39" i="70"/>
  <c r="JG39" i="70"/>
  <c r="JF39" i="70"/>
  <c r="JF44" i="70" s="1"/>
  <c r="JE39" i="70"/>
  <c r="JE40" i="70" s="1"/>
  <c r="JC39" i="70"/>
  <c r="JC44" i="70" s="1"/>
  <c r="JB39" i="70"/>
  <c r="JB44" i="70" s="1"/>
  <c r="IF39" i="70"/>
  <c r="IE39" i="70"/>
  <c r="ID39" i="70"/>
  <c r="IC39" i="70"/>
  <c r="IB39" i="70"/>
  <c r="IA39" i="70"/>
  <c r="HZ39" i="70"/>
  <c r="HY39" i="70"/>
  <c r="HX39" i="70"/>
  <c r="HW39" i="70"/>
  <c r="HV39" i="70"/>
  <c r="HS39" i="70"/>
  <c r="EZ39" i="70"/>
  <c r="EZ40" i="70" s="1"/>
  <c r="EY39" i="70"/>
  <c r="EY42" i="70" s="1"/>
  <c r="EX39" i="70"/>
  <c r="EX42" i="70" s="1"/>
  <c r="EW39" i="70"/>
  <c r="EU39" i="70"/>
  <c r="ES39" i="70"/>
  <c r="EO39" i="70"/>
  <c r="EN39" i="70"/>
  <c r="EN40" i="70" s="1"/>
  <c r="EM39" i="70"/>
  <c r="EM40" i="70" s="1"/>
  <c r="DP39" i="70"/>
  <c r="JL38" i="70"/>
  <c r="KE38" i="70" s="1"/>
  <c r="JK38" i="70"/>
  <c r="JJ38" i="70"/>
  <c r="JH38" i="70"/>
  <c r="IM38" i="70"/>
  <c r="IL38" i="70"/>
  <c r="IF38" i="70"/>
  <c r="IE38" i="70"/>
  <c r="ID38" i="70"/>
  <c r="IC38" i="70"/>
  <c r="IB38" i="70"/>
  <c r="IA38" i="70"/>
  <c r="HZ38" i="70"/>
  <c r="HY38" i="70"/>
  <c r="HX38" i="70"/>
  <c r="HW38" i="70"/>
  <c r="HV38" i="70"/>
  <c r="HS38" i="70"/>
  <c r="ER39" i="70"/>
  <c r="EQ38" i="70"/>
  <c r="EP38" i="70"/>
  <c r="EP39" i="70" s="1"/>
  <c r="EL38" i="70"/>
  <c r="EL39" i="70" s="1"/>
  <c r="EK38" i="70"/>
  <c r="EK39" i="70" s="1"/>
  <c r="EJ38" i="70"/>
  <c r="EJ39" i="70" s="1"/>
  <c r="EJ40" i="70" s="1"/>
  <c r="EI38" i="70"/>
  <c r="EH38" i="70"/>
  <c r="EH39" i="70" s="1"/>
  <c r="EH40" i="70" s="1"/>
  <c r="EG38" i="70"/>
  <c r="EG39" i="70" s="1"/>
  <c r="EG40" i="70" s="1"/>
  <c r="EF38" i="70"/>
  <c r="EF39" i="70" s="1"/>
  <c r="JM33" i="70"/>
  <c r="JL33" i="70"/>
  <c r="JK33" i="70"/>
  <c r="JJ33" i="70"/>
  <c r="IN33" i="70"/>
  <c r="IM33" i="70"/>
  <c r="IL33" i="70"/>
  <c r="IK33" i="70"/>
  <c r="IJ33" i="70"/>
  <c r="II33" i="70"/>
  <c r="IH33" i="70"/>
  <c r="IG33" i="70"/>
  <c r="IF33" i="70"/>
  <c r="IE33" i="70"/>
  <c r="ID33" i="70"/>
  <c r="IC33" i="70"/>
  <c r="IB33" i="70"/>
  <c r="IA33" i="70"/>
  <c r="HZ33" i="70"/>
  <c r="HY33" i="70"/>
  <c r="HX33" i="70"/>
  <c r="HW33" i="70"/>
  <c r="HV33" i="70"/>
  <c r="HS33" i="70"/>
  <c r="JM32" i="70"/>
  <c r="JL32" i="70"/>
  <c r="JK32" i="70"/>
  <c r="JJ32" i="70"/>
  <c r="IN32" i="70"/>
  <c r="IM32" i="70"/>
  <c r="IL32" i="70"/>
  <c r="IK32" i="70"/>
  <c r="IJ32" i="70"/>
  <c r="II32" i="70"/>
  <c r="IH32" i="70"/>
  <c r="IG32" i="70"/>
  <c r="IF32" i="70"/>
  <c r="IE32" i="70"/>
  <c r="ID32" i="70"/>
  <c r="IC32" i="70"/>
  <c r="IB32" i="70"/>
  <c r="IA32" i="70"/>
  <c r="HZ32" i="70"/>
  <c r="HY32" i="70"/>
  <c r="HX32" i="70"/>
  <c r="HW32" i="70"/>
  <c r="HV32" i="70"/>
  <c r="HS32" i="70"/>
  <c r="JM31" i="70"/>
  <c r="JL31" i="70"/>
  <c r="JK31" i="70"/>
  <c r="JJ31" i="70"/>
  <c r="IN31" i="70"/>
  <c r="IM31" i="70"/>
  <c r="IL31" i="70"/>
  <c r="IK31" i="70"/>
  <c r="IJ31" i="70"/>
  <c r="II31" i="70"/>
  <c r="IH31" i="70"/>
  <c r="IG31" i="70"/>
  <c r="IF31" i="70"/>
  <c r="IE31" i="70"/>
  <c r="ID31" i="70"/>
  <c r="IC31" i="70"/>
  <c r="IB31" i="70"/>
  <c r="IA31" i="70"/>
  <c r="HZ31" i="70"/>
  <c r="HY31" i="70"/>
  <c r="HX31" i="70"/>
  <c r="HW31" i="70"/>
  <c r="HV31" i="70"/>
  <c r="HS31" i="70"/>
  <c r="JM27" i="70"/>
  <c r="JL27" i="70"/>
  <c r="JK27" i="70"/>
  <c r="JJ27" i="70"/>
  <c r="IN27" i="70"/>
  <c r="IM27" i="70"/>
  <c r="IL27" i="70"/>
  <c r="IK27" i="70"/>
  <c r="IJ27" i="70"/>
  <c r="II27" i="70"/>
  <c r="IH27" i="70"/>
  <c r="IG27" i="70"/>
  <c r="IF27" i="70"/>
  <c r="IE27" i="70"/>
  <c r="ID27" i="70"/>
  <c r="IC27" i="70"/>
  <c r="IB27" i="70"/>
  <c r="IA27" i="70"/>
  <c r="HZ27" i="70"/>
  <c r="HY27" i="70"/>
  <c r="HX27" i="70"/>
  <c r="HW27" i="70"/>
  <c r="HV27" i="70"/>
  <c r="HS27" i="70"/>
  <c r="JM30" i="70"/>
  <c r="KH30" i="70" s="1"/>
  <c r="JL30" i="70"/>
  <c r="JK30" i="70"/>
  <c r="JJ30" i="70"/>
  <c r="IN30" i="70"/>
  <c r="IM30" i="70"/>
  <c r="IL30" i="70"/>
  <c r="IK30" i="70"/>
  <c r="IJ30" i="70"/>
  <c r="II30" i="70"/>
  <c r="IH30" i="70"/>
  <c r="IG30" i="70"/>
  <c r="IF30" i="70"/>
  <c r="IE30" i="70"/>
  <c r="ID30" i="70"/>
  <c r="IC30" i="70"/>
  <c r="IB30" i="70"/>
  <c r="IA30" i="70"/>
  <c r="HZ30" i="70"/>
  <c r="HY30" i="70"/>
  <c r="HX30" i="70"/>
  <c r="HW30" i="70"/>
  <c r="HV30" i="70"/>
  <c r="HS30" i="70"/>
  <c r="JM37" i="70"/>
  <c r="JL37" i="70"/>
  <c r="JK37" i="70"/>
  <c r="JJ37" i="70"/>
  <c r="IN37" i="70"/>
  <c r="IM37" i="70"/>
  <c r="IL37" i="70"/>
  <c r="IK37" i="70"/>
  <c r="IJ37" i="70"/>
  <c r="II37" i="70"/>
  <c r="IH37" i="70"/>
  <c r="IG37" i="70"/>
  <c r="IF37" i="70"/>
  <c r="IE37" i="70"/>
  <c r="ID37" i="70"/>
  <c r="IC37" i="70"/>
  <c r="IB37" i="70"/>
  <c r="IA37" i="70"/>
  <c r="HZ37" i="70"/>
  <c r="HY37" i="70"/>
  <c r="HX37" i="70"/>
  <c r="HW37" i="70"/>
  <c r="HV37" i="70"/>
  <c r="HS37" i="70"/>
  <c r="JM28" i="70"/>
  <c r="KH28" i="70" s="1"/>
  <c r="JL28" i="70"/>
  <c r="JK28" i="70"/>
  <c r="JJ28" i="70"/>
  <c r="IN28" i="70"/>
  <c r="IM28" i="70"/>
  <c r="IL28" i="70"/>
  <c r="IK28" i="70"/>
  <c r="IJ28" i="70"/>
  <c r="II28" i="70"/>
  <c r="IH28" i="70"/>
  <c r="IG28" i="70"/>
  <c r="IF28" i="70"/>
  <c r="IE28" i="70"/>
  <c r="ID28" i="70"/>
  <c r="IC28" i="70"/>
  <c r="IB28" i="70"/>
  <c r="IA28" i="70"/>
  <c r="HZ28" i="70"/>
  <c r="HY28" i="70"/>
  <c r="HX28" i="70"/>
  <c r="HW28" i="70"/>
  <c r="HV28" i="70"/>
  <c r="HS28" i="70"/>
  <c r="JM24" i="70"/>
  <c r="JL24" i="70"/>
  <c r="JK24" i="70"/>
  <c r="JJ24" i="70"/>
  <c r="IN24" i="70"/>
  <c r="IM24" i="70"/>
  <c r="IL24" i="70"/>
  <c r="IK24" i="70"/>
  <c r="IJ24" i="70"/>
  <c r="II24" i="70"/>
  <c r="IH24" i="70"/>
  <c r="IG24" i="70"/>
  <c r="IF24" i="70"/>
  <c r="IE24" i="70"/>
  <c r="ID24" i="70"/>
  <c r="IC24" i="70"/>
  <c r="IB24" i="70"/>
  <c r="IA24" i="70"/>
  <c r="HZ24" i="70"/>
  <c r="HY24" i="70"/>
  <c r="HX24" i="70"/>
  <c r="HW24" i="70"/>
  <c r="HV24" i="70"/>
  <c r="HS24" i="70"/>
  <c r="JM35" i="70"/>
  <c r="KH35" i="70" s="1"/>
  <c r="JL35" i="70"/>
  <c r="JK35" i="70"/>
  <c r="JJ35" i="70"/>
  <c r="IN35" i="70"/>
  <c r="IM35" i="70"/>
  <c r="IL35" i="70"/>
  <c r="IK35" i="70"/>
  <c r="IJ35" i="70"/>
  <c r="II35" i="70"/>
  <c r="IH35" i="70"/>
  <c r="IG35" i="70"/>
  <c r="IF35" i="70"/>
  <c r="IE35" i="70"/>
  <c r="ID35" i="70"/>
  <c r="IC35" i="70"/>
  <c r="IB35" i="70"/>
  <c r="IA35" i="70"/>
  <c r="HZ35" i="70"/>
  <c r="HY35" i="70"/>
  <c r="HX35" i="70"/>
  <c r="HW35" i="70"/>
  <c r="HV35" i="70"/>
  <c r="HS35" i="70"/>
  <c r="JM26" i="70"/>
  <c r="JL26" i="70"/>
  <c r="JK26" i="70"/>
  <c r="JJ26" i="70"/>
  <c r="IN26" i="70"/>
  <c r="IM26" i="70"/>
  <c r="IL26" i="70"/>
  <c r="IK26" i="70"/>
  <c r="IJ26" i="70"/>
  <c r="II26" i="70"/>
  <c r="IH26" i="70"/>
  <c r="IG26" i="70"/>
  <c r="IF26" i="70"/>
  <c r="IE26" i="70"/>
  <c r="ID26" i="70"/>
  <c r="IC26" i="70"/>
  <c r="IB26" i="70"/>
  <c r="IA26" i="70"/>
  <c r="HZ26" i="70"/>
  <c r="HY26" i="70"/>
  <c r="HX26" i="70"/>
  <c r="HW26" i="70"/>
  <c r="HV26" i="70"/>
  <c r="HS26" i="70"/>
  <c r="JM29" i="70"/>
  <c r="JL29" i="70"/>
  <c r="JK29" i="70"/>
  <c r="JJ29" i="70"/>
  <c r="IN29" i="70"/>
  <c r="IM29" i="70"/>
  <c r="IL29" i="70"/>
  <c r="IK29" i="70"/>
  <c r="IJ29" i="70"/>
  <c r="II29" i="70"/>
  <c r="IH29" i="70"/>
  <c r="IG29" i="70"/>
  <c r="IF29" i="70"/>
  <c r="IE29" i="70"/>
  <c r="ID29" i="70"/>
  <c r="IC29" i="70"/>
  <c r="IB29" i="70"/>
  <c r="IA29" i="70"/>
  <c r="HZ29" i="70"/>
  <c r="HY29" i="70"/>
  <c r="HX29" i="70"/>
  <c r="HW29" i="70"/>
  <c r="HV29" i="70"/>
  <c r="HS29" i="70"/>
  <c r="JM36" i="70"/>
  <c r="KH36" i="70" s="1"/>
  <c r="JL36" i="70"/>
  <c r="JK36" i="70"/>
  <c r="JJ36" i="70"/>
  <c r="IN36" i="70"/>
  <c r="IM36" i="70"/>
  <c r="IL36" i="70"/>
  <c r="IK36" i="70"/>
  <c r="IJ36" i="70"/>
  <c r="II36" i="70"/>
  <c r="IH36" i="70"/>
  <c r="IG36" i="70"/>
  <c r="IF36" i="70"/>
  <c r="IE36" i="70"/>
  <c r="ID36" i="70"/>
  <c r="IC36" i="70"/>
  <c r="IB36" i="70"/>
  <c r="IA36" i="70"/>
  <c r="HZ36" i="70"/>
  <c r="HY36" i="70"/>
  <c r="HX36" i="70"/>
  <c r="HW36" i="70"/>
  <c r="HV36" i="70"/>
  <c r="HS36" i="70"/>
  <c r="JM23" i="70"/>
  <c r="KH23" i="70" s="1"/>
  <c r="JL23" i="70"/>
  <c r="JK23" i="70"/>
  <c r="JJ23" i="70"/>
  <c r="IN23" i="70"/>
  <c r="IM23" i="70"/>
  <c r="IL23" i="70"/>
  <c r="IK23" i="70"/>
  <c r="IJ23" i="70"/>
  <c r="II23" i="70"/>
  <c r="IH23" i="70"/>
  <c r="IG23" i="70"/>
  <c r="IF23" i="70"/>
  <c r="IE23" i="70"/>
  <c r="ID23" i="70"/>
  <c r="IC23" i="70"/>
  <c r="IB23" i="70"/>
  <c r="IA23" i="70"/>
  <c r="HZ23" i="70"/>
  <c r="HY23" i="70"/>
  <c r="HX23" i="70"/>
  <c r="HW23" i="70"/>
  <c r="HV23" i="70"/>
  <c r="HS23" i="70"/>
  <c r="JM17" i="70"/>
  <c r="KH17" i="70" s="1"/>
  <c r="JL17" i="70"/>
  <c r="JK17" i="70"/>
  <c r="JJ17" i="70"/>
  <c r="IN17" i="70"/>
  <c r="IM17" i="70"/>
  <c r="IL17" i="70"/>
  <c r="IK17" i="70"/>
  <c r="IJ17" i="70"/>
  <c r="II17" i="70"/>
  <c r="IH17" i="70"/>
  <c r="IG17" i="70"/>
  <c r="IF17" i="70"/>
  <c r="IE17" i="70"/>
  <c r="ID17" i="70"/>
  <c r="IC17" i="70"/>
  <c r="IB17" i="70"/>
  <c r="IA17" i="70"/>
  <c r="HZ17" i="70"/>
  <c r="HY17" i="70"/>
  <c r="HX17" i="70"/>
  <c r="HW17" i="70"/>
  <c r="HV17" i="70"/>
  <c r="HS17" i="70"/>
  <c r="JM15" i="70"/>
  <c r="KH15" i="70" s="1"/>
  <c r="JL15" i="70"/>
  <c r="JK15" i="70"/>
  <c r="JJ15" i="70"/>
  <c r="IN15" i="70"/>
  <c r="IM15" i="70"/>
  <c r="IL15" i="70"/>
  <c r="IK15" i="70"/>
  <c r="IJ15" i="70"/>
  <c r="II15" i="70"/>
  <c r="IH15" i="70"/>
  <c r="IG15" i="70"/>
  <c r="IF15" i="70"/>
  <c r="IE15" i="70"/>
  <c r="ID15" i="70"/>
  <c r="IC15" i="70"/>
  <c r="IB15" i="70"/>
  <c r="IA15" i="70"/>
  <c r="HZ15" i="70"/>
  <c r="HY15" i="70"/>
  <c r="HX15" i="70"/>
  <c r="HW15" i="70"/>
  <c r="HV15" i="70"/>
  <c r="HS15" i="70"/>
  <c r="JJ21" i="70"/>
  <c r="IN21" i="70"/>
  <c r="IM21" i="70"/>
  <c r="IL21" i="70"/>
  <c r="IK21" i="70"/>
  <c r="IJ21" i="70"/>
  <c r="II21" i="70"/>
  <c r="IH21" i="70"/>
  <c r="IG21" i="70"/>
  <c r="IF21" i="70"/>
  <c r="IE21" i="70"/>
  <c r="ID21" i="70"/>
  <c r="IC21" i="70"/>
  <c r="IB21" i="70"/>
  <c r="IA21" i="70"/>
  <c r="HZ21" i="70"/>
  <c r="HY21" i="70"/>
  <c r="HX21" i="70"/>
  <c r="HW21" i="70"/>
  <c r="HV21" i="70"/>
  <c r="HS21" i="70"/>
  <c r="JJ18" i="70"/>
  <c r="IN18" i="70"/>
  <c r="IM18" i="70"/>
  <c r="IL18" i="70"/>
  <c r="IK18" i="70"/>
  <c r="IJ18" i="70"/>
  <c r="II18" i="70"/>
  <c r="IH18" i="70"/>
  <c r="IG18" i="70"/>
  <c r="IF18" i="70"/>
  <c r="IE18" i="70"/>
  <c r="ID18" i="70"/>
  <c r="IC18" i="70"/>
  <c r="IB18" i="70"/>
  <c r="IA18" i="70"/>
  <c r="HZ18" i="70"/>
  <c r="HY18" i="70"/>
  <c r="HX18" i="70"/>
  <c r="HW18" i="70"/>
  <c r="HV18" i="70"/>
  <c r="HS18" i="70"/>
  <c r="KH22" i="70"/>
  <c r="JJ22" i="70"/>
  <c r="IN22" i="70"/>
  <c r="IM22" i="70"/>
  <c r="IL22" i="70"/>
  <c r="IK22" i="70"/>
  <c r="IJ22" i="70"/>
  <c r="II22" i="70"/>
  <c r="IH22" i="70"/>
  <c r="IG22" i="70"/>
  <c r="IF22" i="70"/>
  <c r="IE22" i="70"/>
  <c r="ID22" i="70"/>
  <c r="IC22" i="70"/>
  <c r="IB22" i="70"/>
  <c r="IA22" i="70"/>
  <c r="HZ22" i="70"/>
  <c r="HY22" i="70"/>
  <c r="HX22" i="70"/>
  <c r="HW22" i="70"/>
  <c r="HV22" i="70"/>
  <c r="HS22" i="70"/>
  <c r="JJ16" i="70"/>
  <c r="IN16" i="70"/>
  <c r="IM16" i="70"/>
  <c r="IL16" i="70"/>
  <c r="IK16" i="70"/>
  <c r="IJ16" i="70"/>
  <c r="II16" i="70"/>
  <c r="IH16" i="70"/>
  <c r="IG16" i="70"/>
  <c r="IF16" i="70"/>
  <c r="IE16" i="70"/>
  <c r="ID16" i="70"/>
  <c r="IC16" i="70"/>
  <c r="IB16" i="70"/>
  <c r="IA16" i="70"/>
  <c r="HZ16" i="70"/>
  <c r="HY16" i="70"/>
  <c r="HX16" i="70"/>
  <c r="HW16" i="70"/>
  <c r="HV16" i="70"/>
  <c r="HS16" i="70"/>
  <c r="JJ13" i="70"/>
  <c r="IN13" i="70"/>
  <c r="IM13" i="70"/>
  <c r="IL13" i="70"/>
  <c r="IK13" i="70"/>
  <c r="IJ13" i="70"/>
  <c r="II13" i="70"/>
  <c r="IH13" i="70"/>
  <c r="IG13" i="70"/>
  <c r="IF13" i="70"/>
  <c r="IE13" i="70"/>
  <c r="ID13" i="70"/>
  <c r="IC13" i="70"/>
  <c r="IB13" i="70"/>
  <c r="IA13" i="70"/>
  <c r="HZ13" i="70"/>
  <c r="HY13" i="70"/>
  <c r="HX13" i="70"/>
  <c r="HW13" i="70"/>
  <c r="HV13" i="70"/>
  <c r="HS13" i="70"/>
  <c r="JJ12" i="70"/>
  <c r="IN12" i="70"/>
  <c r="IM12" i="70"/>
  <c r="IL12" i="70"/>
  <c r="IK12" i="70"/>
  <c r="IJ12" i="70"/>
  <c r="II12" i="70"/>
  <c r="IH12" i="70"/>
  <c r="IG12" i="70"/>
  <c r="IF12" i="70"/>
  <c r="IE12" i="70"/>
  <c r="ID12" i="70"/>
  <c r="IC12" i="70"/>
  <c r="IB12" i="70"/>
  <c r="IA12" i="70"/>
  <c r="HZ12" i="70"/>
  <c r="HY12" i="70"/>
  <c r="HX12" i="70"/>
  <c r="HW12" i="70"/>
  <c r="HV12" i="70"/>
  <c r="HS12" i="70"/>
  <c r="JM20" i="70"/>
  <c r="JL20" i="70"/>
  <c r="JK20" i="70"/>
  <c r="KE20" i="70" s="1"/>
  <c r="JJ20" i="70"/>
  <c r="IN20" i="70"/>
  <c r="IM20" i="70"/>
  <c r="IL20" i="70"/>
  <c r="IK20" i="70"/>
  <c r="IJ20" i="70"/>
  <c r="II20" i="70"/>
  <c r="IH20" i="70"/>
  <c r="IG20" i="70"/>
  <c r="IF20" i="70"/>
  <c r="IE20" i="70"/>
  <c r="ID20" i="70"/>
  <c r="IC20" i="70"/>
  <c r="IB20" i="70"/>
  <c r="IA20" i="70"/>
  <c r="HZ20" i="70"/>
  <c r="HY20" i="70"/>
  <c r="HX20" i="70"/>
  <c r="HW20" i="70"/>
  <c r="HV20" i="70"/>
  <c r="HS20" i="70"/>
  <c r="KH25" i="70"/>
  <c r="JJ25" i="70"/>
  <c r="IN25" i="70"/>
  <c r="IM25" i="70"/>
  <c r="IL25" i="70"/>
  <c r="IK25" i="70"/>
  <c r="IJ25" i="70"/>
  <c r="II25" i="70"/>
  <c r="IH25" i="70"/>
  <c r="IG25" i="70"/>
  <c r="IF25" i="70"/>
  <c r="IE25" i="70"/>
  <c r="ID25" i="70"/>
  <c r="IC25" i="70"/>
  <c r="IB25" i="70"/>
  <c r="IA25" i="70"/>
  <c r="HZ25" i="70"/>
  <c r="HY25" i="70"/>
  <c r="HX25" i="70"/>
  <c r="HW25" i="70"/>
  <c r="HV25" i="70"/>
  <c r="HS25" i="70"/>
  <c r="JJ11" i="70"/>
  <c r="IN11" i="70"/>
  <c r="IM11" i="70"/>
  <c r="IL11" i="70"/>
  <c r="IK11" i="70"/>
  <c r="IJ11" i="70"/>
  <c r="II11" i="70"/>
  <c r="IH11" i="70"/>
  <c r="IG11" i="70"/>
  <c r="IF11" i="70"/>
  <c r="IE11" i="70"/>
  <c r="ID11" i="70"/>
  <c r="IC11" i="70"/>
  <c r="IB11" i="70"/>
  <c r="IA11" i="70"/>
  <c r="HZ11" i="70"/>
  <c r="HY11" i="70"/>
  <c r="HX11" i="70"/>
  <c r="HW11" i="70"/>
  <c r="HV11" i="70"/>
  <c r="HS11" i="70"/>
  <c r="KH19" i="70"/>
  <c r="JJ19" i="70"/>
  <c r="IN19" i="70"/>
  <c r="IM19" i="70"/>
  <c r="IL19" i="70"/>
  <c r="IK19" i="70"/>
  <c r="IJ19" i="70"/>
  <c r="II19" i="70"/>
  <c r="IH19" i="70"/>
  <c r="IG19" i="70"/>
  <c r="IF19" i="70"/>
  <c r="IE19" i="70"/>
  <c r="ID19" i="70"/>
  <c r="IC19" i="70"/>
  <c r="IB19" i="70"/>
  <c r="IA19" i="70"/>
  <c r="HZ19" i="70"/>
  <c r="HY19" i="70"/>
  <c r="HX19" i="70"/>
  <c r="HW19" i="70"/>
  <c r="HV19" i="70"/>
  <c r="HS19" i="70"/>
  <c r="JJ14" i="70"/>
  <c r="IN14" i="70"/>
  <c r="IM14" i="70"/>
  <c r="IL14" i="70"/>
  <c r="IK14" i="70"/>
  <c r="IJ14" i="70"/>
  <c r="II14" i="70"/>
  <c r="IH14" i="70"/>
  <c r="IG14" i="70"/>
  <c r="IF14" i="70"/>
  <c r="IE14" i="70"/>
  <c r="ID14" i="70"/>
  <c r="IC14" i="70"/>
  <c r="IB14" i="70"/>
  <c r="IA14" i="70"/>
  <c r="HZ14" i="70"/>
  <c r="HY14" i="70"/>
  <c r="HX14" i="70"/>
  <c r="HW14" i="70"/>
  <c r="HV14" i="70"/>
  <c r="HS14" i="70"/>
  <c r="JJ10" i="70"/>
  <c r="IN10" i="70"/>
  <c r="IM10" i="70"/>
  <c r="IL10" i="70"/>
  <c r="IK10" i="70"/>
  <c r="IJ10" i="70"/>
  <c r="II10" i="70"/>
  <c r="IH10" i="70"/>
  <c r="IG10" i="70"/>
  <c r="IF10" i="70"/>
  <c r="IE10" i="70"/>
  <c r="ID10" i="70"/>
  <c r="IC10" i="70"/>
  <c r="IB10" i="70"/>
  <c r="IA10" i="70"/>
  <c r="HZ10" i="70"/>
  <c r="HY10" i="70"/>
  <c r="HX10" i="70"/>
  <c r="HW10" i="70"/>
  <c r="HV10" i="70"/>
  <c r="HS10" i="70"/>
  <c r="JJ8" i="70"/>
  <c r="IN8" i="70"/>
  <c r="IM8" i="70"/>
  <c r="IL8" i="70"/>
  <c r="IK8" i="70"/>
  <c r="IJ8" i="70"/>
  <c r="II8" i="70"/>
  <c r="IH8" i="70"/>
  <c r="IG8" i="70"/>
  <c r="IF8" i="70"/>
  <c r="IE8" i="70"/>
  <c r="ID8" i="70"/>
  <c r="IC8" i="70"/>
  <c r="IB8" i="70"/>
  <c r="IA8" i="70"/>
  <c r="HZ8" i="70"/>
  <c r="HY8" i="70"/>
  <c r="HX8" i="70"/>
  <c r="HW8" i="70"/>
  <c r="HV8" i="70"/>
  <c r="HS8" i="70"/>
  <c r="JJ9" i="70"/>
  <c r="IN9" i="70"/>
  <c r="IM9" i="70"/>
  <c r="IL9" i="70"/>
  <c r="IK9" i="70"/>
  <c r="IJ9" i="70"/>
  <c r="II9" i="70"/>
  <c r="IH9" i="70"/>
  <c r="IG9" i="70"/>
  <c r="IF9" i="70"/>
  <c r="IE9" i="70"/>
  <c r="ID9" i="70"/>
  <c r="IC9" i="70"/>
  <c r="IB9" i="70"/>
  <c r="IA9" i="70"/>
  <c r="HZ9" i="70"/>
  <c r="HY9" i="70"/>
  <c r="HX9" i="70"/>
  <c r="HW9" i="70"/>
  <c r="HV9" i="70"/>
  <c r="HS9" i="70"/>
  <c r="JJ7" i="70"/>
  <c r="IN7" i="70"/>
  <c r="IM7" i="70"/>
  <c r="IK7" i="70"/>
  <c r="IJ7" i="70"/>
  <c r="II7" i="70"/>
  <c r="IH7" i="70"/>
  <c r="IG7" i="70"/>
  <c r="IF7" i="70"/>
  <c r="IE7" i="70"/>
  <c r="ID7" i="70"/>
  <c r="IC7" i="70"/>
  <c r="IB7" i="70"/>
  <c r="IA7" i="70"/>
  <c r="HZ7" i="70"/>
  <c r="HY7" i="70"/>
  <c r="HX7" i="70"/>
  <c r="HW7" i="70"/>
  <c r="HV7" i="70"/>
  <c r="HS7" i="70"/>
  <c r="JM6" i="70"/>
  <c r="JL6" i="70"/>
  <c r="KE6" i="70" s="1"/>
  <c r="JK6" i="70"/>
  <c r="JJ6" i="70"/>
  <c r="IN6" i="70"/>
  <c r="IM6" i="70"/>
  <c r="IK6" i="70"/>
  <c r="IJ6" i="70"/>
  <c r="II6" i="70"/>
  <c r="IH6" i="70"/>
  <c r="IG6" i="70"/>
  <c r="IF6" i="70"/>
  <c r="IE6" i="70"/>
  <c r="ID6" i="70"/>
  <c r="IC6" i="70"/>
  <c r="IB6" i="70"/>
  <c r="IA6" i="70"/>
  <c r="HZ6" i="70"/>
  <c r="HY6" i="70"/>
  <c r="HX6" i="70"/>
  <c r="HW6" i="70"/>
  <c r="HV6" i="70"/>
  <c r="HS6" i="70"/>
  <c r="DF4" i="70"/>
  <c r="I43" i="21"/>
  <c r="G43" i="21"/>
  <c r="F43" i="21"/>
  <c r="I41" i="21"/>
  <c r="J42" i="21" s="1"/>
  <c r="G41" i="21"/>
  <c r="F41" i="21"/>
  <c r="E41" i="21"/>
  <c r="D41" i="21"/>
  <c r="C41" i="21"/>
  <c r="I39" i="21"/>
  <c r="G39" i="21"/>
  <c r="F39" i="21"/>
  <c r="E39" i="21"/>
  <c r="D39" i="21"/>
  <c r="C39" i="21"/>
  <c r="AF31" i="21"/>
  <c r="I21" i="21"/>
  <c r="A21" i="21"/>
  <c r="A26" i="21" s="1"/>
  <c r="G20" i="21"/>
  <c r="F20" i="21"/>
  <c r="E20" i="21"/>
  <c r="D20" i="21"/>
  <c r="C20" i="21"/>
  <c r="A20" i="21"/>
  <c r="J21" i="21"/>
  <c r="I26" i="21"/>
  <c r="H21" i="21"/>
  <c r="D21" i="21"/>
  <c r="V16" i="21"/>
  <c r="I25" i="9"/>
  <c r="I17" i="9" s="1"/>
  <c r="I18" i="9" s="1"/>
  <c r="L13" i="21"/>
  <c r="L12" i="21"/>
  <c r="W7" i="21"/>
  <c r="X7" i="21"/>
  <c r="W6" i="21"/>
  <c r="X6" i="21"/>
  <c r="AA6" i="21"/>
  <c r="AB6" i="21"/>
  <c r="W5" i="21"/>
  <c r="X5" i="21"/>
  <c r="W4" i="21"/>
  <c r="X4" i="21"/>
  <c r="AA4" i="21"/>
  <c r="L26" i="75"/>
  <c r="G26" i="75"/>
  <c r="F26" i="75"/>
  <c r="E26" i="75"/>
  <c r="L23" i="75"/>
  <c r="K23" i="75"/>
  <c r="J23" i="75"/>
  <c r="I23" i="75"/>
  <c r="I26" i="75"/>
  <c r="H23" i="75"/>
  <c r="H26" i="75"/>
  <c r="G23" i="75"/>
  <c r="F23" i="75"/>
  <c r="E23" i="75"/>
  <c r="J22" i="75"/>
  <c r="K22" i="75"/>
  <c r="L22" i="75"/>
  <c r="E22" i="75"/>
  <c r="C22" i="75"/>
  <c r="L19" i="75"/>
  <c r="K19" i="75"/>
  <c r="J19" i="75"/>
  <c r="I19" i="75"/>
  <c r="H19" i="75"/>
  <c r="E19" i="75"/>
  <c r="L18" i="75"/>
  <c r="J18" i="75"/>
  <c r="K18" i="75"/>
  <c r="E18" i="75"/>
  <c r="C18" i="75"/>
  <c r="B18" i="75"/>
  <c r="L16" i="75"/>
  <c r="K16" i="75"/>
  <c r="J16" i="75"/>
  <c r="I16" i="75"/>
  <c r="H16" i="75"/>
  <c r="E16" i="75"/>
  <c r="L15" i="75"/>
  <c r="J15" i="75"/>
  <c r="K15" i="75"/>
  <c r="E15" i="75"/>
  <c r="B15" i="75"/>
  <c r="L13" i="75"/>
  <c r="K13" i="75"/>
  <c r="J13" i="75"/>
  <c r="E13" i="75"/>
  <c r="B13" i="75"/>
  <c r="L12" i="75"/>
  <c r="K12" i="75"/>
  <c r="J12" i="75"/>
  <c r="E12" i="75"/>
  <c r="C12" i="75"/>
  <c r="B12" i="75"/>
  <c r="L11" i="75"/>
  <c r="K11" i="75"/>
  <c r="J11" i="75"/>
  <c r="E11" i="75"/>
  <c r="C11" i="75"/>
  <c r="J10" i="75"/>
  <c r="B10" i="75"/>
  <c r="H111" i="28"/>
  <c r="G111" i="28"/>
  <c r="H114" i="28"/>
  <c r="F111" i="28"/>
  <c r="E111" i="28"/>
  <c r="D111" i="28"/>
  <c r="C111" i="28"/>
  <c r="H110" i="28"/>
  <c r="G110" i="28"/>
  <c r="H113" i="28"/>
  <c r="F110" i="28"/>
  <c r="E110" i="28"/>
  <c r="D110" i="28"/>
  <c r="C110" i="28"/>
  <c r="H109" i="28"/>
  <c r="I112" i="28"/>
  <c r="G109" i="28"/>
  <c r="G105" i="28"/>
  <c r="G104" i="28"/>
  <c r="D105" i="28"/>
  <c r="C105" i="28"/>
  <c r="H103" i="28"/>
  <c r="G103" i="28"/>
  <c r="E103" i="28"/>
  <c r="D103" i="28"/>
  <c r="C103" i="28"/>
  <c r="B103" i="28"/>
  <c r="H101" i="28"/>
  <c r="G101" i="28"/>
  <c r="G102" i="28"/>
  <c r="D101" i="28"/>
  <c r="C101" i="28"/>
  <c r="B101" i="28"/>
  <c r="H99" i="28"/>
  <c r="G99" i="28"/>
  <c r="G100" i="28"/>
  <c r="D99" i="28"/>
  <c r="C99" i="28"/>
  <c r="B99" i="28"/>
  <c r="H97" i="28"/>
  <c r="G97" i="28"/>
  <c r="D97" i="28"/>
  <c r="C97" i="28"/>
  <c r="B97" i="28"/>
  <c r="H95" i="28"/>
  <c r="G95" i="28"/>
  <c r="G96" i="28"/>
  <c r="D95" i="28"/>
  <c r="C95" i="28"/>
  <c r="B95" i="28"/>
  <c r="I90" i="28"/>
  <c r="H90" i="28"/>
  <c r="G90" i="28"/>
  <c r="F90" i="28"/>
  <c r="E90" i="28"/>
  <c r="D90" i="28"/>
  <c r="H89" i="28"/>
  <c r="G89" i="28"/>
  <c r="F89" i="28"/>
  <c r="E89" i="28"/>
  <c r="D89" i="28"/>
  <c r="I88" i="28"/>
  <c r="H88" i="28"/>
  <c r="G88" i="28"/>
  <c r="F88" i="28"/>
  <c r="E88" i="28"/>
  <c r="D88" i="28"/>
  <c r="I87" i="28"/>
  <c r="H87" i="28"/>
  <c r="G87" i="28"/>
  <c r="F87" i="28"/>
  <c r="E87" i="28"/>
  <c r="D87" i="28"/>
  <c r="I86" i="28"/>
  <c r="H86" i="28"/>
  <c r="G86" i="28"/>
  <c r="F86" i="28"/>
  <c r="E86" i="28"/>
  <c r="D86" i="28"/>
  <c r="C86" i="28"/>
  <c r="I85" i="28"/>
  <c r="H85" i="28"/>
  <c r="G85" i="28"/>
  <c r="F85" i="28"/>
  <c r="E85" i="28"/>
  <c r="D85" i="28"/>
  <c r="C85" i="28"/>
  <c r="I84" i="28"/>
  <c r="H84" i="28"/>
  <c r="G84" i="28"/>
  <c r="F84" i="28"/>
  <c r="E84" i="28"/>
  <c r="D84" i="28"/>
  <c r="C84" i="28"/>
  <c r="I83" i="28"/>
  <c r="H83" i="28"/>
  <c r="G83" i="28"/>
  <c r="F83" i="28"/>
  <c r="E83" i="28"/>
  <c r="D83" i="28"/>
  <c r="C83" i="28"/>
  <c r="C79" i="28"/>
  <c r="D77" i="28"/>
  <c r="C77" i="28"/>
  <c r="C75" i="28"/>
  <c r="C73" i="28"/>
  <c r="F71" i="28"/>
  <c r="E71" i="28"/>
  <c r="H66" i="28"/>
  <c r="G66" i="28"/>
  <c r="F66" i="28"/>
  <c r="E66" i="28"/>
  <c r="D66" i="28"/>
  <c r="C66" i="28"/>
  <c r="H65" i="28"/>
  <c r="G65" i="28"/>
  <c r="F65" i="28"/>
  <c r="E65" i="28"/>
  <c r="D65" i="28"/>
  <c r="C65" i="28"/>
  <c r="H64" i="28"/>
  <c r="G64" i="28"/>
  <c r="F64" i="28"/>
  <c r="E64" i="28"/>
  <c r="D64" i="28"/>
  <c r="C64" i="28"/>
  <c r="G63" i="28"/>
  <c r="F63" i="28"/>
  <c r="E63" i="28"/>
  <c r="D63" i="28"/>
  <c r="C63" i="28"/>
  <c r="A57" i="28"/>
  <c r="A58" i="28"/>
  <c r="A59" i="28"/>
  <c r="A60" i="28"/>
  <c r="A64" i="28"/>
  <c r="A65" i="28"/>
  <c r="A66" i="28"/>
  <c r="A67" i="28"/>
  <c r="A68" i="28"/>
  <c r="A72" i="28"/>
  <c r="A74" i="28"/>
  <c r="A76" i="28"/>
  <c r="A78" i="28"/>
  <c r="A83" i="28"/>
  <c r="A84" i="28"/>
  <c r="A85" i="28"/>
  <c r="A86" i="28"/>
  <c r="A87" i="28"/>
  <c r="A88" i="28"/>
  <c r="A89" i="28"/>
  <c r="A90" i="28"/>
  <c r="A95" i="28"/>
  <c r="A97" i="28"/>
  <c r="A99" i="28"/>
  <c r="A101" i="28"/>
  <c r="A103" i="28"/>
  <c r="A109" i="28"/>
  <c r="A110" i="28"/>
  <c r="A111" i="28"/>
  <c r="A120" i="28"/>
  <c r="A121" i="28"/>
  <c r="A125" i="28"/>
  <c r="A126" i="28"/>
  <c r="A127" i="28"/>
  <c r="A128" i="28"/>
  <c r="A130" i="28"/>
  <c r="A134" i="28"/>
  <c r="A135" i="28"/>
  <c r="A136" i="28"/>
  <c r="A137" i="28"/>
  <c r="E56" i="28"/>
  <c r="E57" i="28" s="1"/>
  <c r="D56" i="28"/>
  <c r="H49" i="28"/>
  <c r="G49" i="28"/>
  <c r="F49" i="28"/>
  <c r="E49" i="28"/>
  <c r="D49" i="28"/>
  <c r="H38" i="28"/>
  <c r="I7" i="28"/>
  <c r="B23" i="75"/>
  <c r="AN4" i="21"/>
  <c r="AN5" i="21"/>
  <c r="H56" i="28"/>
  <c r="AN10" i="21"/>
  <c r="AN6" i="21"/>
  <c r="AN15" i="21"/>
  <c r="AN7" i="21"/>
  <c r="AN8" i="21"/>
  <c r="AN12" i="21"/>
  <c r="H17" i="9"/>
  <c r="H18" i="9"/>
  <c r="D67" i="28" s="1"/>
  <c r="AN14" i="21"/>
  <c r="AN11" i="21"/>
  <c r="S43" i="21"/>
  <c r="M45" i="21"/>
  <c r="AN9" i="21"/>
  <c r="AN13" i="21"/>
  <c r="T41" i="21"/>
  <c r="T42" i="21" s="1"/>
  <c r="T49" i="21" s="1"/>
  <c r="S45" i="21"/>
  <c r="W11" i="21"/>
  <c r="X11" i="21"/>
  <c r="H105" i="28"/>
  <c r="E101" i="28"/>
  <c r="C245" i="59"/>
  <c r="F241" i="59"/>
  <c r="N241" i="59"/>
  <c r="C241" i="59"/>
  <c r="K241" i="59"/>
  <c r="W8" i="21"/>
  <c r="X8" i="21"/>
  <c r="J25" i="9"/>
  <c r="J17" i="9" s="1"/>
  <c r="E21" i="21"/>
  <c r="K21" i="21"/>
  <c r="W9" i="21"/>
  <c r="X9" i="21"/>
  <c r="D133" i="59"/>
  <c r="D118" i="59"/>
  <c r="L118" i="59"/>
  <c r="J26" i="21"/>
  <c r="D47" i="59"/>
  <c r="B16" i="75"/>
  <c r="W10" i="21"/>
  <c r="X10" i="21"/>
  <c r="W12" i="21"/>
  <c r="X12" i="21" s="1"/>
  <c r="K26" i="21"/>
  <c r="J27" i="21"/>
  <c r="M39" i="21"/>
  <c r="J43" i="21"/>
  <c r="J44" i="21" s="1"/>
  <c r="R43" i="21"/>
  <c r="T45" i="21"/>
  <c r="T46" i="21" s="1"/>
  <c r="T43" i="21"/>
  <c r="K72" i="59"/>
  <c r="K60" i="59"/>
  <c r="C60" i="59"/>
  <c r="J20" i="21"/>
  <c r="M43" i="21"/>
  <c r="JH42" i="70"/>
  <c r="JH39" i="70"/>
  <c r="JH44" i="70" s="1"/>
  <c r="R41" i="21"/>
  <c r="S41" i="21"/>
  <c r="R45" i="21"/>
  <c r="I34" i="59"/>
  <c r="F60" i="59"/>
  <c r="J94" i="59"/>
  <c r="J97" i="59"/>
  <c r="P22" i="71"/>
  <c r="H22" i="71"/>
  <c r="O22" i="71"/>
  <c r="G22" i="71"/>
  <c r="S18" i="71"/>
  <c r="T37" i="71"/>
  <c r="M22" i="71"/>
  <c r="E22" i="71"/>
  <c r="L22" i="71"/>
  <c r="D22" i="71"/>
  <c r="J22" i="71"/>
  <c r="Q22" i="71"/>
  <c r="I22" i="71"/>
  <c r="F22" i="71"/>
  <c r="N22" i="71"/>
  <c r="K22" i="71"/>
  <c r="E21" i="59"/>
  <c r="C56" i="59"/>
  <c r="C61" i="59"/>
  <c r="G60" i="59"/>
  <c r="C94" i="59"/>
  <c r="C133" i="59"/>
  <c r="K133" i="59"/>
  <c r="C118" i="59"/>
  <c r="W25" i="62"/>
  <c r="W29" i="62"/>
  <c r="W32" i="62"/>
  <c r="AE25" i="62"/>
  <c r="AE29" i="62"/>
  <c r="AE32" i="62"/>
  <c r="AB32" i="62"/>
  <c r="C106" i="59"/>
  <c r="AC25" i="62"/>
  <c r="AC29" i="62"/>
  <c r="AC32" i="62"/>
  <c r="L68" i="59"/>
  <c r="E97" i="59"/>
  <c r="M97" i="59"/>
  <c r="G121" i="59"/>
  <c r="AD29" i="62"/>
  <c r="AD23" i="62"/>
  <c r="AD17" i="62"/>
  <c r="S27" i="71"/>
  <c r="U27" i="71"/>
  <c r="R51" i="71"/>
  <c r="S51" i="71"/>
  <c r="N97" i="59"/>
  <c r="R50" i="71"/>
  <c r="S50" i="71"/>
  <c r="S31" i="71"/>
  <c r="U31" i="71"/>
  <c r="S34" i="71"/>
  <c r="U34" i="71"/>
  <c r="S28" i="71"/>
  <c r="U28" i="71"/>
  <c r="AB14" i="77"/>
  <c r="AB30" i="77"/>
  <c r="AB32" i="77"/>
  <c r="AB39" i="77"/>
  <c r="AB41" i="77"/>
  <c r="AB43" i="77"/>
  <c r="AB49" i="77"/>
  <c r="AB53" i="77"/>
  <c r="E83" i="77"/>
  <c r="E87" i="77"/>
  <c r="E91" i="77"/>
  <c r="E95" i="77"/>
  <c r="E99" i="77"/>
  <c r="N33" i="64"/>
  <c r="N35" i="64"/>
  <c r="L10" i="22"/>
  <c r="U12" i="77"/>
  <c r="AB28" i="77"/>
  <c r="AB56" i="77"/>
  <c r="E84" i="77"/>
  <c r="E88" i="77"/>
  <c r="E92" i="77"/>
  <c r="E96" i="77"/>
  <c r="K100" i="77"/>
  <c r="L3" i="11"/>
  <c r="L8" i="11"/>
  <c r="L8" i="13"/>
  <c r="AB16" i="77"/>
  <c r="AB18" i="77"/>
  <c r="AB20" i="77"/>
  <c r="AB22" i="77"/>
  <c r="AB24" i="77"/>
  <c r="AB26" i="77"/>
  <c r="AB31" i="77"/>
  <c r="AB33" i="77"/>
  <c r="AB35" i="77"/>
  <c r="AB38" i="77"/>
  <c r="AB40" i="77"/>
  <c r="AB54" i="77"/>
  <c r="E81" i="77"/>
  <c r="K84" i="77"/>
  <c r="K88" i="77"/>
  <c r="K92" i="77"/>
  <c r="K96" i="77"/>
  <c r="K101" i="77"/>
  <c r="N32" i="64"/>
  <c r="L3" i="10"/>
  <c r="L4" i="11"/>
  <c r="L9" i="13"/>
  <c r="L7" i="22"/>
  <c r="L11" i="22"/>
  <c r="AB42" i="77"/>
  <c r="AB44" i="77"/>
  <c r="AB46" i="77"/>
  <c r="AB48" i="77"/>
  <c r="AB50" i="77"/>
  <c r="AB52" i="77"/>
  <c r="E89" i="77"/>
  <c r="E93" i="77"/>
  <c r="E97" i="77"/>
  <c r="L5" i="11"/>
  <c r="L3" i="16"/>
  <c r="AB8" i="77"/>
  <c r="AB10" i="77"/>
  <c r="AB11" i="77"/>
  <c r="AB29" i="77"/>
  <c r="K81" i="77"/>
  <c r="K85" i="77"/>
  <c r="K89" i="77"/>
  <c r="K93" i="77"/>
  <c r="L6" i="11"/>
  <c r="L4" i="16"/>
  <c r="AB12" i="77"/>
  <c r="AB27" i="77"/>
  <c r="E82" i="77"/>
  <c r="E86" i="77"/>
  <c r="E90" i="77"/>
  <c r="E94" i="77"/>
  <c r="C159" i="59"/>
  <c r="O193" i="59"/>
  <c r="D135" i="59"/>
  <c r="P193" i="59"/>
  <c r="O181" i="59"/>
  <c r="H195" i="59"/>
  <c r="HV40" i="70"/>
  <c r="HS40" i="70"/>
  <c r="HY40" i="70"/>
  <c r="O41" i="21"/>
  <c r="AE31" i="21"/>
  <c r="AD31" i="21" s="1"/>
  <c r="AG31" i="21"/>
  <c r="D68" i="59"/>
  <c r="D86" i="59"/>
  <c r="O42" i="59"/>
  <c r="G56" i="59"/>
  <c r="G61" i="59"/>
  <c r="I60" i="59"/>
  <c r="F34" i="59"/>
  <c r="J30" i="59"/>
  <c r="C34" i="59"/>
  <c r="E118" i="59"/>
  <c r="E123" i="59"/>
  <c r="N248" i="59"/>
  <c r="M248" i="59"/>
  <c r="F97" i="59"/>
  <c r="F133" i="59"/>
  <c r="P42" i="59"/>
  <c r="L86" i="59"/>
  <c r="I72" i="59"/>
  <c r="N118" i="59"/>
  <c r="N123" i="59"/>
  <c r="L9" i="59"/>
  <c r="L17" i="59"/>
  <c r="L22" i="59"/>
  <c r="F121" i="59"/>
  <c r="I47" i="59"/>
  <c r="D71" i="59"/>
  <c r="F72" i="59"/>
  <c r="C99" i="59"/>
  <c r="C111" i="59"/>
  <c r="G72" i="59"/>
  <c r="G59" i="59"/>
  <c r="G123" i="59"/>
  <c r="M147" i="59"/>
  <c r="M159" i="59"/>
  <c r="G71" i="59"/>
  <c r="K86" i="59"/>
  <c r="L30" i="59"/>
  <c r="L48" i="59"/>
  <c r="J56" i="59"/>
  <c r="H68" i="59"/>
  <c r="H86" i="59"/>
  <c r="K99" i="59"/>
  <c r="F68" i="59"/>
  <c r="F86" i="59"/>
  <c r="M68" i="59"/>
  <c r="M86" i="59"/>
  <c r="J72" i="59"/>
  <c r="C135" i="59"/>
  <c r="L34" i="59"/>
  <c r="E17" i="59"/>
  <c r="O166" i="59"/>
  <c r="E68" i="59"/>
  <c r="I109" i="59"/>
  <c r="I20" i="59"/>
  <c r="E121" i="59"/>
  <c r="J17" i="59"/>
  <c r="E34" i="59"/>
  <c r="M21" i="59"/>
  <c r="G20" i="59"/>
  <c r="C17" i="59"/>
  <c r="G68" i="59"/>
  <c r="G86" i="59"/>
  <c r="N121" i="59"/>
  <c r="F195" i="59"/>
  <c r="I71" i="59"/>
  <c r="K56" i="59"/>
  <c r="K73" i="59"/>
  <c r="L72" i="59"/>
  <c r="G133" i="59"/>
  <c r="L56" i="59"/>
  <c r="L73" i="59"/>
  <c r="D109" i="59"/>
  <c r="F30" i="59"/>
  <c r="F48" i="59"/>
  <c r="G147" i="59"/>
  <c r="H133" i="59"/>
  <c r="H147" i="59"/>
  <c r="E72" i="59"/>
  <c r="G33" i="59"/>
  <c r="H30" i="59"/>
  <c r="H48" i="59"/>
  <c r="D34" i="59"/>
  <c r="N59" i="59"/>
  <c r="J9" i="59"/>
  <c r="J20" i="59"/>
  <c r="Y53" i="59"/>
  <c r="C109" i="59"/>
  <c r="K123" i="59"/>
  <c r="P166" i="59"/>
  <c r="N109" i="59"/>
  <c r="O115" i="59"/>
  <c r="O118" i="59"/>
  <c r="K9" i="59"/>
  <c r="F20" i="59"/>
  <c r="N147" i="59"/>
  <c r="I68" i="59"/>
  <c r="I86" i="59"/>
  <c r="I30" i="59"/>
  <c r="I35" i="59"/>
  <c r="D159" i="59"/>
  <c r="K65" i="77"/>
  <c r="K34" i="77"/>
  <c r="K59" i="77"/>
  <c r="K48" i="77"/>
  <c r="K46" i="77"/>
  <c r="K14" i="77"/>
  <c r="K44" i="77"/>
  <c r="K53" i="77"/>
  <c r="K51" i="77"/>
  <c r="K25" i="77"/>
  <c r="K29" i="77"/>
  <c r="K42" i="77"/>
  <c r="K35" i="77"/>
  <c r="K63" i="77"/>
  <c r="K64" i="77"/>
  <c r="K26" i="77"/>
  <c r="K36" i="77"/>
  <c r="K52" i="77"/>
  <c r="K66" i="77"/>
  <c r="K49" i="77"/>
  <c r="K23" i="77"/>
  <c r="K31" i="77"/>
  <c r="K28" i="77"/>
  <c r="K12" i="77"/>
  <c r="K50" i="77"/>
  <c r="K37" i="77"/>
  <c r="K45" i="77"/>
  <c r="K21" i="77"/>
  <c r="K38" i="77"/>
  <c r="K15" i="77"/>
  <c r="K24" i="77"/>
  <c r="K13" i="77"/>
  <c r="K67" i="77"/>
  <c r="K57" i="77"/>
  <c r="K60" i="77"/>
  <c r="K43" i="77"/>
  <c r="K19" i="77"/>
  <c r="K16" i="77"/>
  <c r="K69" i="77"/>
  <c r="K71" i="77"/>
  <c r="K22" i="77"/>
  <c r="K9" i="77"/>
  <c r="K56" i="77"/>
  <c r="K30" i="77"/>
  <c r="K39" i="77"/>
  <c r="K17" i="77"/>
  <c r="K61" i="77"/>
  <c r="K58" i="77"/>
  <c r="K20" i="77"/>
  <c r="K41" i="77"/>
  <c r="K18" i="77"/>
  <c r="K32" i="77"/>
  <c r="U39" i="71"/>
  <c r="N71" i="59"/>
  <c r="D72" i="59"/>
  <c r="C30" i="59"/>
  <c r="C48" i="59"/>
  <c r="U55" i="59"/>
  <c r="U58" i="59"/>
  <c r="O67" i="59"/>
  <c r="T39" i="71"/>
  <c r="AB13" i="77"/>
  <c r="AB21" i="77"/>
  <c r="AB34" i="77"/>
  <c r="O18" i="12"/>
  <c r="P18" i="12"/>
  <c r="P8" i="77"/>
  <c r="H71" i="59"/>
  <c r="F71" i="59"/>
  <c r="K97" i="59"/>
  <c r="O16" i="59"/>
  <c r="N56" i="59"/>
  <c r="D121" i="59"/>
  <c r="N9" i="59"/>
  <c r="F17" i="59"/>
  <c r="J21" i="59"/>
  <c r="O27" i="59"/>
  <c r="M33" i="59"/>
  <c r="N60" i="59"/>
  <c r="Z53" i="59"/>
  <c r="X55" i="59"/>
  <c r="X58" i="59"/>
  <c r="M109" i="59"/>
  <c r="L147" i="59"/>
  <c r="P178" i="59"/>
  <c r="AB23" i="77"/>
  <c r="AB36" i="77"/>
  <c r="AB47" i="77"/>
  <c r="AB57" i="77"/>
  <c r="H38" i="64"/>
  <c r="L31" i="14"/>
  <c r="N68" i="59"/>
  <c r="N86" i="59"/>
  <c r="K109" i="59"/>
  <c r="J33" i="59"/>
  <c r="M121" i="59"/>
  <c r="K21" i="59"/>
  <c r="C71" i="59"/>
  <c r="H109" i="59"/>
  <c r="G195" i="59"/>
  <c r="AB25" i="77"/>
  <c r="AB37" i="77"/>
  <c r="K94" i="77"/>
  <c r="M31" i="14"/>
  <c r="O55" i="59"/>
  <c r="O43" i="21"/>
  <c r="O45" i="21"/>
  <c r="H9" i="59"/>
  <c r="H17" i="59"/>
  <c r="O130" i="59"/>
  <c r="M23" i="14"/>
  <c r="M27" i="14"/>
  <c r="L3" i="15"/>
  <c r="F109" i="59"/>
  <c r="H46" i="59"/>
  <c r="J46" i="59"/>
  <c r="M118" i="59"/>
  <c r="M135" i="59"/>
  <c r="I97" i="59"/>
  <c r="I9" i="59"/>
  <c r="I22" i="59"/>
  <c r="P122" i="59"/>
  <c r="AB51" i="77"/>
  <c r="L4" i="15"/>
  <c r="D183" i="59"/>
  <c r="AB15" i="77"/>
  <c r="M24" i="14"/>
  <c r="L5" i="15"/>
  <c r="P7" i="59"/>
  <c r="G9" i="59"/>
  <c r="P15" i="59"/>
  <c r="G17" i="59"/>
  <c r="E71" i="59"/>
  <c r="M71" i="59"/>
  <c r="L109" i="59"/>
  <c r="J118" i="59"/>
  <c r="J135" i="59"/>
  <c r="E183" i="59"/>
  <c r="AB17" i="77"/>
  <c r="L6" i="15"/>
  <c r="I64" i="28"/>
  <c r="I66" i="28"/>
  <c r="J26" i="75"/>
  <c r="IC40" i="70"/>
  <c r="ES42" i="70"/>
  <c r="EU42" i="70"/>
  <c r="HW40" i="70"/>
  <c r="IE40" i="70"/>
  <c r="AY45" i="70"/>
  <c r="JC45" i="70"/>
  <c r="Y55" i="59"/>
  <c r="Z58" i="59"/>
  <c r="H135" i="59"/>
  <c r="K159" i="59"/>
  <c r="O154" i="59"/>
  <c r="P142" i="59"/>
  <c r="P147" i="59"/>
  <c r="J159" i="59"/>
  <c r="H171" i="59"/>
  <c r="J48" i="59"/>
  <c r="P130" i="59"/>
  <c r="F147" i="59"/>
  <c r="K171" i="59"/>
  <c r="O190" i="59"/>
  <c r="O207" i="59"/>
  <c r="O205" i="59"/>
  <c r="X53" i="59"/>
  <c r="P190" i="59"/>
  <c r="P207" i="59"/>
  <c r="P205" i="59"/>
  <c r="F35" i="59"/>
  <c r="E99" i="59"/>
  <c r="I147" i="59"/>
  <c r="P133" i="59"/>
  <c r="G135" i="59"/>
  <c r="J171" i="59"/>
  <c r="J99" i="59"/>
  <c r="J61" i="59"/>
  <c r="P81" i="59"/>
  <c r="P154" i="59"/>
  <c r="P159" i="59"/>
  <c r="P158" i="59"/>
  <c r="L171" i="59"/>
  <c r="E147" i="59"/>
  <c r="K135" i="59"/>
  <c r="O81" i="59"/>
  <c r="N99" i="59"/>
  <c r="G159" i="59"/>
  <c r="B29" i="75"/>
  <c r="AR45" i="70"/>
  <c r="AZ45" i="70"/>
  <c r="KG36" i="70"/>
  <c r="KE16" i="70"/>
  <c r="BP45" i="70"/>
  <c r="KE9" i="70"/>
  <c r="KE22" i="70"/>
  <c r="AJ45" i="70"/>
  <c r="KE36" i="70"/>
  <c r="KE11" i="70"/>
  <c r="KG11" i="70"/>
  <c r="CE45" i="70"/>
  <c r="KH33" i="70"/>
  <c r="KG19" i="70"/>
  <c r="IG38" i="70"/>
  <c r="JH40" i="70"/>
  <c r="BH45" i="70"/>
  <c r="CF45" i="70"/>
  <c r="DX45" i="70"/>
  <c r="L16" i="21"/>
  <c r="B19" i="75"/>
  <c r="K26" i="28"/>
  <c r="H96" i="28"/>
  <c r="I96" i="28"/>
  <c r="H102" i="28"/>
  <c r="I113" i="28"/>
  <c r="AB23" i="62"/>
  <c r="AB17" i="62"/>
  <c r="C183" i="59"/>
  <c r="M219" i="59"/>
  <c r="M207" i="59"/>
  <c r="N219" i="59"/>
  <c r="N207" i="59"/>
  <c r="I114" i="28"/>
  <c r="H112" i="28"/>
  <c r="B17" i="9"/>
  <c r="B18" i="9" s="1"/>
  <c r="L25" i="9"/>
  <c r="L17" i="9" s="1"/>
  <c r="R47" i="21"/>
  <c r="S47" i="21"/>
  <c r="T47" i="21"/>
  <c r="I75" i="28"/>
  <c r="EF45" i="70"/>
  <c r="AE45" i="70"/>
  <c r="GW45" i="70"/>
  <c r="T45" i="70"/>
  <c r="P45" i="70"/>
  <c r="X45" i="70"/>
  <c r="GT45" i="70"/>
  <c r="HN45" i="70"/>
  <c r="AS10" i="21"/>
  <c r="AR10" i="21"/>
  <c r="AA14" i="21"/>
  <c r="AB14" i="21"/>
  <c r="AR14" i="21"/>
  <c r="AS14" i="21"/>
  <c r="AS8" i="21"/>
  <c r="AR8" i="21"/>
  <c r="AS15" i="21"/>
  <c r="AR15" i="21"/>
  <c r="AA11" i="21"/>
  <c r="AB11" i="21"/>
  <c r="AR11" i="21"/>
  <c r="AS11" i="21"/>
  <c r="AS9" i="21"/>
  <c r="AR9" i="21"/>
  <c r="AA12" i="21"/>
  <c r="AB12" i="21" s="1"/>
  <c r="AR12" i="21"/>
  <c r="AS12" i="21"/>
  <c r="AT11" i="21"/>
  <c r="AS7" i="21"/>
  <c r="AT7" i="21"/>
  <c r="AR7" i="21"/>
  <c r="AT12" i="21"/>
  <c r="AT10" i="21"/>
  <c r="AT13" i="21"/>
  <c r="AT16" i="21"/>
  <c r="AT9" i="21"/>
  <c r="AT14" i="21"/>
  <c r="AT8" i="21"/>
  <c r="AT15" i="21"/>
  <c r="AR13" i="21"/>
  <c r="AS13" i="21"/>
  <c r="I102" i="28"/>
  <c r="I100" i="28"/>
  <c r="I98" i="28"/>
  <c r="H104" i="28"/>
  <c r="H100" i="28"/>
  <c r="H98" i="28"/>
  <c r="I104" i="28"/>
  <c r="E97" i="28"/>
  <c r="E95" i="28"/>
  <c r="E99" i="28"/>
  <c r="E105" i="28"/>
  <c r="C27" i="9"/>
  <c r="L7" i="13"/>
  <c r="H12" i="64"/>
  <c r="T12" i="64"/>
  <c r="X15" i="77"/>
  <c r="O182" i="59"/>
  <c r="I99" i="59"/>
  <c r="I111" i="59"/>
  <c r="G34" i="59"/>
  <c r="J84" i="59"/>
  <c r="P115" i="59"/>
  <c r="G21" i="59"/>
  <c r="P16" i="59"/>
  <c r="P55" i="59"/>
  <c r="P53" i="59"/>
  <c r="L133" i="59"/>
  <c r="D33" i="59"/>
  <c r="L20" i="59"/>
  <c r="E30" i="59"/>
  <c r="E35" i="59"/>
  <c r="E33" i="59"/>
  <c r="K48" i="59"/>
  <c r="K71" i="59"/>
  <c r="F171" i="59"/>
  <c r="P182" i="59"/>
  <c r="J183" i="59"/>
  <c r="E159" i="59"/>
  <c r="O103" i="59"/>
  <c r="O106" i="59"/>
  <c r="P8" i="59"/>
  <c r="M9" i="59"/>
  <c r="M20" i="59"/>
  <c r="I21" i="59"/>
  <c r="E46" i="59"/>
  <c r="N47" i="59"/>
  <c r="M94" i="59"/>
  <c r="M99" i="59"/>
  <c r="H94" i="59"/>
  <c r="H99" i="59"/>
  <c r="J121" i="59"/>
  <c r="C171" i="59"/>
  <c r="G171" i="59"/>
  <c r="M171" i="59"/>
  <c r="O194" i="59"/>
  <c r="E86" i="59"/>
  <c r="H121" i="59"/>
  <c r="P181" i="59"/>
  <c r="P103" i="59"/>
  <c r="C84" i="59"/>
  <c r="C33" i="59"/>
  <c r="O7" i="59"/>
  <c r="F56" i="59"/>
  <c r="D123" i="59"/>
  <c r="M59" i="59"/>
  <c r="M43" i="59"/>
  <c r="D97" i="59"/>
  <c r="E111" i="59"/>
  <c r="K111" i="59"/>
  <c r="J147" i="59"/>
  <c r="N159" i="59"/>
  <c r="G183" i="59"/>
  <c r="N171" i="59"/>
  <c r="O65" i="59"/>
  <c r="J71" i="59"/>
  <c r="C68" i="59"/>
  <c r="O29" i="59"/>
  <c r="T53" i="59"/>
  <c r="P27" i="59"/>
  <c r="C9" i="59"/>
  <c r="D30" i="59"/>
  <c r="D48" i="59"/>
  <c r="O8" i="59"/>
  <c r="N17" i="59"/>
  <c r="N43" i="59"/>
  <c r="N48" i="59"/>
  <c r="L106" i="59"/>
  <c r="L123" i="59"/>
  <c r="I121" i="59"/>
  <c r="L159" i="59"/>
  <c r="O178" i="59"/>
  <c r="M183" i="59"/>
  <c r="G109" i="59"/>
  <c r="P65" i="59"/>
  <c r="J59" i="59"/>
  <c r="C121" i="59"/>
  <c r="C85" i="59"/>
  <c r="P84" i="59"/>
  <c r="O15" i="59"/>
  <c r="D21" i="59"/>
  <c r="I33" i="59"/>
  <c r="K34" i="59"/>
  <c r="D46" i="59"/>
  <c r="I159" i="59"/>
  <c r="F159" i="59"/>
  <c r="I171" i="59"/>
  <c r="N183" i="59"/>
  <c r="L135" i="59"/>
  <c r="P169" i="59"/>
  <c r="C72" i="59"/>
  <c r="P29" i="59"/>
  <c r="O91" i="59"/>
  <c r="O94" i="59"/>
  <c r="K20" i="59"/>
  <c r="M60" i="59"/>
  <c r="L121" i="59"/>
  <c r="L21" i="59"/>
  <c r="C147" i="59"/>
  <c r="G30" i="59"/>
  <c r="P91" i="59"/>
  <c r="M56" i="59"/>
  <c r="F9" i="59"/>
  <c r="F21" i="59"/>
  <c r="G47" i="59"/>
  <c r="F99" i="59"/>
  <c r="L97" i="59"/>
  <c r="F123" i="59"/>
  <c r="K121" i="59"/>
  <c r="K147" i="59"/>
  <c r="H159" i="59"/>
  <c r="K183" i="59"/>
  <c r="D99" i="59"/>
  <c r="D111" i="59"/>
  <c r="F111" i="59"/>
  <c r="J86" i="59"/>
  <c r="M123" i="59"/>
  <c r="N111" i="59"/>
  <c r="F135" i="59"/>
  <c r="J73" i="59"/>
  <c r="L99" i="59"/>
  <c r="D17" i="59"/>
  <c r="N20" i="59"/>
  <c r="L33" i="59"/>
  <c r="K47" i="59"/>
  <c r="O53" i="59"/>
  <c r="L59" i="59"/>
  <c r="D56" i="59"/>
  <c r="L71" i="59"/>
  <c r="D147" i="59"/>
  <c r="D171" i="59"/>
  <c r="L183" i="59"/>
  <c r="H183" i="59"/>
  <c r="M195" i="59"/>
  <c r="G241" i="59"/>
  <c r="N245" i="59"/>
  <c r="E9" i="59"/>
  <c r="K17" i="59"/>
  <c r="C21" i="59"/>
  <c r="H34" i="59"/>
  <c r="O40" i="59"/>
  <c r="O43" i="59"/>
  <c r="E59" i="59"/>
  <c r="P67" i="59"/>
  <c r="H72" i="59"/>
  <c r="P85" i="59"/>
  <c r="H106" i="59"/>
  <c r="I183" i="59"/>
  <c r="N195" i="59"/>
  <c r="C123" i="59"/>
  <c r="M30" i="59"/>
  <c r="J34" i="59"/>
  <c r="P40" i="59"/>
  <c r="M46" i="59"/>
  <c r="E56" i="59"/>
  <c r="H56" i="59"/>
  <c r="H61" i="59"/>
  <c r="E171" i="59"/>
  <c r="I241" i="59"/>
  <c r="M17" i="59"/>
  <c r="I56" i="59"/>
  <c r="K84" i="59"/>
  <c r="H84" i="59"/>
  <c r="E109" i="59"/>
  <c r="J106" i="59"/>
  <c r="J195" i="59"/>
  <c r="I245" i="59"/>
  <c r="N34" i="59"/>
  <c r="D59" i="59"/>
  <c r="V55" i="59"/>
  <c r="G94" i="59"/>
  <c r="J245" i="59"/>
  <c r="D20" i="59"/>
  <c r="E43" i="59"/>
  <c r="E48" i="59"/>
  <c r="I118" i="59"/>
  <c r="P194" i="59"/>
  <c r="F183" i="59"/>
  <c r="K245" i="59"/>
  <c r="AB4" i="21"/>
  <c r="AE5" i="21"/>
  <c r="AA5" i="21"/>
  <c r="AB5" i="21"/>
  <c r="R42" i="21"/>
  <c r="R49" i="21" s="1"/>
  <c r="AA15" i="21"/>
  <c r="AB15" i="21" s="1"/>
  <c r="AE10" i="21"/>
  <c r="AA10" i="21"/>
  <c r="AB10" i="21"/>
  <c r="AE8" i="21"/>
  <c r="AA8" i="21"/>
  <c r="AB8" i="21"/>
  <c r="AE6" i="21"/>
  <c r="AE9" i="21"/>
  <c r="AA9" i="21"/>
  <c r="AB9" i="21"/>
  <c r="AE7" i="21"/>
  <c r="AA7" i="21"/>
  <c r="AB7" i="21"/>
  <c r="FY38" i="70"/>
  <c r="FY39" i="70" s="1"/>
  <c r="AA13" i="21"/>
  <c r="AB13" i="21" s="1"/>
  <c r="AE11" i="21"/>
  <c r="AF11" i="21" s="1"/>
  <c r="D17" i="9"/>
  <c r="D18" i="9" s="1"/>
  <c r="H20" i="9" s="1"/>
  <c r="ER42" i="70"/>
  <c r="KE7" i="70"/>
  <c r="AF45" i="70"/>
  <c r="AN45" i="70"/>
  <c r="AV45" i="70"/>
  <c r="BD45" i="70"/>
  <c r="BL45" i="70"/>
  <c r="BT45" i="70"/>
  <c r="CB45" i="70"/>
  <c r="CJ45" i="70"/>
  <c r="CR45" i="70"/>
  <c r="EB45" i="70"/>
  <c r="EZ45" i="70"/>
  <c r="KG9" i="70"/>
  <c r="DH45" i="70"/>
  <c r="KH11" i="70"/>
  <c r="KG22" i="70"/>
  <c r="HJ45" i="70"/>
  <c r="KH14" i="70"/>
  <c r="DW45" i="70"/>
  <c r="AB45" i="70"/>
  <c r="BX45" i="70"/>
  <c r="CN45" i="70"/>
  <c r="CV45" i="70"/>
  <c r="HE45" i="70"/>
  <c r="K26" i="75"/>
  <c r="EQ39" i="70"/>
  <c r="EQ40" i="70" s="1"/>
  <c r="CA45" i="70"/>
  <c r="EY45" i="70"/>
  <c r="FA45" i="70"/>
  <c r="I207" i="59"/>
  <c r="EW42" i="70"/>
  <c r="AO4" i="21"/>
  <c r="AO13" i="21"/>
  <c r="M25" i="9"/>
  <c r="M17" i="9" s="1"/>
  <c r="M27" i="9" s="1"/>
  <c r="AO9" i="21"/>
  <c r="N39" i="21"/>
  <c r="AO12" i="21"/>
  <c r="AO10" i="21"/>
  <c r="AO5" i="21"/>
  <c r="N27" i="21"/>
  <c r="AO11" i="21"/>
  <c r="AO8" i="21"/>
  <c r="AO7" i="21"/>
  <c r="AO6" i="21"/>
  <c r="AO14" i="21"/>
  <c r="B26" i="75"/>
  <c r="AO15" i="21"/>
  <c r="I56" i="28"/>
  <c r="I57" i="28" s="1"/>
  <c r="N43" i="21"/>
  <c r="O44" i="21" s="1"/>
  <c r="W17" i="21"/>
  <c r="N20" i="21"/>
  <c r="N45" i="21"/>
  <c r="O46" i="21" s="1"/>
  <c r="O5" i="62"/>
  <c r="H73" i="28"/>
  <c r="AC23" i="62"/>
  <c r="AC17" i="62"/>
  <c r="AE12" i="21"/>
  <c r="K28" i="28"/>
  <c r="J35" i="59"/>
  <c r="Y56" i="59"/>
  <c r="H22" i="59"/>
  <c r="K61" i="59"/>
  <c r="P195" i="59"/>
  <c r="L35" i="59"/>
  <c r="GA38" i="70"/>
  <c r="GA39" i="70" s="1"/>
  <c r="GA85" i="110"/>
  <c r="GA86" i="110" s="1"/>
  <c r="FZ38" i="70"/>
  <c r="FZ39" i="70" s="1"/>
  <c r="FZ85" i="110"/>
  <c r="L39" i="21"/>
  <c r="M27" i="21"/>
  <c r="AM6" i="21"/>
  <c r="L41" i="21"/>
  <c r="K25" i="9"/>
  <c r="K17" i="9" s="1"/>
  <c r="K18" i="9" s="1"/>
  <c r="AM5" i="21"/>
  <c r="AM7" i="21"/>
  <c r="P9" i="59"/>
  <c r="E135" i="59"/>
  <c r="P20" i="59"/>
  <c r="N61" i="59"/>
  <c r="N135" i="59"/>
  <c r="F22" i="59"/>
  <c r="P135" i="59"/>
  <c r="M22" i="59"/>
  <c r="J22" i="59"/>
  <c r="O56" i="59"/>
  <c r="P183" i="59"/>
  <c r="C35" i="59"/>
  <c r="K22" i="59"/>
  <c r="N22" i="59"/>
  <c r="Z59" i="59"/>
  <c r="M111" i="59"/>
  <c r="O30" i="59"/>
  <c r="G73" i="59"/>
  <c r="O195" i="59"/>
  <c r="N73" i="59"/>
  <c r="C22" i="59"/>
  <c r="G22" i="59"/>
  <c r="L61" i="59"/>
  <c r="I48" i="59"/>
  <c r="X56" i="59"/>
  <c r="Y57" i="59"/>
  <c r="Z56" i="59"/>
  <c r="Z57" i="59"/>
  <c r="P171" i="59"/>
  <c r="H35" i="59"/>
  <c r="O68" i="59"/>
  <c r="AM14" i="21"/>
  <c r="L45" i="21"/>
  <c r="AM13" i="21"/>
  <c r="G56" i="28"/>
  <c r="AM4" i="21"/>
  <c r="AM12" i="21"/>
  <c r="AM11" i="21"/>
  <c r="M20" i="21"/>
  <c r="AM10" i="21"/>
  <c r="AM15" i="21"/>
  <c r="Y58" i="59"/>
  <c r="P86" i="59"/>
  <c r="Q53" i="77"/>
  <c r="R53" i="77"/>
  <c r="Q11" i="77"/>
  <c r="R11" i="77"/>
  <c r="Q58" i="77"/>
  <c r="R58" i="77"/>
  <c r="Q33" i="77"/>
  <c r="R33" i="77"/>
  <c r="Q20" i="77"/>
  <c r="R20" i="77"/>
  <c r="Q28" i="77"/>
  <c r="R28" i="77"/>
  <c r="Q12" i="77"/>
  <c r="R12" i="77"/>
  <c r="Q46" i="77"/>
  <c r="Q25" i="77"/>
  <c r="R25" i="77"/>
  <c r="Q55" i="77"/>
  <c r="R55" i="77"/>
  <c r="Q61" i="77"/>
  <c r="R61" i="77"/>
  <c r="Q17" i="77"/>
  <c r="R17" i="77"/>
  <c r="Q42" i="77"/>
  <c r="R42" i="77"/>
  <c r="Q49" i="77"/>
  <c r="R49" i="77"/>
  <c r="Q8" i="77"/>
  <c r="Q54" i="77"/>
  <c r="R54" i="77"/>
  <c r="Q26" i="77"/>
  <c r="R26" i="77"/>
  <c r="Q18" i="77"/>
  <c r="R18" i="77"/>
  <c r="Q13" i="77"/>
  <c r="R13" i="77"/>
  <c r="Q57" i="77"/>
  <c r="Q47" i="77"/>
  <c r="R47" i="77"/>
  <c r="Q67" i="77"/>
  <c r="R67" i="77"/>
  <c r="Q27" i="77"/>
  <c r="R27" i="77"/>
  <c r="Q15" i="77"/>
  <c r="R15" i="77"/>
  <c r="Q39" i="77"/>
  <c r="Q64" i="77"/>
  <c r="R64" i="77"/>
  <c r="Q23" i="77"/>
  <c r="R23" i="77"/>
  <c r="Q50" i="77"/>
  <c r="R50" i="77"/>
  <c r="Q59" i="77"/>
  <c r="R59" i="77"/>
  <c r="Q43" i="77"/>
  <c r="R43" i="77"/>
  <c r="Q40" i="77"/>
  <c r="R40" i="77"/>
  <c r="Q24" i="77"/>
  <c r="R24" i="77"/>
  <c r="Q14" i="77"/>
  <c r="R14" i="77"/>
  <c r="Q71" i="77"/>
  <c r="R71" i="77"/>
  <c r="Q10" i="77"/>
  <c r="Q19" i="77"/>
  <c r="R19" i="77"/>
  <c r="Q36" i="77"/>
  <c r="R36" i="77"/>
  <c r="Q21" i="77"/>
  <c r="R21" i="77"/>
  <c r="Q62" i="77"/>
  <c r="R62" i="77"/>
  <c r="Q70" i="77"/>
  <c r="R70" i="77"/>
  <c r="Q48" i="77"/>
  <c r="R48" i="77"/>
  <c r="Q69" i="77"/>
  <c r="R69" i="77"/>
  <c r="Q44" i="77"/>
  <c r="R44" i="77"/>
  <c r="Q68" i="77"/>
  <c r="R68" i="77"/>
  <c r="Q41" i="77"/>
  <c r="R41" i="77"/>
  <c r="Q35" i="77"/>
  <c r="R35" i="77"/>
  <c r="Q22" i="77"/>
  <c r="R22" i="77"/>
  <c r="Q63" i="77"/>
  <c r="R63" i="77"/>
  <c r="Q60" i="77"/>
  <c r="R60" i="77"/>
  <c r="Q34" i="77"/>
  <c r="R34" i="77"/>
  <c r="Q66" i="77"/>
  <c r="Q52" i="77"/>
  <c r="Q32" i="77"/>
  <c r="AE15" i="21"/>
  <c r="AE16" i="21" s="1"/>
  <c r="AU15" i="21"/>
  <c r="AV15" i="21"/>
  <c r="AE14" i="21"/>
  <c r="AU14" i="21"/>
  <c r="AV14" i="21"/>
  <c r="AE13" i="21"/>
  <c r="AU13" i="21"/>
  <c r="AW14" i="21"/>
  <c r="AW13" i="21"/>
  <c r="AV13" i="21"/>
  <c r="AW15" i="21"/>
  <c r="L47" i="21"/>
  <c r="Y59" i="59"/>
  <c r="N35" i="59"/>
  <c r="L26" i="21"/>
  <c r="L21" i="21"/>
  <c r="M26" i="21"/>
  <c r="M21" i="21"/>
  <c r="L43" i="21"/>
  <c r="AM9" i="21"/>
  <c r="AM8" i="21"/>
  <c r="R48" i="21"/>
  <c r="T48" i="21"/>
  <c r="I79" i="28"/>
  <c r="I77" i="28"/>
  <c r="AP14" i="21"/>
  <c r="O47" i="21"/>
  <c r="AP7" i="21"/>
  <c r="J56" i="28"/>
  <c r="AR16" i="21"/>
  <c r="O27" i="21"/>
  <c r="O20" i="21"/>
  <c r="AS16" i="21"/>
  <c r="AP4" i="21"/>
  <c r="AP6" i="21"/>
  <c r="O39" i="21"/>
  <c r="AP5" i="21"/>
  <c r="AP11" i="21"/>
  <c r="AP8" i="21"/>
  <c r="AP10" i="21"/>
  <c r="AP13" i="21"/>
  <c r="AP12" i="21"/>
  <c r="AP15" i="21"/>
  <c r="AP9" i="21"/>
  <c r="O183" i="59"/>
  <c r="M61" i="59"/>
  <c r="M73" i="59"/>
  <c r="P106" i="59"/>
  <c r="P111" i="59"/>
  <c r="P109" i="59"/>
  <c r="V53" i="59"/>
  <c r="V56" i="59"/>
  <c r="P60" i="59"/>
  <c r="R55" i="59"/>
  <c r="P71" i="59"/>
  <c r="S53" i="59"/>
  <c r="T59" i="59"/>
  <c r="P59" i="59"/>
  <c r="R53" i="59"/>
  <c r="P56" i="59"/>
  <c r="P61" i="59"/>
  <c r="L111" i="59"/>
  <c r="P94" i="59"/>
  <c r="P99" i="59"/>
  <c r="U53" i="59"/>
  <c r="P97" i="59"/>
  <c r="P33" i="59"/>
  <c r="P30" i="59"/>
  <c r="P21" i="59"/>
  <c r="G48" i="59"/>
  <c r="G35" i="59"/>
  <c r="T56" i="59"/>
  <c r="F61" i="59"/>
  <c r="F73" i="59"/>
  <c r="P121" i="59"/>
  <c r="P118" i="59"/>
  <c r="P123" i="59"/>
  <c r="W53" i="59"/>
  <c r="P34" i="59"/>
  <c r="P47" i="59"/>
  <c r="C73" i="59"/>
  <c r="C86" i="59"/>
  <c r="E61" i="59"/>
  <c r="D35" i="59"/>
  <c r="G99" i="59"/>
  <c r="G111" i="59"/>
  <c r="K35" i="59"/>
  <c r="V58" i="59"/>
  <c r="W58" i="59"/>
  <c r="I123" i="59"/>
  <c r="I135" i="59"/>
  <c r="I73" i="59"/>
  <c r="I61" i="59"/>
  <c r="H123" i="59"/>
  <c r="H111" i="59"/>
  <c r="E73" i="59"/>
  <c r="P46" i="59"/>
  <c r="P43" i="59"/>
  <c r="E22" i="59"/>
  <c r="O9" i="59"/>
  <c r="O17" i="59"/>
  <c r="D22" i="59"/>
  <c r="P17" i="59"/>
  <c r="M35" i="59"/>
  <c r="M48" i="59"/>
  <c r="P68" i="59"/>
  <c r="P73" i="59"/>
  <c r="P72" i="59"/>
  <c r="S55" i="59"/>
  <c r="H73" i="59"/>
  <c r="J123" i="59"/>
  <c r="J111" i="59"/>
  <c r="D73" i="59"/>
  <c r="D61" i="59"/>
  <c r="AA16" i="21"/>
  <c r="AX10" i="21"/>
  <c r="R10" i="21"/>
  <c r="AY10" i="21"/>
  <c r="AJ14" i="21"/>
  <c r="AY14" i="21"/>
  <c r="AX14" i="21"/>
  <c r="AX12" i="21"/>
  <c r="AY12" i="21"/>
  <c r="AX13" i="21"/>
  <c r="AY13" i="21"/>
  <c r="AY11" i="21"/>
  <c r="AX11" i="21"/>
  <c r="AY9" i="21"/>
  <c r="AX9" i="21"/>
  <c r="AX8" i="21"/>
  <c r="AY8" i="21"/>
  <c r="AX7" i="21"/>
  <c r="R7" i="21"/>
  <c r="AY7" i="21"/>
  <c r="AX6" i="21"/>
  <c r="AY6" i="21"/>
  <c r="AY5" i="21"/>
  <c r="AX5" i="21"/>
  <c r="AZ9" i="21"/>
  <c r="AZ11" i="21"/>
  <c r="AZ8" i="21"/>
  <c r="AY4" i="21"/>
  <c r="AZ10" i="21"/>
  <c r="AZ7" i="21"/>
  <c r="AZ5" i="21"/>
  <c r="AX4" i="21"/>
  <c r="AZ14" i="21"/>
  <c r="AZ6" i="21"/>
  <c r="R4" i="21"/>
  <c r="AZ13" i="21"/>
  <c r="AZ12" i="21"/>
  <c r="AJ7" i="21"/>
  <c r="AJ9" i="21"/>
  <c r="AJ8" i="21"/>
  <c r="AJ10" i="21"/>
  <c r="AJ13" i="21"/>
  <c r="AJ11" i="21"/>
  <c r="AJ5" i="21"/>
  <c r="AJ4" i="21"/>
  <c r="FZ86" i="110"/>
  <c r="FZ89" i="110" s="1"/>
  <c r="P48" i="59"/>
  <c r="V9" i="77"/>
  <c r="W9" i="77"/>
  <c r="X9" i="77"/>
  <c r="R32" i="77"/>
  <c r="R52" i="77"/>
  <c r="V12" i="77"/>
  <c r="W12" i="77"/>
  <c r="X12" i="77"/>
  <c r="V13" i="77"/>
  <c r="W13" i="77"/>
  <c r="X13" i="77"/>
  <c r="R57" i="77"/>
  <c r="V14" i="77"/>
  <c r="W14" i="77"/>
  <c r="X14" i="77"/>
  <c r="R66" i="77"/>
  <c r="R10" i="77"/>
  <c r="V8" i="77"/>
  <c r="W8" i="77"/>
  <c r="X8" i="77"/>
  <c r="V10" i="77"/>
  <c r="W10" i="77"/>
  <c r="X10" i="77"/>
  <c r="R39" i="77"/>
  <c r="R46" i="77"/>
  <c r="V11" i="77"/>
  <c r="W11" i="77"/>
  <c r="X11" i="77"/>
  <c r="AF9" i="21"/>
  <c r="AF7" i="21"/>
  <c r="AF6" i="21"/>
  <c r="AF8" i="21"/>
  <c r="AF13" i="21"/>
  <c r="AF5" i="21"/>
  <c r="AF10" i="21"/>
  <c r="P26" i="21"/>
  <c r="W59" i="59"/>
  <c r="V59" i="59"/>
  <c r="X59" i="59"/>
  <c r="W56" i="59"/>
  <c r="X57" i="59"/>
  <c r="R56" i="59"/>
  <c r="U59" i="59"/>
  <c r="U56" i="59"/>
  <c r="U57" i="59"/>
  <c r="S59" i="59"/>
  <c r="P22" i="59"/>
  <c r="P35" i="59"/>
  <c r="S58" i="59"/>
  <c r="T58" i="59"/>
  <c r="S56" i="59"/>
  <c r="AI17" i="21"/>
  <c r="D26" i="75"/>
  <c r="I73" i="28"/>
  <c r="FZ91" i="110"/>
  <c r="W57" i="59"/>
  <c r="AF4" i="21"/>
  <c r="JV6" i="70"/>
  <c r="KF6" i="70" s="1"/>
  <c r="V57" i="59"/>
  <c r="S57" i="59"/>
  <c r="T57" i="59"/>
  <c r="AF14" i="21"/>
  <c r="AF12" i="21"/>
  <c r="IL6" i="70"/>
  <c r="IL7" i="70"/>
  <c r="EV43" i="70"/>
  <c r="EV45" i="70" s="1"/>
  <c r="EV39" i="70"/>
  <c r="EV42" i="70" s="1"/>
  <c r="P226" i="59"/>
  <c r="P231" i="59" s="1"/>
  <c r="G250" i="59"/>
  <c r="G253" i="59" s="1"/>
  <c r="I231" i="59"/>
  <c r="X30" i="62"/>
  <c r="X24" i="62"/>
  <c r="X34" i="62"/>
  <c r="AA30" i="62"/>
  <c r="AD49" i="62"/>
  <c r="AZ11" i="62"/>
  <c r="X23" i="62"/>
  <c r="X17" i="62"/>
  <c r="D73" i="28"/>
  <c r="AF49" i="62"/>
  <c r="AY11" i="62"/>
  <c r="W30" i="62"/>
  <c r="W24" i="62"/>
  <c r="W34" i="62"/>
  <c r="D23" i="75"/>
  <c r="Y30" i="62"/>
  <c r="Y24" i="62"/>
  <c r="Y34" i="62"/>
  <c r="W23" i="62"/>
  <c r="W17" i="62"/>
  <c r="AC49" i="62"/>
  <c r="AD32" i="62"/>
  <c r="AB24" i="62"/>
  <c r="AB34" i="62"/>
  <c r="Y23" i="62"/>
  <c r="Y17" i="62"/>
  <c r="AB49" i="62"/>
  <c r="L9" i="62"/>
  <c r="AF25" i="62"/>
  <c r="F73" i="28"/>
  <c r="AD30" i="62"/>
  <c r="P9" i="62"/>
  <c r="V23" i="62"/>
  <c r="V17" i="62"/>
  <c r="AE23" i="62"/>
  <c r="AE17" i="62"/>
  <c r="K9" i="62"/>
  <c r="BI20" i="62"/>
  <c r="BK20" i="62"/>
  <c r="V32" i="62"/>
  <c r="V24" i="62"/>
  <c r="V34" i="62"/>
  <c r="AA32" i="62"/>
  <c r="AA24" i="62"/>
  <c r="AA34" i="62"/>
  <c r="BJ4" i="62"/>
  <c r="BN26" i="62"/>
  <c r="AC30" i="62"/>
  <c r="AC24" i="62"/>
  <c r="AC34" i="62"/>
  <c r="AF29" i="62"/>
  <c r="AF23" i="62"/>
  <c r="AF17" i="62"/>
  <c r="AE30" i="62"/>
  <c r="AE24" i="62"/>
  <c r="AE34" i="62"/>
  <c r="E73" i="28"/>
  <c r="AG49" i="62"/>
  <c r="AG34" i="62"/>
  <c r="AA63" i="62"/>
  <c r="AV5" i="62"/>
  <c r="V49" i="62"/>
  <c r="AW5" i="62"/>
  <c r="Z32" i="62"/>
  <c r="Z24" i="62"/>
  <c r="Z34" i="62"/>
  <c r="BK11" i="62"/>
  <c r="AC63" i="62"/>
  <c r="Z23" i="62"/>
  <c r="Z17" i="62"/>
  <c r="H130" i="28"/>
  <c r="I130" i="28"/>
  <c r="J130" i="28"/>
  <c r="G98" i="28"/>
  <c r="K96" i="28"/>
  <c r="K102" i="28"/>
  <c r="K104" i="28"/>
  <c r="L32" i="75"/>
  <c r="K141" i="28"/>
  <c r="AD24" i="62"/>
  <c r="AD34" i="62"/>
  <c r="AF32" i="62"/>
  <c r="BN23" i="62"/>
  <c r="AF30" i="62"/>
  <c r="AW11" i="62"/>
  <c r="N5" i="62"/>
  <c r="M5" i="62"/>
  <c r="AV11" i="62"/>
  <c r="BI18" i="62"/>
  <c r="AX11" i="62"/>
  <c r="AF24" i="62"/>
  <c r="AF34" i="62"/>
  <c r="BK18" i="62"/>
  <c r="BK4" i="62"/>
  <c r="BS22" i="62"/>
  <c r="BI4" i="62"/>
  <c r="BS24" i="62"/>
  <c r="BS25" i="62"/>
  <c r="BT25" i="62"/>
  <c r="O9" i="62"/>
  <c r="C19" i="75"/>
  <c r="M9" i="62"/>
  <c r="G73" i="28"/>
  <c r="H72" i="28"/>
  <c r="C23" i="75"/>
  <c r="BN25" i="62"/>
  <c r="BO25" i="62"/>
  <c r="BN22" i="62"/>
  <c r="BO22" i="62"/>
  <c r="BI25" i="62"/>
  <c r="BI21" i="62"/>
  <c r="BI23" i="62"/>
  <c r="BI28" i="62"/>
  <c r="BI26" i="62"/>
  <c r="BI27" i="62"/>
  <c r="BI22" i="62"/>
  <c r="BI24" i="62"/>
  <c r="BI30" i="62"/>
  <c r="BI29" i="62"/>
  <c r="JE45" i="70" l="1"/>
  <c r="HP45" i="70"/>
  <c r="KH18" i="70"/>
  <c r="FI45" i="70"/>
  <c r="KI18" i="70"/>
  <c r="KI36" i="70"/>
  <c r="FV45" i="70"/>
  <c r="GM45" i="70"/>
  <c r="GE45" i="70"/>
  <c r="KI25" i="70"/>
  <c r="JV36" i="70"/>
  <c r="JV28" i="70"/>
  <c r="KF28" i="70" s="1"/>
  <c r="JV20" i="70"/>
  <c r="FR45" i="70"/>
  <c r="KH8" i="70"/>
  <c r="JD45" i="70"/>
  <c r="W45" i="70"/>
  <c r="S45" i="70"/>
  <c r="AA45" i="70"/>
  <c r="AI45" i="70"/>
  <c r="BC45" i="70"/>
  <c r="BK45" i="70"/>
  <c r="BG45" i="70"/>
  <c r="BO45" i="70"/>
  <c r="BW45" i="70"/>
  <c r="CQ45" i="70"/>
  <c r="CM45" i="70"/>
  <c r="CU45" i="70"/>
  <c r="DO45" i="70"/>
  <c r="DK45" i="70"/>
  <c r="DS45" i="70"/>
  <c r="EA45" i="70"/>
  <c r="EI45" i="70"/>
  <c r="EQ45" i="70"/>
  <c r="KJ20" i="70"/>
  <c r="FZ45" i="70"/>
  <c r="JV33" i="70"/>
  <c r="JV25" i="70"/>
  <c r="JV17" i="70"/>
  <c r="JV9" i="70"/>
  <c r="GD44" i="70"/>
  <c r="JV10" i="70"/>
  <c r="KF10" i="70" s="1"/>
  <c r="DM45" i="70"/>
  <c r="HL45" i="70"/>
  <c r="BQ45" i="70"/>
  <c r="HD45" i="70"/>
  <c r="KG16" i="70"/>
  <c r="HH45" i="70"/>
  <c r="HA45" i="70"/>
  <c r="IJ38" i="70"/>
  <c r="KG20" i="70"/>
  <c r="KE15" i="70"/>
  <c r="KG17" i="70"/>
  <c r="KE23" i="70"/>
  <c r="KE29" i="70"/>
  <c r="KE26" i="70"/>
  <c r="KG30" i="70"/>
  <c r="KE27" i="70"/>
  <c r="KE31" i="70"/>
  <c r="KG32" i="70"/>
  <c r="KI30" i="70"/>
  <c r="JV32" i="70"/>
  <c r="KF32" i="70" s="1"/>
  <c r="JV24" i="70"/>
  <c r="JV16" i="70"/>
  <c r="GJ45" i="70"/>
  <c r="GB45" i="70"/>
  <c r="JV11" i="70"/>
  <c r="KF11" i="70" s="1"/>
  <c r="JE44" i="70"/>
  <c r="KH32" i="70"/>
  <c r="Q45" i="70"/>
  <c r="Y45" i="70"/>
  <c r="U45" i="70"/>
  <c r="AO45" i="70"/>
  <c r="AW45" i="70"/>
  <c r="CC45" i="70"/>
  <c r="DY45" i="70"/>
  <c r="KJ32" i="70"/>
  <c r="FQ45" i="70"/>
  <c r="IU43" i="70"/>
  <c r="KK7" i="70"/>
  <c r="JV7" i="70"/>
  <c r="JV31" i="70"/>
  <c r="JV23" i="70"/>
  <c r="KF23" i="70" s="1"/>
  <c r="JV15" i="70"/>
  <c r="HU45" i="70"/>
  <c r="R45" i="70"/>
  <c r="Z45" i="70"/>
  <c r="BF45" i="70"/>
  <c r="CD45" i="70"/>
  <c r="CP45" i="70"/>
  <c r="CX45" i="70"/>
  <c r="DZ45" i="70"/>
  <c r="DV45" i="70"/>
  <c r="FY45" i="70"/>
  <c r="JV30" i="70"/>
  <c r="JV22" i="70"/>
  <c r="KF22" i="70" s="1"/>
  <c r="JV14" i="70"/>
  <c r="KF14" i="70" s="1"/>
  <c r="HQ45" i="70"/>
  <c r="FP39" i="70"/>
  <c r="FP42" i="70" s="1"/>
  <c r="JQ38" i="70"/>
  <c r="JS38" i="70"/>
  <c r="JT38" i="70"/>
  <c r="JP38" i="70"/>
  <c r="JV37" i="70"/>
  <c r="JV29" i="70"/>
  <c r="KF29" i="70" s="1"/>
  <c r="KF19" i="70"/>
  <c r="KF37" i="70"/>
  <c r="D253" i="59"/>
  <c r="D251" i="59"/>
  <c r="G251" i="59"/>
  <c r="C250" i="59"/>
  <c r="N250" i="59"/>
  <c r="N251" i="59" s="1"/>
  <c r="E250" i="59"/>
  <c r="H250" i="59"/>
  <c r="I250" i="59"/>
  <c r="I253" i="59" s="1"/>
  <c r="C231" i="59"/>
  <c r="F250" i="59"/>
  <c r="F253" i="59" s="1"/>
  <c r="J231" i="59"/>
  <c r="N253" i="59"/>
  <c r="O226" i="59"/>
  <c r="O231" i="59" s="1"/>
  <c r="M250" i="59"/>
  <c r="J250" i="59"/>
  <c r="K250" i="59"/>
  <c r="L250" i="59"/>
  <c r="FF89" i="110"/>
  <c r="FF91" i="110"/>
  <c r="J57" i="28"/>
  <c r="II85" i="110"/>
  <c r="ID85" i="110"/>
  <c r="F27" i="9"/>
  <c r="KF16" i="70"/>
  <c r="KF12" i="70"/>
  <c r="JT43" i="70"/>
  <c r="FE89" i="110"/>
  <c r="FE87" i="110"/>
  <c r="FE91" i="110"/>
  <c r="E27" i="9"/>
  <c r="FP86" i="110"/>
  <c r="FP89" i="110" s="1"/>
  <c r="FH87" i="110"/>
  <c r="FG87" i="110"/>
  <c r="FG91" i="110"/>
  <c r="FG89" i="110"/>
  <c r="FR91" i="110"/>
  <c r="FR89" i="110"/>
  <c r="FD91" i="110"/>
  <c r="FD89" i="110"/>
  <c r="IC86" i="110"/>
  <c r="IC87" i="110" s="1"/>
  <c r="FD87" i="110"/>
  <c r="FK87" i="110"/>
  <c r="FK91" i="110"/>
  <c r="FK89" i="110"/>
  <c r="FU91" i="110"/>
  <c r="FU89" i="110"/>
  <c r="FQ87" i="110"/>
  <c r="FQ91" i="110"/>
  <c r="FQ89" i="110"/>
  <c r="IC85" i="110"/>
  <c r="E19" i="9"/>
  <c r="GH40" i="70"/>
  <c r="ID86" i="110"/>
  <c r="ID87" i="110" s="1"/>
  <c r="FS89" i="110"/>
  <c r="IH86" i="110"/>
  <c r="FS87" i="110"/>
  <c r="FS91" i="110"/>
  <c r="FT91" i="110"/>
  <c r="FT89" i="110"/>
  <c r="FT87" i="110"/>
  <c r="F19" i="9"/>
  <c r="FN89" i="110"/>
  <c r="FN91" i="110"/>
  <c r="FN87" i="110"/>
  <c r="FI87" i="110"/>
  <c r="FI89" i="110"/>
  <c r="FI91" i="110"/>
  <c r="FU87" i="110"/>
  <c r="FJ89" i="110"/>
  <c r="FJ87" i="110"/>
  <c r="FJ91" i="110"/>
  <c r="C19" i="9"/>
  <c r="D19" i="9"/>
  <c r="ID91" i="110"/>
  <c r="GC40" i="70"/>
  <c r="FB89" i="110"/>
  <c r="GI40" i="70"/>
  <c r="IX38" i="70"/>
  <c r="FP91" i="110"/>
  <c r="FV89" i="110"/>
  <c r="IE85" i="110"/>
  <c r="GJ40" i="70"/>
  <c r="FP87" i="110"/>
  <c r="JA85" i="110"/>
  <c r="JA86" i="110" s="1"/>
  <c r="JA91" i="110" s="1"/>
  <c r="GF40" i="70"/>
  <c r="GG40" i="70"/>
  <c r="IG86" i="110"/>
  <c r="FV87" i="110"/>
  <c r="FY87" i="110"/>
  <c r="FZ87" i="110"/>
  <c r="IH85" i="110"/>
  <c r="FF87" i="110"/>
  <c r="FR87" i="110"/>
  <c r="GB40" i="70"/>
  <c r="GB44" i="70"/>
  <c r="GF44" i="70"/>
  <c r="AG49" i="21"/>
  <c r="S46" i="21"/>
  <c r="S44" i="21"/>
  <c r="S51" i="21" s="1"/>
  <c r="AG41" i="21"/>
  <c r="M40" i="21"/>
  <c r="AG43" i="21"/>
  <c r="N42" i="21"/>
  <c r="N40" i="21"/>
  <c r="AG47" i="21"/>
  <c r="R44" i="21"/>
  <c r="R51" i="21" s="1"/>
  <c r="S52" i="21" s="1"/>
  <c r="N37" i="21"/>
  <c r="M49" i="21"/>
  <c r="M47" i="21"/>
  <c r="M48" i="21" s="1"/>
  <c r="N36" i="21"/>
  <c r="M44" i="21"/>
  <c r="O40" i="21"/>
  <c r="AG39" i="21"/>
  <c r="S48" i="21"/>
  <c r="N46" i="21"/>
  <c r="T44" i="21"/>
  <c r="T51" i="21" s="1"/>
  <c r="T52" i="21" s="1"/>
  <c r="AB16" i="21"/>
  <c r="IE86" i="110"/>
  <c r="FL91" i="110"/>
  <c r="FL89" i="110"/>
  <c r="FL87" i="110"/>
  <c r="FX91" i="110"/>
  <c r="FX89" i="110"/>
  <c r="FX87" i="110"/>
  <c r="L18" i="9"/>
  <c r="H67" i="28" s="1"/>
  <c r="L27" i="9"/>
  <c r="FA87" i="110"/>
  <c r="FA89" i="110"/>
  <c r="AZ15" i="21"/>
  <c r="N44" i="21"/>
  <c r="L20" i="21"/>
  <c r="I27" i="9"/>
  <c r="C56" i="28"/>
  <c r="D57" i="28" s="1"/>
  <c r="F21" i="21"/>
  <c r="X13" i="21"/>
  <c r="X16" i="21" s="1"/>
  <c r="X17" i="21" s="1"/>
  <c r="AD45" i="21"/>
  <c r="FW86" i="110"/>
  <c r="AD51" i="21"/>
  <c r="AE17" i="21"/>
  <c r="K45" i="21"/>
  <c r="L46" i="21" s="1"/>
  <c r="AD43" i="21"/>
  <c r="FM89" i="110"/>
  <c r="P28" i="21"/>
  <c r="G25" i="9"/>
  <c r="I27" i="21"/>
  <c r="K47" i="21"/>
  <c r="L48" i="21" s="1"/>
  <c r="F56" i="28"/>
  <c r="F57" i="28" s="1"/>
  <c r="K43" i="21"/>
  <c r="K44" i="21" s="1"/>
  <c r="N21" i="21"/>
  <c r="FM87" i="110"/>
  <c r="FY91" i="110"/>
  <c r="AD41" i="21"/>
  <c r="AU16" i="21"/>
  <c r="O26" i="21"/>
  <c r="AF15" i="21"/>
  <c r="AF16" i="21" s="1"/>
  <c r="AF17" i="21" s="1"/>
  <c r="O21" i="21"/>
  <c r="R46" i="21"/>
  <c r="K27" i="21"/>
  <c r="N26" i="21"/>
  <c r="N51" i="21"/>
  <c r="N52" i="21" s="1"/>
  <c r="AD39" i="21"/>
  <c r="P22" i="21"/>
  <c r="Q21" i="21"/>
  <c r="M18" i="9"/>
  <c r="L27" i="21"/>
  <c r="H43" i="21"/>
  <c r="S42" i="21"/>
  <c r="S49" i="21" s="1"/>
  <c r="S50" i="21" s="1"/>
  <c r="O42" i="21"/>
  <c r="O2" i="21"/>
  <c r="AY15" i="21"/>
  <c r="AH16" i="21"/>
  <c r="AH17" i="21" s="1"/>
  <c r="H41" i="21"/>
  <c r="I20" i="21"/>
  <c r="L49" i="21"/>
  <c r="AX15" i="21"/>
  <c r="AZ16" i="21"/>
  <c r="H39" i="21"/>
  <c r="K20" i="21"/>
  <c r="K39" i="21"/>
  <c r="L40" i="21" s="1"/>
  <c r="K49" i="21"/>
  <c r="I20" i="9"/>
  <c r="I19" i="9"/>
  <c r="E67" i="28"/>
  <c r="FO91" i="110"/>
  <c r="IF86" i="110"/>
  <c r="FO89" i="110"/>
  <c r="FO87" i="110"/>
  <c r="G67" i="28"/>
  <c r="L19" i="9"/>
  <c r="FC89" i="110"/>
  <c r="FC87" i="110"/>
  <c r="IB86" i="110"/>
  <c r="J27" i="9"/>
  <c r="J18" i="9"/>
  <c r="L42" i="21"/>
  <c r="K42" i="21"/>
  <c r="AV16" i="21"/>
  <c r="IY85" i="110"/>
  <c r="H57" i="28"/>
  <c r="L51" i="21"/>
  <c r="M52" i="21" s="1"/>
  <c r="N25" i="9"/>
  <c r="N17" i="9" s="1"/>
  <c r="M46" i="21"/>
  <c r="K27" i="9"/>
  <c r="P51" i="21"/>
  <c r="O25" i="9"/>
  <c r="O17" i="9" s="1"/>
  <c r="O27" i="9" s="1"/>
  <c r="IF85" i="110"/>
  <c r="AQ5" i="21"/>
  <c r="P47" i="21"/>
  <c r="AQ13" i="21"/>
  <c r="P49" i="21"/>
  <c r="Q50" i="21" s="1"/>
  <c r="IB85" i="110"/>
  <c r="IZ85" i="110"/>
  <c r="IZ89" i="110" s="1"/>
  <c r="AQ12" i="21"/>
  <c r="AQ6" i="21"/>
  <c r="P39" i="21"/>
  <c r="P45" i="21"/>
  <c r="Q46" i="21" s="1"/>
  <c r="AQ15" i="21"/>
  <c r="P41" i="21"/>
  <c r="Q42" i="21" s="1"/>
  <c r="K56" i="28"/>
  <c r="K57" i="28" s="1"/>
  <c r="P20" i="21"/>
  <c r="P27" i="21"/>
  <c r="B32" i="75"/>
  <c r="AQ11" i="21"/>
  <c r="AQ10" i="21"/>
  <c r="AQ4" i="21"/>
  <c r="AQ14" i="21"/>
  <c r="AQ7" i="21"/>
  <c r="IJ85" i="110"/>
  <c r="AI15" i="21"/>
  <c r="AQ8" i="21"/>
  <c r="P43" i="21"/>
  <c r="Q44" i="21" s="1"/>
  <c r="AQ9" i="21"/>
  <c r="R51" i="116"/>
  <c r="R52" i="116"/>
  <c r="GM44" i="70"/>
  <c r="GM40" i="70"/>
  <c r="GA87" i="110"/>
  <c r="GA91" i="110"/>
  <c r="IJ86" i="110"/>
  <c r="GA89" i="110"/>
  <c r="Q16" i="21"/>
  <c r="S10" i="21"/>
  <c r="T10" i="21" s="1"/>
  <c r="S7" i="21"/>
  <c r="T7" i="21" s="1"/>
  <c r="R9" i="21"/>
  <c r="R13" i="21"/>
  <c r="R14" i="21"/>
  <c r="S14" i="21" s="1"/>
  <c r="T14" i="21" s="1"/>
  <c r="R15" i="21"/>
  <c r="R6" i="21"/>
  <c r="R11" i="21"/>
  <c r="S11" i="21" s="1"/>
  <c r="T11" i="21" s="1"/>
  <c r="R12" i="21"/>
  <c r="S12" i="21" s="1"/>
  <c r="T12" i="21" s="1"/>
  <c r="S2" i="21"/>
  <c r="T2" i="21" s="1"/>
  <c r="R5" i="21"/>
  <c r="S5" i="21" s="1"/>
  <c r="T5" i="21" s="1"/>
  <c r="FG44" i="70"/>
  <c r="FG40" i="70"/>
  <c r="IP38" i="70"/>
  <c r="EY40" i="70"/>
  <c r="CI45" i="70"/>
  <c r="KE32" i="70"/>
  <c r="HC45" i="70"/>
  <c r="AM45" i="70"/>
  <c r="KE17" i="70"/>
  <c r="KE10" i="70"/>
  <c r="IR38" i="70"/>
  <c r="GE39" i="70"/>
  <c r="IX39" i="70" s="1"/>
  <c r="IZ38" i="70"/>
  <c r="GC44" i="70"/>
  <c r="GG44" i="70"/>
  <c r="BS45" i="70"/>
  <c r="EU45" i="70"/>
  <c r="KG23" i="70"/>
  <c r="AQ45" i="70"/>
  <c r="JG44" i="70"/>
  <c r="DL45" i="70"/>
  <c r="KI28" i="70"/>
  <c r="KF7" i="70"/>
  <c r="IT43" i="70"/>
  <c r="KJ25" i="70"/>
  <c r="HK45" i="70"/>
  <c r="EM45" i="70"/>
  <c r="KE19" i="70"/>
  <c r="KG15" i="70"/>
  <c r="KJ9" i="70"/>
  <c r="KF9" i="70"/>
  <c r="FT44" i="70"/>
  <c r="KI22" i="70"/>
  <c r="KG21" i="70"/>
  <c r="GK40" i="70"/>
  <c r="JH45" i="70"/>
  <c r="AL45" i="70"/>
  <c r="BZ45" i="70"/>
  <c r="DF45" i="70"/>
  <c r="ED45" i="70"/>
  <c r="EL45" i="70"/>
  <c r="FC45" i="70"/>
  <c r="FU42" i="70"/>
  <c r="GF45" i="70"/>
  <c r="GI44" i="70"/>
  <c r="JQ43" i="70"/>
  <c r="HG45" i="70"/>
  <c r="AU45" i="70"/>
  <c r="JG40" i="70"/>
  <c r="EE45" i="70"/>
  <c r="IB40" i="70"/>
  <c r="KI16" i="70"/>
  <c r="IQ43" i="70"/>
  <c r="KK16" i="70"/>
  <c r="FX45" i="70"/>
  <c r="GJ44" i="70"/>
  <c r="DG45" i="70"/>
  <c r="DC45" i="70"/>
  <c r="GU45" i="70"/>
  <c r="GA45" i="70"/>
  <c r="HT45" i="70"/>
  <c r="GY45" i="70"/>
  <c r="JF40" i="70"/>
  <c r="KH6" i="70"/>
  <c r="GH44" i="70"/>
  <c r="GL39" i="70"/>
  <c r="IW38" i="70"/>
  <c r="IY38" i="70"/>
  <c r="IW39" i="70"/>
  <c r="IY39" i="70"/>
  <c r="FW44" i="70"/>
  <c r="FW42" i="70"/>
  <c r="AS45" i="70"/>
  <c r="BA45" i="70"/>
  <c r="HM45" i="70"/>
  <c r="JJ43" i="70"/>
  <c r="JJ45" i="70" s="1"/>
  <c r="IF40" i="70"/>
  <c r="KF36" i="70"/>
  <c r="JM43" i="70"/>
  <c r="KE18" i="70"/>
  <c r="KG8" i="70"/>
  <c r="HX43" i="70"/>
  <c r="HX44" i="70" s="1"/>
  <c r="KI15" i="70"/>
  <c r="IS43" i="70"/>
  <c r="JI45" i="70"/>
  <c r="KH21" i="70"/>
  <c r="KH10" i="70"/>
  <c r="JJ42" i="70"/>
  <c r="IO38" i="70"/>
  <c r="FP45" i="70"/>
  <c r="KF27" i="70"/>
  <c r="KG26" i="70"/>
  <c r="KG27" i="70"/>
  <c r="KG31" i="70"/>
  <c r="KE33" i="70"/>
  <c r="DT45" i="70"/>
  <c r="FH44" i="70"/>
  <c r="FH42" i="70"/>
  <c r="FI44" i="70"/>
  <c r="FI42" i="70"/>
  <c r="FS44" i="70"/>
  <c r="IT39" i="70"/>
  <c r="FS42" i="70"/>
  <c r="FM44" i="70"/>
  <c r="FM40" i="70"/>
  <c r="FN44" i="70"/>
  <c r="FN40" i="70"/>
  <c r="EH45" i="70"/>
  <c r="HO45" i="70"/>
  <c r="DN45" i="70"/>
  <c r="KG18" i="70"/>
  <c r="IH38" i="70"/>
  <c r="FI40" i="70"/>
  <c r="EK45" i="70"/>
  <c r="KI21" i="70"/>
  <c r="KH37" i="70"/>
  <c r="FE39" i="70"/>
  <c r="FE40" i="70" s="1"/>
  <c r="KK27" i="70"/>
  <c r="HI44" i="70"/>
  <c r="GQ44" i="70"/>
  <c r="JO43" i="70"/>
  <c r="KI11" i="70"/>
  <c r="JT39" i="70"/>
  <c r="EP45" i="70"/>
  <c r="AT45" i="70"/>
  <c r="DB45" i="70"/>
  <c r="IN38" i="70"/>
  <c r="KG28" i="70"/>
  <c r="IB43" i="70"/>
  <c r="IB45" i="70" s="1"/>
  <c r="CY45" i="70"/>
  <c r="FT42" i="70"/>
  <c r="FG45" i="70"/>
  <c r="EX45" i="70"/>
  <c r="AX45" i="70"/>
  <c r="KG33" i="70"/>
  <c r="HI45" i="70"/>
  <c r="IA43" i="70"/>
  <c r="II43" i="70"/>
  <c r="HS43" i="70"/>
  <c r="HS45" i="70" s="1"/>
  <c r="HW43" i="70"/>
  <c r="KH20" i="70"/>
  <c r="KJ10" i="70"/>
  <c r="FO42" i="70"/>
  <c r="IP43" i="70"/>
  <c r="IT45" i="70" s="1"/>
  <c r="KE8" i="70"/>
  <c r="HX40" i="70"/>
  <c r="KI10" i="70"/>
  <c r="KI26" i="70"/>
  <c r="IT38" i="70"/>
  <c r="GZ45" i="70"/>
  <c r="KF35" i="70"/>
  <c r="FG42" i="70"/>
  <c r="KK25" i="70"/>
  <c r="JN7" i="70"/>
  <c r="JN43" i="70" s="1"/>
  <c r="KH31" i="70"/>
  <c r="IL43" i="70"/>
  <c r="FO40" i="70"/>
  <c r="GV45" i="70"/>
  <c r="KF33" i="70"/>
  <c r="IU38" i="70"/>
  <c r="JL43" i="70"/>
  <c r="JM45" i="70" s="1"/>
  <c r="ET45" i="70"/>
  <c r="IE43" i="70"/>
  <c r="IE44" i="70" s="1"/>
  <c r="IM43" i="70"/>
  <c r="KH26" i="70"/>
  <c r="KG35" i="70"/>
  <c r="EJ45" i="70"/>
  <c r="ER45" i="70"/>
  <c r="FK44" i="70"/>
  <c r="FK40" i="70"/>
  <c r="FK42" i="70"/>
  <c r="FW40" i="70"/>
  <c r="IQ39" i="70"/>
  <c r="GA40" i="70"/>
  <c r="GA42" i="70"/>
  <c r="EW45" i="70"/>
  <c r="EV40" i="70"/>
  <c r="IL39" i="70"/>
  <c r="HX45" i="70"/>
  <c r="KG6" i="70"/>
  <c r="JL42" i="70"/>
  <c r="JL39" i="70"/>
  <c r="JX12" i="70" s="1"/>
  <c r="FB40" i="70"/>
  <c r="EP40" i="70"/>
  <c r="IA44" i="70"/>
  <c r="IA40" i="70"/>
  <c r="KJ24" i="70"/>
  <c r="KH24" i="70"/>
  <c r="IQ38" i="70"/>
  <c r="FC42" i="70"/>
  <c r="IN39" i="70"/>
  <c r="FP44" i="70"/>
  <c r="KE14" i="70"/>
  <c r="JK43" i="70"/>
  <c r="KK13" i="70"/>
  <c r="KI13" i="70"/>
  <c r="ET42" i="70"/>
  <c r="ET40" i="70"/>
  <c r="IK38" i="70"/>
  <c r="IC43" i="70"/>
  <c r="IK43" i="70"/>
  <c r="KE24" i="70"/>
  <c r="KG24" i="70"/>
  <c r="KE28" i="70"/>
  <c r="KG37" i="70"/>
  <c r="EI39" i="70"/>
  <c r="IK39" i="70"/>
  <c r="ES40" i="70"/>
  <c r="FL42" i="70"/>
  <c r="FL40" i="70"/>
  <c r="FL44" i="70"/>
  <c r="FX40" i="70"/>
  <c r="FX42" i="70"/>
  <c r="FX44" i="70"/>
  <c r="JS39" i="70"/>
  <c r="FR39" i="70"/>
  <c r="IS39" i="70" s="1"/>
  <c r="KH29" i="70"/>
  <c r="KG29" i="70"/>
  <c r="HB44" i="70"/>
  <c r="HB45" i="70"/>
  <c r="DD45" i="70"/>
  <c r="DP45" i="70"/>
  <c r="FD45" i="70"/>
  <c r="FT40" i="70"/>
  <c r="IP39" i="70"/>
  <c r="FH40" i="70"/>
  <c r="KK33" i="70"/>
  <c r="KI33" i="70"/>
  <c r="KK20" i="70"/>
  <c r="KF20" i="70"/>
  <c r="IO43" i="70"/>
  <c r="IS38" i="70"/>
  <c r="KJ29" i="70"/>
  <c r="KJ21" i="70"/>
  <c r="KK21" i="70"/>
  <c r="KF21" i="70"/>
  <c r="JP43" i="70"/>
  <c r="KJ13" i="70"/>
  <c r="FH45" i="70"/>
  <c r="FT45" i="70"/>
  <c r="JI44" i="70"/>
  <c r="JI40" i="70"/>
  <c r="BU45" i="70"/>
  <c r="BI45" i="70"/>
  <c r="CK45" i="70"/>
  <c r="BY45" i="70"/>
  <c r="CS45" i="70"/>
  <c r="CG45" i="70"/>
  <c r="CW45" i="70"/>
  <c r="DI45" i="70"/>
  <c r="DU45" i="70"/>
  <c r="EG45" i="70"/>
  <c r="EO45" i="70"/>
  <c r="EC45" i="70"/>
  <c r="KF30" i="70"/>
  <c r="FP40" i="70"/>
  <c r="FD40" i="70"/>
  <c r="FD44" i="70"/>
  <c r="IR43" i="70"/>
  <c r="FQ42" i="70"/>
  <c r="FQ44" i="70"/>
  <c r="HF44" i="70"/>
  <c r="HF45" i="70"/>
  <c r="KE37" i="70"/>
  <c r="IF43" i="70"/>
  <c r="IN43" i="70"/>
  <c r="EF40" i="70"/>
  <c r="IG39" i="70"/>
  <c r="ER40" i="70"/>
  <c r="EK40" i="70"/>
  <c r="EW40" i="70"/>
  <c r="V45" i="70"/>
  <c r="AH45" i="70"/>
  <c r="AD45" i="70"/>
  <c r="AP45" i="70"/>
  <c r="BN45" i="70"/>
  <c r="BB45" i="70"/>
  <c r="BV45" i="70"/>
  <c r="BJ45" i="70"/>
  <c r="CH45" i="70"/>
  <c r="CT45" i="70"/>
  <c r="FJ44" i="70"/>
  <c r="FJ40" i="70"/>
  <c r="HR44" i="70"/>
  <c r="HR45" i="70"/>
  <c r="KI7" i="70"/>
  <c r="KG25" i="70"/>
  <c r="KE25" i="70"/>
  <c r="KG12" i="70"/>
  <c r="KE12" i="70"/>
  <c r="KE30" i="70"/>
  <c r="GA44" i="70"/>
  <c r="HY43" i="70"/>
  <c r="IG43" i="70"/>
  <c r="JJ39" i="70"/>
  <c r="IJ43" i="70"/>
  <c r="HV43" i="70"/>
  <c r="ID43" i="70"/>
  <c r="JM38" i="70"/>
  <c r="JM42" i="70" s="1"/>
  <c r="II38" i="70"/>
  <c r="JO38" i="70"/>
  <c r="JO39" i="70" s="1"/>
  <c r="FN42" i="70"/>
  <c r="IR39" i="70"/>
  <c r="IU45" i="70"/>
  <c r="GX44" i="70"/>
  <c r="GX45" i="70"/>
  <c r="KG13" i="70"/>
  <c r="KH13" i="70"/>
  <c r="KE35" i="70"/>
  <c r="EO40" i="70"/>
  <c r="FA40" i="70"/>
  <c r="IJ39" i="70"/>
  <c r="JK39" i="70"/>
  <c r="JW14" i="70" s="1"/>
  <c r="JK42" i="70"/>
  <c r="HZ43" i="70"/>
  <c r="HZ44" i="70" s="1"/>
  <c r="IH43" i="70"/>
  <c r="II39" i="70"/>
  <c r="EL40" i="70"/>
  <c r="EX40" i="70"/>
  <c r="EZ42" i="70"/>
  <c r="IM39" i="70"/>
  <c r="HZ40" i="70"/>
  <c r="ID40" i="70"/>
  <c r="JC40" i="70"/>
  <c r="JD40" i="70"/>
  <c r="KH27" i="70"/>
  <c r="KI27" i="70"/>
  <c r="FF40" i="70"/>
  <c r="FF44" i="70"/>
  <c r="KK17" i="70"/>
  <c r="KF17" i="70"/>
  <c r="KI17" i="70"/>
  <c r="FV44" i="70"/>
  <c r="FV40" i="70"/>
  <c r="FV42" i="70"/>
  <c r="IU39" i="70"/>
  <c r="KI37" i="70"/>
  <c r="FM42" i="70"/>
  <c r="KJ11" i="70"/>
  <c r="KJ22" i="70"/>
  <c r="KF25" i="70"/>
  <c r="KF24" i="70"/>
  <c r="FS40" i="70"/>
  <c r="FO45" i="70"/>
  <c r="FS45" i="70"/>
  <c r="KF26" i="70"/>
  <c r="FU40" i="70"/>
  <c r="KI12" i="70"/>
  <c r="KK12" i="70"/>
  <c r="KJ31" i="70"/>
  <c r="KK23" i="70"/>
  <c r="KF31" i="70"/>
  <c r="KK31" i="70"/>
  <c r="KK15" i="70"/>
  <c r="KJ15" i="70"/>
  <c r="KJ23" i="70"/>
  <c r="KF15" i="70"/>
  <c r="IV43" i="70"/>
  <c r="IV45" i="70" s="1"/>
  <c r="IV38" i="70"/>
  <c r="JS43" i="70"/>
  <c r="FZ40" i="70"/>
  <c r="FZ42" i="70"/>
  <c r="FZ44" i="70"/>
  <c r="FY44" i="70"/>
  <c r="FY40" i="70"/>
  <c r="IV39" i="70"/>
  <c r="FY42" i="70"/>
  <c r="JL45" i="70" l="1"/>
  <c r="JN45" i="70"/>
  <c r="H253" i="59"/>
  <c r="H251" i="59"/>
  <c r="E251" i="59"/>
  <c r="E253" i="59"/>
  <c r="I251" i="59"/>
  <c r="C251" i="59"/>
  <c r="C253" i="59"/>
  <c r="F251" i="59"/>
  <c r="L253" i="59"/>
  <c r="L251" i="59"/>
  <c r="K251" i="59"/>
  <c r="K253" i="59"/>
  <c r="J251" i="59"/>
  <c r="J253" i="59"/>
  <c r="M253" i="59"/>
  <c r="M251" i="59"/>
  <c r="JT44" i="70"/>
  <c r="JT45" i="70"/>
  <c r="JQ39" i="70"/>
  <c r="Q39" i="21"/>
  <c r="Q40" i="21" s="1"/>
  <c r="Q51" i="21"/>
  <c r="R52" i="21" s="1"/>
  <c r="IC91" i="110"/>
  <c r="IG91" i="110"/>
  <c r="IG87" i="110"/>
  <c r="IW40" i="70"/>
  <c r="IH91" i="110"/>
  <c r="IH87" i="110"/>
  <c r="P52" i="21"/>
  <c r="Q52" i="21"/>
  <c r="P48" i="21"/>
  <c r="Q48" i="21"/>
  <c r="L44" i="21"/>
  <c r="AD36" i="21"/>
  <c r="AD47" i="21" s="1"/>
  <c r="N47" i="21"/>
  <c r="N49" i="21"/>
  <c r="AD37" i="21"/>
  <c r="AD49" i="21" s="1"/>
  <c r="AK47" i="21"/>
  <c r="K51" i="21"/>
  <c r="K40" i="21"/>
  <c r="G27" i="9"/>
  <c r="G17" i="9"/>
  <c r="G18" i="9" s="1"/>
  <c r="II86" i="110"/>
  <c r="FW91" i="110"/>
  <c r="FW89" i="110"/>
  <c r="FW87" i="110"/>
  <c r="G57" i="28"/>
  <c r="I67" i="28"/>
  <c r="M19" i="9"/>
  <c r="T50" i="21"/>
  <c r="O18" i="9"/>
  <c r="L52" i="21"/>
  <c r="O52" i="21"/>
  <c r="M50" i="21"/>
  <c r="L50" i="21"/>
  <c r="IE91" i="110"/>
  <c r="IE87" i="110"/>
  <c r="IY86" i="110"/>
  <c r="JH85" i="110" s="1"/>
  <c r="IY89" i="110"/>
  <c r="JO85" i="110"/>
  <c r="JQ85" i="110"/>
  <c r="IB91" i="110"/>
  <c r="IB87" i="110"/>
  <c r="JC85" i="110"/>
  <c r="JL85" i="110" s="1"/>
  <c r="JO42" i="70"/>
  <c r="IF91" i="110"/>
  <c r="IF87" i="110"/>
  <c r="N18" i="9"/>
  <c r="N27" i="9"/>
  <c r="AK51" i="21"/>
  <c r="AK49" i="21"/>
  <c r="J19" i="9"/>
  <c r="F67" i="28"/>
  <c r="K19" i="9"/>
  <c r="AK43" i="21"/>
  <c r="P44" i="21"/>
  <c r="P40" i="21"/>
  <c r="AK39" i="21"/>
  <c r="AI16" i="21"/>
  <c r="AH20" i="21" s="1"/>
  <c r="AJ15" i="21"/>
  <c r="AJ16" i="21" s="1"/>
  <c r="AJ17" i="21" s="1"/>
  <c r="AK45" i="21"/>
  <c r="P46" i="21"/>
  <c r="AK41" i="21"/>
  <c r="P42" i="21"/>
  <c r="JP85" i="110"/>
  <c r="IZ86" i="110"/>
  <c r="R16" i="21"/>
  <c r="S16" i="21" s="1"/>
  <c r="JP42" i="70"/>
  <c r="IJ91" i="110"/>
  <c r="IJ87" i="110"/>
  <c r="AX16" i="21"/>
  <c r="Q20" i="21"/>
  <c r="AY16" i="21"/>
  <c r="R17" i="21"/>
  <c r="S13" i="21"/>
  <c r="T13" i="21" s="1"/>
  <c r="S9" i="21"/>
  <c r="T9" i="21" s="1"/>
  <c r="S6" i="21"/>
  <c r="T6" i="21" s="1"/>
  <c r="S4" i="21"/>
  <c r="S15" i="21"/>
  <c r="T15" i="21" s="1"/>
  <c r="S8" i="21"/>
  <c r="T8" i="21" s="1"/>
  <c r="FE44" i="70"/>
  <c r="GE40" i="70"/>
  <c r="GE44" i="70"/>
  <c r="IZ39" i="70"/>
  <c r="IZ40" i="70" s="1"/>
  <c r="GL44" i="70"/>
  <c r="GL40" i="70"/>
  <c r="IR45" i="70"/>
  <c r="IP45" i="70"/>
  <c r="IT44" i="70"/>
  <c r="IY40" i="70"/>
  <c r="GD40" i="70"/>
  <c r="II45" i="70"/>
  <c r="IX40" i="70"/>
  <c r="FE42" i="70"/>
  <c r="JK45" i="70"/>
  <c r="HW45" i="70"/>
  <c r="FQ40" i="70"/>
  <c r="KH7" i="70"/>
  <c r="IE45" i="70"/>
  <c r="IO39" i="70"/>
  <c r="IS40" i="70" s="1"/>
  <c r="HS44" i="70"/>
  <c r="IG45" i="70"/>
  <c r="IA45" i="70"/>
  <c r="IT40" i="70"/>
  <c r="JW30" i="70"/>
  <c r="HW44" i="70"/>
  <c r="IB44" i="70"/>
  <c r="JN38" i="70"/>
  <c r="KJ7" i="70"/>
  <c r="IJ45" i="70"/>
  <c r="IQ45" i="70"/>
  <c r="IM45" i="70"/>
  <c r="IK45" i="70"/>
  <c r="KA14" i="70"/>
  <c r="KA29" i="70"/>
  <c r="KA21" i="70"/>
  <c r="KA30" i="70"/>
  <c r="KA31" i="70"/>
  <c r="KA24" i="70"/>
  <c r="KA36" i="70"/>
  <c r="KA16" i="70"/>
  <c r="KA22" i="70"/>
  <c r="KA10" i="70"/>
  <c r="KA11" i="70"/>
  <c r="KA23" i="70"/>
  <c r="KA8" i="70"/>
  <c r="JO44" i="70"/>
  <c r="KA32" i="70"/>
  <c r="KA27" i="70"/>
  <c r="KA19" i="70"/>
  <c r="KA7" i="70"/>
  <c r="KA18" i="70"/>
  <c r="KA35" i="70"/>
  <c r="KA20" i="70"/>
  <c r="KA15" i="70"/>
  <c r="KA28" i="70"/>
  <c r="KA9" i="70"/>
  <c r="KA25" i="70"/>
  <c r="KA12" i="70"/>
  <c r="KA26" i="70"/>
  <c r="KA37" i="70"/>
  <c r="KA33" i="70"/>
  <c r="KA17" i="70"/>
  <c r="KA13" i="70"/>
  <c r="IJ44" i="70"/>
  <c r="IJ40" i="70"/>
  <c r="KG38" i="70"/>
  <c r="IF44" i="70"/>
  <c r="IF45" i="70"/>
  <c r="IS44" i="70"/>
  <c r="FR40" i="70"/>
  <c r="FR42" i="70"/>
  <c r="FR44" i="70"/>
  <c r="II40" i="70"/>
  <c r="II44" i="70"/>
  <c r="HV45" i="70"/>
  <c r="HV44" i="70"/>
  <c r="JW38" i="70"/>
  <c r="IK44" i="70"/>
  <c r="IK40" i="70"/>
  <c r="IC44" i="70"/>
  <c r="IC45" i="70"/>
  <c r="JO45" i="70"/>
  <c r="JM39" i="70"/>
  <c r="IH45" i="70"/>
  <c r="JW24" i="70"/>
  <c r="EI40" i="70"/>
  <c r="IH39" i="70"/>
  <c r="IL40" i="70" s="1"/>
  <c r="EU40" i="70"/>
  <c r="IL45" i="70"/>
  <c r="IQ40" i="70"/>
  <c r="IQ44" i="70"/>
  <c r="HZ45" i="70"/>
  <c r="IR44" i="70"/>
  <c r="IR40" i="70"/>
  <c r="JJ40" i="70"/>
  <c r="JJ44" i="70"/>
  <c r="JW28" i="70"/>
  <c r="IG40" i="70"/>
  <c r="IG44" i="70"/>
  <c r="IS45" i="70"/>
  <c r="IO45" i="70"/>
  <c r="ID45" i="70"/>
  <c r="ID44" i="70"/>
  <c r="JX32" i="70"/>
  <c r="JX11" i="70"/>
  <c r="JX27" i="70"/>
  <c r="JX16" i="70"/>
  <c r="JX15" i="70"/>
  <c r="JX20" i="70"/>
  <c r="JX31" i="70"/>
  <c r="JX14" i="70"/>
  <c r="JX30" i="70"/>
  <c r="JX9" i="70"/>
  <c r="JL44" i="70"/>
  <c r="JX33" i="70"/>
  <c r="JX17" i="70"/>
  <c r="JX19" i="70"/>
  <c r="JX26" i="70"/>
  <c r="JX23" i="70"/>
  <c r="JX18" i="70"/>
  <c r="JX29" i="70"/>
  <c r="KE39" i="70"/>
  <c r="JX7" i="70"/>
  <c r="JX28" i="70"/>
  <c r="JX21" i="70"/>
  <c r="JX25" i="70"/>
  <c r="JX24" i="70"/>
  <c r="JX10" i="70"/>
  <c r="JX22" i="70"/>
  <c r="JL40" i="70"/>
  <c r="JX36" i="70"/>
  <c r="JX8" i="70"/>
  <c r="JX6" i="70"/>
  <c r="JX13" i="70"/>
  <c r="IU44" i="70"/>
  <c r="IU40" i="70"/>
  <c r="JX35" i="70"/>
  <c r="JQ45" i="70"/>
  <c r="JP45" i="70"/>
  <c r="IP40" i="70"/>
  <c r="IP44" i="70"/>
  <c r="JX37" i="70"/>
  <c r="IL44" i="70"/>
  <c r="IM44" i="70"/>
  <c r="IM40" i="70"/>
  <c r="JW32" i="70"/>
  <c r="JW7" i="70"/>
  <c r="JW36" i="70"/>
  <c r="JW17" i="70"/>
  <c r="JK44" i="70"/>
  <c r="JW9" i="70"/>
  <c r="JW27" i="70"/>
  <c r="JW20" i="70"/>
  <c r="JW19" i="70"/>
  <c r="JW25" i="70"/>
  <c r="JW22" i="70"/>
  <c r="JK40" i="70"/>
  <c r="JW23" i="70"/>
  <c r="JW29" i="70"/>
  <c r="JW8" i="70"/>
  <c r="JW16" i="70"/>
  <c r="JW13" i="70"/>
  <c r="JW11" i="70"/>
  <c r="JW33" i="70"/>
  <c r="JW35" i="70"/>
  <c r="JW10" i="70"/>
  <c r="JW12" i="70"/>
  <c r="JW6" i="70"/>
  <c r="JW31" i="70"/>
  <c r="JW26" i="70"/>
  <c r="JW21" i="70"/>
  <c r="JW18" i="70"/>
  <c r="KA38" i="70"/>
  <c r="HY44" i="70"/>
  <c r="HY45" i="70"/>
  <c r="JW15" i="70"/>
  <c r="JW37" i="70"/>
  <c r="IN45" i="70"/>
  <c r="JX38" i="70"/>
  <c r="IN40" i="70"/>
  <c r="IN44" i="70"/>
  <c r="JP39" i="70"/>
  <c r="KK38" i="70"/>
  <c r="JS44" i="70"/>
  <c r="IV44" i="70"/>
  <c r="IV40" i="70"/>
  <c r="K67" i="28"/>
  <c r="R50" i="21"/>
  <c r="KJ38" i="70" l="1"/>
  <c r="JN42" i="70"/>
  <c r="JV38" i="70"/>
  <c r="KF38" i="70" s="1"/>
  <c r="JQ42" i="70"/>
  <c r="R39" i="21"/>
  <c r="N50" i="21"/>
  <c r="O49" i="21"/>
  <c r="O48" i="21"/>
  <c r="N48" i="21"/>
  <c r="O19" i="9"/>
  <c r="II91" i="110"/>
  <c r="II87" i="110"/>
  <c r="G19" i="9"/>
  <c r="H19" i="9"/>
  <c r="C67" i="28"/>
  <c r="J67" i="28"/>
  <c r="N19" i="9"/>
  <c r="JH78" i="110"/>
  <c r="JH58" i="110"/>
  <c r="JH82" i="110"/>
  <c r="JH66" i="110"/>
  <c r="JH56" i="110"/>
  <c r="JH64" i="110"/>
  <c r="JH69" i="110"/>
  <c r="JH72" i="110"/>
  <c r="JH57" i="110"/>
  <c r="JH68" i="110"/>
  <c r="JH62" i="110"/>
  <c r="JH60" i="110"/>
  <c r="JH76" i="110"/>
  <c r="JH80" i="110"/>
  <c r="JH55" i="110"/>
  <c r="JH59" i="110"/>
  <c r="JH75" i="110"/>
  <c r="JH81" i="110"/>
  <c r="JH71" i="110"/>
  <c r="JH54" i="110"/>
  <c r="IY91" i="110"/>
  <c r="JO86" i="110"/>
  <c r="JH63" i="110"/>
  <c r="JH83" i="110"/>
  <c r="JH79" i="110"/>
  <c r="JH77" i="110"/>
  <c r="JH73" i="110"/>
  <c r="JH61" i="110"/>
  <c r="IY87" i="110"/>
  <c r="JH67" i="110"/>
  <c r="JH74" i="110"/>
  <c r="JH70" i="110"/>
  <c r="JH65" i="110"/>
  <c r="JI66" i="110"/>
  <c r="JI84" i="110"/>
  <c r="JI77" i="110"/>
  <c r="JI76" i="110"/>
  <c r="JP86" i="110"/>
  <c r="JI68" i="110"/>
  <c r="JI79" i="110"/>
  <c r="JI61" i="110"/>
  <c r="JI57" i="110"/>
  <c r="JI70" i="110"/>
  <c r="JI54" i="110"/>
  <c r="JI78" i="110"/>
  <c r="JI81" i="110"/>
  <c r="JI67" i="110"/>
  <c r="JI83" i="110"/>
  <c r="JI56" i="110"/>
  <c r="JI64" i="110"/>
  <c r="JI71" i="110"/>
  <c r="JI60" i="110"/>
  <c r="JQ86" i="110"/>
  <c r="IZ91" i="110"/>
  <c r="JI62" i="110"/>
  <c r="JC86" i="110"/>
  <c r="JL86" i="110" s="1"/>
  <c r="JI73" i="110"/>
  <c r="JI65" i="110"/>
  <c r="JI58" i="110"/>
  <c r="JI75" i="110"/>
  <c r="JI69" i="110"/>
  <c r="JI63" i="110"/>
  <c r="JI85" i="110"/>
  <c r="JI80" i="110"/>
  <c r="IZ87" i="110"/>
  <c r="JI55" i="110"/>
  <c r="JI82" i="110"/>
  <c r="JI74" i="110"/>
  <c r="JI59" i="110"/>
  <c r="JI72" i="110"/>
  <c r="C58" i="28"/>
  <c r="KC11" i="70"/>
  <c r="KC19" i="70"/>
  <c r="KC27" i="70"/>
  <c r="KC35" i="70"/>
  <c r="KC17" i="70"/>
  <c r="KC12" i="70"/>
  <c r="KC20" i="70"/>
  <c r="KC28" i="70"/>
  <c r="KC36" i="70"/>
  <c r="KC13" i="70"/>
  <c r="KC21" i="70"/>
  <c r="KC29" i="70"/>
  <c r="KC37" i="70"/>
  <c r="KC33" i="70"/>
  <c r="KC14" i="70"/>
  <c r="KC22" i="70"/>
  <c r="KC30" i="70"/>
  <c r="KC15" i="70"/>
  <c r="KC23" i="70"/>
  <c r="KC31" i="70"/>
  <c r="KC7" i="70"/>
  <c r="KC25" i="70"/>
  <c r="KC8" i="70"/>
  <c r="KC16" i="70"/>
  <c r="KC24" i="70"/>
  <c r="KC32" i="70"/>
  <c r="KC10" i="70"/>
  <c r="KC18" i="70"/>
  <c r="KC26" i="70"/>
  <c r="KC34" i="70"/>
  <c r="KC9" i="70"/>
  <c r="KC38" i="70"/>
  <c r="JV39" i="70"/>
  <c r="KF39" i="70" s="1"/>
  <c r="JQ40" i="70"/>
  <c r="JQ44" i="70"/>
  <c r="T16" i="21"/>
  <c r="T39" i="21" s="1"/>
  <c r="S39" i="21"/>
  <c r="T4" i="21"/>
  <c r="T17" i="21" s="1"/>
  <c r="S17" i="21"/>
  <c r="KI38" i="70"/>
  <c r="IO44" i="70"/>
  <c r="IO40" i="70"/>
  <c r="JN39" i="70"/>
  <c r="KH38" i="70"/>
  <c r="JM44" i="70"/>
  <c r="JY7" i="70"/>
  <c r="KG39" i="70"/>
  <c r="JM40" i="70"/>
  <c r="IH40" i="70"/>
  <c r="IH44" i="70"/>
  <c r="KB36" i="70"/>
  <c r="JP40" i="70"/>
  <c r="KB20" i="70"/>
  <c r="KB23" i="70"/>
  <c r="KK39" i="70"/>
  <c r="JP44" i="70"/>
  <c r="KB16" i="70"/>
  <c r="KB10" i="70"/>
  <c r="KB8" i="70"/>
  <c r="KB27" i="70"/>
  <c r="KB30" i="70"/>
  <c r="KB7" i="70"/>
  <c r="KB12" i="70"/>
  <c r="KB31" i="70"/>
  <c r="KB17" i="70"/>
  <c r="KB37" i="70"/>
  <c r="KB34" i="70"/>
  <c r="KB24" i="70"/>
  <c r="KB38" i="70"/>
  <c r="KB29" i="70"/>
  <c r="KB26" i="70"/>
  <c r="KB32" i="70"/>
  <c r="KB9" i="70"/>
  <c r="KB33" i="70"/>
  <c r="KB13" i="70"/>
  <c r="KB14" i="70"/>
  <c r="KB22" i="70"/>
  <c r="KB35" i="70"/>
  <c r="KB19" i="70"/>
  <c r="KB18" i="70"/>
  <c r="KB15" i="70"/>
  <c r="KB21" i="70"/>
  <c r="KB11" i="70"/>
  <c r="KB25" i="70"/>
  <c r="KB28" i="70"/>
  <c r="O50" i="21" l="1"/>
  <c r="P50" i="21"/>
  <c r="JY29" i="70"/>
  <c r="JY31" i="70"/>
  <c r="JZ32" i="70"/>
  <c r="JY36" i="70"/>
  <c r="JY25" i="70"/>
  <c r="JZ25" i="70"/>
  <c r="JZ18" i="70"/>
  <c r="JZ15" i="70"/>
  <c r="JZ36" i="70"/>
  <c r="JY33" i="70"/>
  <c r="JZ30" i="70"/>
  <c r="JZ22" i="70"/>
  <c r="KI39" i="70"/>
  <c r="JZ10" i="70"/>
  <c r="JZ20" i="70"/>
  <c r="JY16" i="70"/>
  <c r="JY8" i="70"/>
  <c r="JZ27" i="70"/>
  <c r="JZ9" i="70"/>
  <c r="JY22" i="70"/>
  <c r="JY20" i="70"/>
  <c r="JZ16" i="70"/>
  <c r="JY23" i="70"/>
  <c r="JY35" i="70"/>
  <c r="JZ19" i="70"/>
  <c r="JY19" i="70"/>
  <c r="JZ12" i="70"/>
  <c r="JZ26" i="70"/>
  <c r="JZ14" i="70"/>
  <c r="JO40" i="70"/>
  <c r="JY24" i="70"/>
  <c r="JZ23" i="70"/>
  <c r="JN44" i="70"/>
  <c r="JZ37" i="70"/>
  <c r="JY18" i="70"/>
  <c r="JY27" i="70"/>
  <c r="JY6" i="70"/>
  <c r="JZ17" i="70"/>
  <c r="JY30" i="70"/>
  <c r="JZ13" i="70"/>
  <c r="JY28" i="70"/>
  <c r="JY26" i="70"/>
  <c r="JZ6" i="70"/>
  <c r="JZ29" i="70"/>
  <c r="JZ28" i="70"/>
  <c r="JZ24" i="70"/>
  <c r="JY10" i="70"/>
  <c r="JY11" i="70"/>
  <c r="JY32" i="70"/>
  <c r="JY15" i="70"/>
  <c r="JZ21" i="70"/>
  <c r="JZ35" i="70"/>
  <c r="JY13" i="70"/>
  <c r="JZ31" i="70"/>
  <c r="JY37" i="70"/>
  <c r="JY38" i="70"/>
  <c r="JY14" i="70"/>
  <c r="JZ11" i="70"/>
  <c r="JZ8" i="70"/>
  <c r="JY17" i="70"/>
  <c r="JY21" i="70"/>
  <c r="JY9" i="70"/>
  <c r="JY12" i="70"/>
  <c r="JZ38" i="70"/>
  <c r="JZ7" i="70"/>
  <c r="JZ33" i="70"/>
  <c r="KJ39" i="70"/>
  <c r="JN40" i="70"/>
  <c r="KH39" i="7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Rubén Banda</author>
    <author>tc={75C3A838-7564-434D-9364-ADCA23801E18}</author>
    <author>tc={0AACFA5F-D76D-4DBC-9A95-192A363E6723}</author>
  </authors>
  <commentList>
    <comment ref="H6" authorId="0" shapeId="0" xr:uid="{00000000-0006-0000-0100-000001000000}">
      <text>
        <r>
          <rPr>
            <b/>
            <sz val="9"/>
            <color indexed="81"/>
            <rFont val="Tahoma"/>
            <family val="2"/>
          </rPr>
          <t>Rubén Banda:</t>
        </r>
        <r>
          <rPr>
            <sz val="9"/>
            <color indexed="81"/>
            <rFont val="Tahoma"/>
            <family val="2"/>
          </rPr>
          <t xml:space="preserve">
https://www.cia.gov/library/publications/the-world-factbook/geos/ec.html</t>
        </r>
      </text>
    </comment>
    <comment ref="H9" authorId="0" shapeId="0" xr:uid="{00000000-0006-0000-0100-000002000000}">
      <text>
        <r>
          <rPr>
            <b/>
            <sz val="9"/>
            <color indexed="81"/>
            <rFont val="Tahoma"/>
            <family val="2"/>
          </rPr>
          <t>Rubén Banda:</t>
        </r>
        <r>
          <rPr>
            <sz val="9"/>
            <color indexed="81"/>
            <rFont val="Tahoma"/>
            <family val="2"/>
          </rPr>
          <t xml:space="preserve">
https://datosmacro.expansion.com/paises/ecuador  20oct2021
https://www.cia.gov/library/publications/the-world-factbook/geos/ec.html</t>
        </r>
      </text>
    </comment>
    <comment ref="H25" authorId="0" shapeId="0" xr:uid="{00000000-0006-0000-0100-000003000000}">
      <text>
        <r>
          <rPr>
            <b/>
            <sz val="9"/>
            <color indexed="81"/>
            <rFont val="Tahoma"/>
            <family val="2"/>
          </rPr>
          <t>Rubén Banda:</t>
        </r>
        <r>
          <rPr>
            <sz val="9"/>
            <color indexed="81"/>
            <rFont val="Tahoma"/>
            <family val="2"/>
          </rPr>
          <t xml:space="preserve">
2019 - https://contenido.bce.fin.ec/documentos/Estadisticas/SectorReal/CuentasCantonales/Indice.htm
</t>
        </r>
      </text>
    </comment>
    <comment ref="K25" authorId="0" shapeId="0" xr:uid="{00000000-0006-0000-0100-000004000000}">
      <text>
        <r>
          <rPr>
            <b/>
            <sz val="9"/>
            <color indexed="81"/>
            <rFont val="Tahoma"/>
            <family val="2"/>
          </rPr>
          <t>Rubén Banda:</t>
        </r>
        <r>
          <rPr>
            <sz val="9"/>
            <color indexed="81"/>
            <rFont val="Tahoma"/>
            <family val="2"/>
          </rPr>
          <t xml:space="preserve">
2019 - https://contenido.bce.fin.ec/documentos/Estadisticas/SectorReal/CuentasCantonales/Indice.htm</t>
        </r>
      </text>
    </comment>
    <comment ref="H26" authorId="0" shapeId="0" xr:uid="{C066801F-AA3A-41B8-BE58-CC6AA771CA4A}">
      <text>
        <r>
          <rPr>
            <b/>
            <sz val="9"/>
            <color indexed="81"/>
            <rFont val="Tahoma"/>
            <family val="2"/>
          </rPr>
          <t>Rubén Banda:</t>
        </r>
        <r>
          <rPr>
            <sz val="9"/>
            <color indexed="81"/>
            <rFont val="Tahoma"/>
            <family val="2"/>
          </rPr>
          <t xml:space="preserve">
2020 - https://servicios.turismo.gob.ec/visualizador-economico    oct2021
</t>
        </r>
      </text>
    </comment>
    <comment ref="H27" authorId="0" shapeId="0" xr:uid="{00000000-0006-0000-0100-000005000000}">
      <text>
        <r>
          <rPr>
            <b/>
            <sz val="9"/>
            <color indexed="81"/>
            <rFont val="Tahoma"/>
            <family val="2"/>
          </rPr>
          <t>Rubén Banda:</t>
        </r>
        <r>
          <rPr>
            <sz val="9"/>
            <color indexed="81"/>
            <rFont val="Tahoma"/>
            <family val="2"/>
          </rPr>
          <t xml:space="preserve">
2020 - https://servicios.turismo.gob.ec/visualizador-economico     oct2021
</t>
        </r>
      </text>
    </comment>
    <comment ref="K27" authorId="0" shapeId="0" xr:uid="{00000000-0006-0000-0100-000006000000}">
      <text>
        <r>
          <rPr>
            <b/>
            <sz val="9"/>
            <color indexed="81"/>
            <rFont val="Tahoma"/>
            <family val="2"/>
          </rPr>
          <t>Rubén Banda:</t>
        </r>
        <r>
          <rPr>
            <sz val="9"/>
            <color indexed="81"/>
            <rFont val="Tahoma"/>
            <family val="2"/>
          </rPr>
          <t xml:space="preserve">
SIIT EPMGDT</t>
        </r>
      </text>
    </comment>
    <comment ref="H28" authorId="0" shapeId="0" xr:uid="{00000000-0006-0000-0100-000007000000}">
      <text>
        <r>
          <rPr>
            <b/>
            <sz val="9"/>
            <color indexed="81"/>
            <rFont val="Tahoma"/>
            <family val="2"/>
          </rPr>
          <t>Rubén Banda:</t>
        </r>
        <r>
          <rPr>
            <sz val="9"/>
            <color indexed="81"/>
            <rFont val="Tahoma"/>
            <family val="2"/>
          </rPr>
          <t xml:space="preserve">
2019
https://servicios.turismo.gob.ec/visualizador-economico   (oct2021)
</t>
        </r>
      </text>
    </comment>
    <comment ref="H37" authorId="1" shapeId="0" xr:uid="{75C3A838-7564-434D-9364-ADCA23801E18}">
      <text>
        <t>[Comentario encadenado]
Su versión de Excel le permite leer este comentario encadenado; sin embargo, las ediciones que se apliquen se quitarán si el archivo se abre en una versión más reciente de Excel. Más información: https://go.microsoft.com/fwlink/?linkid=870924
Comentario:
    SISTEMA NACIONAL DE ÁREAS PROTEGIDAS DEL ECUADOR - SNAP. El SNAP abarca cuatro regiones del país y alberga 56 reservas naturales que se extienden en aproximadamente el 20% de la superficie del Ecuador. Conservar la diversidad biológica y los recursos genéticos contenidos en el SNAP.</t>
      </text>
    </comment>
    <comment ref="H38" authorId="0" shapeId="0" xr:uid="{00000000-0006-0000-0100-000008000000}">
      <text>
        <r>
          <rPr>
            <b/>
            <sz val="9"/>
            <color indexed="81"/>
            <rFont val="Tahoma"/>
            <family val="2"/>
          </rPr>
          <t>Rubén Banda:</t>
        </r>
        <r>
          <rPr>
            <sz val="9"/>
            <color indexed="81"/>
            <rFont val="Tahoma"/>
            <family val="2"/>
          </rPr>
          <t xml:space="preserve">
http://areasprotegidas.ambiente.gob.ec/en/info-snap</t>
        </r>
      </text>
    </comment>
    <comment ref="K38" authorId="0" shapeId="0" xr:uid="{00000000-0006-0000-0100-000009000000}">
      <text>
        <r>
          <rPr>
            <b/>
            <sz val="9"/>
            <color indexed="81"/>
            <rFont val="Tahoma"/>
            <family val="2"/>
          </rPr>
          <t>Rubén Banda:</t>
        </r>
        <r>
          <rPr>
            <sz val="9"/>
            <color indexed="81"/>
            <rFont val="Tahoma"/>
            <family val="2"/>
          </rPr>
          <t xml:space="preserve">
35% del territorio del DMQ</t>
        </r>
      </text>
    </comment>
    <comment ref="J48" authorId="2" shapeId="0" xr:uid="{0AACFA5F-D76D-4DBC-9A95-192A363E6723}">
      <text>
        <t>[Comentario encadenado]
Su versión de Excel le permite leer este comentario encadenado; sin embargo, las ediciones que se apliquen se quitarán si el archivo se abre en una versión más reciente de Excel. Más información: https://go.microsoft.com/fwlink/?linkid=870924
Comentario:
    https://servicios.turismo.gob.ec/entradas-y-salidas-internacionales    oct2021</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Rubén Banda</author>
    <author>tc={06F1E9A7-A57E-4E81-8DEA-C4813B30436F}</author>
  </authors>
  <commentList>
    <comment ref="O5" authorId="0" shapeId="0" xr:uid="{00000000-0006-0000-0400-000001000000}">
      <text>
        <r>
          <rPr>
            <b/>
            <sz val="9"/>
            <color indexed="81"/>
            <rFont val="Tahoma"/>
            <family val="2"/>
          </rPr>
          <t>Rubén Banda:</t>
        </r>
        <r>
          <rPr>
            <sz val="9"/>
            <color indexed="81"/>
            <rFont val="Tahoma"/>
            <family val="2"/>
          </rPr>
          <t xml:space="preserve">
ajuste 18nov2020</t>
        </r>
      </text>
    </comment>
    <comment ref="Y8" authorId="0" shapeId="0" xr:uid="{00000000-0006-0000-0400-000002000000}">
      <text>
        <r>
          <rPr>
            <b/>
            <sz val="9"/>
            <color indexed="81"/>
            <rFont val="Tahoma"/>
            <family val="2"/>
          </rPr>
          <t>Rubén Banda:</t>
        </r>
        <r>
          <rPr>
            <sz val="9"/>
            <color indexed="81"/>
            <rFont val="Tahoma"/>
            <family val="2"/>
          </rPr>
          <t xml:space="preserve">
17julio2019</t>
        </r>
      </text>
    </comment>
    <comment ref="Y9" authorId="0" shapeId="0" xr:uid="{00000000-0006-0000-0400-000003000000}">
      <text>
        <r>
          <rPr>
            <b/>
            <sz val="9"/>
            <color indexed="81"/>
            <rFont val="Tahoma"/>
            <family val="2"/>
          </rPr>
          <t>Rubén Banda:</t>
        </r>
        <r>
          <rPr>
            <sz val="9"/>
            <color indexed="81"/>
            <rFont val="Tahoma"/>
            <family val="2"/>
          </rPr>
          <t xml:space="preserve">
17julio2019</t>
        </r>
      </text>
    </comment>
    <comment ref="Y10" authorId="0" shapeId="0" xr:uid="{00000000-0006-0000-0400-000004000000}">
      <text>
        <r>
          <rPr>
            <b/>
            <sz val="9"/>
            <color indexed="81"/>
            <rFont val="Tahoma"/>
            <family val="2"/>
          </rPr>
          <t>Rubén Banda:</t>
        </r>
        <r>
          <rPr>
            <sz val="9"/>
            <color indexed="81"/>
            <rFont val="Tahoma"/>
            <family val="2"/>
          </rPr>
          <t xml:space="preserve">
17julio2019</t>
        </r>
      </text>
    </comment>
    <comment ref="P16" authorId="1" shapeId="0" xr:uid="{06F1E9A7-A57E-4E81-8DEA-C4813B30436F}">
      <text>
        <t>[Comentario encadenado]
Su versión de Excel le permite leer este comentario encadenado; sin embargo, las ediciones que se apliquen se quitarán si el archivo se abre en una versión más reciente de Excel. Más información: https://go.microsoft.com/fwlink/?linkid=870924
Comentario:
    meta 2021</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Rubén Banda</author>
    <author>tc={E8AE7E18-A75C-4A28-AF34-A6020F016E63}</author>
  </authors>
  <commentList>
    <comment ref="FP4" authorId="0" shapeId="0" xr:uid="{00000000-0006-0000-0500-000002000000}">
      <text>
        <r>
          <rPr>
            <b/>
            <sz val="9"/>
            <color indexed="81"/>
            <rFont val="Tahoma"/>
            <family val="2"/>
          </rPr>
          <t>Rubén Banda:</t>
        </r>
        <r>
          <rPr>
            <sz val="9"/>
            <color indexed="81"/>
            <rFont val="Tahoma"/>
            <family val="2"/>
          </rPr>
          <t xml:space="preserve">
https://servicios.turismo.gob.ec/visualizador-movimientos</t>
        </r>
      </text>
    </comment>
    <comment ref="FQ4" authorId="0" shapeId="0" xr:uid="{00000000-0006-0000-0500-000003000000}">
      <text>
        <r>
          <rPr>
            <b/>
            <sz val="9"/>
            <color indexed="81"/>
            <rFont val="Tahoma"/>
            <family val="2"/>
          </rPr>
          <t>Rubén Banda:</t>
        </r>
        <r>
          <rPr>
            <sz val="9"/>
            <color indexed="81"/>
            <rFont val="Tahoma"/>
            <family val="2"/>
          </rPr>
          <t xml:space="preserve">
https://servicios.turismo.gob.ec/visualizador-movimientos</t>
        </r>
      </text>
    </comment>
    <comment ref="GB4" authorId="0" shapeId="0" xr:uid="{B517DB97-6CBC-4F87-8DAA-F3859454CE36}">
      <text>
        <r>
          <rPr>
            <b/>
            <sz val="9"/>
            <color indexed="81"/>
            <rFont val="Tahoma"/>
            <family val="2"/>
          </rPr>
          <t>Rubén Banda:</t>
        </r>
        <r>
          <rPr>
            <sz val="9"/>
            <color indexed="81"/>
            <rFont val="Tahoma"/>
            <family val="2"/>
          </rPr>
          <t xml:space="preserve">
https://servicios.turismo.gob.ec/visualizador-movimientos</t>
        </r>
      </text>
    </comment>
    <comment ref="GC4" authorId="0" shapeId="0" xr:uid="{C4F187E8-6685-471C-8305-375F7167FE43}">
      <text>
        <r>
          <rPr>
            <b/>
            <sz val="9"/>
            <color indexed="81"/>
            <rFont val="Tahoma"/>
            <family val="2"/>
          </rPr>
          <t>Rubén Banda:</t>
        </r>
        <r>
          <rPr>
            <sz val="9"/>
            <color indexed="81"/>
            <rFont val="Tahoma"/>
            <family val="2"/>
          </rPr>
          <t xml:space="preserve">
https://servicios.turismo.gob.ec/visualizador-movimientos</t>
        </r>
      </text>
    </comment>
    <comment ref="JS38" authorId="1" shapeId="0" xr:uid="{E8AE7E18-A75C-4A28-AF34-A6020F016E63}">
      <text>
        <t>[Comentario encadenado]
Su versión de Excel le permite leer este comentario encadenado; sin embargo, las ediciones que se apliquen se quitarán si el archivo se abre en una versión más reciente de Excel. Más información: https://go.microsoft.com/fwlink/?linkid=870924
Comentario:
    Arrastrar los otros meses</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C31" authorId="0" shapeId="0" xr:uid="{00000000-0006-0000-0200-000001000000}">
      <text>
        <r>
          <rPr>
            <b/>
            <sz val="9"/>
            <color indexed="81"/>
            <rFont val="Tahoma"/>
            <family val="2"/>
          </rPr>
          <t>Rubén Banda:</t>
        </r>
        <r>
          <rPr>
            <sz val="9"/>
            <color indexed="81"/>
            <rFont val="Tahoma"/>
            <family val="2"/>
          </rPr>
          <t xml:space="preserve">
https://servicios.turismo.gob.ec/index.php/turismo-cifras/2018-09-18-21-11-17/indicadores-de-alojamiento</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N6" authorId="0" shapeId="0" xr:uid="{00000000-0006-0000-0300-000001000000}">
      <text>
        <r>
          <rPr>
            <b/>
            <sz val="9"/>
            <color indexed="81"/>
            <rFont val="Tahoma"/>
            <family val="2"/>
          </rPr>
          <t>Rubén Banda:</t>
        </r>
        <r>
          <rPr>
            <sz val="9"/>
            <color indexed="81"/>
            <rFont val="Tahoma"/>
            <family val="2"/>
          </rPr>
          <t xml:space="preserve">
Sin boleto aéreo promedio de $-550</t>
        </r>
      </text>
    </comment>
    <comment ref="O6" authorId="0" shapeId="0" xr:uid="{00000000-0006-0000-0300-000002000000}">
      <text>
        <r>
          <rPr>
            <b/>
            <sz val="9"/>
            <color indexed="81"/>
            <rFont val="Tahoma"/>
            <family val="2"/>
          </rPr>
          <t>Rubén Banda:</t>
        </r>
        <r>
          <rPr>
            <sz val="9"/>
            <color indexed="81"/>
            <rFont val="Tahoma"/>
            <family val="2"/>
          </rPr>
          <t xml:space="preserve">
Sin boleto aéreo promedio de $-550</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preuser</author>
    <author>Rubén Banda</author>
    <author>tc={6E404CCA-7206-45C4-BEDA-011156384290}</author>
  </authors>
  <commentList>
    <comment ref="BP13" authorId="0" shapeId="0" xr:uid="{E4DF4030-1C78-41FF-8D10-D36CD7530ECB}">
      <text>
        <r>
          <rPr>
            <b/>
            <sz val="9"/>
            <color indexed="81"/>
            <rFont val="Tahoma"/>
            <family val="2"/>
          </rPr>
          <t>preuser:</t>
        </r>
        <r>
          <rPr>
            <sz val="9"/>
            <color indexed="81"/>
            <rFont val="Tahoma"/>
            <family val="2"/>
          </rPr>
          <t xml:space="preserve">
promedio de los meses de dic 2007 a 2010</t>
        </r>
      </text>
    </comment>
    <comment ref="FP51" authorId="1" shapeId="0" xr:uid="{1772298D-20CD-4C71-B01D-B9271F985247}">
      <text>
        <r>
          <rPr>
            <b/>
            <sz val="9"/>
            <color indexed="81"/>
            <rFont val="Tahoma"/>
            <family val="2"/>
          </rPr>
          <t>Rubén Banda:</t>
        </r>
        <r>
          <rPr>
            <sz val="9"/>
            <color indexed="81"/>
            <rFont val="Tahoma"/>
            <family val="2"/>
          </rPr>
          <t xml:space="preserve">
https://servicios.turismo.gob.ec/visualizador-movimientos</t>
        </r>
      </text>
    </comment>
    <comment ref="FQ51" authorId="1" shapeId="0" xr:uid="{14F83CD7-ABCD-4626-B3E7-77D93FFAB13B}">
      <text>
        <r>
          <rPr>
            <b/>
            <sz val="9"/>
            <color indexed="81"/>
            <rFont val="Tahoma"/>
            <family val="2"/>
          </rPr>
          <t>Rubén Banda:</t>
        </r>
        <r>
          <rPr>
            <sz val="9"/>
            <color indexed="81"/>
            <rFont val="Tahoma"/>
            <family val="2"/>
          </rPr>
          <t xml:space="preserve">
https://servicios.turismo.gob.ec/visualizador-movimientos</t>
        </r>
      </text>
    </comment>
    <comment ref="JA85" authorId="2" shapeId="0" xr:uid="{6E404CCA-7206-45C4-BEDA-011156384290}">
      <text>
        <t>[Comentario encadenado]
Su versión de Excel le permite leer este comentario encadenado; sin embargo, las ediciones que se apliquen se quitarán si el archivo se abre en una versión más reciente de Excel. Más información: https://go.microsoft.com/fwlink/?linkid=870924
Comentario:
    Arrastrar los otros meses</t>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R18" authorId="0" shapeId="0" xr:uid="{00000000-0006-0000-0800-000001000000}">
      <text>
        <r>
          <rPr>
            <b/>
            <sz val="9"/>
            <color indexed="81"/>
            <rFont val="Tahoma"/>
            <family val="2"/>
          </rPr>
          <t>Rubén Banda:</t>
        </r>
        <r>
          <rPr>
            <sz val="9"/>
            <color indexed="81"/>
            <rFont val="Tahoma"/>
            <family val="2"/>
          </rPr>
          <t xml:space="preserve">
2017 - https://contenido.bce.fin.ec/documentos/Estadisticas/SectorReal/CuentasCantonales/Indice.htm</t>
        </r>
      </text>
    </comment>
    <comment ref="S18" authorId="0" shapeId="0" xr:uid="{00000000-0006-0000-0800-000002000000}">
      <text>
        <r>
          <rPr>
            <b/>
            <sz val="9"/>
            <color indexed="81"/>
            <rFont val="Tahoma"/>
            <family val="2"/>
          </rPr>
          <t>OJO 
verificar formula</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G3" authorId="0" shapeId="0" xr:uid="{E1B8245F-10C9-4C40-95A5-9B4473249FA8}">
      <text>
        <r>
          <rPr>
            <b/>
            <sz val="9"/>
            <color indexed="81"/>
            <rFont val="Tahoma"/>
            <family val="2"/>
          </rPr>
          <t>Rubén Banda:</t>
        </r>
        <r>
          <rPr>
            <sz val="9"/>
            <color indexed="81"/>
            <rFont val="Tahoma"/>
            <family val="2"/>
          </rPr>
          <t xml:space="preserve">
25-28 feb 2017</t>
        </r>
      </text>
    </comment>
    <comment ref="H3" authorId="0" shapeId="0" xr:uid="{39E0DBF1-C64B-4302-9502-3C89AE42E398}">
      <text>
        <r>
          <rPr>
            <b/>
            <sz val="9"/>
            <color indexed="81"/>
            <rFont val="Tahoma"/>
            <family val="2"/>
          </rPr>
          <t>Rubén Banda:</t>
        </r>
        <r>
          <rPr>
            <sz val="9"/>
            <color indexed="81"/>
            <rFont val="Tahoma"/>
            <family val="2"/>
          </rPr>
          <t xml:space="preserve">
10-13 FEB 2018
</t>
        </r>
      </text>
    </comment>
    <comment ref="W3" authorId="0" shapeId="0" xr:uid="{FDAF7BE1-BCC0-48A3-B018-EE376A6CE3FF}">
      <text>
        <r>
          <rPr>
            <b/>
            <sz val="9"/>
            <color indexed="81"/>
            <rFont val="Tahoma"/>
            <family val="2"/>
          </rPr>
          <t>Rubén Banda:</t>
        </r>
        <r>
          <rPr>
            <sz val="9"/>
            <color indexed="81"/>
            <rFont val="Tahoma"/>
            <family val="2"/>
          </rPr>
          <t xml:space="preserve">
29-31 mar y 1 abr 2018</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V3" authorId="0" shapeId="0" xr:uid="{29853972-F56B-442F-9DA9-5D8777521888}">
      <text>
        <r>
          <rPr>
            <b/>
            <sz val="9"/>
            <color indexed="81"/>
            <rFont val="Tahoma"/>
            <family val="2"/>
          </rPr>
          <t>Rubén Banda:</t>
        </r>
        <r>
          <rPr>
            <sz val="9"/>
            <color indexed="81"/>
            <rFont val="Tahoma"/>
            <family val="2"/>
          </rPr>
          <t xml:space="preserve">
29-31 mar y 1 abr 2018</t>
        </r>
      </text>
    </comment>
    <comment ref="W12" authorId="0" shapeId="0" xr:uid="{2FC8D522-E9F1-425E-BE31-106D17A09F88}">
      <text>
        <r>
          <rPr>
            <b/>
            <sz val="9"/>
            <color indexed="81"/>
            <rFont val="Tahoma"/>
            <family val="2"/>
          </rPr>
          <t>Rubén Banda:</t>
        </r>
        <r>
          <rPr>
            <sz val="9"/>
            <color indexed="81"/>
            <rFont val="Tahoma"/>
            <family val="2"/>
          </rPr>
          <t xml:space="preserve">
Información levantada en las Calles: Venezuela+Benalcazar+Sucre+Bolivar+García Moreno</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G3" authorId="0" shapeId="0" xr:uid="{25B17FFC-3A3F-46BE-BA93-49F67F100C4C}">
      <text>
        <r>
          <rPr>
            <b/>
            <sz val="9"/>
            <color indexed="81"/>
            <rFont val="Tahoma"/>
            <family val="2"/>
          </rPr>
          <t>Rubén Banda:</t>
        </r>
        <r>
          <rPr>
            <sz val="9"/>
            <color indexed="81"/>
            <rFont val="Tahoma"/>
            <family val="2"/>
          </rPr>
          <t xml:space="preserve">
26-27-28 MAY 2017 puente
</t>
        </r>
      </text>
    </comment>
    <comment ref="H3" authorId="0" shapeId="0" xr:uid="{D5423F33-AA32-4F48-9C66-98460571706F}">
      <text>
        <r>
          <rPr>
            <b/>
            <sz val="9"/>
            <color indexed="81"/>
            <rFont val="Tahoma"/>
            <family val="2"/>
          </rPr>
          <t>Rubén Banda:</t>
        </r>
        <r>
          <rPr>
            <sz val="9"/>
            <color indexed="81"/>
            <rFont val="Tahoma"/>
            <family val="2"/>
          </rPr>
          <t xml:space="preserve">
25-27 may 2018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F3" authorId="0" shapeId="0" xr:uid="{F98FB2A5-6DF0-40F8-9A83-BF07C5CF819B}">
      <text>
        <r>
          <rPr>
            <b/>
            <sz val="9"/>
            <color indexed="81"/>
            <rFont val="Tahoma"/>
            <family val="2"/>
          </rPr>
          <t>Rubén Banda:</t>
        </r>
        <r>
          <rPr>
            <sz val="9"/>
            <color indexed="81"/>
            <rFont val="Tahoma"/>
            <family val="2"/>
          </rPr>
          <t xml:space="preserve">
10-13 ago 2017</t>
        </r>
      </text>
    </comment>
    <comment ref="G3" authorId="0" shapeId="0" xr:uid="{7A0ADB34-8F18-40C3-9B73-2A2FCA6C41A0}">
      <text>
        <r>
          <rPr>
            <b/>
            <sz val="9"/>
            <color indexed="81"/>
            <rFont val="Tahoma"/>
            <family val="2"/>
          </rPr>
          <t>Rubén Banda:</t>
        </r>
        <r>
          <rPr>
            <sz val="9"/>
            <color indexed="81"/>
            <rFont val="Tahoma"/>
            <family val="2"/>
          </rPr>
          <t xml:space="preserve">
9-12 AGO 2018</t>
        </r>
      </text>
    </comment>
    <comment ref="T3" authorId="0" shapeId="0" xr:uid="{379ED3CA-1AA8-4851-A5B8-0668A900A64A}">
      <text>
        <r>
          <rPr>
            <b/>
            <sz val="9"/>
            <color indexed="81"/>
            <rFont val="Tahoma"/>
            <family val="2"/>
          </rPr>
          <t>Rubén Banda:</t>
        </r>
        <r>
          <rPr>
            <sz val="9"/>
            <color indexed="81"/>
            <rFont val="Tahoma"/>
            <family val="2"/>
          </rPr>
          <t xml:space="preserve">
7-10 AGO 2015</t>
        </r>
      </text>
    </comment>
    <comment ref="U3" authorId="0" shapeId="0" xr:uid="{DB0B8656-2F86-4DC9-8B4B-4CD10A7E6996}">
      <text>
        <r>
          <rPr>
            <b/>
            <sz val="9"/>
            <color indexed="81"/>
            <rFont val="Tahoma"/>
            <family val="2"/>
          </rPr>
          <t>Rubén Banda:</t>
        </r>
        <r>
          <rPr>
            <sz val="9"/>
            <color indexed="81"/>
            <rFont val="Tahoma"/>
            <family val="2"/>
          </rPr>
          <t xml:space="preserve">
11-14 ago 2016</t>
        </r>
      </text>
    </comment>
    <comment ref="V3" authorId="0" shapeId="0" xr:uid="{252CB670-F3B5-4D9D-AA19-E48D1684BB0E}">
      <text>
        <r>
          <rPr>
            <b/>
            <sz val="9"/>
            <color indexed="81"/>
            <rFont val="Tahoma"/>
            <family val="2"/>
          </rPr>
          <t>Rubén Banda:</t>
        </r>
        <r>
          <rPr>
            <sz val="9"/>
            <color indexed="81"/>
            <rFont val="Tahoma"/>
            <family val="2"/>
          </rPr>
          <t xml:space="preserve">
10-13 ago 2017</t>
        </r>
      </text>
    </comment>
    <comment ref="W3" authorId="0" shapeId="0" xr:uid="{3340D770-3801-4949-BA51-3C05277D717C}">
      <text>
        <r>
          <rPr>
            <b/>
            <sz val="9"/>
            <color indexed="81"/>
            <rFont val="Tahoma"/>
            <family val="2"/>
          </rPr>
          <t>Rubén Banda:</t>
        </r>
        <r>
          <rPr>
            <sz val="9"/>
            <color indexed="81"/>
            <rFont val="Tahoma"/>
            <family val="2"/>
          </rPr>
          <t xml:space="preserve">
9-12 AGO 2018</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T3" authorId="0" shapeId="0" xr:uid="{353527C8-09C3-43EB-991F-BA9809E05D1D}">
      <text>
        <r>
          <rPr>
            <b/>
            <sz val="9"/>
            <color indexed="81"/>
            <rFont val="Tahoma"/>
            <family val="2"/>
          </rPr>
          <t>Rubén Banda:</t>
        </r>
        <r>
          <rPr>
            <sz val="9"/>
            <color indexed="81"/>
            <rFont val="Tahoma"/>
            <family val="2"/>
          </rPr>
          <t xml:space="preserve">
01-04-nov-2015
</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Y4" authorId="0" shapeId="0" xr:uid="{4D3E5278-A292-4F0D-822E-7613EEC88786}">
      <text>
        <r>
          <rPr>
            <b/>
            <sz val="9"/>
            <color indexed="81"/>
            <rFont val="Tahoma"/>
            <family val="2"/>
          </rPr>
          <t>Rubén Banda:</t>
        </r>
        <r>
          <rPr>
            <sz val="9"/>
            <color indexed="81"/>
            <rFont val="Tahoma"/>
            <family val="2"/>
          </rPr>
          <t xml:space="preserve">
Terremoto</t>
        </r>
      </text>
    </comment>
    <comment ref="AE4" authorId="0" shapeId="0" xr:uid="{B129E4AF-6DBD-48AD-9317-43E3DFFB3BF9}">
      <text>
        <r>
          <rPr>
            <b/>
            <sz val="9"/>
            <color indexed="81"/>
            <rFont val="Tahoma"/>
            <family val="2"/>
          </rPr>
          <t>Rubén Banda:</t>
        </r>
        <r>
          <rPr>
            <sz val="9"/>
            <color indexed="81"/>
            <rFont val="Tahoma"/>
            <family val="2"/>
          </rPr>
          <t xml:space="preserve">
Habitat III</t>
        </r>
      </text>
    </comment>
    <comment ref="AF4" authorId="0" shapeId="0" xr:uid="{A846EABF-F9BF-4542-99E5-8F34C6B96D4F}">
      <text>
        <r>
          <rPr>
            <b/>
            <sz val="9"/>
            <color indexed="81"/>
            <rFont val="Tahoma"/>
            <family val="2"/>
          </rPr>
          <t>Rubén Banda:</t>
        </r>
        <r>
          <rPr>
            <sz val="9"/>
            <color indexed="81"/>
            <rFont val="Tahoma"/>
            <family val="2"/>
          </rPr>
          <t xml:space="preserve">
Habitat III</t>
        </r>
      </text>
    </comment>
    <comment ref="AG4" authorId="0" shapeId="0" xr:uid="{7FB2857A-9213-4C4A-9B8C-F1933A41DE91}">
      <text>
        <r>
          <rPr>
            <b/>
            <sz val="9"/>
            <color indexed="81"/>
            <rFont val="Tahoma"/>
            <family val="2"/>
          </rPr>
          <t>Rubén Banda:</t>
        </r>
        <r>
          <rPr>
            <sz val="9"/>
            <color indexed="81"/>
            <rFont val="Tahoma"/>
            <family val="2"/>
          </rPr>
          <t xml:space="preserve">
Habitat III</t>
        </r>
      </text>
    </comment>
    <comment ref="AC13" authorId="0" shapeId="0" xr:uid="{DC931B11-5F91-4F53-A08C-9B8EA0BF2B84}">
      <text>
        <r>
          <rPr>
            <b/>
            <sz val="9"/>
            <color indexed="81"/>
            <rFont val="Tahoma"/>
            <family val="2"/>
          </rPr>
          <t>Rubén Banda:</t>
        </r>
        <r>
          <rPr>
            <sz val="9"/>
            <color indexed="81"/>
            <rFont val="Tahoma"/>
            <family val="2"/>
          </rPr>
          <t xml:space="preserve">
Cotopaxi</t>
        </r>
      </text>
    </comment>
    <comment ref="AD13" authorId="0" shapeId="0" xr:uid="{07BAE479-5F7F-4CFF-BF2E-4A84A7D8091B}">
      <text>
        <r>
          <rPr>
            <b/>
            <sz val="9"/>
            <color indexed="81"/>
            <rFont val="Tahoma"/>
            <family val="2"/>
          </rPr>
          <t>Rubén Banda:</t>
        </r>
        <r>
          <rPr>
            <sz val="9"/>
            <color indexed="81"/>
            <rFont val="Tahoma"/>
            <family val="2"/>
          </rPr>
          <t xml:space="preserve">
Cotopaxi
</t>
        </r>
      </text>
    </comment>
    <comment ref="AB23" authorId="0" shapeId="0" xr:uid="{00000000-0006-0000-1400-000001000000}">
      <text>
        <r>
          <rPr>
            <b/>
            <sz val="9"/>
            <color indexed="81"/>
            <rFont val="Tahoma"/>
            <family val="2"/>
          </rPr>
          <t>Rubén Banda:</t>
        </r>
        <r>
          <rPr>
            <sz val="9"/>
            <color indexed="81"/>
            <rFont val="Tahoma"/>
            <family val="2"/>
          </rPr>
          <t xml:space="preserve">
estimado </t>
        </r>
      </text>
    </comment>
    <comment ref="AB24" authorId="0" shapeId="0" xr:uid="{00000000-0006-0000-1400-000002000000}">
      <text>
        <r>
          <rPr>
            <b/>
            <sz val="9"/>
            <color indexed="81"/>
            <rFont val="Tahoma"/>
            <family val="2"/>
          </rPr>
          <t>Rubén Banda:</t>
        </r>
        <r>
          <rPr>
            <sz val="9"/>
            <color indexed="81"/>
            <rFont val="Tahoma"/>
            <family val="2"/>
          </rPr>
          <t xml:space="preserve">
estimado </t>
        </r>
      </text>
    </comment>
    <comment ref="AB26" authorId="0" shapeId="0" xr:uid="{00000000-0006-0000-1400-000003000000}">
      <text>
        <r>
          <rPr>
            <b/>
            <sz val="9"/>
            <color indexed="81"/>
            <rFont val="Tahoma"/>
            <family val="2"/>
          </rPr>
          <t>Rubén Banda:</t>
        </r>
        <r>
          <rPr>
            <sz val="9"/>
            <color indexed="81"/>
            <rFont val="Tahoma"/>
            <family val="2"/>
          </rPr>
          <t xml:space="preserve">
estimado </t>
        </r>
      </text>
    </comment>
    <comment ref="AB39" authorId="0" shapeId="0" xr:uid="{00000000-0006-0000-1400-000004000000}">
      <text>
        <r>
          <rPr>
            <b/>
            <sz val="9"/>
            <color indexed="81"/>
            <rFont val="Tahoma"/>
            <family val="2"/>
          </rPr>
          <t>Rubén Banda:</t>
        </r>
        <r>
          <rPr>
            <sz val="9"/>
            <color indexed="81"/>
            <rFont val="Tahoma"/>
            <family val="2"/>
          </rPr>
          <t xml:space="preserve">
estimado </t>
        </r>
      </text>
    </comment>
    <comment ref="AB40" authorId="0" shapeId="0" xr:uid="{00000000-0006-0000-1400-000005000000}">
      <text>
        <r>
          <rPr>
            <b/>
            <sz val="9"/>
            <color indexed="81"/>
            <rFont val="Tahoma"/>
            <family val="2"/>
          </rPr>
          <t>Rubén Banda:</t>
        </r>
        <r>
          <rPr>
            <sz val="9"/>
            <color indexed="81"/>
            <rFont val="Tahoma"/>
            <family val="2"/>
          </rPr>
          <t xml:space="preserve">
estimado </t>
        </r>
      </text>
    </comment>
    <comment ref="AB42" authorId="0" shapeId="0" xr:uid="{00000000-0006-0000-1400-000006000000}">
      <text>
        <r>
          <rPr>
            <b/>
            <sz val="9"/>
            <color indexed="81"/>
            <rFont val="Tahoma"/>
            <family val="2"/>
          </rPr>
          <t>Rubén Banda:</t>
        </r>
        <r>
          <rPr>
            <sz val="9"/>
            <color indexed="81"/>
            <rFont val="Tahoma"/>
            <family val="2"/>
          </rPr>
          <t xml:space="preserve">
estimado </t>
        </r>
      </text>
    </comment>
    <comment ref="Y68" authorId="0" shapeId="0" xr:uid="{00000000-0006-0000-1400-000007000000}">
      <text>
        <r>
          <rPr>
            <b/>
            <sz val="9"/>
            <color indexed="81"/>
            <rFont val="Tahoma"/>
            <family val="2"/>
          </rPr>
          <t>Rubén Banda:</t>
        </r>
        <r>
          <rPr>
            <sz val="9"/>
            <color indexed="81"/>
            <rFont val="Tahoma"/>
            <family val="2"/>
          </rPr>
          <t xml:space="preserve">
Terremoto</t>
        </r>
      </text>
    </comment>
    <comment ref="AE68" authorId="0" shapeId="0" xr:uid="{00000000-0006-0000-1400-000008000000}">
      <text>
        <r>
          <rPr>
            <b/>
            <sz val="9"/>
            <color indexed="81"/>
            <rFont val="Tahoma"/>
            <family val="2"/>
          </rPr>
          <t>Rubén Banda:</t>
        </r>
        <r>
          <rPr>
            <sz val="9"/>
            <color indexed="81"/>
            <rFont val="Tahoma"/>
            <family val="2"/>
          </rPr>
          <t xml:space="preserve">
Habitat III</t>
        </r>
      </text>
    </comment>
    <comment ref="AC75" authorId="0" shapeId="0" xr:uid="{00000000-0006-0000-1400-000009000000}">
      <text>
        <r>
          <rPr>
            <b/>
            <sz val="9"/>
            <color indexed="81"/>
            <rFont val="Tahoma"/>
            <family val="2"/>
          </rPr>
          <t>Rubén Banda:</t>
        </r>
        <r>
          <rPr>
            <sz val="9"/>
            <color indexed="81"/>
            <rFont val="Tahoma"/>
            <family val="2"/>
          </rPr>
          <t xml:space="preserve">
Cotopaxi</t>
        </r>
      </text>
    </comment>
    <comment ref="AD75" authorId="0" shapeId="0" xr:uid="{00000000-0006-0000-1400-00000A000000}">
      <text>
        <r>
          <rPr>
            <b/>
            <sz val="9"/>
            <color indexed="81"/>
            <rFont val="Tahoma"/>
            <family val="2"/>
          </rPr>
          <t>Rubén Banda:</t>
        </r>
        <r>
          <rPr>
            <sz val="9"/>
            <color indexed="81"/>
            <rFont val="Tahoma"/>
            <family val="2"/>
          </rPr>
          <t xml:space="preserve">
Cotopaxi
</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F7" authorId="0" shapeId="0" xr:uid="{1C8ADC5C-A613-446C-A86C-C26D73250C26}">
      <text>
        <r>
          <rPr>
            <b/>
            <sz val="9"/>
            <color indexed="81"/>
            <rFont val="Tahoma"/>
            <family val="2"/>
          </rPr>
          <t>Rubén Banda:</t>
        </r>
        <r>
          <rPr>
            <sz val="9"/>
            <color indexed="81"/>
            <rFont val="Tahoma"/>
            <family val="2"/>
          </rPr>
          <t xml:space="preserve">
Terremoto</t>
        </r>
      </text>
    </comment>
    <comment ref="L7" authorId="0" shapeId="0" xr:uid="{5948A953-903D-4B19-8118-F3C5B3068271}">
      <text>
        <r>
          <rPr>
            <b/>
            <sz val="9"/>
            <color indexed="81"/>
            <rFont val="Tahoma"/>
            <family val="2"/>
          </rPr>
          <t>Rubén Banda:</t>
        </r>
        <r>
          <rPr>
            <sz val="9"/>
            <color indexed="81"/>
            <rFont val="Tahoma"/>
            <family val="2"/>
          </rPr>
          <t xml:space="preserve">
Habitat III</t>
        </r>
      </text>
    </comment>
    <comment ref="J16" authorId="0" shapeId="0" xr:uid="{02C98BA5-3B53-4913-9880-7666AA894E4C}">
      <text>
        <r>
          <rPr>
            <b/>
            <sz val="9"/>
            <color indexed="81"/>
            <rFont val="Tahoma"/>
            <family val="2"/>
          </rPr>
          <t>Rubén Banda:</t>
        </r>
        <r>
          <rPr>
            <sz val="9"/>
            <color indexed="81"/>
            <rFont val="Tahoma"/>
            <family val="2"/>
          </rPr>
          <t xml:space="preserve">
Cotopaxi</t>
        </r>
      </text>
    </comment>
    <comment ref="K16" authorId="0" shapeId="0" xr:uid="{0FC35A07-643B-489F-981D-359118BD3A80}">
      <text>
        <r>
          <rPr>
            <b/>
            <sz val="9"/>
            <color indexed="81"/>
            <rFont val="Tahoma"/>
            <family val="2"/>
          </rPr>
          <t>Rubén Banda:</t>
        </r>
        <r>
          <rPr>
            <sz val="9"/>
            <color indexed="81"/>
            <rFont val="Tahoma"/>
            <family val="2"/>
          </rPr>
          <t xml:space="preserve">
Cotopaxi
</t>
        </r>
      </text>
    </comment>
    <comment ref="I26" authorId="0" shapeId="0" xr:uid="{9942852F-C8BD-4A67-9BD2-E85F347657A9}">
      <text>
        <r>
          <rPr>
            <b/>
            <sz val="9"/>
            <color indexed="81"/>
            <rFont val="Tahoma"/>
            <family val="2"/>
          </rPr>
          <t>Rubén Banda:</t>
        </r>
        <r>
          <rPr>
            <sz val="9"/>
            <color indexed="81"/>
            <rFont val="Tahoma"/>
            <family val="2"/>
          </rPr>
          <t xml:space="preserve">
estimado </t>
        </r>
      </text>
    </comment>
    <comment ref="I27" authorId="0" shapeId="0" xr:uid="{D7B92F0F-0601-4FBC-B920-1681114EEE27}">
      <text>
        <r>
          <rPr>
            <b/>
            <sz val="9"/>
            <color indexed="81"/>
            <rFont val="Tahoma"/>
            <family val="2"/>
          </rPr>
          <t>Rubén Banda:</t>
        </r>
        <r>
          <rPr>
            <sz val="9"/>
            <color indexed="81"/>
            <rFont val="Tahoma"/>
            <family val="2"/>
          </rPr>
          <t xml:space="preserve">
estimado </t>
        </r>
      </text>
    </comment>
    <comment ref="I29" authorId="0" shapeId="0" xr:uid="{2BB860D3-B854-4556-902A-5D7BEB56D5A1}">
      <text>
        <r>
          <rPr>
            <b/>
            <sz val="9"/>
            <color indexed="81"/>
            <rFont val="Tahoma"/>
            <family val="2"/>
          </rPr>
          <t>Rubén Banda:</t>
        </r>
        <r>
          <rPr>
            <sz val="9"/>
            <color indexed="81"/>
            <rFont val="Tahoma"/>
            <family val="2"/>
          </rPr>
          <t xml:space="preserve">
estimado </t>
        </r>
      </text>
    </comment>
    <comment ref="I42" authorId="0" shapeId="0" xr:uid="{13DAEBC9-A27E-497F-A8EE-E35FBB995FAA}">
      <text>
        <r>
          <rPr>
            <b/>
            <sz val="9"/>
            <color indexed="81"/>
            <rFont val="Tahoma"/>
            <family val="2"/>
          </rPr>
          <t>Rubén Banda:</t>
        </r>
        <r>
          <rPr>
            <sz val="9"/>
            <color indexed="81"/>
            <rFont val="Tahoma"/>
            <family val="2"/>
          </rPr>
          <t xml:space="preserve">
estimado </t>
        </r>
      </text>
    </comment>
    <comment ref="I43" authorId="0" shapeId="0" xr:uid="{5C2E2EF0-B0BB-4210-BD41-41B6FC0F675E}">
      <text>
        <r>
          <rPr>
            <b/>
            <sz val="9"/>
            <color indexed="81"/>
            <rFont val="Tahoma"/>
            <family val="2"/>
          </rPr>
          <t>Rubén Banda:</t>
        </r>
        <r>
          <rPr>
            <sz val="9"/>
            <color indexed="81"/>
            <rFont val="Tahoma"/>
            <family val="2"/>
          </rPr>
          <t xml:space="preserve">
estimado </t>
        </r>
      </text>
    </comment>
    <comment ref="I45" authorId="0" shapeId="0" xr:uid="{A5008B3B-DD3D-411E-AC20-59E9D7CE917D}">
      <text>
        <r>
          <rPr>
            <b/>
            <sz val="9"/>
            <color indexed="81"/>
            <rFont val="Tahoma"/>
            <family val="2"/>
          </rPr>
          <t>Rubén Banda:</t>
        </r>
        <r>
          <rPr>
            <sz val="9"/>
            <color indexed="81"/>
            <rFont val="Tahoma"/>
            <family val="2"/>
          </rPr>
          <t xml:space="preserve">
estimado </t>
        </r>
      </text>
    </comment>
    <comment ref="F71" authorId="0" shapeId="0" xr:uid="{903F2C2F-4F51-40D5-B1E6-1F60F27A7C16}">
      <text>
        <r>
          <rPr>
            <b/>
            <sz val="9"/>
            <color indexed="81"/>
            <rFont val="Tahoma"/>
            <family val="2"/>
          </rPr>
          <t>Rubén Banda:</t>
        </r>
        <r>
          <rPr>
            <sz val="9"/>
            <color indexed="81"/>
            <rFont val="Tahoma"/>
            <family val="2"/>
          </rPr>
          <t xml:space="preserve">
Terremoto</t>
        </r>
      </text>
    </comment>
    <comment ref="L71" authorId="0" shapeId="0" xr:uid="{494607BE-9B7F-4929-A7D8-88982E9FC60B}">
      <text>
        <r>
          <rPr>
            <b/>
            <sz val="9"/>
            <color indexed="81"/>
            <rFont val="Tahoma"/>
            <family val="2"/>
          </rPr>
          <t>Rubén Banda:</t>
        </r>
        <r>
          <rPr>
            <sz val="9"/>
            <color indexed="81"/>
            <rFont val="Tahoma"/>
            <family val="2"/>
          </rPr>
          <t xml:space="preserve">
Habitat III</t>
        </r>
      </text>
    </comment>
    <comment ref="J78" authorId="0" shapeId="0" xr:uid="{4F212599-B40C-40A9-BCB7-DF4D4ADCA8ED}">
      <text>
        <r>
          <rPr>
            <b/>
            <sz val="9"/>
            <color indexed="81"/>
            <rFont val="Tahoma"/>
            <family val="2"/>
          </rPr>
          <t>Rubén Banda:</t>
        </r>
        <r>
          <rPr>
            <sz val="9"/>
            <color indexed="81"/>
            <rFont val="Tahoma"/>
            <family val="2"/>
          </rPr>
          <t xml:space="preserve">
Cotopaxi</t>
        </r>
      </text>
    </comment>
    <comment ref="K78" authorId="0" shapeId="0" xr:uid="{CCFC7098-C9D6-419B-B310-41CBCD562B7D}">
      <text>
        <r>
          <rPr>
            <b/>
            <sz val="9"/>
            <color indexed="81"/>
            <rFont val="Tahoma"/>
            <family val="2"/>
          </rPr>
          <t>Rubén Banda:</t>
        </r>
        <r>
          <rPr>
            <sz val="9"/>
            <color indexed="81"/>
            <rFont val="Tahoma"/>
            <family val="2"/>
          </rPr>
          <t xml:space="preserve">
Cotopaxi
</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F7" authorId="0" shapeId="0" xr:uid="{71413E4F-18E7-44FB-BA3D-E923274A295A}">
      <text>
        <r>
          <rPr>
            <b/>
            <sz val="9"/>
            <color indexed="81"/>
            <rFont val="Tahoma"/>
            <family val="2"/>
          </rPr>
          <t>Rubén Banda:</t>
        </r>
        <r>
          <rPr>
            <sz val="9"/>
            <color indexed="81"/>
            <rFont val="Tahoma"/>
            <family val="2"/>
          </rPr>
          <t xml:space="preserve">
Terremoto</t>
        </r>
      </text>
    </comment>
    <comment ref="L7" authorId="0" shapeId="0" xr:uid="{2599A2FC-CE5B-4029-BF3D-7B1EDA5ADB65}">
      <text>
        <r>
          <rPr>
            <b/>
            <sz val="9"/>
            <color indexed="81"/>
            <rFont val="Tahoma"/>
            <family val="2"/>
          </rPr>
          <t>Rubén Banda:</t>
        </r>
        <r>
          <rPr>
            <sz val="9"/>
            <color indexed="81"/>
            <rFont val="Tahoma"/>
            <family val="2"/>
          </rPr>
          <t xml:space="preserve">
Habitat III</t>
        </r>
      </text>
    </comment>
    <comment ref="M7" authorId="0" shapeId="0" xr:uid="{B5DA81D4-FA1F-41F0-A53A-7FEEB0DB8283}">
      <text>
        <r>
          <rPr>
            <b/>
            <sz val="9"/>
            <color indexed="81"/>
            <rFont val="Tahoma"/>
            <family val="2"/>
          </rPr>
          <t>Rubén Banda:</t>
        </r>
        <r>
          <rPr>
            <sz val="9"/>
            <color indexed="81"/>
            <rFont val="Tahoma"/>
            <family val="2"/>
          </rPr>
          <t xml:space="preserve">
Habitat III</t>
        </r>
      </text>
    </comment>
    <comment ref="N7" authorId="0" shapeId="0" xr:uid="{73F39900-D58F-4A6F-AD12-04D3B51EACF7}">
      <text>
        <r>
          <rPr>
            <b/>
            <sz val="9"/>
            <color indexed="81"/>
            <rFont val="Tahoma"/>
            <family val="2"/>
          </rPr>
          <t>Rubén Banda:</t>
        </r>
        <r>
          <rPr>
            <sz val="9"/>
            <color indexed="81"/>
            <rFont val="Tahoma"/>
            <family val="2"/>
          </rPr>
          <t xml:space="preserve">
Habitat III</t>
        </r>
      </text>
    </comment>
    <comment ref="J17" authorId="0" shapeId="0" xr:uid="{A173D13F-D5DF-41B2-91B6-834AFDDE022F}">
      <text>
        <r>
          <rPr>
            <b/>
            <sz val="9"/>
            <color indexed="81"/>
            <rFont val="Tahoma"/>
            <family val="2"/>
          </rPr>
          <t>Rubén Banda:</t>
        </r>
        <r>
          <rPr>
            <sz val="9"/>
            <color indexed="81"/>
            <rFont val="Tahoma"/>
            <family val="2"/>
          </rPr>
          <t xml:space="preserve">
Cotopaxi</t>
        </r>
      </text>
    </comment>
    <comment ref="K17" authorId="0" shapeId="0" xr:uid="{475D0DCD-665D-43E5-861C-E4A0BE11031B}">
      <text>
        <r>
          <rPr>
            <b/>
            <sz val="9"/>
            <color indexed="81"/>
            <rFont val="Tahoma"/>
            <family val="2"/>
          </rPr>
          <t>Rubén Banda:</t>
        </r>
        <r>
          <rPr>
            <sz val="9"/>
            <color indexed="81"/>
            <rFont val="Tahoma"/>
            <family val="2"/>
          </rPr>
          <t xml:space="preserve">
Cotopaxi
</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O7" authorId="0" shapeId="0" xr:uid="{00000000-0006-0000-1600-000001000000}">
      <text>
        <r>
          <rPr>
            <b/>
            <sz val="9"/>
            <color indexed="81"/>
            <rFont val="Tahoma"/>
            <family val="2"/>
          </rPr>
          <t>Rubén Banda:</t>
        </r>
        <r>
          <rPr>
            <sz val="9"/>
            <color indexed="81"/>
            <rFont val="Tahoma"/>
            <family val="2"/>
          </rPr>
          <t xml:space="preserve">
ene-ago 2018 promedio</t>
        </r>
      </text>
    </comment>
    <comment ref="B8" authorId="0" shapeId="0" xr:uid="{00000000-0006-0000-1600-000002000000}">
      <text>
        <r>
          <rPr>
            <b/>
            <sz val="9"/>
            <color indexed="81"/>
            <rFont val="Tahoma"/>
            <family val="2"/>
          </rPr>
          <t>Rubén Banda:</t>
        </r>
        <r>
          <rPr>
            <sz val="9"/>
            <color indexed="81"/>
            <rFont val="Tahoma"/>
            <family val="2"/>
          </rPr>
          <t xml:space="preserve">
Region Metropolitana en CL</t>
        </r>
      </text>
    </comment>
    <comment ref="O9" authorId="0" shapeId="0" xr:uid="{00000000-0006-0000-1600-000003000000}">
      <text>
        <r>
          <rPr>
            <b/>
            <sz val="9"/>
            <color indexed="81"/>
            <rFont val="Tahoma"/>
            <family val="2"/>
          </rPr>
          <t>Rubén Banda:</t>
        </r>
        <r>
          <rPr>
            <sz val="9"/>
            <color indexed="81"/>
            <rFont val="Tahoma"/>
            <family val="2"/>
          </rPr>
          <t xml:space="preserve">
ene-ago 2018 promedio</t>
        </r>
      </text>
    </comment>
    <comment ref="B10" authorId="0" shapeId="0" xr:uid="{00000000-0006-0000-1600-000004000000}">
      <text>
        <r>
          <rPr>
            <b/>
            <sz val="9"/>
            <color indexed="81"/>
            <rFont val="Tahoma"/>
            <family val="2"/>
          </rPr>
          <t>Rubén Banda:</t>
        </r>
        <r>
          <rPr>
            <sz val="9"/>
            <color indexed="81"/>
            <rFont val="Tahoma"/>
            <family val="2"/>
          </rPr>
          <t xml:space="preserve">
Todo el país</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Rubén Banda</author>
  </authors>
  <commentList>
    <comment ref="C34" authorId="0" shapeId="0" xr:uid="{00000000-0006-0000-2000-000001000000}">
      <text>
        <r>
          <rPr>
            <b/>
            <sz val="9"/>
            <color indexed="81"/>
            <rFont val="Tahoma"/>
            <family val="2"/>
          </rPr>
          <t>Rubén Banda:</t>
        </r>
        <r>
          <rPr>
            <sz val="9"/>
            <color indexed="81"/>
            <rFont val="Tahoma"/>
            <family val="2"/>
          </rPr>
          <t xml:space="preserve">
Las cuentas satélites del turismo de Ministerio de Turismo en el 2003 calcularon que por cada empleo directo en turismo se genera entre 3 a 6 empleos indirectos ...
</t>
        </r>
      </text>
    </comment>
    <comment ref="G34" authorId="0" shapeId="0" xr:uid="{00000000-0006-0000-2000-000002000000}">
      <text>
        <r>
          <rPr>
            <b/>
            <sz val="9"/>
            <color indexed="81"/>
            <rFont val="Tahoma"/>
            <family val="2"/>
          </rPr>
          <t>Rubén Banda:</t>
        </r>
        <r>
          <rPr>
            <sz val="9"/>
            <color indexed="81"/>
            <rFont val="Tahoma"/>
            <family val="2"/>
          </rPr>
          <t xml:space="preserve">
Las cuentas satélites del turismo de Ministerio de Turismo en el 2003 calcularon que por cada empleo directo en turismo se genera entre 3 a 6 empleos indirectos ...
</t>
        </r>
      </text>
    </comment>
    <comment ref="C50" authorId="0" shapeId="0" xr:uid="{00000000-0006-0000-2000-000003000000}">
      <text>
        <r>
          <rPr>
            <b/>
            <sz val="9"/>
            <color indexed="81"/>
            <rFont val="Tahoma"/>
            <family val="2"/>
          </rPr>
          <t>Rubén Banda:</t>
        </r>
        <r>
          <rPr>
            <sz val="9"/>
            <color indexed="81"/>
            <rFont val="Tahoma"/>
            <family val="2"/>
          </rPr>
          <t xml:space="preserve">
Las cuentas satélites del turismo de Ministerio de Turismo en el 2003 calcularon que por cada empleo directo en turismo se genera entre 3 a 6 empleos indirectos ...
</t>
        </r>
      </text>
    </comment>
    <comment ref="G50" authorId="0" shapeId="0" xr:uid="{00000000-0006-0000-2000-000004000000}">
      <text>
        <r>
          <rPr>
            <b/>
            <sz val="9"/>
            <color indexed="81"/>
            <rFont val="Tahoma"/>
            <family val="2"/>
          </rPr>
          <t>Rubén Banda:</t>
        </r>
        <r>
          <rPr>
            <sz val="9"/>
            <color indexed="81"/>
            <rFont val="Tahoma"/>
            <family val="2"/>
          </rPr>
          <t xml:space="preserve">
Las cuentas satélites del turismo de Ministerio de Turismo en el 2003 calcularon que por cada empleo directo en turismo se genera entre 3 a 6 empleos indirectos ...
</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ThisWorkbookDataModel" description="Modelo de datos" type="5" refreshedVersion="6" minRefreshableVersion="5">
    <dbPr connection="Data Model Connection" command="Model" commandType="1"/>
    <olapPr sendLocale="1" rowDrillCount="1000"/>
    <extLst>
      <ext xmlns:x15="http://schemas.microsoft.com/office/spreadsheetml/2010/11/main" uri="{DE250136-89BD-433C-8126-D09CA5730AF9}">
        <x15:connection id="" model="1"/>
      </ext>
    </extLst>
  </connection>
  <connection id="2" xr16:uid="{00000000-0015-0000-FFFF-FFFF01000000}" name="WorksheetConnection_Anexo Estadistico  V2.xlsx!Base_Encuestas" type="102" refreshedVersion="6" minRefreshableVersion="5">
    <extLst>
      <ext xmlns:x15="http://schemas.microsoft.com/office/spreadsheetml/2010/11/main" uri="{DE250136-89BD-433C-8126-D09CA5730AF9}">
        <x15:connection id="Base_Encuestas-cce2473e-d522-4f2b-8002-aea47e29bb5c">
          <x15:rangePr sourceName="_xlcn.WorksheetConnection_AnexoEstadisticoV2.xlsxBase_Encuestas1"/>
        </x15:connection>
      </ext>
    </extLst>
  </connection>
  <connection id="3" xr16:uid="{00000000-0015-0000-FFFF-FFFF02000000}" name="WorksheetConnection_Anexo Estadistico  V2.xlsx!Base_Encuestas1" type="102" refreshedVersion="6" minRefreshableVersion="5">
    <extLst>
      <ext xmlns:x15="http://schemas.microsoft.com/office/spreadsheetml/2010/11/main" uri="{DE250136-89BD-433C-8126-D09CA5730AF9}">
        <x15:connection id="Base_Encuestas-96b8b88e-2eda-4bf3-a1b7-abbfcf10ea74">
          <x15:rangePr sourceName="_xlcn.WorksheetConnection_AnexoEstadisticoV2.xlsxBase_Encuestas11"/>
        </x15:connection>
      </ext>
    </extLst>
  </connection>
  <connection id="4" xr16:uid="{00000000-0015-0000-FFFF-FFFF03000000}" name="WorksheetConnection_Anexo Estadistico  V2.xlsx!Base_Encuestas2" type="102" refreshedVersion="6" minRefreshableVersion="5">
    <extLst>
      <ext xmlns:x15="http://schemas.microsoft.com/office/spreadsheetml/2010/11/main" uri="{DE250136-89BD-433C-8126-D09CA5730AF9}">
        <x15:connection id="Base_Encuestas-0b7f8278-c7fe-4eea-8cde-372f967a39fb">
          <x15:rangePr sourceName="_xlcn.WorksheetConnection_AnexoEstadisticoV2.xlsxBase_Encuestas21"/>
        </x15:connection>
      </ext>
    </extLst>
  </connection>
  <connection id="5" xr16:uid="{00000000-0015-0000-FFFF-FFFF04000000}" name="WorksheetConnection_Anexo Estadistico  V2.xlsx!Base_Encuestas3" type="102" refreshedVersion="6" minRefreshableVersion="5">
    <extLst>
      <ext xmlns:x15="http://schemas.microsoft.com/office/spreadsheetml/2010/11/main" uri="{DE250136-89BD-433C-8126-D09CA5730AF9}">
        <x15:connection id="Base_Encuestas-ca360a7d-27a4-4f39-9bc0-3a560bf7560b">
          <x15:rangePr sourceName="_xlcn.WorksheetConnection_AnexoEstadisticoV2.xlsxBase_Encuestas31"/>
        </x15:connection>
      </ext>
    </extLst>
  </connection>
  <connection id="6" xr16:uid="{00000000-0015-0000-FFFF-FFFF05000000}" name="WorksheetConnection_Anexo Estadistico  V2.xlsx!Base_Encuestas4" type="102" refreshedVersion="6" minRefreshableVersion="5">
    <extLst>
      <ext xmlns:x15="http://schemas.microsoft.com/office/spreadsheetml/2010/11/main" uri="{DE250136-89BD-433C-8126-D09CA5730AF9}">
        <x15:connection id="Base_Encuestas-7d855487-9923-421d-88dd-39d700001cc1">
          <x15:rangePr sourceName="_xlcn.WorksheetConnection_AnexoEstadisticoV2.xlsxBase_Encuestas41"/>
        </x15:connection>
      </ext>
    </extLst>
  </connection>
</connections>
</file>

<file path=xl/sharedStrings.xml><?xml version="1.0" encoding="utf-8"?>
<sst xmlns="http://schemas.openxmlformats.org/spreadsheetml/2006/main" count="8582" uniqueCount="2033">
  <si>
    <t>2008 junio</t>
  </si>
  <si>
    <t>2009 junio</t>
  </si>
  <si>
    <t xml:space="preserve">2010 junio </t>
  </si>
  <si>
    <t>2011 agosto</t>
  </si>
  <si>
    <t>junio</t>
  </si>
  <si>
    <t>Estados Unidos</t>
  </si>
  <si>
    <t>Colombia</t>
  </si>
  <si>
    <t>España</t>
  </si>
  <si>
    <t>Venezuela</t>
  </si>
  <si>
    <t>Ecuador</t>
  </si>
  <si>
    <t>Argentina</t>
  </si>
  <si>
    <t>Perú</t>
  </si>
  <si>
    <t>Chile</t>
  </si>
  <si>
    <t>Panamá</t>
  </si>
  <si>
    <t>Alemania</t>
  </si>
  <si>
    <t>México</t>
  </si>
  <si>
    <t>Brasil</t>
  </si>
  <si>
    <t>Canadá</t>
  </si>
  <si>
    <t>Bolivia</t>
  </si>
  <si>
    <t>Cuba</t>
  </si>
  <si>
    <t>Italia</t>
  </si>
  <si>
    <t>Francia</t>
  </si>
  <si>
    <t>Costa Rica</t>
  </si>
  <si>
    <t>Suiza</t>
  </si>
  <si>
    <t>Uruguay</t>
  </si>
  <si>
    <t>Bélgica</t>
  </si>
  <si>
    <t>Israel</t>
  </si>
  <si>
    <t>Dinamarca</t>
  </si>
  <si>
    <t>Austria</t>
  </si>
  <si>
    <t>Rusia</t>
  </si>
  <si>
    <t>Japón</t>
  </si>
  <si>
    <t>Australia</t>
  </si>
  <si>
    <t>Total</t>
  </si>
  <si>
    <t>%</t>
  </si>
  <si>
    <t>2012 junio</t>
  </si>
  <si>
    <t>2013 junio</t>
  </si>
  <si>
    <t>ene</t>
  </si>
  <si>
    <t>feb</t>
  </si>
  <si>
    <t>mar</t>
  </si>
  <si>
    <t>abr</t>
  </si>
  <si>
    <t>may</t>
  </si>
  <si>
    <t>jun</t>
  </si>
  <si>
    <t>jul</t>
  </si>
  <si>
    <t>ago</t>
  </si>
  <si>
    <t>sep</t>
  </si>
  <si>
    <t>oct</t>
  </si>
  <si>
    <t>nov</t>
  </si>
  <si>
    <t>dic</t>
  </si>
  <si>
    <t>ene-dic</t>
  </si>
  <si>
    <t>Reino Unido</t>
  </si>
  <si>
    <t>Suecia</t>
  </si>
  <si>
    <t>Otros</t>
  </si>
  <si>
    <t xml:space="preserve">Total </t>
  </si>
  <si>
    <t>Total general</t>
  </si>
  <si>
    <t>Cumbaya</t>
  </si>
  <si>
    <t>Sangolquí</t>
  </si>
  <si>
    <t>Conocoto</t>
  </si>
  <si>
    <t>La Merced</t>
  </si>
  <si>
    <t>Tumbaco</t>
  </si>
  <si>
    <t>Machachi</t>
  </si>
  <si>
    <t>Papallacta</t>
  </si>
  <si>
    <t>Guayllabamba</t>
  </si>
  <si>
    <t>San Rafael</t>
  </si>
  <si>
    <t>Nanegal</t>
  </si>
  <si>
    <t>Cayambe</t>
  </si>
  <si>
    <t>Tababela</t>
  </si>
  <si>
    <t>Yaruquí</t>
  </si>
  <si>
    <t>Amaguaña</t>
  </si>
  <si>
    <t>Continente</t>
  </si>
  <si>
    <t>América</t>
  </si>
  <si>
    <t>Europa</t>
  </si>
  <si>
    <t>Asia</t>
  </si>
  <si>
    <t xml:space="preserve">África </t>
  </si>
  <si>
    <t>Oceanía</t>
  </si>
  <si>
    <t>No informa</t>
  </si>
  <si>
    <t>Gasto promedio del turista durante su estancia en Quito</t>
  </si>
  <si>
    <t xml:space="preserve">Gasto promedio del turista según continente </t>
  </si>
  <si>
    <t xml:space="preserve">Turistas x años </t>
  </si>
  <si>
    <t>Ocio, recreo, vacaciones</t>
  </si>
  <si>
    <t>Visita a familiares o amigos</t>
  </si>
  <si>
    <t>Negocios</t>
  </si>
  <si>
    <t>Reuniones, congresos, conferencias</t>
  </si>
  <si>
    <t>Prestación de servicios profesionales</t>
  </si>
  <si>
    <t>Estudios</t>
  </si>
  <si>
    <t>Eventos deportivos</t>
  </si>
  <si>
    <t>Total, junio 2013</t>
  </si>
  <si>
    <t>Primaria</t>
  </si>
  <si>
    <t>Secundaria</t>
  </si>
  <si>
    <t>Superior</t>
  </si>
  <si>
    <t>Postgrado</t>
  </si>
  <si>
    <t>Total junio 2013</t>
  </si>
  <si>
    <t>Grupo de edad</t>
  </si>
  <si>
    <t xml:space="preserve">Turistas  según motivo principal del viaje </t>
  </si>
  <si>
    <t>Motivo principal del viaje</t>
  </si>
  <si>
    <t>Tratamientos de salud</t>
  </si>
  <si>
    <t>Religión, peregrinaciones</t>
  </si>
  <si>
    <t>Prestación de servcios profesionales</t>
  </si>
  <si>
    <t>Enseñanza y formación</t>
  </si>
  <si>
    <t>Segmento MICE</t>
  </si>
  <si>
    <t xml:space="preserve">Turistas  según razón principal de visita a Quito </t>
  </si>
  <si>
    <t>Tipo de destino</t>
  </si>
  <si>
    <t>Paso obligado por ser puerto de entrada</t>
  </si>
  <si>
    <t>Destino escogido</t>
  </si>
  <si>
    <t>Visitantes (turistas y excursionistas) por medio de información y motivo de viaje</t>
  </si>
  <si>
    <t>Medio de información</t>
  </si>
  <si>
    <t>Internet</t>
  </si>
  <si>
    <t>Documentales</t>
  </si>
  <si>
    <t>Agencias de viajes</t>
  </si>
  <si>
    <t>Eventos internacionales</t>
  </si>
  <si>
    <t>Familiares/amigos</t>
  </si>
  <si>
    <t>Ferias internacionales</t>
  </si>
  <si>
    <t>Revistas internacionales</t>
  </si>
  <si>
    <t>Promociones</t>
  </si>
  <si>
    <t>Forma de viaje</t>
  </si>
  <si>
    <t>Solo</t>
  </si>
  <si>
    <t>Organización del viaje</t>
  </si>
  <si>
    <t xml:space="preserve">Estadía y gasto turístico en la ciudad de Quito, </t>
  </si>
  <si>
    <t>El Quinche</t>
  </si>
  <si>
    <t>Período</t>
  </si>
  <si>
    <t xml:space="preserve">Tasas de variación interanual </t>
  </si>
  <si>
    <t>Tipo de alojamiento</t>
  </si>
  <si>
    <t>Hotel</t>
  </si>
  <si>
    <t>Residencia comunitaria privada</t>
  </si>
  <si>
    <t>Casa de amigos y familiares</t>
  </si>
  <si>
    <t>Vivienda propia</t>
  </si>
  <si>
    <t>Otro</t>
  </si>
  <si>
    <t>Gasto según grupo de bienes y servicios turísticos en Quito</t>
  </si>
  <si>
    <t>Grupo de bienes y servicios</t>
  </si>
  <si>
    <t xml:space="preserve"> junio</t>
  </si>
  <si>
    <t xml:space="preserve"> junio </t>
  </si>
  <si>
    <t>agosto</t>
  </si>
  <si>
    <t xml:space="preserve"> Alimentación</t>
  </si>
  <si>
    <t xml:space="preserve"> Alojamiento</t>
  </si>
  <si>
    <t xml:space="preserve"> Compras de artesanías</t>
  </si>
  <si>
    <t xml:space="preserve"> Diversiones y entretenimiento</t>
  </si>
  <si>
    <t xml:space="preserve"> Taxi en Quito</t>
  </si>
  <si>
    <t xml:space="preserve"> Compras de bienes</t>
  </si>
  <si>
    <t xml:space="preserve"> Transporte aéreo interno</t>
  </si>
  <si>
    <t xml:space="preserve"> Servicios culturales</t>
  </si>
  <si>
    <t xml:space="preserve"> Transporte interprovincial</t>
  </si>
  <si>
    <t xml:space="preserve"> Alquiler de vehículos</t>
  </si>
  <si>
    <t xml:space="preserve"> Otros</t>
  </si>
  <si>
    <t>1. Tasa de ocupación hotelera (TOH) -porcentajes-</t>
  </si>
  <si>
    <t>A.  Por categoría</t>
  </si>
  <si>
    <t>Lujo</t>
  </si>
  <si>
    <t>Primera</t>
  </si>
  <si>
    <t>Segunda</t>
  </si>
  <si>
    <t>Acumulados</t>
  </si>
  <si>
    <t>Categoría</t>
  </si>
  <si>
    <t>jun-dic</t>
  </si>
  <si>
    <t>ene - dic</t>
  </si>
  <si>
    <t>TOTAL</t>
  </si>
  <si>
    <t>Participación 2013</t>
  </si>
  <si>
    <t xml:space="preserve"> de 17 a 30 años</t>
  </si>
  <si>
    <t xml:space="preserve"> de 31 a 45 años</t>
  </si>
  <si>
    <t xml:space="preserve"> de 46 a 60 años</t>
  </si>
  <si>
    <t xml:space="preserve"> de 61 y más años</t>
  </si>
  <si>
    <t xml:space="preserve"> no informa</t>
  </si>
  <si>
    <t>Nivel de Instrucción</t>
  </si>
  <si>
    <t xml:space="preserve">Medio de información </t>
  </si>
  <si>
    <t>Agencias de Viaje</t>
  </si>
  <si>
    <t>Familiares y amigos</t>
  </si>
  <si>
    <t>Agencias de viaje</t>
  </si>
  <si>
    <t>Cuenta Propia</t>
  </si>
  <si>
    <t>Hostal residencia</t>
  </si>
  <si>
    <t xml:space="preserve">Transporte </t>
  </si>
  <si>
    <t>Periodo</t>
  </si>
  <si>
    <t>ene-mar</t>
  </si>
  <si>
    <t>ene-jun</t>
  </si>
  <si>
    <t>Nacionalidad - principales mercados del DMQ</t>
  </si>
  <si>
    <t>Sitios más visitados</t>
  </si>
  <si>
    <t>Turistas</t>
  </si>
  <si>
    <t>Dólares</t>
  </si>
  <si>
    <t>EMPRESA PÚBLICA METROPOLITANA DE GESTIÓN DE DESTINO TURÍSTICO</t>
  </si>
  <si>
    <t>Motivo principal de viaje</t>
  </si>
  <si>
    <t>Tarifa habitación ocupada en el DMQ</t>
  </si>
  <si>
    <t>Estancia promedio en Hoteles del DMQ</t>
  </si>
  <si>
    <t>noches</t>
  </si>
  <si>
    <t>2. Tarifa promedio por habitación ocupada, US dólares</t>
  </si>
  <si>
    <t>A. Por categoría</t>
  </si>
  <si>
    <t>jun.</t>
  </si>
  <si>
    <t>jul.</t>
  </si>
  <si>
    <t>ago.</t>
  </si>
  <si>
    <t>sep.</t>
  </si>
  <si>
    <t>oct.</t>
  </si>
  <si>
    <t>nov.</t>
  </si>
  <si>
    <t>dic.</t>
  </si>
  <si>
    <t>feb.</t>
  </si>
  <si>
    <t>abr.</t>
  </si>
  <si>
    <t>may.</t>
  </si>
  <si>
    <t xml:space="preserve">URBANOS </t>
  </si>
  <si>
    <t>RURALES</t>
  </si>
  <si>
    <t xml:space="preserve">TOTAL </t>
  </si>
  <si>
    <t>Actividades Económicas Turísticas - porcentajes</t>
  </si>
  <si>
    <t xml:space="preserve">ACTIVIDADES </t>
  </si>
  <si>
    <t>total</t>
  </si>
  <si>
    <t>AÑO</t>
  </si>
  <si>
    <t>ALBERGUE</t>
  </si>
  <si>
    <t>HOSTAL</t>
  </si>
  <si>
    <t>Establecimientos Turísticos de Quito - cantidad total -</t>
  </si>
  <si>
    <t xml:space="preserve">A . Por categoría </t>
  </si>
  <si>
    <t>Total residentes</t>
  </si>
  <si>
    <t>Total no residentes</t>
  </si>
  <si>
    <t>Total estancia media</t>
  </si>
  <si>
    <t>Quito</t>
  </si>
  <si>
    <t>Ciudad</t>
  </si>
  <si>
    <t>2013-2014</t>
  </si>
  <si>
    <t>FEB</t>
  </si>
  <si>
    <t>MAR</t>
  </si>
  <si>
    <t>MAY</t>
  </si>
  <si>
    <t>JUN</t>
  </si>
  <si>
    <t>SEP</t>
  </si>
  <si>
    <t>OCT</t>
  </si>
  <si>
    <t>NOV</t>
  </si>
  <si>
    <t>MARISCAL SUCRE INTERNATIONAL AIRPORT</t>
  </si>
  <si>
    <t>ARRIVING PASSENGERS STATISTICS</t>
  </si>
  <si>
    <t>ARRIVING 2003</t>
  </si>
  <si>
    <t>PASSENGER</t>
  </si>
  <si>
    <t>JAN</t>
  </si>
  <si>
    <t>APRIL</t>
  </si>
  <si>
    <t>JULY</t>
  </si>
  <si>
    <t>AUG</t>
  </si>
  <si>
    <t>DEC</t>
  </si>
  <si>
    <t>AVERAGE</t>
  </si>
  <si>
    <t>INTERNATIONAL</t>
  </si>
  <si>
    <t>DOMESTIC</t>
  </si>
  <si>
    <t>Total 2003</t>
  </si>
  <si>
    <t>ARRIVING 2004</t>
  </si>
  <si>
    <t>Total 2004</t>
  </si>
  <si>
    <t>VARIATION 2004-2003</t>
  </si>
  <si>
    <t>ARRIVING 2005</t>
  </si>
  <si>
    <t>TRANSITO DIRECTO</t>
  </si>
  <si>
    <t>Total 2005</t>
  </si>
  <si>
    <t>VARIATION 2005-2004</t>
  </si>
  <si>
    <t>ARRIVING 2006</t>
  </si>
  <si>
    <t>Total 2006</t>
  </si>
  <si>
    <t>VARIATION 2006-2005</t>
  </si>
  <si>
    <t>ARRIVING 2007</t>
  </si>
  <si>
    <t>Total 2007</t>
  </si>
  <si>
    <t>ARRIVING 2008</t>
  </si>
  <si>
    <t>DOMESTIC*</t>
  </si>
  <si>
    <t>Total 2008</t>
  </si>
  <si>
    <t>VARIATION 2008-2007</t>
  </si>
  <si>
    <t>ARRIVING 2009</t>
  </si>
  <si>
    <t>Total 2009</t>
  </si>
  <si>
    <t>VARIATION 2009-2008</t>
  </si>
  <si>
    <t>ARRIVING 2010</t>
  </si>
  <si>
    <t>INTERNATIONAL*</t>
  </si>
  <si>
    <t>Total 2010</t>
  </si>
  <si>
    <t>VARIATION 2010-2009</t>
  </si>
  <si>
    <t>ARRIVING 2011</t>
  </si>
  <si>
    <t>Total 2011</t>
  </si>
  <si>
    <t>VARIATION 2011-2010</t>
  </si>
  <si>
    <t>ARRIVING 2012</t>
  </si>
  <si>
    <t>Total 2012</t>
  </si>
  <si>
    <t>VARIATION 2012-2011</t>
  </si>
  <si>
    <t>ARRIVING 2013</t>
  </si>
  <si>
    <t>Total 2013</t>
  </si>
  <si>
    <t>VARIATION 2013-2012</t>
  </si>
  <si>
    <t>ARRIVING 2014</t>
  </si>
  <si>
    <t>Total 2014</t>
  </si>
  <si>
    <t>VARIATION 2014-2013</t>
  </si>
  <si>
    <t>Llegada de Turistas a Quito</t>
  </si>
  <si>
    <t>ARRIVING 2015</t>
  </si>
  <si>
    <t>Total 2015</t>
  </si>
  <si>
    <t>VARIATION 2015-2014</t>
  </si>
  <si>
    <t>CASINOS Y SALAS DE JUEGO</t>
  </si>
  <si>
    <t>RECREACIÓN DIVERSIÓN Y ESPARCIMIENTO</t>
  </si>
  <si>
    <t>TRANSPORTE TURISTICO</t>
  </si>
  <si>
    <t>APARTAMENTO TURISTICO</t>
  </si>
  <si>
    <t>HOTEL</t>
  </si>
  <si>
    <t>REFUGIO</t>
  </si>
  <si>
    <t>BAR</t>
  </si>
  <si>
    <t>CAFETERÍAS</t>
  </si>
  <si>
    <t>FUENTES DE SODA</t>
  </si>
  <si>
    <t>RESTAURANTE</t>
  </si>
  <si>
    <t xml:space="preserve">ALOJAMIENTO </t>
  </si>
  <si>
    <t>CABAÑAS</t>
  </si>
  <si>
    <t>HOSTALES</t>
  </si>
  <si>
    <t>HOSTERIAS</t>
  </si>
  <si>
    <t>HOTELES</t>
  </si>
  <si>
    <t>MOTELES</t>
  </si>
  <si>
    <t>PENSIONES</t>
  </si>
  <si>
    <t>BOLERA</t>
  </si>
  <si>
    <t>CENTRO DE CONVENCIONES</t>
  </si>
  <si>
    <t>CENTRO DE RECREACIÓN TURISTICA</t>
  </si>
  <si>
    <t>DISCOTECAS</t>
  </si>
  <si>
    <t xml:space="preserve">ORGANIZADORES DE EVENTOS, CONGRESOS Y CONVENCIONES </t>
  </si>
  <si>
    <t>PEÑAS</t>
  </si>
  <si>
    <t>PISTA DE PATINAJE</t>
  </si>
  <si>
    <t>SALAS DE BAILE</t>
  </si>
  <si>
    <t>SALAS DE RECEPCIONES Y BANQUETES</t>
  </si>
  <si>
    <t>TERMAS Y BALNEARIOS</t>
  </si>
  <si>
    <t>DUALIDAD</t>
  </si>
  <si>
    <t>INTERNACIONAL</t>
  </si>
  <si>
    <t>MAYORISTA</t>
  </si>
  <si>
    <t>OPERADORA</t>
  </si>
  <si>
    <t>RENT A CAR</t>
  </si>
  <si>
    <t>TRANSPORTE AEREO</t>
  </si>
  <si>
    <t>CASINOS</t>
  </si>
  <si>
    <t>SALAS DE JUEGO</t>
  </si>
  <si>
    <t>Actividad Económica</t>
  </si>
  <si>
    <t>TIPO</t>
  </si>
  <si>
    <t xml:space="preserve">ALIMENTOS Y BEBIDAS </t>
  </si>
  <si>
    <t>a mayo</t>
  </si>
  <si>
    <t>a junio</t>
  </si>
  <si>
    <t>a julio</t>
  </si>
  <si>
    <t>a agosto</t>
  </si>
  <si>
    <t>a octubre</t>
  </si>
  <si>
    <t xml:space="preserve">a noviembre </t>
  </si>
  <si>
    <t xml:space="preserve">a diciembre </t>
  </si>
  <si>
    <t>a septiembre</t>
  </si>
  <si>
    <t>a abril</t>
  </si>
  <si>
    <t>a marzo</t>
  </si>
  <si>
    <t>a febrero</t>
  </si>
  <si>
    <t>TOH 2015</t>
  </si>
  <si>
    <t>TOH 2014</t>
  </si>
  <si>
    <t>TOH 2013</t>
  </si>
  <si>
    <t>Total Ciudad</t>
  </si>
  <si>
    <t>BOH 109</t>
  </si>
  <si>
    <t>Más turistas periodo</t>
  </si>
  <si>
    <t>2014 Agosto</t>
  </si>
  <si>
    <t xml:space="preserve">2015 (e) </t>
  </si>
  <si>
    <t>en millones</t>
  </si>
  <si>
    <t>2015 Agosto</t>
  </si>
  <si>
    <t>2014 agosto</t>
  </si>
  <si>
    <t>datos de producto SIIT entregado en agosto 2015</t>
  </si>
  <si>
    <t>Estadía y gasto turístico en la ciudad de Quito,  agosto 2014</t>
  </si>
  <si>
    <t>Visitas de turistas a lugares de la ciudad de Quito</t>
  </si>
  <si>
    <t>Visitas de turistas</t>
  </si>
  <si>
    <t>Porcentaje en el total</t>
  </si>
  <si>
    <t>Cumbayá</t>
  </si>
  <si>
    <t>Mindo</t>
  </si>
  <si>
    <t>Lloa</t>
  </si>
  <si>
    <t>Puerto Quito</t>
  </si>
  <si>
    <t>Calderón (Carapungo)</t>
  </si>
  <si>
    <t>Pintag</t>
  </si>
  <si>
    <t>Nayón</t>
  </si>
  <si>
    <t>San Antonio</t>
  </si>
  <si>
    <t xml:space="preserve">Número de  visitas  según parroquia </t>
  </si>
  <si>
    <t xml:space="preserve"> Agosto 2014</t>
  </si>
  <si>
    <t>Parroquia</t>
  </si>
  <si>
    <t>Visitas</t>
  </si>
  <si>
    <t>% en el total</t>
  </si>
  <si>
    <t>Nayon</t>
  </si>
  <si>
    <t>Visitas a otras ciudades del Ecuador</t>
  </si>
  <si>
    <t>Número de visitas, noches de estancia y estancia media en la ciudad indicada</t>
  </si>
  <si>
    <t>Total visitas</t>
  </si>
  <si>
    <t>noches C/ciudad</t>
  </si>
  <si>
    <t>estancia media (noches)</t>
  </si>
  <si>
    <t>Cuenca</t>
  </si>
  <si>
    <t>Ambato</t>
  </si>
  <si>
    <t>Riobamba</t>
  </si>
  <si>
    <t>Latacunga</t>
  </si>
  <si>
    <t>Tena</t>
  </si>
  <si>
    <t>Santa Elena</t>
  </si>
  <si>
    <t>Puerto López</t>
  </si>
  <si>
    <t>Guayaquil</t>
  </si>
  <si>
    <t>Puerto Baquerizo Moreno</t>
  </si>
  <si>
    <t>Esmeraldas</t>
  </si>
  <si>
    <t>Ibarra</t>
  </si>
  <si>
    <t>Puyo</t>
  </si>
  <si>
    <t>Tulcán</t>
  </si>
  <si>
    <t>Otavalo</t>
  </si>
  <si>
    <t>Atacames</t>
  </si>
  <si>
    <t>Manta</t>
  </si>
  <si>
    <t>Alausí</t>
  </si>
  <si>
    <t>Pedernales</t>
  </si>
  <si>
    <t>Machala</t>
  </si>
  <si>
    <t>Guaranda</t>
  </si>
  <si>
    <t>Zamora</t>
  </si>
  <si>
    <t>Azogues</t>
  </si>
  <si>
    <t>Loja</t>
  </si>
  <si>
    <t>Quinsaloma</t>
  </si>
  <si>
    <t>Quevedo</t>
  </si>
  <si>
    <t>Pujilí</t>
  </si>
  <si>
    <t>Montecristi</t>
  </si>
  <si>
    <t>Cotacachi</t>
  </si>
  <si>
    <t>Sucúa</t>
  </si>
  <si>
    <t>La Joya de los Sachas</t>
  </si>
  <si>
    <t>Portoviejo</t>
  </si>
  <si>
    <t>San Vicente</t>
  </si>
  <si>
    <t>Eventos internacionales*/</t>
  </si>
  <si>
    <t>Con Familia</t>
  </si>
  <si>
    <t>Con amigos</t>
  </si>
  <si>
    <t>Ninguno</t>
  </si>
  <si>
    <t xml:space="preserve">2012 junio </t>
  </si>
  <si>
    <t xml:space="preserve">2014 agosto </t>
  </si>
  <si>
    <t>Vivienda privada "hotel" (vía internet)</t>
  </si>
  <si>
    <t>CASA DE HUESPEDES</t>
  </si>
  <si>
    <t>-</t>
  </si>
  <si>
    <t>2015 agosto</t>
  </si>
  <si>
    <t>Fuente: Sistema Institucional de Indicadores Turísticos - 2015: perfil agosto 2015</t>
  </si>
  <si>
    <t>2014-2015</t>
  </si>
  <si>
    <t>Participación 2015</t>
  </si>
  <si>
    <t>Otro lugar</t>
  </si>
  <si>
    <t>Estadía y gasto turístico en la ciudad de Quito,  agosto 2015</t>
  </si>
  <si>
    <t xml:space="preserve">  Agosto  2015</t>
  </si>
  <si>
    <t>Visitas[1]</t>
  </si>
  <si>
    <t>Noches en la cercanía visitada</t>
  </si>
  <si>
    <t>Estancia media en la cercanía, noches[2]</t>
  </si>
  <si>
    <t>Mitad del Mundo</t>
  </si>
  <si>
    <t>Calderón</t>
  </si>
  <si>
    <t>Píntag</t>
  </si>
  <si>
    <t>Pomasqui</t>
  </si>
  <si>
    <t>Pululahua</t>
  </si>
  <si>
    <t>[1] Un turista -durante su estancia en Quito- puede visitar más de una cercanía a la vez</t>
  </si>
  <si>
    <t>[2] Si la estancia media en la cercanía visitada es menor que uno, el valor se aproximó a cero.</t>
  </si>
  <si>
    <t>Agosto. 2015</t>
  </si>
  <si>
    <t>% turistas en el total</t>
  </si>
  <si>
    <t>Otras ciudades</t>
  </si>
  <si>
    <t>Baños de Agua Santa</t>
  </si>
  <si>
    <t xml:space="preserve">Santa Cruz  </t>
  </si>
  <si>
    <t xml:space="preserve">Salinas </t>
  </si>
  <si>
    <t>Santo Domingo de los Colorados</t>
  </si>
  <si>
    <t xml:space="preserve">Lago Agrio </t>
  </si>
  <si>
    <t xml:space="preserve">Cuyabeno </t>
  </si>
  <si>
    <t xml:space="preserve">San Francisco de Orellana </t>
  </si>
  <si>
    <t>Bahía de Caráquez</t>
  </si>
  <si>
    <t>Macas</t>
  </si>
  <si>
    <t xml:space="preserve">Cascales </t>
  </si>
  <si>
    <t xml:space="preserve">Shushufindi </t>
  </si>
  <si>
    <t>Caluma</t>
  </si>
  <si>
    <t>Portovelo</t>
  </si>
  <si>
    <t>San Lorenzo</t>
  </si>
  <si>
    <t>Chone</t>
  </si>
  <si>
    <t>Cañar</t>
  </si>
  <si>
    <t>La Mana</t>
  </si>
  <si>
    <t xml:space="preserve">Salcedo </t>
  </si>
  <si>
    <t xml:space="preserve">Palora </t>
  </si>
  <si>
    <t>Saquisilí</t>
  </si>
  <si>
    <t xml:space="preserve">Catamayo </t>
  </si>
  <si>
    <t>El Carmen</t>
  </si>
  <si>
    <t>Milagro</t>
  </si>
  <si>
    <t>Santa Rosa</t>
  </si>
  <si>
    <t>Pichincha</t>
  </si>
  <si>
    <t xml:space="preserve">San Jacinto </t>
  </si>
  <si>
    <t xml:space="preserve">Arajuno </t>
  </si>
  <si>
    <t xml:space="preserve">El Chaco </t>
  </si>
  <si>
    <t>Babahoyo</t>
  </si>
  <si>
    <t>Huaquillas</t>
  </si>
  <si>
    <t xml:space="preserve">La Concordia </t>
  </si>
  <si>
    <t xml:space="preserve">Putumayo </t>
  </si>
  <si>
    <t>Sigchos</t>
  </si>
  <si>
    <t>Respecto año anterior</t>
  </si>
  <si>
    <t xml:space="preserve">Datos Hoteleros </t>
  </si>
  <si>
    <t xml:space="preserve">residentes y no redidentes </t>
  </si>
  <si>
    <t xml:space="preserve"> Llegadas internacionales</t>
  </si>
  <si>
    <t>meses</t>
  </si>
  <si>
    <t xml:space="preserve">trimestres </t>
  </si>
  <si>
    <t xml:space="preserve">años </t>
  </si>
  <si>
    <t>variable/período</t>
  </si>
  <si>
    <t>nov 2014  - oct 2015</t>
  </si>
  <si>
    <t>abr-jun</t>
  </si>
  <si>
    <t xml:space="preserve">jul-sep </t>
  </si>
  <si>
    <t>oct - dic</t>
  </si>
  <si>
    <t>jul-sep</t>
  </si>
  <si>
    <t>oct-dic</t>
  </si>
  <si>
    <t>abr - jun</t>
  </si>
  <si>
    <t>jul - sep</t>
  </si>
  <si>
    <t>Ecuatorianos</t>
  </si>
  <si>
    <t>Extranjeros</t>
  </si>
  <si>
    <t>TCA:</t>
  </si>
  <si>
    <t>TCA</t>
  </si>
  <si>
    <t>Sexo</t>
  </si>
  <si>
    <t>Mujeres</t>
  </si>
  <si>
    <t>Hombres</t>
  </si>
  <si>
    <t xml:space="preserve"> de 0 a 10 años</t>
  </si>
  <si>
    <t xml:space="preserve"> de 11 a 20 años</t>
  </si>
  <si>
    <t xml:space="preserve"> de 21 a 30 años</t>
  </si>
  <si>
    <t xml:space="preserve"> de 31 a 40 años</t>
  </si>
  <si>
    <t xml:space="preserve"> de 41 a 50 años</t>
  </si>
  <si>
    <t xml:space="preserve"> de 51 a 65 años</t>
  </si>
  <si>
    <t xml:space="preserve"> màs de  65 años</t>
  </si>
  <si>
    <t>Motivo del viaje</t>
  </si>
  <si>
    <t>Turismo</t>
  </si>
  <si>
    <t>Eventos</t>
  </si>
  <si>
    <t>Residencia</t>
  </si>
  <si>
    <t>Variación</t>
  </si>
  <si>
    <t xml:space="preserve">Turistas no residentes </t>
  </si>
  <si>
    <t>PROVINCIA</t>
  </si>
  <si>
    <t>CANTÓN</t>
  </si>
  <si>
    <t>PICHINCHA</t>
  </si>
  <si>
    <t>Tramo de estadía</t>
  </si>
  <si>
    <t>Estancia ciudad, días</t>
  </si>
  <si>
    <t>1EMQT Caracterización del turismo receptor sep 2013 editado.docx</t>
  </si>
  <si>
    <t>Caracterización del turismo 2014 version final.docx</t>
  </si>
  <si>
    <t>Caracterización turista_NR_UIO_N_5_Ago_2015.docx</t>
  </si>
  <si>
    <t>Demanda del gasto... boletin 2012_luneso_01_12 final_REVISADO.docx</t>
  </si>
  <si>
    <t>2009 PERFIL DEL TURISTA receptor en el DMQ.docx</t>
  </si>
  <si>
    <t>El dato de gasto excluye pasajes aéreos</t>
  </si>
  <si>
    <t>Resumen de resultados Encuesta 2008.pdf</t>
  </si>
  <si>
    <t xml:space="preserve"> junio 2008 </t>
  </si>
  <si>
    <t xml:space="preserve"> junio 2009 </t>
  </si>
  <si>
    <t xml:space="preserve"> junio 2010 </t>
  </si>
  <si>
    <t xml:space="preserve"> agosto 2011 </t>
  </si>
  <si>
    <t xml:space="preserve"> junio 2012</t>
  </si>
  <si>
    <t xml:space="preserve"> junio 2013</t>
  </si>
  <si>
    <t xml:space="preserve"> agosto 2014</t>
  </si>
  <si>
    <t xml:space="preserve"> agosto 2015</t>
  </si>
  <si>
    <t>Gasto medio turista, USD</t>
  </si>
  <si>
    <t>Gasto medio diario, USD</t>
  </si>
  <si>
    <t>Más turistas periodo interanual</t>
  </si>
  <si>
    <t>Variación interanual</t>
  </si>
  <si>
    <t>ARRIVING 2016</t>
  </si>
  <si>
    <t>VARIATION 2016-2015</t>
  </si>
  <si>
    <t>TOH - Acumulados anuales</t>
  </si>
  <si>
    <t>% TOH de Alojamiento de Lujo corresponde a 9 establecimientos en ciudad</t>
  </si>
  <si>
    <t>Ingreso de Divisas al DMQ (estimado anual)</t>
  </si>
  <si>
    <t>fuente: BOH 115</t>
  </si>
  <si>
    <t>BOH 115</t>
  </si>
  <si>
    <t>% TOH de Alojamiento de Primera categoría corresponde a 75 establecimientos en ciudad (muestra de análisis 55)</t>
  </si>
  <si>
    <t>Variación anual total</t>
  </si>
  <si>
    <t>Variación domestico anual</t>
  </si>
  <si>
    <t>Variación intern. Anual</t>
  </si>
  <si>
    <t xml:space="preserve">Notas: </t>
  </si>
  <si>
    <t xml:space="preserve">BOH.- Boletín de Ocupación Hotelera </t>
  </si>
  <si>
    <t>La muestra incluye 144 establecimientos (y 18 reemplazos), de las categorías de Lujo, Primera y Segunda. Para las dos primeras categorías se programa un censo y, para los de segunda, una muestra con posibilidad de reemplazo</t>
  </si>
  <si>
    <t>% TOH de Alojamiento de Segunda categoría corresponde a 151 establecimientos en ciudad (muestra de análisis 80)</t>
  </si>
  <si>
    <t>Citas metodológicas:</t>
  </si>
  <si>
    <t>Datos investigados en mes de alta ocupación (una vez al año)</t>
  </si>
  <si>
    <t>Compras</t>
  </si>
  <si>
    <t>Participación 2015 Agosto</t>
  </si>
  <si>
    <t>Participacion agosto 2015</t>
  </si>
  <si>
    <t>Relación 2014-2015</t>
  </si>
  <si>
    <t>Reuniones, congresos, Conferencias</t>
  </si>
  <si>
    <t>Comparativo 2014-2015</t>
  </si>
  <si>
    <t>participación 2015</t>
  </si>
  <si>
    <t>Vivienda rentada</t>
  </si>
  <si>
    <t>Estadía promedio en ciudad del turismo de recreación en estancia corta y media (1 a 15 días)</t>
  </si>
  <si>
    <t>2015-2016</t>
  </si>
  <si>
    <t>TOH 2016</t>
  </si>
  <si>
    <t>a enero</t>
  </si>
  <si>
    <t>x</t>
  </si>
  <si>
    <t>y</t>
  </si>
  <si>
    <t>Año</t>
  </si>
  <si>
    <t>TOH</t>
  </si>
  <si>
    <t>Sxy</t>
  </si>
  <si>
    <t>Sx</t>
  </si>
  <si>
    <t>Sy</t>
  </si>
  <si>
    <t>rxy</t>
  </si>
  <si>
    <t>y=m x + b</t>
  </si>
  <si>
    <t>x2</t>
  </si>
  <si>
    <t>xy</t>
  </si>
  <si>
    <t>b=</t>
  </si>
  <si>
    <t>m=</t>
  </si>
  <si>
    <t>mar.</t>
  </si>
  <si>
    <t>Proyección al 2021 (número de turistas)</t>
  </si>
  <si>
    <t>Visita a familiares o amigos; Ocio, recreo, vacaciones; Negocios</t>
  </si>
  <si>
    <t xml:space="preserve">TOH - Tasa de ocupación hotelera recogida de datos en hoteles de lujo; de primera y de segunda categoría en la ciudad de Quito </t>
  </si>
  <si>
    <t>participacion 2015</t>
  </si>
  <si>
    <t>participacion 2016</t>
  </si>
  <si>
    <t>Establecimientos Turísticos de Quito - total urbanos y rurales</t>
  </si>
  <si>
    <t>Servicio Nacional</t>
  </si>
  <si>
    <t>Línea de Transporte Aéreo</t>
  </si>
  <si>
    <t>Transporte Turistico</t>
  </si>
  <si>
    <t>Internacional Operante en el País - Nacional</t>
  </si>
  <si>
    <t>Internacional Operante en el País - Latinoamérica</t>
  </si>
  <si>
    <t>Internacional Operante en el País - Europa, Asia, Norte América</t>
  </si>
  <si>
    <t>Internacional No Operante en el País - Oficinas de venta</t>
  </si>
  <si>
    <t>Transporte Terrestre Turístico</t>
  </si>
  <si>
    <t>Empresa de Transporte Terrestre</t>
  </si>
  <si>
    <t>Alquiler de Automóviles</t>
  </si>
  <si>
    <t>TRANSPORTE TERRESTRE Turístico</t>
  </si>
  <si>
    <t>Suma de 2015</t>
  </si>
  <si>
    <t>Suma de 2016</t>
  </si>
  <si>
    <t>(Todas)</t>
  </si>
  <si>
    <t>Dato al 08dic2015</t>
  </si>
  <si>
    <t>Total 2016</t>
  </si>
  <si>
    <t xml:space="preserve">Segunda </t>
  </si>
  <si>
    <t>Fuente: Sistema Institucional de Indicadores Turísticos - 2015: perfil agosto 2015.- turismo de negocios y recreacion ago 2015.xlsx</t>
  </si>
  <si>
    <t>Verificar total UIO Turistas</t>
  </si>
  <si>
    <t xml:space="preserve">2015 agosto </t>
  </si>
  <si>
    <t>Total 2017</t>
  </si>
  <si>
    <t>VARIATION 2017-2016</t>
  </si>
  <si>
    <t>NOTE:</t>
  </si>
  <si>
    <t>ARRIVING 2017</t>
  </si>
  <si>
    <t>Participación mes 2017</t>
  </si>
  <si>
    <t>2016-2017</t>
  </si>
  <si>
    <t>estimado</t>
  </si>
  <si>
    <t>TOH 2017</t>
  </si>
  <si>
    <t xml:space="preserve">2017 (e) </t>
  </si>
  <si>
    <t>Fuente: BOH 127 datos a dic 2016</t>
  </si>
  <si>
    <t>BOH 127 datos a dic 2016</t>
  </si>
  <si>
    <t>BOH 127</t>
  </si>
  <si>
    <t>Unidad</t>
  </si>
  <si>
    <t>Estados Unidos, Colombia, Ecuador (no residentes), España, Canadá, Alemania, Argentina, Perú, Reino Unido, Francia, México, Chile, Brasil, Italia</t>
  </si>
  <si>
    <t>anual</t>
  </si>
  <si>
    <t>Total anual</t>
  </si>
  <si>
    <t>C</t>
  </si>
  <si>
    <t>Centro histórico</t>
  </si>
  <si>
    <t>La Floresta</t>
  </si>
  <si>
    <t>Participación 2017</t>
  </si>
  <si>
    <t>$ - Estadía</t>
  </si>
  <si>
    <t>$ - diario</t>
  </si>
  <si>
    <t>Estancia media hotelera DMQ (noches)</t>
  </si>
  <si>
    <t>Tasa de ocupación hotelera (TOH) - (%)</t>
  </si>
  <si>
    <t>Llegadas internacionales de turistas no residentes (#)</t>
  </si>
  <si>
    <t>Estancia ciudad (días)</t>
  </si>
  <si>
    <t>Gasto medio turista (USD)</t>
  </si>
  <si>
    <t>Gasto medio diario (USD)</t>
  </si>
  <si>
    <t>Número</t>
  </si>
  <si>
    <t>BOH 128</t>
  </si>
  <si>
    <t>Variación 2016-2017</t>
  </si>
  <si>
    <t>Fuente: Sistema Institucional de Indicadores Turísticos - 2016 - 2017</t>
  </si>
  <si>
    <t>META MC: 650,000</t>
  </si>
  <si>
    <t>CIUDAD</t>
  </si>
  <si>
    <t>NUMERO DE EVENTOS</t>
  </si>
  <si>
    <t>Buenos Aires</t>
  </si>
  <si>
    <t>Lima</t>
  </si>
  <si>
    <t>Santiago de Chile</t>
  </si>
  <si>
    <t>Sao Paulo</t>
  </si>
  <si>
    <t>Montevideo</t>
  </si>
  <si>
    <t>Rio de Janeiro</t>
  </si>
  <si>
    <t>Bogotá</t>
  </si>
  <si>
    <t>Medellin</t>
  </si>
  <si>
    <t>Cartagena</t>
  </si>
  <si>
    <t>México City</t>
  </si>
  <si>
    <t>Medellín</t>
  </si>
  <si>
    <t>San José Costa Rica</t>
  </si>
  <si>
    <t>PAIS</t>
  </si>
  <si>
    <t>Mexico </t>
  </si>
  <si>
    <t>Chile </t>
  </si>
  <si>
    <t>Panama</t>
  </si>
  <si>
    <t>Republica Dominicana</t>
  </si>
  <si>
    <t>Costa Rica </t>
  </si>
  <si>
    <t>Visitas de turistas a lugares del centro histórico de  la ciudad de Quito</t>
  </si>
  <si>
    <t xml:space="preserve">  Agosto  2014</t>
  </si>
  <si>
    <t xml:space="preserve"> Diciembre 2016</t>
  </si>
  <si>
    <t>Lugar visitado en Quito</t>
  </si>
  <si>
    <t xml:space="preserve">Total visitas </t>
  </si>
  <si>
    <t>CENTRO HISTÓRICO</t>
  </si>
  <si>
    <t>El Panecillo</t>
  </si>
  <si>
    <t>La Ronda</t>
  </si>
  <si>
    <t>Compañía de Jesús</t>
  </si>
  <si>
    <t>Plaza Independencia</t>
  </si>
  <si>
    <t>La Catedral</t>
  </si>
  <si>
    <t>La Basílica</t>
  </si>
  <si>
    <t>San Francisco</t>
  </si>
  <si>
    <t>La Basilica</t>
  </si>
  <si>
    <t>Teleférico</t>
  </si>
  <si>
    <t>Plaza de la Independencia incluye Palacio de Carondelet</t>
  </si>
  <si>
    <t>Casco colonial</t>
  </si>
  <si>
    <t>Museo de la Ciudad</t>
  </si>
  <si>
    <t>Quicentro norte</t>
  </si>
  <si>
    <t>Plaza Foch - zona rosa</t>
  </si>
  <si>
    <t>Plaza S. Francisco</t>
  </si>
  <si>
    <t>Plaza de la Independencia / Palacio de Carondelet</t>
  </si>
  <si>
    <t>La Carolina</t>
  </si>
  <si>
    <t>Plaza Sto. Domingo</t>
  </si>
  <si>
    <t>Museo del agua</t>
  </si>
  <si>
    <t>La Mariscal</t>
  </si>
  <si>
    <t>Museo Cera</t>
  </si>
  <si>
    <t>Museo de cera</t>
  </si>
  <si>
    <t>Mercado artesanal</t>
  </si>
  <si>
    <t>Museo BCE</t>
  </si>
  <si>
    <t>Museo del Banco Central del Ecuador</t>
  </si>
  <si>
    <t>Plaza del Teatro</t>
  </si>
  <si>
    <t>Museo de la ciudad</t>
  </si>
  <si>
    <t>Sto. Domingo</t>
  </si>
  <si>
    <t>LA MARISCAL</t>
  </si>
  <si>
    <t>Teatro Sucre</t>
  </si>
  <si>
    <t>Museo Guayasamin / Capilla del Hombre</t>
  </si>
  <si>
    <t>El Carmen Alto</t>
  </si>
  <si>
    <t>Plaza Foch - Zona rosa</t>
  </si>
  <si>
    <t>Cima de la Libertad</t>
  </si>
  <si>
    <t>Guápulo</t>
  </si>
  <si>
    <t>San Agustín</t>
  </si>
  <si>
    <t>Itchimbia</t>
  </si>
  <si>
    <t>El Ejido</t>
  </si>
  <si>
    <t>LOS MIRADORES</t>
  </si>
  <si>
    <t>Ruco Pichincha</t>
  </si>
  <si>
    <t>Itchimbía/Palacio de Cristal</t>
  </si>
  <si>
    <t>Cima de La Libertad</t>
  </si>
  <si>
    <t>Museo agua</t>
  </si>
  <si>
    <t>Cines</t>
  </si>
  <si>
    <t>El Norte</t>
  </si>
  <si>
    <t>IGLESIAS, MUSEOS, TEATROS</t>
  </si>
  <si>
    <t>Casinos</t>
  </si>
  <si>
    <t>Ipiales</t>
  </si>
  <si>
    <t>Iglesias</t>
  </si>
  <si>
    <t>Jardín Botánico</t>
  </si>
  <si>
    <t>Museos</t>
  </si>
  <si>
    <t>Museo Guayasamin</t>
  </si>
  <si>
    <t>La Capilla del Hombre</t>
  </si>
  <si>
    <t>Casa de la Cultura</t>
  </si>
  <si>
    <t>Museo Guayasamín / Capilla del Hombre</t>
  </si>
  <si>
    <t>Teatros</t>
  </si>
  <si>
    <t>Otros museos</t>
  </si>
  <si>
    <t>Otras iglesias</t>
  </si>
  <si>
    <t>PARQUES</t>
  </si>
  <si>
    <t>Parques</t>
  </si>
  <si>
    <t>Intiñán</t>
  </si>
  <si>
    <t>Unasur</t>
  </si>
  <si>
    <t>El Condado</t>
  </si>
  <si>
    <t>Quicentro sur</t>
  </si>
  <si>
    <t>CENTROS COMERCIALES</t>
  </si>
  <si>
    <t>El Recreo</t>
  </si>
  <si>
    <t>Centros comerciales</t>
  </si>
  <si>
    <t>Parque Metropolitano</t>
  </si>
  <si>
    <t>El Jardín</t>
  </si>
  <si>
    <t>Quicentro</t>
  </si>
  <si>
    <t>Otros parque y plazas</t>
  </si>
  <si>
    <t>Iñaquito</t>
  </si>
  <si>
    <t>Villaflora</t>
  </si>
  <si>
    <t>CCI</t>
  </si>
  <si>
    <t>CENTROS DEPORTIVOS</t>
  </si>
  <si>
    <t>San Marcos</t>
  </si>
  <si>
    <t>BARRIOS TRADICIONALES</t>
  </si>
  <si>
    <t>Estadio Atahualpa</t>
  </si>
  <si>
    <t>El Bosque</t>
  </si>
  <si>
    <t>Coliseo Rumiñahui</t>
  </si>
  <si>
    <t>Estadio de Liga</t>
  </si>
  <si>
    <t>Otros centros deportivos</t>
  </si>
  <si>
    <t>Estadio La liga</t>
  </si>
  <si>
    <t>Restaurantes</t>
  </si>
  <si>
    <t>Otros barrios</t>
  </si>
  <si>
    <t>OTROS LUGARES NE</t>
  </si>
  <si>
    <t xml:space="preserve">Total visitas realizadas </t>
  </si>
  <si>
    <t>Museo del Agua</t>
  </si>
  <si>
    <t>Museo de Cera</t>
  </si>
  <si>
    <t>Número de  visitas y estancia media en parroquias:  turistas, noches por llegada a parroquias</t>
  </si>
  <si>
    <t>Visitas de turistas a parroquias [1]</t>
  </si>
  <si>
    <t>Noches en parroquias</t>
  </si>
  <si>
    <t>Estancia media          (noches por llegada a parroquias)</t>
  </si>
  <si>
    <t>Calacali</t>
  </si>
  <si>
    <t>Mariscal Sucre</t>
  </si>
  <si>
    <t>Pedro Vicente Maldonado</t>
  </si>
  <si>
    <t>Nanegalito</t>
  </si>
  <si>
    <t>Pifo</t>
  </si>
  <si>
    <t>San Miguel de Los Bancos</t>
  </si>
  <si>
    <t>Puembo</t>
  </si>
  <si>
    <t>Alangasí</t>
  </si>
  <si>
    <t>BOH 129</t>
  </si>
  <si>
    <t>ajustado 13jun2017</t>
  </si>
  <si>
    <t>Indicadores hoteleros BOG - UIO_N_15___ (2).xlsx</t>
  </si>
  <si>
    <t>Caracterización del turismo receptor en el DMQ, N° 6   Dic. 2016    P. 16</t>
  </si>
  <si>
    <t>Archivo: Perfil turista no residente  Quito 2016 final.docx</t>
  </si>
  <si>
    <t>Investigación de EGM realizada en enero 2017  (a  500 turistas)</t>
  </si>
  <si>
    <t xml:space="preserve"> diciembre 2016</t>
  </si>
  <si>
    <t xml:space="preserve"> enero 2017 (e) </t>
  </si>
  <si>
    <t>2016 Diciembre</t>
  </si>
  <si>
    <t>Fuente: Sistema Institucional de Indicadores Turísticos - 2016-2017: perfil diciembre 2016</t>
  </si>
  <si>
    <t>CHQ</t>
  </si>
  <si>
    <t>META MC 2018: 670,000</t>
  </si>
  <si>
    <t>Noroccidente</t>
  </si>
  <si>
    <t>% participación anual CHQ</t>
  </si>
  <si>
    <t>% participación anual Mariscal</t>
  </si>
  <si>
    <t>2014 AGOSTO</t>
  </si>
  <si>
    <t>2015 AGOSTO</t>
  </si>
  <si>
    <t>2016 DIC</t>
  </si>
  <si>
    <t>% participación anual Noroccidente</t>
  </si>
  <si>
    <r>
      <t xml:space="preserve">TURISTAS </t>
    </r>
    <r>
      <rPr>
        <sz val="11"/>
        <color rgb="FF0070C0"/>
        <rFont val="Calibri"/>
        <family val="2"/>
        <scheme val="minor"/>
      </rPr>
      <t>ESTIMADOS</t>
    </r>
    <r>
      <rPr>
        <sz val="11"/>
        <color theme="1"/>
        <rFont val="Calibri"/>
        <family val="2"/>
        <scheme val="minor"/>
      </rPr>
      <t xml:space="preserve"> EN EL CENTRO HISTÓRICO DE QUITO, EN LA MARISCAL Y EN NOROCCIDENTE (NANEGAL - NANEGALITO)- basado en estudio de gasto y perfil del turista en un mes de alta ocupación por año</t>
    </r>
  </si>
  <si>
    <t>jul 2016 - jun 2017</t>
  </si>
  <si>
    <t>TOH 2012</t>
  </si>
  <si>
    <t>TOH 2011</t>
  </si>
  <si>
    <t>TOH 2010</t>
  </si>
  <si>
    <t>TOH 2009</t>
  </si>
  <si>
    <t>TOH 2008</t>
  </si>
  <si>
    <t>TOH 2007</t>
  </si>
  <si>
    <t>TOH 2006</t>
  </si>
  <si>
    <t>Variación anual</t>
  </si>
  <si>
    <t>LODGE</t>
  </si>
  <si>
    <t>HACIENDA TURISTICA</t>
  </si>
  <si>
    <t>CAMPAMENTO TURISTICO</t>
  </si>
  <si>
    <t>Suma de 2017</t>
  </si>
  <si>
    <t>dato DIC 2017. Dir de Calidad</t>
  </si>
  <si>
    <t>participacion 2017</t>
  </si>
  <si>
    <t>5 ESTRELLAS</t>
  </si>
  <si>
    <t>4 ESTRELLAS</t>
  </si>
  <si>
    <t>2 ESTRELLAS</t>
  </si>
  <si>
    <t>3 ESTRELLAS</t>
  </si>
  <si>
    <t>OPERACIÓN E INTERMEDIACIÓN TUR (AGENCIA DE VIAJES Y TURISMO)</t>
  </si>
  <si>
    <t>Tipo</t>
  </si>
  <si>
    <t>M1-MARISCAL 1</t>
  </si>
  <si>
    <t>QUITO</t>
  </si>
  <si>
    <t>S1-SUR</t>
  </si>
  <si>
    <t>CH-CENTRO HISTORICO</t>
  </si>
  <si>
    <t>N1-NORTE</t>
  </si>
  <si>
    <t>MCN-MARISCAL CENTRO NORTE</t>
  </si>
  <si>
    <t>N3-NORTE</t>
  </si>
  <si>
    <t>C-CENTRO</t>
  </si>
  <si>
    <t>M2-MARISCAL 2</t>
  </si>
  <si>
    <t>S2-SUR</t>
  </si>
  <si>
    <t>LA FLORESTA</t>
  </si>
  <si>
    <t>M3-MARISCAL 3</t>
  </si>
  <si>
    <t>N2-NORTE</t>
  </si>
  <si>
    <t>VCH-LOS CHILLOS</t>
  </si>
  <si>
    <t>VT-TUMBACO</t>
  </si>
  <si>
    <t>ALOJAMIENTO</t>
  </si>
  <si>
    <t>CASA DE HUÉSPEDES</t>
  </si>
  <si>
    <t>HOSTERÍA</t>
  </si>
  <si>
    <t>CAMPAMENTO TURÍSTICO</t>
  </si>
  <si>
    <t>HACIENDA TURÍSTICA</t>
  </si>
  <si>
    <t>Participación mes 2018</t>
  </si>
  <si>
    <t>VALOR AGREGADO BRUTO CANTON QUITO</t>
  </si>
  <si>
    <t>Miles de dólares corrientes</t>
  </si>
  <si>
    <t>Agricultura, ganadería, silvicultura y pesca</t>
  </si>
  <si>
    <t>Explotación de minas y canteras</t>
  </si>
  <si>
    <t xml:space="preserve">Manufactura
</t>
  </si>
  <si>
    <t>Suministro de electricidad y de agua</t>
  </si>
  <si>
    <t xml:space="preserve">Construcción
</t>
  </si>
  <si>
    <t xml:space="preserve">Comercio 
</t>
  </si>
  <si>
    <t>Actividades de alojamiento y de comidas</t>
  </si>
  <si>
    <t>Transporte, información y comunicaciones</t>
  </si>
  <si>
    <t xml:space="preserve">Actividades financieras
</t>
  </si>
  <si>
    <t>Actividades profesionales e inmobiliarias</t>
  </si>
  <si>
    <t xml:space="preserve">Administración pública 
</t>
  </si>
  <si>
    <t xml:space="preserve">Enseñanza
</t>
  </si>
  <si>
    <t xml:space="preserve">Salud
</t>
  </si>
  <si>
    <t xml:space="preserve">Otros servicios
</t>
  </si>
  <si>
    <t xml:space="preserve">ECONOMÍA TOTAL
</t>
  </si>
  <si>
    <t>% PARTICIPACIÓN DE TURISMO</t>
  </si>
  <si>
    <t>ESTADO</t>
  </si>
  <si>
    <t>DEFINITIVO</t>
  </si>
  <si>
    <t>PROVISIONAL</t>
  </si>
  <si>
    <t>VAB TURISMO (miles USD)</t>
  </si>
  <si>
    <t>VAB QUITO (miles USD)</t>
  </si>
  <si>
    <t>PARTICIPACIÓN TURISMO</t>
  </si>
  <si>
    <t>ESTIMADO</t>
  </si>
  <si>
    <t xml:space="preserve">2018 (e) </t>
  </si>
  <si>
    <t>Cumplimiento MC</t>
  </si>
  <si>
    <t xml:space="preserve">Variación </t>
  </si>
  <si>
    <t>% participación anual Mitad del Mundo</t>
  </si>
  <si>
    <t>ARRIVING 2018</t>
  </si>
  <si>
    <t>Total 2018</t>
  </si>
  <si>
    <t>VARIATION 2018-2017</t>
  </si>
  <si>
    <t>Participacion 2016</t>
  </si>
  <si>
    <t>2017 ENE</t>
  </si>
  <si>
    <t>Sitios más visitados en el DMQ</t>
  </si>
  <si>
    <t>https://www.google.com/maps/d/viewer?mid=1m6QlLr6r7xJkUbefu-SPxMqY2IzFPcNU&amp;ll=-0.17656373534363062%2C-78.3254002070313&amp;z=11</t>
  </si>
  <si>
    <t>La Mariscal (en su conjunto)</t>
  </si>
  <si>
    <t>Centro histórico (en su conjunto)</t>
  </si>
  <si>
    <r>
      <t xml:space="preserve"># visitantes no residentes  2017
</t>
    </r>
    <r>
      <rPr>
        <sz val="6"/>
        <color indexed="8"/>
        <rFont val="Arial"/>
        <family val="2"/>
      </rPr>
      <t>(de acuerdo a datos de llegadas 2017 - 652,912 turistas) 
(datos estimados)</t>
    </r>
  </si>
  <si>
    <t>Porcentaje en el total
(%)</t>
  </si>
  <si>
    <t>SITIO</t>
  </si>
  <si>
    <t>(%)</t>
  </si>
  <si>
    <t>Estadía y gasto turístico en la ciudad de Quito</t>
  </si>
  <si>
    <t xml:space="preserve"># estimado 2017 de visitantes no residentes </t>
  </si>
  <si>
    <t xml:space="preserve"> Datos de Diciembre 2016</t>
  </si>
  <si>
    <t xml:space="preserve"> Datos de Agosto 2015</t>
  </si>
  <si>
    <t>2019 (e)</t>
  </si>
  <si>
    <t>2022 (e)</t>
  </si>
  <si>
    <t>2023 (e)</t>
  </si>
  <si>
    <t>2024 (e)</t>
  </si>
  <si>
    <t>2025 (e)</t>
  </si>
  <si>
    <t>2017-2018</t>
  </si>
  <si>
    <t>Mes de alta demanda</t>
  </si>
  <si>
    <t>10 meses de muy alta demana histórica</t>
  </si>
  <si>
    <t>Datos estimados</t>
  </si>
  <si>
    <t>ajustado 19JUN2018</t>
  </si>
  <si>
    <t>Clave</t>
  </si>
  <si>
    <t>2017 (estimado) total</t>
  </si>
  <si>
    <t>2018 (estimado) total</t>
  </si>
  <si>
    <t>DOMESTICO</t>
  </si>
  <si>
    <t xml:space="preserve">(e) </t>
  </si>
  <si>
    <t xml:space="preserve">Ciudad / Acumulados </t>
  </si>
  <si>
    <t>BOGOTA</t>
  </si>
  <si>
    <t>http://www.bogotaturismo.gov.co/sites/default/files/observatorio/Hoteles_2010/resultados_estancia.htm</t>
  </si>
  <si>
    <t xml:space="preserve">BARCELONA </t>
  </si>
  <si>
    <t xml:space="preserve">SANTIAGO </t>
  </si>
  <si>
    <t>http://www.ine.cl/docs/default-source/econ%C3%B3micas/informe-anual-emat-2015.pdf?sfvrsn=2</t>
  </si>
  <si>
    <t>Mintur: http://servicios.turismo.gob.ec/index.php/turismo-cifras/2018-09-18-21-11-17/indicadores-de-alojamiento</t>
  </si>
  <si>
    <t>Mintur</t>
  </si>
  <si>
    <t xml:space="preserve">http://servicios.turismo.gob.ec/index.php/turismo-cifras/2018-09-18-21-11-17/indicadores-de-alojamiento </t>
  </si>
  <si>
    <t>TOTAL ciudad</t>
  </si>
  <si>
    <t>MADRID</t>
  </si>
  <si>
    <t>http://www.ine.es/jaxiT3/Datos.htm?t=2065</t>
  </si>
  <si>
    <t>https://www.inei.gob.pe/estadisticas/indice-tematico/tourism1/</t>
  </si>
  <si>
    <t>Fuentes:</t>
  </si>
  <si>
    <t>PERU</t>
  </si>
  <si>
    <t>Plazas</t>
  </si>
  <si>
    <t>Hab</t>
  </si>
  <si>
    <t>Estimado</t>
  </si>
  <si>
    <t>Variación (e) 2016-2018</t>
  </si>
  <si>
    <t xml:space="preserve">2019 (e) </t>
  </si>
  <si>
    <t>Metas Mi Ciudad 2019</t>
  </si>
  <si>
    <t>Fuente datos 2019</t>
  </si>
  <si>
    <t>Variación 
2017-2018</t>
  </si>
  <si>
    <t>Variación  2018-2019</t>
  </si>
  <si>
    <t>Participación 2018</t>
  </si>
  <si>
    <t>2018-2019</t>
  </si>
  <si>
    <t>2019-2020</t>
  </si>
  <si>
    <t>2020-2021</t>
  </si>
  <si>
    <t>2021-2022</t>
  </si>
  <si>
    <t>2022-2023</t>
  </si>
  <si>
    <t>2023-2024</t>
  </si>
  <si>
    <t>2024-2025</t>
  </si>
  <si>
    <t>Fuente: Sistema Institucional de Indicadores Turísticos - 2008-2018</t>
  </si>
  <si>
    <t>Gasto promedio Total</t>
  </si>
  <si>
    <t>Gasto promedio total * # turistas</t>
  </si>
  <si>
    <t>Dato 16ene2019 Dir. Calidad email</t>
  </si>
  <si>
    <t>Suma de 2018</t>
  </si>
  <si>
    <t>mapas de planta turística:</t>
  </si>
  <si>
    <t>participacion 2018</t>
  </si>
  <si>
    <t>Internacional No Operante en el País - Oficinas de representación o información</t>
  </si>
  <si>
    <t>Funiculares o Teleféricos por cabinas</t>
  </si>
  <si>
    <t>Transporte Turístico en el DMQ</t>
  </si>
  <si>
    <t>Actividades Económicas Turísticas en el DMQ</t>
  </si>
  <si>
    <t>Establecimientos Turísticos en el DMQ - totales</t>
  </si>
  <si>
    <t>Capacidad Hotelera por categorias</t>
  </si>
  <si>
    <t>Capacidad Hotelera por Sectores DMQ</t>
  </si>
  <si>
    <t>Capacidad Hotelera que pagan TASA de FACILIDADES TURISTICAS por categorias</t>
  </si>
  <si>
    <t>Capacidad HABITACIONES
 total en el DMQ</t>
  </si>
  <si>
    <t>Capacidad PLAZAS
 total en el DMQ</t>
  </si>
  <si>
    <t>Datos hoteleros del DMQ</t>
  </si>
  <si>
    <t>Sistema Institucional de Indicadores Turísticos
SIIT</t>
  </si>
  <si>
    <t>fuente:34 IAH nov</t>
  </si>
  <si>
    <r>
      <t xml:space="preserve">Lujo </t>
    </r>
    <r>
      <rPr>
        <b/>
        <sz val="8"/>
        <rFont val="Calibri"/>
        <family val="2"/>
        <scheme val="minor"/>
      </rPr>
      <t>dato HQM: fuente:34 IAH nov</t>
    </r>
  </si>
  <si>
    <t>Mintur, HQM y estimado</t>
  </si>
  <si>
    <t>Mintur ene-oct; HQM a nov y estimado</t>
  </si>
  <si>
    <t>Fuente: Sistema Institucional de Indicadores Turísticos - Quito Turismo</t>
  </si>
  <si>
    <t>5 estrellas - Lujo</t>
  </si>
  <si>
    <t>4 Estrellas - Primera</t>
  </si>
  <si>
    <t>3 Estrellas - Segunda</t>
  </si>
  <si>
    <t>5 Estrellas -  Mintur</t>
  </si>
  <si>
    <r>
      <t xml:space="preserve">5 Estrellas - </t>
    </r>
    <r>
      <rPr>
        <b/>
        <sz val="8"/>
        <rFont val="Calibri"/>
        <family val="2"/>
        <scheme val="minor"/>
      </rPr>
      <t>dato HQM</t>
    </r>
  </si>
  <si>
    <t>4 estrellas - Mintur - Primera</t>
  </si>
  <si>
    <t xml:space="preserve">3 estrellas - Mintur - Segunda </t>
  </si>
  <si>
    <t>4 estrellas - SIIT - Mintur - Primera</t>
  </si>
  <si>
    <t xml:space="preserve">3 estrellas - SIIT - Mintur - Segunda </t>
  </si>
  <si>
    <t>promedio 5 estrellas</t>
  </si>
  <si>
    <t>ECUADOR</t>
  </si>
  <si>
    <t>Población</t>
  </si>
  <si>
    <t>Empleo Turístico</t>
  </si>
  <si>
    <t>Kilómetros cuadrados zona urbana DMQ</t>
  </si>
  <si>
    <t>SNAP - Sistema Nacional de Areas Protegidas</t>
  </si>
  <si>
    <t>Superficie Total</t>
  </si>
  <si>
    <t>Areas protegidas en el DMQ</t>
  </si>
  <si>
    <t>SISTEMA NACIONAL DE ÁREAS NATURALES PROTEGIDAS DEL ECUADOR</t>
  </si>
  <si>
    <r>
      <t>1.</t>
    </r>
    <r>
      <rPr>
        <sz val="7"/>
        <color rgb="FF373737"/>
        <rFont val="Times New Roman"/>
        <family val="1"/>
      </rPr>
      <t xml:space="preserve">     </t>
    </r>
    <r>
      <rPr>
        <sz val="12"/>
        <color rgb="FF373737"/>
        <rFont val="Calibri"/>
        <family val="2"/>
        <scheme val="minor"/>
      </rPr>
      <t>Parque Nacional Cajas</t>
    </r>
  </si>
  <si>
    <r>
      <t>2.</t>
    </r>
    <r>
      <rPr>
        <sz val="7"/>
        <color rgb="FF373737"/>
        <rFont val="Times New Roman"/>
        <family val="1"/>
      </rPr>
      <t xml:space="preserve">     </t>
    </r>
    <r>
      <rPr>
        <sz val="12"/>
        <color rgb="FF373737"/>
        <rFont val="Calibri"/>
        <family val="2"/>
        <scheme val="minor"/>
      </rPr>
      <t>Parque Nacional Cotopaxi</t>
    </r>
  </si>
  <si>
    <r>
      <t>3.</t>
    </r>
    <r>
      <rPr>
        <sz val="7"/>
        <color rgb="FF373737"/>
        <rFont val="Times New Roman"/>
        <family val="1"/>
      </rPr>
      <t xml:space="preserve">     </t>
    </r>
    <r>
      <rPr>
        <sz val="12"/>
        <color rgb="FF373737"/>
        <rFont val="Calibri"/>
        <family val="2"/>
        <scheme val="minor"/>
      </rPr>
      <t>Parque Nacional Galápagos</t>
    </r>
  </si>
  <si>
    <r>
      <t>4.</t>
    </r>
    <r>
      <rPr>
        <sz val="7"/>
        <color rgb="FF373737"/>
        <rFont val="Times New Roman"/>
        <family val="1"/>
      </rPr>
      <t xml:space="preserve">     </t>
    </r>
    <r>
      <rPr>
        <sz val="12"/>
        <color rgb="FF373737"/>
        <rFont val="Calibri"/>
        <family val="2"/>
        <scheme val="minor"/>
      </rPr>
      <t>Parque Nacional Llanganates</t>
    </r>
  </si>
  <si>
    <r>
      <t>5.</t>
    </r>
    <r>
      <rPr>
        <sz val="7"/>
        <color rgb="FF373737"/>
        <rFont val="Times New Roman"/>
        <family val="1"/>
      </rPr>
      <t xml:space="preserve">     </t>
    </r>
    <r>
      <rPr>
        <sz val="12"/>
        <color rgb="FF373737"/>
        <rFont val="Calibri"/>
        <family val="2"/>
        <scheme val="minor"/>
      </rPr>
      <t>Parque Nacional Machalilla</t>
    </r>
  </si>
  <si>
    <t>6.     Parque Nacional Podocarpus</t>
  </si>
  <si>
    <r>
      <t>7.</t>
    </r>
    <r>
      <rPr>
        <sz val="7"/>
        <color rgb="FF373737"/>
        <rFont val="Times New Roman"/>
        <family val="1"/>
      </rPr>
      <t xml:space="preserve">     </t>
    </r>
    <r>
      <rPr>
        <sz val="12"/>
        <color rgb="FF373737"/>
        <rFont val="Calibri"/>
        <family val="2"/>
        <scheme val="minor"/>
      </rPr>
      <t>Parque Nacional Sangay</t>
    </r>
  </si>
  <si>
    <r>
      <t>8.</t>
    </r>
    <r>
      <rPr>
        <sz val="7"/>
        <color rgb="FF373737"/>
        <rFont val="Times New Roman"/>
        <family val="1"/>
      </rPr>
      <t xml:space="preserve">     </t>
    </r>
    <r>
      <rPr>
        <sz val="12"/>
        <color rgb="FF373737"/>
        <rFont val="Calibri"/>
        <family val="2"/>
        <scheme val="minor"/>
      </rPr>
      <t>Parque Nacional Sumaco Napo Galeras</t>
    </r>
  </si>
  <si>
    <r>
      <t>9.</t>
    </r>
    <r>
      <rPr>
        <sz val="7"/>
        <color rgb="FF373737"/>
        <rFont val="Times New Roman"/>
        <family val="1"/>
      </rPr>
      <t xml:space="preserve">     </t>
    </r>
    <r>
      <rPr>
        <sz val="12"/>
        <color rgb="FF373737"/>
        <rFont val="Calibri"/>
        <family val="2"/>
        <scheme val="minor"/>
      </rPr>
      <t>Parque Nacional Yasuní</t>
    </r>
  </si>
  <si>
    <r>
      <t>10.</t>
    </r>
    <r>
      <rPr>
        <sz val="7"/>
        <color rgb="FF373737"/>
        <rFont val="Times New Roman"/>
        <family val="1"/>
      </rPr>
      <t xml:space="preserve">  </t>
    </r>
    <r>
      <rPr>
        <sz val="12"/>
        <color rgb="FF373737"/>
        <rFont val="Calibri"/>
        <family val="2"/>
        <scheme val="minor"/>
      </rPr>
      <t>Parque Nacional Yacuri</t>
    </r>
  </si>
  <si>
    <r>
      <t>11.</t>
    </r>
    <r>
      <rPr>
        <sz val="7"/>
        <color rgb="FF373737"/>
        <rFont val="Times New Roman"/>
        <family val="1"/>
      </rPr>
      <t xml:space="preserve">  </t>
    </r>
    <r>
      <rPr>
        <sz val="12"/>
        <color rgb="FF373737"/>
        <rFont val="Calibri"/>
        <family val="2"/>
        <scheme val="minor"/>
      </rPr>
      <t>Parque Nacional Cayambe Coca</t>
    </r>
  </si>
  <si>
    <r>
      <t>12.</t>
    </r>
    <r>
      <rPr>
        <sz val="7"/>
        <color rgb="FF373737"/>
        <rFont val="Times New Roman"/>
        <family val="1"/>
      </rPr>
      <t xml:space="preserve">  </t>
    </r>
    <r>
      <rPr>
        <sz val="12"/>
        <color rgb="FF373737"/>
        <rFont val="Calibri"/>
        <family val="2"/>
        <scheme val="minor"/>
      </rPr>
      <t>Reserva Biológica Limoncocha</t>
    </r>
  </si>
  <si>
    <r>
      <t>13.</t>
    </r>
    <r>
      <rPr>
        <sz val="7"/>
        <color rgb="FF373737"/>
        <rFont val="Times New Roman"/>
        <family val="1"/>
      </rPr>
      <t xml:space="preserve">  </t>
    </r>
    <r>
      <rPr>
        <sz val="12"/>
        <color rgb="FF373737"/>
        <rFont val="Calibri"/>
        <family val="2"/>
        <scheme val="minor"/>
      </rPr>
      <t>Reserva Biológica Cerro Plateado</t>
    </r>
  </si>
  <si>
    <r>
      <t>14.</t>
    </r>
    <r>
      <rPr>
        <sz val="7"/>
        <color rgb="FF373737"/>
        <rFont val="Times New Roman"/>
        <family val="1"/>
      </rPr>
      <t xml:space="preserve">  </t>
    </r>
    <r>
      <rPr>
        <sz val="12"/>
        <color rgb="FF373737"/>
        <rFont val="Calibri"/>
        <family val="2"/>
        <scheme val="minor"/>
      </rPr>
      <t>Reserva Marina de Galápagos</t>
    </r>
  </si>
  <si>
    <r>
      <t>15.</t>
    </r>
    <r>
      <rPr>
        <sz val="7"/>
        <color rgb="FF373737"/>
        <rFont val="Times New Roman"/>
        <family val="1"/>
      </rPr>
      <t xml:space="preserve">  </t>
    </r>
    <r>
      <rPr>
        <sz val="12"/>
        <color rgb="FF373737"/>
        <rFont val="Calibri"/>
        <family val="2"/>
        <scheme val="minor"/>
      </rPr>
      <t>Reserva Ecológica Antisana</t>
    </r>
  </si>
  <si>
    <r>
      <t>16.</t>
    </r>
    <r>
      <rPr>
        <sz val="7"/>
        <color rgb="FF373737"/>
        <rFont val="Times New Roman"/>
        <family val="1"/>
      </rPr>
      <t xml:space="preserve">  </t>
    </r>
    <r>
      <rPr>
        <sz val="12"/>
        <color rgb="FF373737"/>
        <rFont val="Calibri"/>
        <family val="2"/>
        <scheme val="minor"/>
      </rPr>
      <t>Reserva Ecológica Arenillas</t>
    </r>
  </si>
  <si>
    <r>
      <t>17.</t>
    </r>
    <r>
      <rPr>
        <sz val="7"/>
        <color rgb="FF373737"/>
        <rFont val="Times New Roman"/>
        <family val="1"/>
      </rPr>
      <t xml:space="preserve">  </t>
    </r>
    <r>
      <rPr>
        <sz val="12"/>
        <color rgb="FF373737"/>
        <rFont val="Calibri"/>
        <family val="2"/>
        <scheme val="minor"/>
      </rPr>
      <t>Reserva Ecológica El Ángel</t>
    </r>
  </si>
  <si>
    <r>
      <t>18.</t>
    </r>
    <r>
      <rPr>
        <sz val="7"/>
        <color rgb="FF373737"/>
        <rFont val="Times New Roman"/>
        <family val="1"/>
      </rPr>
      <t xml:space="preserve">  </t>
    </r>
    <r>
      <rPr>
        <sz val="12"/>
        <color rgb="FF373737"/>
        <rFont val="Calibri"/>
        <family val="2"/>
        <scheme val="minor"/>
      </rPr>
      <t>Reserva Ecológica Cayapas Mataje</t>
    </r>
  </si>
  <si>
    <r>
      <t>19.</t>
    </r>
    <r>
      <rPr>
        <sz val="7"/>
        <color rgb="FF373737"/>
        <rFont val="Times New Roman"/>
        <family val="1"/>
      </rPr>
      <t xml:space="preserve">  </t>
    </r>
    <r>
      <rPr>
        <sz val="12"/>
        <color rgb="FF373737"/>
        <rFont val="Calibri"/>
        <family val="2"/>
        <scheme val="minor"/>
      </rPr>
      <t>Reserva Ecológica Cofán Bermejo</t>
    </r>
  </si>
  <si>
    <r>
      <t>20.</t>
    </r>
    <r>
      <rPr>
        <sz val="7"/>
        <color rgb="FF373737"/>
        <rFont val="Times New Roman"/>
        <family val="1"/>
      </rPr>
      <t xml:space="preserve">  </t>
    </r>
    <r>
      <rPr>
        <sz val="12"/>
        <color rgb="FF373737"/>
        <rFont val="Calibri"/>
        <family val="2"/>
        <scheme val="minor"/>
      </rPr>
      <t>Reserva Ecológica Cotacachi Cayapas</t>
    </r>
  </si>
  <si>
    <r>
      <t>21.</t>
    </r>
    <r>
      <rPr>
        <sz val="7"/>
        <color rgb="FF373737"/>
        <rFont val="Times New Roman"/>
        <family val="1"/>
      </rPr>
      <t xml:space="preserve">  </t>
    </r>
    <r>
      <rPr>
        <sz val="12"/>
        <color rgb="FF373737"/>
        <rFont val="Calibri"/>
        <family val="2"/>
        <scheme val="minor"/>
      </rPr>
      <t>Reserva Ecológica los Illinizas</t>
    </r>
  </si>
  <si>
    <r>
      <t>22.</t>
    </r>
    <r>
      <rPr>
        <sz val="7"/>
        <color rgb="FF373737"/>
        <rFont val="Times New Roman"/>
        <family val="1"/>
      </rPr>
      <t xml:space="preserve">  </t>
    </r>
    <r>
      <rPr>
        <sz val="12"/>
        <color rgb="FF373737"/>
        <rFont val="Calibri"/>
        <family val="2"/>
        <scheme val="minor"/>
      </rPr>
      <t>Reserva Ecológica Mache Chindul</t>
    </r>
  </si>
  <si>
    <r>
      <t>23.</t>
    </r>
    <r>
      <rPr>
        <sz val="7"/>
        <color rgb="FF373737"/>
        <rFont val="Times New Roman"/>
        <family val="1"/>
      </rPr>
      <t xml:space="preserve">  </t>
    </r>
    <r>
      <rPr>
        <sz val="12"/>
        <color rgb="FF373737"/>
        <rFont val="Calibri"/>
        <family val="2"/>
        <scheme val="minor"/>
      </rPr>
      <t>Reserva Ecológica Manglares Churute</t>
    </r>
  </si>
  <si>
    <r>
      <t>24.</t>
    </r>
    <r>
      <rPr>
        <sz val="7"/>
        <color rgb="FF373737"/>
        <rFont val="Times New Roman"/>
        <family val="1"/>
      </rPr>
      <t xml:space="preserve">  </t>
    </r>
    <r>
      <rPr>
        <sz val="12"/>
        <color rgb="FF373737"/>
        <rFont val="Calibri"/>
        <family val="2"/>
        <scheme val="minor"/>
      </rPr>
      <t>Reserva Geobotánica Pululahua</t>
    </r>
  </si>
  <si>
    <r>
      <t>25.</t>
    </r>
    <r>
      <rPr>
        <sz val="7"/>
        <color rgb="FF373737"/>
        <rFont val="Times New Roman"/>
        <family val="1"/>
      </rPr>
      <t xml:space="preserve">  </t>
    </r>
    <r>
      <rPr>
        <sz val="12"/>
        <color rgb="FF373737"/>
        <rFont val="Calibri"/>
        <family val="2"/>
        <scheme val="minor"/>
      </rPr>
      <t>Reserva de Producción de Fauna Chimborazo</t>
    </r>
  </si>
  <si>
    <r>
      <t>26.</t>
    </r>
    <r>
      <rPr>
        <sz val="7"/>
        <color rgb="FF373737"/>
        <rFont val="Times New Roman"/>
        <family val="1"/>
      </rPr>
      <t xml:space="preserve">  </t>
    </r>
    <r>
      <rPr>
        <sz val="12"/>
        <color rgb="FF373737"/>
        <rFont val="Calibri"/>
        <family val="2"/>
        <scheme val="minor"/>
      </rPr>
      <t>Reserva de Producción de Fauna Cuyabeno</t>
    </r>
  </si>
  <si>
    <r>
      <t>27.</t>
    </r>
    <r>
      <rPr>
        <sz val="7"/>
        <color rgb="FF373737"/>
        <rFont val="Times New Roman"/>
        <family val="1"/>
      </rPr>
      <t xml:space="preserve">  </t>
    </r>
    <r>
      <rPr>
        <sz val="12"/>
        <color rgb="FF373737"/>
        <rFont val="Calibri"/>
        <family val="2"/>
        <scheme val="minor"/>
      </rPr>
      <t>Reserva de Producción de Fauna Manglares El Salado</t>
    </r>
  </si>
  <si>
    <r>
      <t>28.</t>
    </r>
    <r>
      <rPr>
        <sz val="7"/>
        <color rgb="FF373737"/>
        <rFont val="Times New Roman"/>
        <family val="1"/>
      </rPr>
      <t xml:space="preserve">  </t>
    </r>
    <r>
      <rPr>
        <sz val="12"/>
        <color rgb="FF373737"/>
        <rFont val="Calibri"/>
        <family val="2"/>
        <scheme val="minor"/>
      </rPr>
      <t>Refugio de Vida Silvestre Pasochoa</t>
    </r>
  </si>
  <si>
    <r>
      <t>29.</t>
    </r>
    <r>
      <rPr>
        <sz val="7"/>
        <color rgb="FF373737"/>
        <rFont val="Times New Roman"/>
        <family val="1"/>
      </rPr>
      <t xml:space="preserve">  </t>
    </r>
    <r>
      <rPr>
        <sz val="12"/>
        <color rgb="FF373737"/>
        <rFont val="Calibri"/>
        <family val="2"/>
        <scheme val="minor"/>
      </rPr>
      <t>Refugio de Vida Silvestre Manglares Estuario Rio Muisne</t>
    </r>
  </si>
  <si>
    <r>
      <t>30.</t>
    </r>
    <r>
      <rPr>
        <sz val="7"/>
        <color rgb="FF373737"/>
        <rFont val="Times New Roman"/>
        <family val="1"/>
      </rPr>
      <t xml:space="preserve">  </t>
    </r>
    <r>
      <rPr>
        <sz val="12"/>
        <color rgb="FF373737"/>
        <rFont val="Calibri"/>
        <family val="2"/>
        <scheme val="minor"/>
      </rPr>
      <t>Refugio de Vida Silvestre Isla Corazón e Islas Fragatas</t>
    </r>
  </si>
  <si>
    <r>
      <t>31.</t>
    </r>
    <r>
      <rPr>
        <sz val="7"/>
        <color rgb="FF373737"/>
        <rFont val="Times New Roman"/>
        <family val="1"/>
      </rPr>
      <t xml:space="preserve">  </t>
    </r>
    <r>
      <rPr>
        <sz val="12"/>
        <color rgb="FF373737"/>
        <rFont val="Calibri"/>
        <family val="2"/>
        <scheme val="minor"/>
      </rPr>
      <t>Refugio de Vida Silvestre Isla Santa Clara</t>
    </r>
  </si>
  <si>
    <r>
      <t>32.</t>
    </r>
    <r>
      <rPr>
        <sz val="7"/>
        <color rgb="FF373737"/>
        <rFont val="Times New Roman"/>
        <family val="1"/>
      </rPr>
      <t xml:space="preserve">  </t>
    </r>
    <r>
      <rPr>
        <sz val="12"/>
        <color rgb="FF373737"/>
        <rFont val="Calibri"/>
        <family val="2"/>
        <scheme val="minor"/>
      </rPr>
      <t>Refugio de Vida Silvestre La Chiquita</t>
    </r>
  </si>
  <si>
    <r>
      <t>33.</t>
    </r>
    <r>
      <rPr>
        <sz val="7"/>
        <color rgb="FF373737"/>
        <rFont val="Times New Roman"/>
        <family val="1"/>
      </rPr>
      <t xml:space="preserve">  </t>
    </r>
    <r>
      <rPr>
        <sz val="12"/>
        <color rgb="FF373737"/>
        <rFont val="Calibri"/>
        <family val="2"/>
        <scheme val="minor"/>
      </rPr>
      <t>Área Nacional de Recreación El Boliche</t>
    </r>
  </si>
  <si>
    <r>
      <t>34.</t>
    </r>
    <r>
      <rPr>
        <sz val="7"/>
        <color rgb="FF373737"/>
        <rFont val="Times New Roman"/>
        <family val="1"/>
      </rPr>
      <t xml:space="preserve">  </t>
    </r>
    <r>
      <rPr>
        <sz val="12"/>
        <color rgb="FF373737"/>
        <rFont val="Calibri"/>
        <family val="2"/>
        <scheme val="minor"/>
      </rPr>
      <t>Área Nacional de Recreación Parque-Lago</t>
    </r>
  </si>
  <si>
    <r>
      <t>35.</t>
    </r>
    <r>
      <rPr>
        <sz val="7"/>
        <color rgb="FF373737"/>
        <rFont val="Times New Roman"/>
        <family val="1"/>
      </rPr>
      <t xml:space="preserve">  </t>
    </r>
    <r>
      <rPr>
        <sz val="12"/>
        <color rgb="FF373737"/>
        <rFont val="Calibri"/>
        <family val="2"/>
        <scheme val="minor"/>
      </rPr>
      <t>Área Nacional de Recreación Isla Santay</t>
    </r>
  </si>
  <si>
    <r>
      <t>36.</t>
    </r>
    <r>
      <rPr>
        <sz val="7"/>
        <color rgb="FF373737"/>
        <rFont val="Times New Roman"/>
        <family val="1"/>
      </rPr>
      <t xml:space="preserve">  </t>
    </r>
    <r>
      <rPr>
        <sz val="12"/>
        <color rgb="FF373737"/>
        <rFont val="Calibri"/>
        <family val="2"/>
        <scheme val="minor"/>
      </rPr>
      <t>Área Nacional de Recreación Playas de Villamil</t>
    </r>
  </si>
  <si>
    <r>
      <t>37.</t>
    </r>
    <r>
      <rPr>
        <sz val="7"/>
        <color rgb="FF373737"/>
        <rFont val="Times New Roman"/>
        <family val="1"/>
      </rPr>
      <t xml:space="preserve">  </t>
    </r>
    <r>
      <rPr>
        <sz val="12"/>
        <color rgb="FF373737"/>
        <rFont val="Calibri"/>
        <family val="2"/>
        <scheme val="minor"/>
      </rPr>
      <t>Área Nacional de Recreación Quimsacocha</t>
    </r>
  </si>
  <si>
    <r>
      <t>38.</t>
    </r>
    <r>
      <rPr>
        <sz val="7"/>
        <color rgb="FF373737"/>
        <rFont val="Times New Roman"/>
        <family val="1"/>
      </rPr>
      <t xml:space="preserve">  </t>
    </r>
    <r>
      <rPr>
        <sz val="12"/>
        <color rgb="FF373737"/>
        <rFont val="Calibri"/>
        <family val="2"/>
        <scheme val="minor"/>
      </rPr>
      <t>Área Nacional de Recreación Los Samanes</t>
    </r>
  </si>
  <si>
    <t>39.  Reserva Biológica El Cóndor</t>
  </si>
  <si>
    <t>40.  Refugio de Vida Silvestre El Zarza</t>
  </si>
  <si>
    <t>41.  Reserva Biológica El Quimi</t>
  </si>
  <si>
    <r>
      <t>42.</t>
    </r>
    <r>
      <rPr>
        <sz val="7"/>
        <color rgb="FF373737"/>
        <rFont val="Times New Roman"/>
        <family val="1"/>
      </rPr>
      <t xml:space="preserve">  </t>
    </r>
    <r>
      <rPr>
        <sz val="12"/>
        <color rgb="FF373737"/>
        <rFont val="Calibri"/>
        <family val="2"/>
        <scheme val="minor"/>
      </rPr>
      <t>Refugio de Vida Silvestre Manglares El Morro</t>
    </r>
  </si>
  <si>
    <r>
      <t>43.</t>
    </r>
    <r>
      <rPr>
        <sz val="7"/>
        <color rgb="FF373737"/>
        <rFont val="Times New Roman"/>
        <family val="1"/>
      </rPr>
      <t xml:space="preserve">  </t>
    </r>
    <r>
      <rPr>
        <sz val="12"/>
        <color rgb="FF373737"/>
        <rFont val="Calibri"/>
        <family val="2"/>
        <scheme val="minor"/>
      </rPr>
      <t>Refugio de Vida Silvestre Manglares Estuario Rio Esmeraldas</t>
    </r>
  </si>
  <si>
    <r>
      <t>44.</t>
    </r>
    <r>
      <rPr>
        <sz val="7"/>
        <color rgb="FF373737"/>
        <rFont val="Times New Roman"/>
        <family val="1"/>
      </rPr>
      <t xml:space="preserve">  </t>
    </r>
    <r>
      <rPr>
        <sz val="12"/>
        <color rgb="FF373737"/>
        <rFont val="Calibri"/>
        <family val="2"/>
        <scheme val="minor"/>
      </rPr>
      <t>Refugio de Vida Silvestre Pacoche</t>
    </r>
  </si>
  <si>
    <r>
      <t>45.</t>
    </r>
    <r>
      <rPr>
        <sz val="7"/>
        <color rgb="FF373737"/>
        <rFont val="Times New Roman"/>
        <family val="1"/>
      </rPr>
      <t xml:space="preserve">  </t>
    </r>
    <r>
      <rPr>
        <sz val="12"/>
        <color rgb="FF373737"/>
        <rFont val="Calibri"/>
        <family val="2"/>
        <scheme val="minor"/>
      </rPr>
      <t>Reserva de Producción de Fauna Puntilla Santa Elena</t>
    </r>
  </si>
  <si>
    <r>
      <t>46.</t>
    </r>
    <r>
      <rPr>
        <sz val="7"/>
        <color rgb="FF373737"/>
        <rFont val="Times New Roman"/>
        <family val="1"/>
      </rPr>
      <t xml:space="preserve">  </t>
    </r>
    <r>
      <rPr>
        <sz val="12"/>
        <color rgb="FF373737"/>
        <rFont val="Calibri"/>
        <family val="2"/>
        <scheme val="minor"/>
      </rPr>
      <t>Reserva Marina Galera San Francisco</t>
    </r>
  </si>
  <si>
    <r>
      <t>47.</t>
    </r>
    <r>
      <rPr>
        <sz val="7"/>
        <color rgb="FF373737"/>
        <rFont val="Times New Roman"/>
        <family val="1"/>
      </rPr>
      <t xml:space="preserve">  </t>
    </r>
    <r>
      <rPr>
        <sz val="12"/>
        <color rgb="FF373737"/>
        <rFont val="Calibri"/>
        <family val="2"/>
        <scheme val="minor"/>
      </rPr>
      <t>Refugio de Vida Silvestre El Pambilar</t>
    </r>
  </si>
  <si>
    <r>
      <t>48.</t>
    </r>
    <r>
      <rPr>
        <sz val="7"/>
        <color rgb="FF373737"/>
        <rFont val="Times New Roman"/>
        <family val="1"/>
      </rPr>
      <t xml:space="preserve">  </t>
    </r>
    <r>
      <rPr>
        <sz val="12"/>
        <color rgb="FF373737"/>
        <rFont val="Calibri"/>
        <family val="2"/>
        <scheme val="minor"/>
      </rPr>
      <t>Reserva Marina Cantagallo Machalilla</t>
    </r>
  </si>
  <si>
    <r>
      <t>49.</t>
    </r>
    <r>
      <rPr>
        <sz val="7"/>
        <color rgb="FF373737"/>
        <rFont val="Times New Roman"/>
        <family val="1"/>
      </rPr>
      <t xml:space="preserve">  </t>
    </r>
    <r>
      <rPr>
        <sz val="12"/>
        <color rgb="FF373737"/>
        <rFont val="Calibri"/>
        <family val="2"/>
        <scheme val="minor"/>
      </rPr>
      <t>Área ecológica de conservación Siete Municipal Siete Iglesias</t>
    </r>
  </si>
  <si>
    <r>
      <t>50.</t>
    </r>
    <r>
      <rPr>
        <sz val="7"/>
        <color rgb="FF373737"/>
        <rFont val="Times New Roman"/>
        <family val="1"/>
      </rPr>
      <t xml:space="preserve">  </t>
    </r>
    <r>
      <rPr>
        <sz val="12"/>
        <color rgb="FF373737"/>
        <rFont val="Calibri"/>
        <family val="2"/>
        <scheme val="minor"/>
      </rPr>
      <t>Reserva Marina Bajo Cope</t>
    </r>
  </si>
  <si>
    <r>
      <t>51.</t>
    </r>
    <r>
      <rPr>
        <sz val="7"/>
        <color rgb="FF373737"/>
        <rFont val="Times New Roman"/>
        <family val="1"/>
      </rPr>
      <t xml:space="preserve">  </t>
    </r>
    <r>
      <rPr>
        <sz val="12"/>
        <color rgb="FF373737"/>
        <rFont val="Calibri"/>
        <family val="2"/>
        <scheme val="minor"/>
      </rPr>
      <t>Reserva Marina El Pelado</t>
    </r>
  </si>
  <si>
    <r>
      <t>52.</t>
    </r>
    <r>
      <rPr>
        <sz val="7"/>
        <color rgb="FF373737"/>
        <rFont val="Times New Roman"/>
        <family val="1"/>
      </rPr>
      <t xml:space="preserve">  </t>
    </r>
    <r>
      <rPr>
        <sz val="12"/>
        <color rgb="FF373737"/>
        <rFont val="Calibri"/>
        <family val="2"/>
        <scheme val="minor"/>
      </rPr>
      <t>Reserva Biológica Colonso Chalupas</t>
    </r>
  </si>
  <si>
    <r>
      <t>53.</t>
    </r>
    <r>
      <rPr>
        <sz val="7"/>
        <color rgb="FF373737"/>
        <rFont val="Times New Roman"/>
        <family val="1"/>
      </rPr>
      <t xml:space="preserve">  </t>
    </r>
    <r>
      <rPr>
        <sz val="12"/>
        <color rgb="FF373737"/>
        <rFont val="Calibri"/>
        <family val="2"/>
        <scheme val="minor"/>
      </rPr>
      <t>Refugio de Vida Silvestre Samama Mumbes</t>
    </r>
  </si>
  <si>
    <r>
      <t>54.</t>
    </r>
    <r>
      <rPr>
        <sz val="7"/>
        <color rgb="FF373737"/>
        <rFont val="Times New Roman"/>
        <family val="1"/>
      </rPr>
      <t xml:space="preserve">  </t>
    </r>
    <r>
      <rPr>
        <sz val="12"/>
        <color rgb="FF373737"/>
        <rFont val="Calibri"/>
        <family val="2"/>
        <scheme val="minor"/>
      </rPr>
      <t>Área ecológica de conservación La Bonita – Cofanes – Chingual</t>
    </r>
  </si>
  <si>
    <r>
      <t>55.</t>
    </r>
    <r>
      <rPr>
        <sz val="7"/>
        <color rgb="FF373737"/>
        <rFont val="Times New Roman"/>
        <family val="1"/>
      </rPr>
      <t xml:space="preserve">  </t>
    </r>
    <r>
      <rPr>
        <sz val="12"/>
        <color rgb="FF373737"/>
        <rFont val="Calibri"/>
        <family val="2"/>
        <scheme val="minor"/>
      </rPr>
      <t>Parque Nacional Río Negro – Sopladora</t>
    </r>
  </si>
  <si>
    <r>
      <t>56.</t>
    </r>
    <r>
      <rPr>
        <sz val="7"/>
        <color theme="1"/>
        <rFont val="Times New Roman"/>
        <family val="1"/>
      </rPr>
      <t xml:space="preserve">  </t>
    </r>
    <r>
      <rPr>
        <sz val="12"/>
        <color rgb="FF373737"/>
        <rFont val="Calibri"/>
        <family val="2"/>
        <scheme val="minor"/>
      </rPr>
      <t>Área protegida comunitaria Tambillo </t>
    </r>
    <r>
      <rPr>
        <sz val="12"/>
        <color theme="1"/>
        <rFont val="Calibri"/>
        <family val="2"/>
        <scheme val="minor"/>
      </rPr>
      <t>(Nueva)</t>
    </r>
  </si>
  <si>
    <t xml:space="preserve">De estas 2 Áreas Naturales protegidas se encuentran del DMQ, que son: Parque Nacional Cayambe Coca y la Reserva Geobotánica del Pululahua  </t>
  </si>
  <si>
    <t xml:space="preserve">SUBISTEMA DE ÁREAS NATURALES METROPOLITANAS </t>
  </si>
  <si>
    <t xml:space="preserve">40. Refugio de Vida Silvestre El Zarza
41. Reserva Biológica El Quimi
42. Refugio de Vida Silvestre Manglares El Morro
43. Refugio de Vida Silvestre Manglares Estuario Rio Esmeraldas
44. Refugio de Vida Silvestre Pacoche
45. Reserva de Producción de Fauna Puntilla Santa Elena
46. Reserva Marina Galera San Francisco
47. Refugio de Vida Silvestre El Pambilar
48. Reserva Marina Cantagallo Machalilla
49. Área ecológica de conservación Siete Municipal Siete Iglesias
50. Reserva Marina Bajo Cope
51. Reserva Marina El Pelado
52. Reserva Biológica Colonso Chalupas
53. Refugio de Vida Silvestre Samama Mumbes
54. Área ecológica de conservación La Bonita – Cofanes – Chingual
55. Parque Nacional Río Negro – Sopladora
56. Área protegida comunitaria Tambillo (Nueva)
</t>
  </si>
  <si>
    <t>MUJERES</t>
  </si>
  <si>
    <t>ALIMENTOS Y BEBIDAS</t>
  </si>
  <si>
    <t>RECREACIÓN, DIVERSIÓN Y ESPARCIMIENTO</t>
  </si>
  <si>
    <t>TRANSPORTE TURÍSTICO</t>
  </si>
  <si>
    <t>A</t>
  </si>
  <si>
    <t>B</t>
  </si>
  <si>
    <t>D</t>
  </si>
  <si>
    <t>E</t>
  </si>
  <si>
    <t>F</t>
  </si>
  <si>
    <t>Areas protegidas</t>
  </si>
  <si>
    <t>Turistas del DMQ</t>
  </si>
  <si>
    <t>Actividades Económicas importantes</t>
  </si>
  <si>
    <t>H</t>
  </si>
  <si>
    <t>Habitantes</t>
  </si>
  <si>
    <t>INFORMACIÓN GENERAL</t>
  </si>
  <si>
    <t>USD (estimado)</t>
  </si>
  <si>
    <t>PIB *</t>
  </si>
  <si>
    <t>PIB TURÍSTICO **</t>
  </si>
  <si>
    <t>https://contenido.bce.fin.ec/documentos/Estadisticas/SectorReal/CuentasCantonales/Indice.htm</t>
  </si>
  <si>
    <t>Fuente: Banco Central del Ecuador, datos provisionales 2017; Cuentas Nacionales Regionales</t>
  </si>
  <si>
    <t>http://servicios.turismo.gob.ec/index.php/turismo-cifras/2018-09-19-20-08-01/analisis-macro-economico</t>
  </si>
  <si>
    <t>Ecuador y Quito</t>
  </si>
  <si>
    <t xml:space="preserve">http://areasprotegidas.ambiente.gob.ec/en/info-snap </t>
  </si>
  <si>
    <t>Fuente: Min. Ambiente</t>
  </si>
  <si>
    <t>Fuente: Quito Turismo; Dirección de Desarrollo</t>
  </si>
  <si>
    <t>Fuente: Mintur; Análisis Macro Económico; Consumo Turístico (% del PIB)</t>
  </si>
  <si>
    <t># días</t>
  </si>
  <si>
    <t>Estadía promedio en ciudad del turismo de recreación en estancia corta y media (1 a 15 días) Visitante no residente ingresado por aeropuerto</t>
  </si>
  <si>
    <t>TOTAL ciudad QT</t>
  </si>
  <si>
    <t>Datos estimados QT</t>
  </si>
  <si>
    <t>MINTUR</t>
  </si>
  <si>
    <t>QT</t>
  </si>
  <si>
    <t>QT estimado</t>
  </si>
  <si>
    <t>9% de superficie total DMQ es zona urbana</t>
  </si>
  <si>
    <t>QUITO</t>
    <phoneticPr fontId="19" type="noConversion"/>
  </si>
  <si>
    <t>1. Actividades profesionales e inmobiliarias 20,0%</t>
  </si>
  <si>
    <t>2. Manufactura   17,8%</t>
  </si>
  <si>
    <t>3. Administración pública   16,0%</t>
  </si>
  <si>
    <t>4. Construcción   10,7%</t>
  </si>
  <si>
    <t>5. Transporte, información y comunicaciones   6,8%</t>
  </si>
  <si>
    <t>6. Comercio   6,4%</t>
  </si>
  <si>
    <t>7. Actividades financieras   6,2%</t>
  </si>
  <si>
    <t>8. Enseñanza   3,6%</t>
  </si>
  <si>
    <t>9. Salud   3,1%</t>
  </si>
  <si>
    <t>Principales actividades en orden de importancia en el DMQ. Las actividades económicas prinicipales coinciden para todo el país</t>
  </si>
  <si>
    <t>DATOS TURÍSTICOS DE QUITO</t>
  </si>
  <si>
    <t>Mitad del Mundo, (86%) Centro histórico(67%), Teleférico(12%), La Mariscal(12%), El Panecillo(11%), La Ronda(9%), Iglesias(11%)</t>
    <phoneticPr fontId="19" type="noConversion"/>
  </si>
  <si>
    <t xml:space="preserve">Porcentaje </t>
  </si>
  <si>
    <t>Total Establecimientos catastrados</t>
  </si>
  <si>
    <t>Capacidad Hotelera en el DMQ</t>
  </si>
  <si>
    <t>Número de establecimientos de alojamiento en el DMQ</t>
  </si>
  <si>
    <t>TOTAL de PLAZAS</t>
    <phoneticPr fontId="19" type="noConversion"/>
  </si>
  <si>
    <t>TOTAL de HABITACIONES</t>
  </si>
  <si>
    <t>38% DEL TERRITORIO DEL DMQ ES AREA PROTEGIDA.</t>
  </si>
  <si>
    <t>n/a</t>
  </si>
  <si>
    <t>Kilómetros cuadrados</t>
  </si>
  <si>
    <t>DISTRITO METROPOLITANO DE QUITO</t>
  </si>
  <si>
    <t>Fuente dato UIO: Atlas Ambiental 2016 - Sec. Ambiente Alcaldía DMQ</t>
  </si>
  <si>
    <t>Mintur: 
http://servicios.turismo.gob.ec/index.php/turismo-cifras/2018-09-18-21-11-17/indicadores-de-alojamiento</t>
  </si>
  <si>
    <t>Valor con Ratios aporte Turismo en el PIB (anteriores)</t>
  </si>
  <si>
    <t>Valor con Ratios aporte Turismo en el PIB (Mintur nacional y x confirmar UIO)</t>
  </si>
  <si>
    <t>Estimado QT - UIO</t>
  </si>
  <si>
    <t>MINTUR - Nacional</t>
  </si>
  <si>
    <t>Quito Turismo
Quito</t>
  </si>
  <si>
    <t>Fuente: Banco Central del Ecuador, datos provisionales 2017; Cuentas Nacionales Regionales; 21ene2019</t>
  </si>
  <si>
    <t>Fuente: Mintur; Análisis Macro Económico; Consumo Turístico (% del PIB); 21ene2019</t>
  </si>
  <si>
    <t>Porcentaje de aporte del turismo al PIB (estimado)</t>
  </si>
  <si>
    <t xml:space="preserve">ESTIMADO </t>
  </si>
  <si>
    <t>Ejercicios PIB ver 47-60</t>
  </si>
  <si>
    <t>Quito Turismo</t>
  </si>
  <si>
    <t>MinTur</t>
  </si>
  <si>
    <t>Tarifa en categoría 5 estrellas</t>
  </si>
  <si>
    <t>Tarifa en categoría 4 estrellas</t>
  </si>
  <si>
    <t>tarifa en categoría 3 estrellas</t>
  </si>
  <si>
    <t>Estancia promedio en Hoteles de 5 estrellas</t>
  </si>
  <si>
    <t>Estancia promedio en Hoteles de 4 estrellas</t>
  </si>
  <si>
    <t>Estancia promedio en Hoteles de 3 estrellas</t>
  </si>
  <si>
    <t>ÚNICA</t>
  </si>
  <si>
    <t>1 ESTRELLAS</t>
  </si>
  <si>
    <t>Migración. 05feb2019-datos ene2019</t>
  </si>
  <si>
    <t>36IAH-HQM</t>
  </si>
  <si>
    <t>2018 (e) Mintur</t>
  </si>
  <si>
    <t xml:space="preserve">TOH 2018 (e) </t>
  </si>
  <si>
    <t xml:space="preserve">TOH 2019 (e) </t>
  </si>
  <si>
    <t>http://servicios.turismo.gob.ec/index.php/turismo-cifras/2018-09-18-21-11-17/indicadores-de-alojamiento</t>
  </si>
  <si>
    <r>
      <t xml:space="preserve">5 Estrellas - </t>
    </r>
    <r>
      <rPr>
        <b/>
        <sz val="8"/>
        <rFont val="Calibri"/>
        <family val="2"/>
        <scheme val="minor"/>
      </rPr>
      <t>dato HQM / fuente</t>
    </r>
  </si>
  <si>
    <t>Fuente: Sistema Institucional de Indicadores Turísticos</t>
  </si>
  <si>
    <t>proyectado</t>
  </si>
  <si>
    <t>Promedio interanual con ultimos datos disponibles</t>
  </si>
  <si>
    <t xml:space="preserve">Estancia media hotelera DMQ 
(noches) </t>
  </si>
  <si>
    <t>aug</t>
  </si>
  <si>
    <t>5 estrellas (Lujo)</t>
  </si>
  <si>
    <t>4 estrellas (Primera)</t>
  </si>
  <si>
    <t>3 estrellas (Segunda)</t>
  </si>
  <si>
    <t xml:space="preserve">Fuente: Sistema Institucional de Indicadores Turísticos </t>
  </si>
  <si>
    <t>Dato QT - SIIT 2018 (estimado)12/02/2019</t>
  </si>
  <si>
    <t>2019 (estimado)</t>
  </si>
  <si>
    <t>HQM 23IAH</t>
  </si>
  <si>
    <t>HQM 36IAH</t>
  </si>
  <si>
    <t>HQM 28IAH</t>
  </si>
  <si>
    <t>HQM 30IAH</t>
  </si>
  <si>
    <t>HQM 31IAH</t>
  </si>
  <si>
    <t>HQM 32IAH</t>
  </si>
  <si>
    <t>HQM 34IAH</t>
  </si>
  <si>
    <t>(e).-</t>
  </si>
  <si>
    <t>Tarifa promedio por habitación disponible, REV Par.      
US dólares</t>
  </si>
  <si>
    <t>Estimación</t>
  </si>
  <si>
    <t>Migración. 11mar2019-datos feb2019</t>
  </si>
  <si>
    <t>ARRIVING 2019</t>
  </si>
  <si>
    <t>Total 2019</t>
  </si>
  <si>
    <t>VARIATION 2019-2018</t>
  </si>
  <si>
    <t>Variación arribos internacionales y domésticos</t>
  </si>
  <si>
    <t>verificador</t>
  </si>
  <si>
    <t>ESTADÍSTICAS DEL SECTOR TURÍSTICO</t>
  </si>
  <si>
    <t>EMPLEO EN EL SECTOR TURÍSTICO DMQ</t>
  </si>
  <si>
    <t>ACTIVIDADES TURÍSTICAS</t>
  </si>
  <si>
    <t>HOMBRES</t>
  </si>
  <si>
    <t>INTERMEDIACIÓN Y OPERACIÓN</t>
  </si>
  <si>
    <t>Indice indirectos MinTur</t>
  </si>
  <si>
    <t>ESTADÍSTICAS ICCA - Asociación Internacional de Congresos y Convenciones</t>
  </si>
  <si>
    <t>https://www.iccaworld.org/</t>
  </si>
  <si>
    <t>En América del Sur, Quito compite con 34 ciudades siendo las principales las siguientes:</t>
  </si>
  <si>
    <t>Posición de la ciudad</t>
  </si>
  <si>
    <t>A Nivel América Latina, Quito compite con 49 ciudades siendo las principales:</t>
  </si>
  <si>
    <t>Havana</t>
  </si>
  <si>
    <t>Posición del país</t>
  </si>
  <si>
    <t>actualizado mar2019</t>
  </si>
  <si>
    <t>Turistas no residentes, por puerto de entrada internacional</t>
  </si>
  <si>
    <t>Tasa de crecimiento</t>
  </si>
  <si>
    <t>Llegada de turista a Ecuador</t>
  </si>
  <si>
    <t xml:space="preserve">
G</t>
  </si>
  <si>
    <r>
      <t xml:space="preserve">23. Reserva Ecológica Manglares Churute
</t>
    </r>
    <r>
      <rPr>
        <b/>
        <sz val="11"/>
        <rFont val="Calibri"/>
        <family val="2"/>
        <scheme val="minor"/>
      </rPr>
      <t>24. Reserva Geobotánica Pululahua</t>
    </r>
    <r>
      <rPr>
        <sz val="11"/>
        <rFont val="Calibri"/>
        <family val="2"/>
        <scheme val="minor"/>
      </rPr>
      <t xml:space="preserve">
25. Reserva de Producción de Fauna Chimborazo
26. Reserva de Producción de Fauna Cuyabeno
27. Reserva de Producción de Fauna Manglares El Salado
28. Refugio de Vida Silvestre Pasochoa
29. Refugio de Vida Silvestre Manglares Estuario Rio Muisne
30. Refugio de Vida Silvestre Isla Corazón e Islas Fragatas
31. Refugio de Vida Silvestre Isla Santa Clara
32. Refugio de Vida Silvestre La Chiquita
33. Área Nacional de Recreación El Boliche
34. Área Nacional de Recreación Parque-Lago
35. Área Nacional de Recreación Isla Santay
36. Área Nacional de Recreación Playas de Villamil
37. Área Nacional de Recreación Quimsacocha
38. Área Nacional de Recreación Los Samanes
39. Reserva Biológica El Cóndor
</t>
    </r>
  </si>
  <si>
    <r>
      <t xml:space="preserve">1. Parque Nacional Cajas
2. Parque Nacional Cotopaxi
3. Parque Nacional Galápagos
4. Parque Nacional Llanganates
5. Parque Nacional Machalilla
6. Parque Nacional Podocarpus
7. Parque Nacional Sangay
8. Parque Nacional Sumaco Napo Galeras
9. Parque Nacional Yasuní
10. Parque Nacional Yacuri
</t>
    </r>
    <r>
      <rPr>
        <b/>
        <sz val="11"/>
        <rFont val="Calibri"/>
        <family val="2"/>
        <scheme val="minor"/>
      </rPr>
      <t>11. Parque Nacional Cayambe Coca</t>
    </r>
    <r>
      <rPr>
        <sz val="11"/>
        <rFont val="Calibri"/>
        <family val="2"/>
        <scheme val="minor"/>
      </rPr>
      <t xml:space="preserve">
12. Reserva Biológica Limoncocha
13. Reserva Biológica Cerro Plateado
14. Reserva Marina de Galápagos
15. Reserva Ecológica Antisana
16. Reserva Ecológica Arenillas
17. Reserva Ecológica El Ángel
18. Reserva Ecológica Cayapas Mataje
19. Reserva Ecológica Cofán Bermejo
20. Reserva Ecológica Cotacachi Cayapas
21. Reserva Ecológica los Illinizas
22. Reserva Ecológica Mache Chindul</t>
    </r>
  </si>
  <si>
    <t>I</t>
  </si>
  <si>
    <t>(* se incluyen 956,067 Venezolanos)</t>
  </si>
  <si>
    <t>Crecimiento sin Venezolanos</t>
  </si>
  <si>
    <t>Capacidad Hotelera de establecientos que captan la TASA FACILIDADES TURÍSTICAS</t>
  </si>
  <si>
    <t>Capacidad Hotelera de establecientos de 5 y 4 Estrellas en el DMQ</t>
  </si>
  <si>
    <t>Capacidad Habitaciones 
5 * y  4 *</t>
  </si>
  <si>
    <t xml:space="preserve">Capacidad 
Plazas 
5* y  4 * </t>
  </si>
  <si>
    <t>Turistas que arribaron a Ecuador</t>
  </si>
  <si>
    <t>Fuente: EMPSA Quito</t>
  </si>
  <si>
    <t>Migración. 04abr2019-datos mar2019</t>
  </si>
  <si>
    <t>EMPLEO EN EL SECTOR TURÍSTICO LA MARISCAL</t>
  </si>
  <si>
    <t>DATO IMPORTANTE</t>
  </si>
  <si>
    <t>ZET La Mariscal</t>
  </si>
  <si>
    <t xml:space="preserve">ZET Centro Histórico </t>
  </si>
  <si>
    <t xml:space="preserve">CATASTRO TURÍSTICO </t>
  </si>
  <si>
    <t>* En el segundo semestre el año 2018 se realizó una depuración del catastro turístico, por lo que se eliminaron establecimientos que no habian reportado su cese de actividades.</t>
  </si>
  <si>
    <t>Adm. Zonal Manuel Saenz</t>
  </si>
  <si>
    <t>ZET Centro Histórico</t>
  </si>
  <si>
    <t>EMPLEO EN EL SECTOR TURÍSTICO CENTRO HISTÓRICO</t>
  </si>
  <si>
    <t>Migración. 07may2019-datos abr2019</t>
  </si>
  <si>
    <t>ajustado el 13MAY2019</t>
  </si>
  <si>
    <t>kilómetros cuadrados (42% del territorio del DMQ)</t>
  </si>
  <si>
    <t>variación # establecimiento</t>
  </si>
  <si>
    <t>variación # habitaciones</t>
  </si>
  <si>
    <t>variación # plazas</t>
  </si>
  <si>
    <t>PERIODICIDAD</t>
  </si>
  <si>
    <t>ÁREA RESPONSABLE</t>
  </si>
  <si>
    <t>N/A</t>
  </si>
  <si>
    <t>Superficie total</t>
  </si>
  <si>
    <t>UNIDAD DE MEDIDA</t>
  </si>
  <si>
    <t xml:space="preserve">km2 </t>
  </si>
  <si>
    <t>Superficie Zona Urbana</t>
  </si>
  <si>
    <t>número</t>
  </si>
  <si>
    <t>Anual</t>
  </si>
  <si>
    <t>Fecha máxima de entrega</t>
  </si>
  <si>
    <t>Superficie Zona Urbana vs Superficie total</t>
  </si>
  <si>
    <t>Jefatura de Planificación</t>
  </si>
  <si>
    <t>1. Actividades profesionales e inmobiliarias</t>
  </si>
  <si>
    <t xml:space="preserve">2. Manufactura </t>
  </si>
  <si>
    <t xml:space="preserve">3. Administración pública </t>
  </si>
  <si>
    <t xml:space="preserve">4. Construcción </t>
  </si>
  <si>
    <t xml:space="preserve">5. Transporte, información y comunicaciones </t>
  </si>
  <si>
    <t xml:space="preserve">6. Comercio </t>
  </si>
  <si>
    <t xml:space="preserve">7. Actividades financieras </t>
  </si>
  <si>
    <t xml:space="preserve">8. Enseñanza </t>
  </si>
  <si>
    <t xml:space="preserve">9. Salud  </t>
  </si>
  <si>
    <t xml:space="preserve">10. Alojamiento y servicios de comida </t>
  </si>
  <si>
    <t xml:space="preserve">11. Agricultura, ganadería, silvicultura y pesca </t>
  </si>
  <si>
    <t xml:space="preserve">12. Suministro de electricidad y de agua </t>
  </si>
  <si>
    <t xml:space="preserve">13. Explotación de minas y canteras  </t>
  </si>
  <si>
    <t>US$</t>
  </si>
  <si>
    <t>PIB de la ciudad</t>
  </si>
  <si>
    <t>Aporte del Turismo al PIB en función del VAB anual en valor</t>
  </si>
  <si>
    <t>Aporte del Turismo al PIB en función del VAB anual en porcentaje</t>
  </si>
  <si>
    <t>Primer semestre de cada año (o a penas existan datos del BCE)</t>
  </si>
  <si>
    <t>Primera semana de cada año</t>
  </si>
  <si>
    <t>Primer trimestre de cada año</t>
  </si>
  <si>
    <t>Número total</t>
  </si>
  <si>
    <t>Número mujeres</t>
  </si>
  <si>
    <t>Número hombres</t>
  </si>
  <si>
    <t>Actividades Económicas importantes
(Principales actividades en orden de importancia en el DMQ. Las actividades económicas prinicipales coinciden para todo el país)</t>
  </si>
  <si>
    <t>Dirección de Calidad</t>
  </si>
  <si>
    <t>ZET La Mariscal (incluir % en relación al total DMQ)</t>
  </si>
  <si>
    <t>ZET Centro Histórico (incluir % en relación al total DMQ)</t>
  </si>
  <si>
    <t>Km2</t>
  </si>
  <si>
    <t>kilómetros cuadrados (Incluir __% del territorio del DMQ)</t>
  </si>
  <si>
    <t>Número de Areas protegidas en el DMQ</t>
  </si>
  <si>
    <t>Dirección de Desarrollo</t>
  </si>
  <si>
    <t xml:space="preserve">DESCRIPCIÓN </t>
  </si>
  <si>
    <t xml:space="preserve">Número de empleos generados por el turismo, de acuerdo a catastro </t>
  </si>
  <si>
    <t>Listado de Areas Protegidas del Ecuador</t>
  </si>
  <si>
    <t>Primera semana del año (o a penas exista algún cambio)</t>
  </si>
  <si>
    <t>Listado de áreas Protegidas en el DMQ</t>
  </si>
  <si>
    <t>Número de Areas protegidas SNAP</t>
  </si>
  <si>
    <t>Número de llegada de turistas por vía aérea al DMQ</t>
  </si>
  <si>
    <t>Mensual</t>
  </si>
  <si>
    <t>Primera semana del año</t>
  </si>
  <si>
    <t>Número de llegada de turistas al Ecuador</t>
  </si>
  <si>
    <t>Tasa de crecimiento del Número de llegada de turistas al Ecuador</t>
  </si>
  <si>
    <t>Dentro de los 10 primeros días de cada mes (de acuerdo a entrega de datos desde migración)</t>
  </si>
  <si>
    <t>Ajuste dentro de los 10 primeros días de cada mes (de acuerdo a entrega de datos desde migración)</t>
  </si>
  <si>
    <t>Proyección del número de llegada de turistas por vía aérea al DMQ</t>
  </si>
  <si>
    <t>Tasa de crecimiento del número de llegada de turistas por vía aérea al DMQ</t>
  </si>
  <si>
    <t>Listado de nacionalidades - principales mercados del DMQ</t>
  </si>
  <si>
    <t>Primera semana de cada año (de acuerdo a entrega de datos desde migración)</t>
  </si>
  <si>
    <t>Listado de los sitios más visitados en el DMQ</t>
  </si>
  <si>
    <t>Primera semana de cada año (de acuerdo a entrega de datos desde consultoría)</t>
  </si>
  <si>
    <t>Consultoría</t>
  </si>
  <si>
    <t>días</t>
  </si>
  <si>
    <t>Estancia media del turista en el DMQ</t>
  </si>
  <si>
    <t>Gasto medio del turista en el DMQ</t>
  </si>
  <si>
    <t>Gasto medio diario del turista en el DMQ</t>
  </si>
  <si>
    <t>Listado y porcentaje del motivo principal de viaje del visitante no residente del DMQ</t>
  </si>
  <si>
    <t>Semestral</t>
  </si>
  <si>
    <t>Primera semana de inicio de cada semestre</t>
  </si>
  <si>
    <t xml:space="preserve">Tasa de Ocupación Hotelera (TOH), datos del SIIT </t>
  </si>
  <si>
    <t>Dentro de los 10 primeros días de cada mes (de acuerdo a entrega de datos desde consultoría)</t>
  </si>
  <si>
    <t>Tasa de Ocupación Hotelera (TOH) total del DMQ, datos del Mintur</t>
  </si>
  <si>
    <t>Tasa de Ocupación Hotelera (TOH) de categoría 5 estrellas del DMQ, datos del Mintur</t>
  </si>
  <si>
    <t xml:space="preserve">Tasa de Ocupación Hotelera (TOH) de categoría 5 estrellas del DMQ, datos del SIIT </t>
  </si>
  <si>
    <t>Tasa de Ocupación Hotelera (TOH) de categoría 4 estrellas del DMQ, datos del Mintur</t>
  </si>
  <si>
    <t xml:space="preserve">Tasa de Ocupación Hotelera (TOH), de categoría 4 estrellas del DMQ, datos del SIIT </t>
  </si>
  <si>
    <t>Tasa de Ocupación Hotelera (TOH) de categoría 3 estrellas del DMQ, datos del Mintur</t>
  </si>
  <si>
    <t xml:space="preserve">Tasa de Ocupación Hotelera (TOH), de categoría 3 estrellas del DMQ, datos del SIIT </t>
  </si>
  <si>
    <t>Tasa de Ocupación Hotelera (TOH) en DMQ - Mintur</t>
  </si>
  <si>
    <t>TOH categoría 4 estrellas 
(Mintur)</t>
  </si>
  <si>
    <t>TOH categoría 3 estrellas 
(Mintur)</t>
  </si>
  <si>
    <t xml:space="preserve">Dato QT total DMQ - SIIT </t>
  </si>
  <si>
    <t>TOH categoría - 5 estrellas 
(Mintur)</t>
  </si>
  <si>
    <t>Dato QT - 5 estrellas - SIIT</t>
  </si>
  <si>
    <t>Dato QT - 4 estrellas - SIIT</t>
  </si>
  <si>
    <t xml:space="preserve">Dato QT - 3 estrellas - SIIT </t>
  </si>
  <si>
    <t>Tarifa habitación ocupada en el DMQ - 5 estrellas</t>
  </si>
  <si>
    <t>Tarifa habitación ocupada en el DMQ - 4 estrellas</t>
  </si>
  <si>
    <t>Tarifa habitación ocupada en el DMQ - 3 estrellas</t>
  </si>
  <si>
    <t>Coheficiente de estancia promedio en Hoteles del DMQ</t>
  </si>
  <si>
    <t>Coheficiente de estancia promedio en Hoteles de 4 estrellas</t>
  </si>
  <si>
    <t>Coheficiente de estancia promedio en Hoteles de 5 estrellas</t>
  </si>
  <si>
    <t>Coheficiente de estancia promedio en Hoteles de 3 estrellas</t>
  </si>
  <si>
    <t>Valor</t>
  </si>
  <si>
    <t>Catastro Turístico número de establecimientos: OPERACIÓN E INTERMEDIACIÓN TUR (AGENCIA DE VIAJES Y TURISMO)</t>
  </si>
  <si>
    <t xml:space="preserve">Catastro Turístico número de establecimientos: ALIMENTOS Y BEBIDAS </t>
  </si>
  <si>
    <t xml:space="preserve">Catastro Turístico número de establecimientos: ALOJAMIENTO </t>
  </si>
  <si>
    <t>Catastro Turístico número de establecimientos: RECREACIÓN DIVERSIÓN Y ESPARCIMIENTO</t>
  </si>
  <si>
    <t>Catastro Turístico número de establecimientos: TRANSPORTE TURISTICO</t>
  </si>
  <si>
    <t>Número de establecimientos: OPERACIÓN E INTERMEDIACIÓN TUR (AGENCIA DE VIAJES Y TURISMO)</t>
  </si>
  <si>
    <t xml:space="preserve">Número de establecimientos: ALIMENTOS Y BEBIDAS </t>
  </si>
  <si>
    <t xml:space="preserve">Número de establecimientos: ALOJAMIENTO </t>
  </si>
  <si>
    <t>Número de establecimientos: RECREACIÓN DIVERSIÓN Y ESPARCIMIENTO</t>
  </si>
  <si>
    <t>Número de establecimientos: TRANSPORTE TURISTICO</t>
  </si>
  <si>
    <t>Número total Establecimientos catastrados</t>
  </si>
  <si>
    <t>% de participación en el catastro</t>
  </si>
  <si>
    <t>TOTAL de HABITACIONES en el DMQ</t>
  </si>
  <si>
    <t>TOTAL de PLAZAS en el DMQ</t>
  </si>
  <si>
    <t>Número de establecimientos de alojamiento receptores de TASA de facilidades Turísticas en el DMQ</t>
  </si>
  <si>
    <t>Número de establecimientos de alojamiento de 4 y 5 estrellas en el DMQ</t>
  </si>
  <si>
    <t>TOTAL de HABITACIONES de de establecimientos de alojamiento de 4 y 5 estrellas en el DMQ</t>
  </si>
  <si>
    <t>TOTAL de PLAZAS de establecimientos de alojamiento de 4 y 5 estrellas en el DMQ</t>
  </si>
  <si>
    <t>TOTAL de HABITACIONES de establecimientos de alojamiento receptores de TASA de facilidades Turísticas en el DMQ</t>
  </si>
  <si>
    <t>TOTAL de PLAZAS de establecimientos de alojamiento receptores de TASA de facilidades Turísticas en el DMQ</t>
  </si>
  <si>
    <t>SNAP - Sistema Nacional de Areas Protegidas y Areas protegidas del DMQ</t>
  </si>
  <si>
    <t>Llegada de turista a Ecuador y al DMQ y sitios más visitados y Motivo principal</t>
  </si>
  <si>
    <t>Posición de la ciudad, en América del Sur</t>
  </si>
  <si>
    <t>ranking</t>
  </si>
  <si>
    <t>Dirección MICE</t>
  </si>
  <si>
    <t>Posición de la ciudad, a nivel América Latina</t>
  </si>
  <si>
    <t>Posición del Ecuador en América Latina, dentro de los principales destinos</t>
  </si>
  <si>
    <t>Una semana después del fin de feriado</t>
  </si>
  <si>
    <t>1. Carnaval  (número de llegada de visitantes por tierra al DMQ (terminales terrestres)</t>
  </si>
  <si>
    <t>2. Semana Santa  (número de llegada de visitantes por tierra al DMQ (terminales terrestres)</t>
  </si>
  <si>
    <t>3. Día Trabajo  (número de llegada de visitantes por tierra al DMQ (terminales terrestres)</t>
  </si>
  <si>
    <t>4. Batalla Pichincha  (número de llegada de visitantes por tierra al DMQ (terminales terrestres)</t>
  </si>
  <si>
    <t>5. Independencia  (número de llegada de visitantes por tierra al DMQ (terminales terrestres)</t>
  </si>
  <si>
    <t>6. Finados  (número de llegada de visitantes por tierra al DMQ (terminales terrestres)</t>
  </si>
  <si>
    <t>7. Fiestas Quito  (número de llegada de visitantes por tierra al DMQ (terminales terrestres)</t>
  </si>
  <si>
    <t>8. Fin año  (número de llegada de visitantes por tierra al DMQ (terminales terrestres)</t>
  </si>
  <si>
    <t>Datos de llegada de visitantes a la ciudad de Quito por tema de feriados  (terminales terrestres)</t>
  </si>
  <si>
    <t>Georeferenciación de establecimientos turísticos en el DMQ</t>
  </si>
  <si>
    <t xml:space="preserve">Número total Establecimientos catastrados en zona rural </t>
  </si>
  <si>
    <t xml:space="preserve">% total Establecimientos catastrados en zona rural </t>
  </si>
  <si>
    <t>Puntos de Información turística</t>
  </si>
  <si>
    <t xml:space="preserve">Número de visitantes atendidos en los puntos de información turística </t>
  </si>
  <si>
    <t>Dentro de los 10 primeros días de cada mes</t>
  </si>
  <si>
    <t xml:space="preserve">AUSPICIOS </t>
  </si>
  <si>
    <t>Gestionar Convenio Asociativo del Quito Tour Bus</t>
  </si>
  <si>
    <t>Alquiler de  espacios en  CCEE</t>
  </si>
  <si>
    <t>Alquiler de  espacios en CCMQ</t>
  </si>
  <si>
    <t>CEB</t>
  </si>
  <si>
    <t xml:space="preserve">Alquiler de espacios del CENTRO CULTURAL ITCHIMBIA DE ACUERDO A CONVENIO </t>
  </si>
  <si>
    <t>Organizar eventos en otros espacios no administrados por Quito Turismo</t>
  </si>
  <si>
    <t xml:space="preserve">Comercializar productos y servicios en el Quinde Visitor Center </t>
  </si>
  <si>
    <t>Dirección Comercial y AE</t>
  </si>
  <si>
    <t>Montos por ventas en venues de QT</t>
  </si>
  <si>
    <t xml:space="preserve">Estudio de Flujo Turístico </t>
  </si>
  <si>
    <t>Estudio de Demanda Turística – perfil – estancia - gasto</t>
  </si>
  <si>
    <t xml:space="preserve">Estudio de Ocupación Hotelera </t>
  </si>
  <si>
    <t xml:space="preserve">Estudio de Feriados y Festivales </t>
  </si>
  <si>
    <t>Estudio de Flujo Turístico</t>
  </si>
  <si>
    <t>Estudio de Oferta Turística</t>
  </si>
  <si>
    <t>Análisis de Perfiles principales mercados del DMQ</t>
  </si>
  <si>
    <t>Análisis de la Competencia y Benchmark</t>
  </si>
  <si>
    <t>Análisis de Mercados Emisores</t>
  </si>
  <si>
    <t>Análisis de Medios</t>
  </si>
  <si>
    <t xml:space="preserve">Análisis de Productos como destino  </t>
  </si>
  <si>
    <t>Análisis Ferias</t>
  </si>
  <si>
    <t>Datos generales</t>
  </si>
  <si>
    <t>Perfil de turista extranjero</t>
  </si>
  <si>
    <t>Perfil de turista nacional</t>
  </si>
  <si>
    <t>Planes de Mercadeo de Países competidores.</t>
  </si>
  <si>
    <t>Estrategias de Promoción</t>
  </si>
  <si>
    <t>Medios de promoción utilizados</t>
  </si>
  <si>
    <t>Perfiles de turistas en esos países.</t>
  </si>
  <si>
    <t>Productos con indicador precio (Mayoristas).</t>
  </si>
  <si>
    <t>Listado de países competidores</t>
  </si>
  <si>
    <t>Detalle del dato</t>
  </si>
  <si>
    <t>Listado y descripción de los medios de promoción utilizados</t>
  </si>
  <si>
    <t>Perfiles de turistas en países competencia.</t>
  </si>
  <si>
    <t>Listado de precios de productos de la competencia</t>
  </si>
  <si>
    <t>Estudio del Perfil de turista extranjero</t>
  </si>
  <si>
    <t>Estudio del Perfil de turista nacional</t>
  </si>
  <si>
    <t>Nuevos productos</t>
  </si>
  <si>
    <t>Competidores</t>
  </si>
  <si>
    <t>Nichos de mercado a explotar</t>
  </si>
  <si>
    <t>Conocer nuevas tendencias</t>
  </si>
  <si>
    <t>Estudio de nuevas tendencias en mercados Emisores</t>
  </si>
  <si>
    <t>Estudio de Productos en mercados emisores</t>
  </si>
  <si>
    <t>Lista de posibles competidores en mercados emisores</t>
  </si>
  <si>
    <t>Estudio de nichos de mercardo en mercados emisores a explotar</t>
  </si>
  <si>
    <t>Dirección de Mercadeo</t>
  </si>
  <si>
    <t>En un mes de alta demanda en el DMQ</t>
  </si>
  <si>
    <t>Ejes del Observatorio</t>
  </si>
  <si>
    <t xml:space="preserve">Conocer el media value noticioso a nivel nacional e internacional </t>
  </si>
  <si>
    <t xml:space="preserve">Conocer el media value publicitario a nivel nacional e internacional </t>
  </si>
  <si>
    <t>Media value noticioso nacional</t>
  </si>
  <si>
    <t>Media value noticioso internacional</t>
  </si>
  <si>
    <t>Media value publicitario nacional</t>
  </si>
  <si>
    <t>Media value publicitario internacional</t>
  </si>
  <si>
    <t>Dirección de Comunicación</t>
  </si>
  <si>
    <t xml:space="preserve">Análisis de la oferta turística del DMQ vs la oferta de la competencia </t>
  </si>
  <si>
    <t xml:space="preserve">Estudio de análisis de la oferta turística del DMQ y la oferta de la competencia </t>
  </si>
  <si>
    <t>Análisis Histórico de ferias</t>
  </si>
  <si>
    <t>Cuadrante de resultados de ferias</t>
  </si>
  <si>
    <t xml:space="preserve"> Análisis de resultados a corto, mediano y largo plazo </t>
  </si>
  <si>
    <t>Análisis Histórico de ferias en las que ha participado QT</t>
  </si>
  <si>
    <t>Resultados de ferias asistidas por QT</t>
  </si>
  <si>
    <t xml:space="preserve"> Análisis de resultados a corto, mediano y largo plazo de cada feria</t>
  </si>
  <si>
    <t xml:space="preserve">Planificación de la feria </t>
  </si>
  <si>
    <t>Definición de metas pre feria</t>
  </si>
  <si>
    <t xml:space="preserve">Plan de trabajo de post-feria </t>
  </si>
  <si>
    <t>Dentro de la participación de ferias: Definición de la planificación y objetivos concretos</t>
  </si>
  <si>
    <t>Dentro de la participación de ferias: Propuesto y cumplimiento de metas</t>
  </si>
  <si>
    <t xml:space="preserve">Dentro de la participación de ferias: Trabajo de post-feria </t>
  </si>
  <si>
    <t>Mintur: https://servicios.turismo.gob.ec/index.php/turismo-cifras/2018-09-19-17-01-51/movimientos-internacionales</t>
  </si>
  <si>
    <t>Primera semana de JUNIO de cada año</t>
  </si>
  <si>
    <t>X</t>
  </si>
  <si>
    <t>Estimado empleo indirecto</t>
  </si>
  <si>
    <t>10, Otras 3,3%</t>
  </si>
  <si>
    <t>11. Alojamiento y servicios de comida   2,4%</t>
  </si>
  <si>
    <t>12. Agricultura, ganadería, silvicultura y pesca   1,7%</t>
  </si>
  <si>
    <t>13. Suministro de electricidad y de agua   1,4%</t>
  </si>
  <si>
    <t>14. Explotación de minas y canteras   0,5%</t>
  </si>
  <si>
    <t>participacion 2019</t>
  </si>
  <si>
    <t>tipo</t>
  </si>
  <si>
    <t>https://servicios.turismo.gob.ec/index.php/turismo-cifras/2018-09-19-17-01-51/movimientos-internacionales</t>
  </si>
  <si>
    <t>Directos</t>
  </si>
  <si>
    <t>Indice indirectos</t>
  </si>
  <si>
    <t>Indirectos</t>
  </si>
  <si>
    <t>Países Bajo (Holanda)</t>
  </si>
  <si>
    <t>44IAH-sep-2018-2019-HQM</t>
  </si>
  <si>
    <t>Mes</t>
  </si>
  <si>
    <t>Tasa de Ocupación Hotelera - datos HQM</t>
  </si>
  <si>
    <t>San José (Costa Rica)</t>
  </si>
  <si>
    <t>Asunción</t>
  </si>
  <si>
    <t>Santa Cruz</t>
  </si>
  <si>
    <r>
      <t xml:space="preserve">Posición del Ecuador en </t>
    </r>
    <r>
      <rPr>
        <b/>
        <sz val="11"/>
        <color theme="3"/>
        <rFont val="Calibri"/>
        <family val="2"/>
        <scheme val="minor"/>
      </rPr>
      <t>América Latina</t>
    </r>
    <r>
      <rPr>
        <b/>
        <sz val="11"/>
        <color theme="1"/>
        <rFont val="Calibri"/>
        <family val="2"/>
        <scheme val="minor"/>
      </rPr>
      <t>, dentro de los principales destinos:</t>
    </r>
  </si>
  <si>
    <t>Paraguay</t>
  </si>
  <si>
    <t>Guatemala</t>
  </si>
  <si>
    <t>Fuente: Dirección MICE - QT; email.- 17oct2019</t>
  </si>
  <si>
    <t>AJUSTE MC META A 12508 (301020219)</t>
  </si>
  <si>
    <t>META MC 2019: 705,000</t>
  </si>
  <si>
    <t>Fuente datos 2020</t>
  </si>
  <si>
    <t>Metas Mi Ciudad 2020</t>
  </si>
  <si>
    <t>META MC 2020: 715.000</t>
  </si>
  <si>
    <t>Cada vez que se participe en una feria</t>
  </si>
  <si>
    <t xml:space="preserve">Permanente </t>
  </si>
  <si>
    <t>Primer semestre de cada año</t>
  </si>
  <si>
    <t>ARRIVING 2020</t>
  </si>
  <si>
    <t>Total 2020</t>
  </si>
  <si>
    <t>VARIATION 2020-2019</t>
  </si>
  <si>
    <t xml:space="preserve">Fuente: Migración / Mintur </t>
  </si>
  <si>
    <t>2019 (estimado) total</t>
  </si>
  <si>
    <t>PARTICIPACIÓN 2015 AGOSTO</t>
  </si>
  <si>
    <t xml:space="preserve">Perfil del turista de negocios  </t>
  </si>
  <si>
    <t xml:space="preserve">Levantamiento de eventos realizados en venues en el DMQ </t>
  </si>
  <si>
    <t>Investigación continua en medios de comunicación</t>
  </si>
  <si>
    <t>Datos del Mintur: El dato hace mención a las llegadas de Visitantes internacionales no residentes en EC por nacionalidad</t>
  </si>
  <si>
    <t>Dato 31dic2019 Dir. Calidad email</t>
  </si>
  <si>
    <t>participacion 2020</t>
  </si>
  <si>
    <t>Dato AL 31DIC2019; email.07feb2020; Dir. Calidad</t>
  </si>
  <si>
    <t>FUENTE: SICET, corte a DICIEMBRE 2019</t>
  </si>
  <si>
    <t>EL CENTRO HISTÓRICO (EN SU CONJUNTO) GENERA EL 12% DEL TOTAL DE EMPLEOS EN EL SECTOR TURÍSTICO CORRESPONDIENTE AL DMQ</t>
  </si>
  <si>
    <t>FUENTE: SICET, DICIEMBRE  2019</t>
  </si>
  <si>
    <t xml:space="preserve">2020 (e) </t>
  </si>
  <si>
    <t>(* se incluyen 509,285 Venezolanos)</t>
  </si>
  <si>
    <t>Covid19</t>
  </si>
  <si>
    <t>% PARROQUIAS</t>
  </si>
  <si>
    <t>Parroquias Rurales</t>
  </si>
  <si>
    <t>% de visitas en Parroquias</t>
  </si>
  <si>
    <t>Boletín Mensual
Encuesta de Ocupación Hotelera
Sistema Institucional de Indicadores Turísticos
Periodo: diciembre 2019
SIIT 2019-2020; 30abr2020</t>
  </si>
  <si>
    <t xml:space="preserve">https://servicios.turismo.gob.ec/index.php/turismo-cifras/2018-09-19-17-01-51/movimientos-internacionales </t>
  </si>
  <si>
    <t>Unica</t>
  </si>
  <si>
    <t>5*</t>
  </si>
  <si>
    <t>4*</t>
  </si>
  <si>
    <t>3*</t>
  </si>
  <si>
    <t>Extrahotelero</t>
  </si>
  <si>
    <t>ajustado el 21may2020</t>
  </si>
  <si>
    <t>Llegadas turístas</t>
  </si>
  <si>
    <t>Tasa de Ocupación Hotelera</t>
  </si>
  <si>
    <t>Estancia Media</t>
  </si>
  <si>
    <t>Total Pernoctaciones</t>
  </si>
  <si>
    <t>Tarifa de Habitación Ocupada</t>
  </si>
  <si>
    <t>3 estrellas</t>
  </si>
  <si>
    <t>4 estrellas</t>
  </si>
  <si>
    <t>5 estrellas</t>
  </si>
  <si>
    <t>TOH categoría 5 estrellas 
(Mintur a dic 2018 - proyección a Dic) 12feb2019
(datos 2020: SIIT QT - 4x4 EOH)</t>
  </si>
  <si>
    <t>TOH categoría 4 estrellas 
(Mintur a dic 2018 - proyección a Dic) 12feb2019
(datos 2020: SIIT QT - 4x4 EOH)</t>
  </si>
  <si>
    <t>TOH categoría 3 estrellas 
(Mintur a dic 2018 - proyección a Dic) 12feb2019
(datos 2020: SIIT QT - 4x4 EOH)</t>
  </si>
  <si>
    <t>Tarifa habitación ocupada en el DMQ
(datos 2020: SIIT QT - 4x4 EOH)</t>
  </si>
  <si>
    <t>Tarifa en categoría 5 estrellas
(datos 2020: SIIT QT - 4x4 EOH)</t>
  </si>
  <si>
    <t>Tarifa en categoría 4 estrellas
(datos 2020: SIIT QT - 4x4 EOH)</t>
  </si>
  <si>
    <t>tarifa en categoría 3 estrellas
(datos 2020: SIIT QT - 4x4 EOH)</t>
  </si>
  <si>
    <t>Estancia promedio en Hoteles del DMQ
(datos 2020: SIIT QT - 4x4 EOH)</t>
  </si>
  <si>
    <t>Estancia promedio en Hoteles de 5 estrellas
(datos 2020: SIIT QT - 4x4 EOH)</t>
  </si>
  <si>
    <t>Estancia promedio en Hoteles de 4 estrellas
(datos 2020: SIIT QT - 4x4 EOH)</t>
  </si>
  <si>
    <t>Estancia promedio en Hoteles de 3 estrellas
(datos 2020: SIIT QT - 4x4 EOH)</t>
  </si>
  <si>
    <r>
      <t xml:space="preserve">Tasa de Ocupación Hotelera (TOH) en DMQ 
</t>
    </r>
    <r>
      <rPr>
        <sz val="8"/>
        <color rgb="FF0070C0"/>
        <rFont val="Calibri"/>
        <family val="2"/>
        <scheme val="minor"/>
      </rPr>
      <t>(Mintur a dic 2018 - proyección a Dic) 12feb2019 
(datos 2020: SIIT QT - 4x4 EOH)</t>
    </r>
  </si>
  <si>
    <t xml:space="preserve">1. Reserva de Biósfera del Chocó Andino
2. Mashpi-Guaycuyacu-Sahuangal  
3. Pachijal
4. Yungilla
5.Cerro Puntas
6.Corredor Ecológico del Oso 
7. Camino de los Yumbos
</t>
  </si>
  <si>
    <t>2020 (a la fecha)</t>
  </si>
  <si>
    <t>Estimación; en base a datos Mintur: https://servicios.turismo.gob.ec/visualizador-movimientos</t>
  </si>
  <si>
    <t xml:space="preserve">2021 (e) </t>
  </si>
  <si>
    <t>afectados</t>
  </si>
  <si>
    <t>Dato al 22ENE2021 PA Dir. Calidad</t>
  </si>
  <si>
    <t>Dato AL 31DIC2020; email.22ene2021; Dir. Calidad</t>
  </si>
  <si>
    <t>CTC</t>
  </si>
  <si>
    <t>CENTRO DE TURISMO COMUNITARIO</t>
  </si>
  <si>
    <t>participacion 2021</t>
  </si>
  <si>
    <t>Contamos con un una nueva actividad de CENTRO TURÍSTICO COMUNITARIO, de la cual se registró un establecimiento en el 2019.</t>
  </si>
  <si>
    <t>Dato al 22ENERO 2021 PA Dir, Calidad</t>
  </si>
  <si>
    <t>Dato AL 22ENE2021; Dir. Calidad</t>
  </si>
  <si>
    <t>Registro Turístico</t>
  </si>
  <si>
    <t>Tarifa tasa ($)</t>
  </si>
  <si>
    <t>N° Establecimientos</t>
  </si>
  <si>
    <t>No. Habitaciones</t>
  </si>
  <si>
    <t>No. Plazas</t>
  </si>
  <si>
    <t>ZETs</t>
  </si>
  <si>
    <t>Sector Turístico Geográfico</t>
  </si>
  <si>
    <t>% de participación</t>
  </si>
  <si>
    <t xml:space="preserve">LA MARISCAL GENERA EL 17% DEL TOTAL DE EMPLEOS EN EL SECTOR TURÍSTICO CORRESPONDIENTE AL DMQ
</t>
  </si>
  <si>
    <t>EMPLEOS EN ACTIVIDADES TURÍSTICAS DEL DMQ</t>
  </si>
  <si>
    <t>DIRECTOS</t>
  </si>
  <si>
    <t>INDIRECTOS</t>
  </si>
  <si>
    <t xml:space="preserve">La generación de empleos de La Mariscal en el DMQ, es de un: </t>
  </si>
  <si>
    <t xml:space="preserve">La generación de empleos del Centro Histórico de Quito en el DMQ, es de un: </t>
  </si>
  <si>
    <t>Empleos directos afectados por pandemia 2020-2021</t>
  </si>
  <si>
    <t>Metas Mi Ciudad 2021</t>
  </si>
  <si>
    <t>Fuente datos 2021</t>
  </si>
  <si>
    <t xml:space="preserve">Participación 
x mes 2021 (e) </t>
  </si>
  <si>
    <t>Participación 
x mes 2019</t>
  </si>
  <si>
    <t>Participación 
x mes 2020</t>
  </si>
  <si>
    <t>Variación acumulada % 
2019-2020</t>
  </si>
  <si>
    <t xml:space="preserve">Variación 
% mes 
2019-2020 </t>
  </si>
  <si>
    <t xml:space="preserve">Variación
 # turistas mes
2019-2020 </t>
  </si>
  <si>
    <t xml:space="preserve">Variación
 # turistas mes
2020-2021 (e)  </t>
  </si>
  <si>
    <t xml:space="preserve">Variación 
% mes 
2020-2021 (e)  </t>
  </si>
  <si>
    <t xml:space="preserve">Variación acumulada % 
2020-2021 (e)  </t>
  </si>
  <si>
    <t>ARRIVING 2021</t>
  </si>
  <si>
    <t>Variación arribos internacionales 
2020-2021</t>
  </si>
  <si>
    <t>Variación arribos domésticos
2020-2021</t>
  </si>
  <si>
    <t>Total 2021</t>
  </si>
  <si>
    <t>COMPARISON</t>
  </si>
  <si>
    <t>Domestic Arriving Data was not provided by DGAC yet so we considered it the same as the Domestic Departing passengers.</t>
  </si>
  <si>
    <t>International Arriving Data was based on a preliminary.</t>
  </si>
  <si>
    <t>https://servicios.turismo.gob.ec/visualizador-movimientos</t>
  </si>
  <si>
    <t>Visita diaria estimada</t>
  </si>
  <si>
    <t>Fuente: Sistema Institucional de Indicadores Turísticos - 2021</t>
  </si>
  <si>
    <t>No. Plaza</t>
  </si>
  <si>
    <t>2021
(a la fecha)</t>
  </si>
  <si>
    <t>Proyección al 2023 (número de turistas)</t>
  </si>
  <si>
    <t>Fuente: Datos Sistema Indicadores UIO TUR. 2021</t>
  </si>
  <si>
    <t>Fuente: SIIT 2019-2021 Quito Turismo; UIO_EOH_DIC_2020.xlsm</t>
  </si>
  <si>
    <t>Fuente: SIIT 2019-2021 Quito Turismo; UIO_EOH_ENE_2021.xlsm</t>
  </si>
  <si>
    <t>Encuesta de Ocucación Hotelera (datos principales)</t>
  </si>
  <si>
    <t>Fuente SIIT2019-2021 Qutito Turismo; EOH 2020 y 2021
Fuente: Mintur; HQM; SIIT QT</t>
  </si>
  <si>
    <t>Fuente SIIT2019-2021 Qutito Turismo; EOH 2020 y 2021</t>
  </si>
  <si>
    <t>Fuente: Quito Turismo; Dirección de Calidad; Dato AL 31DIC2020; email.22ene2021;</t>
  </si>
  <si>
    <t>Fuente dato UIO: Proyecciones poblacion DMQ 2030.xlsx</t>
  </si>
  <si>
    <t xml:space="preserve">2021 (a la fecha) </t>
  </si>
  <si>
    <t>Mintur 
(ENE2021)</t>
  </si>
  <si>
    <t>MinTur (e) 
(promedio 2020)</t>
  </si>
  <si>
    <t xml:space="preserve">ene-dic </t>
  </si>
  <si>
    <t>Participación 2019</t>
  </si>
  <si>
    <t xml:space="preserve">Participación 2021 (e) </t>
  </si>
  <si>
    <t xml:space="preserve">Participación 2020 </t>
  </si>
  <si>
    <t>Variación  2019-2020
(pandemia)</t>
  </si>
  <si>
    <t>Variación  2020-2021
(pandemia)
(estimado)</t>
  </si>
  <si>
    <t>Trimestral</t>
  </si>
  <si>
    <t>Portugal</t>
  </si>
  <si>
    <t>China República Popular</t>
  </si>
  <si>
    <t>Promedio 
(desde pandemia) (estimado)</t>
  </si>
  <si>
    <t>Total Mercados Prioritarios</t>
  </si>
  <si>
    <t>Variación  2019-2021
(pandemia)
(estimado)</t>
  </si>
  <si>
    <t>ANUAL</t>
  </si>
  <si>
    <t>PARTICIPACIÓN DE LOS MERCADOS</t>
  </si>
  <si>
    <t>MENSUAL</t>
  </si>
  <si>
    <t>TRIMESTRAL</t>
  </si>
  <si>
    <t>País de Nacionalidad</t>
  </si>
  <si>
    <t>VARIACIÓN INTERANUAL 
DE LOS MERCADOS</t>
  </si>
  <si>
    <t>Datos sugeridos “estancia y gasto recomendados” (sugeridos).- han sido calculados agregando la estancia corta e intermedia (1 a 15 días) de los turistas que visitan Quito por el motivo ocio, recreo y vacaciones, que representan mejor, la masa crítica de turistas que visitan la ciudad.</t>
  </si>
  <si>
    <t>2020 (estimado) total</t>
  </si>
  <si>
    <t>2021 (estimado) total</t>
  </si>
  <si>
    <t>(estimado)</t>
  </si>
  <si>
    <t>Personas 2021</t>
  </si>
  <si>
    <t>Fuente: Quito Turismo; Dato AL 22ENE2021; Dir. Calidad</t>
  </si>
  <si>
    <t>https://servicios.turismo.gob.ec/visualizador-economico</t>
  </si>
  <si>
    <t>2021 Respecto al 2019</t>
  </si>
  <si>
    <t xml:space="preserve">CHQ (e) </t>
  </si>
  <si>
    <t xml:space="preserve">La Mariscal (e) </t>
  </si>
  <si>
    <t xml:space="preserve">Noroccidente (e) </t>
  </si>
  <si>
    <t xml:space="preserve">Mitad del Mundo (e) </t>
  </si>
  <si>
    <t xml:space="preserve">Parroquias Rurales (e) </t>
  </si>
  <si>
    <t xml:space="preserve">Centro Histórico de Quito (e) </t>
  </si>
  <si>
    <t>ZONA</t>
  </si>
  <si>
    <t>VARIACIÓN anual 2020-2021</t>
  </si>
  <si>
    <t>EMPRESA PÚBLICA METROPOLITANA DE GESTIÓN DEL DESTINO TURÍSTICO</t>
  </si>
  <si>
    <t>DESARROLLO Y GESTIÓN</t>
  </si>
  <si>
    <t>ESTADÍSTICAS POR AÑO PUNTOS DE INFORMACIÓN TURÍSTICA</t>
  </si>
  <si>
    <t xml:space="preserve">AÑOS </t>
  </si>
  <si>
    <t>AEROPUERTO INTERNACIONAL</t>
  </si>
  <si>
    <t>MARISCAL / OPC</t>
  </si>
  <si>
    <t xml:space="preserve">  EL QUINDE</t>
  </si>
  <si>
    <t>QUITUMBE</t>
  </si>
  <si>
    <t>TOTAL VISITANTES</t>
  </si>
  <si>
    <t>AÑO 2017</t>
  </si>
  <si>
    <t>AÑO 2018</t>
  </si>
  <si>
    <t>AÑO 2019</t>
  </si>
  <si>
    <t>AÑO 2020</t>
  </si>
  <si>
    <t xml:space="preserve">La Ronda (e) </t>
  </si>
  <si>
    <t>% La Ronda</t>
  </si>
  <si>
    <t>Otros mercados</t>
  </si>
  <si>
    <t>a la fecha 2021</t>
  </si>
  <si>
    <t>FUNDACIÓN MUSEOS DE LA CIUDAD</t>
  </si>
  <si>
    <t>NÚMERO DE VISITANTES FMC</t>
  </si>
  <si>
    <t>TIPO DE VISITANTE</t>
  </si>
  <si>
    <t>MUSEO DE LA CIUDAD</t>
  </si>
  <si>
    <t>MUSEO DEL AGUA</t>
  </si>
  <si>
    <t>MUSEO INTERACTIVO DE CIENCIAS</t>
  </si>
  <si>
    <t>MUSEO DEL CARMEN ALTO</t>
  </si>
  <si>
    <t xml:space="preserve"> GRATUITOS</t>
  </si>
  <si>
    <t>PAGADOS</t>
  </si>
  <si>
    <t>GRATUITOS</t>
  </si>
  <si>
    <t>ADULTO NACIONAL</t>
  </si>
  <si>
    <t>TERCERA EDAD NACIONAL</t>
  </si>
  <si>
    <t>ESTUDIANTE NACIONAL</t>
  </si>
  <si>
    <t>NIÑO NACIONAL</t>
  </si>
  <si>
    <t>NIÑO PREESCOLAR NACIONAL</t>
  </si>
  <si>
    <t>ADULTO EXTRANJERO</t>
  </si>
  <si>
    <t>TERCERA EDAD EXTRANJERO</t>
  </si>
  <si>
    <t>ESTUDIANTE EXTRANJERO</t>
  </si>
  <si>
    <t>NIÑO EXTRANJERO</t>
  </si>
  <si>
    <t>NIÑO PREESCOLAR EXTRANJERO</t>
  </si>
  <si>
    <t>PERSONAS CON DISCAPACIDAD</t>
  </si>
  <si>
    <t>GUIA OTRO IDIOMA</t>
  </si>
  <si>
    <t>RECORRIDOS</t>
  </si>
  <si>
    <t>VACACIONALES</t>
  </si>
  <si>
    <t>TALLERES</t>
  </si>
  <si>
    <t>FERIA DE DULCES</t>
  </si>
  <si>
    <t>EXPOSICIÓN REGGIO EMILIA</t>
  </si>
  <si>
    <t xml:space="preserve">TOTAL  </t>
  </si>
  <si>
    <t>TOTAL VISITANTES POR MUSEO</t>
  </si>
  <si>
    <t>FUENTE: SISTEMA OLYMPO</t>
  </si>
  <si>
    <t>TESORERÍA</t>
  </si>
  <si>
    <t xml:space="preserve"> PAGADOS</t>
  </si>
  <si>
    <t>RECORRIDOS VIRTUALES</t>
  </si>
  <si>
    <t>FUENTE: SISTEMA OPEN BRAVO</t>
  </si>
  <si>
    <t>Pais nacionalidad</t>
  </si>
  <si>
    <t>https://servicios.turismo.gob.ec/index.php/turismo-cifras/2018-09-19-17-01-51/movimientos-internacionales;  y,  https://servicios.turismo.gob.ec/visualizador-movimientos</t>
  </si>
  <si>
    <t>ajustado el 21JULIO2021</t>
  </si>
  <si>
    <t xml:space="preserve">Fuente: </t>
  </si>
  <si>
    <t>Cantidad</t>
  </si>
  <si>
    <t>Con corte al 31 de diciembre de 2008; datos de acuerdo a Calidad; 30jul2021</t>
  </si>
  <si>
    <t>Con corte al 31 de diciembre de 2009; datos de acuerdo a Calidad; 30jul2021</t>
  </si>
  <si>
    <t>Con corte al 31 de diciembre de 2010; datos de acuerdo a Calidad; 30jul2021</t>
  </si>
  <si>
    <t>Con corte al 31 de diciembre de 2011; datos de acuerdo a Calidad; 30jul2021</t>
  </si>
  <si>
    <t>Con corte al 31 de diciembre de 2012; datos de acuerdo a Calidad; 30jul2021</t>
  </si>
  <si>
    <t>Con corte al 31 de diciembre de 2013; datos de acuerdo a Calidad; 30jul2021</t>
  </si>
  <si>
    <t>Con corte al 31 de diciembre de 2014; datos de acuerdo a Calidad; 30jul2021</t>
  </si>
  <si>
    <t>BOH may2021 EPNTECH</t>
  </si>
  <si>
    <t>Dato AL 30jul021; Dir. Calidad, email; (PiA)</t>
  </si>
  <si>
    <t>FUENTE: SICET, corte a jun 2021</t>
  </si>
  <si>
    <t>Comparado con 2019</t>
  </si>
  <si>
    <t>META MC 2020: 250.000</t>
  </si>
  <si>
    <t>Galápagos</t>
  </si>
  <si>
    <t xml:space="preserve">Galápagos (e) </t>
  </si>
  <si>
    <t>Dato QT - SIIT 2021</t>
  </si>
  <si>
    <t>EOH JUN 2021</t>
  </si>
  <si>
    <t>EOH jun 2021</t>
  </si>
  <si>
    <t>2016 - 2019</t>
  </si>
  <si>
    <t>RAKING</t>
  </si>
  <si>
    <t>Quito en América del Sur</t>
  </si>
  <si>
    <t>POSICIÓN</t>
  </si>
  <si>
    <t>Etiquetas de fila</t>
  </si>
  <si>
    <t>Posicion</t>
  </si>
  <si>
    <t>Quito en América Latina</t>
  </si>
  <si>
    <t>Ecuador en América Latina</t>
  </si>
  <si>
    <t>Meta MC 2022: 350.000</t>
  </si>
  <si>
    <t>ajustado el 23sep2021</t>
  </si>
  <si>
    <t>https://servicios.turismo.gob.ec/entradas-y-salidas-internacionales</t>
  </si>
  <si>
    <t>META MC 2021: 350.000</t>
  </si>
  <si>
    <t>Metas Mi Ciudad 2022</t>
  </si>
  <si>
    <t>Fuente datos 2022</t>
  </si>
  <si>
    <t xml:space="preserve">Variación
 # turistas mes
2021-2022 (e)  </t>
  </si>
  <si>
    <t xml:space="preserve">Variación 
% mes 
2021-2022 (e)  </t>
  </si>
  <si>
    <t xml:space="preserve">Variación acumulada % 
2021-2022 (e)  </t>
  </si>
  <si>
    <t xml:space="preserve">2022 (e) </t>
  </si>
  <si>
    <t>1117 M</t>
  </si>
  <si>
    <t>409 mil</t>
  </si>
  <si>
    <t>USD (estimado) 2019</t>
  </si>
  <si>
    <t>Fuente: Banco Central del Ecuador, datos provisionales 2019; Cuentas Nacionales Regionales</t>
  </si>
  <si>
    <t>Fuente: Mintur; Turismo en cifras 2021 dato 2019</t>
  </si>
  <si>
    <t>Fuente: Datos Mintur ABR2019: http://servicios.turismo.gob.ec/index.php/turismo-cifras/2018-09-19-17-01-51/movimientos-internacionales
Fuente: Datos Mintur MAR2020: 
https://servicios.turismo.gob.ec/index.php/turismo-cifras/2018-09-19-17-01-51/movimientos-internacionales
Fuente: MINTUR oct2021 datos 2020: https://servicios.turismo.gob.ec/entradas-y-salidas-internacionales</t>
  </si>
  <si>
    <t>2019</t>
  </si>
  <si>
    <t>2020</t>
  </si>
  <si>
    <t>2021</t>
  </si>
  <si>
    <t>VENTAS TOTALES 2019</t>
  </si>
  <si>
    <t>VENTAS TOTALES 2020</t>
  </si>
  <si>
    <t>VENTAS TOTALES 2021</t>
  </si>
  <si>
    <t>Estimado con Promedio movil de enero a mayo (5 meses) 2021 para datos de los meses finales del año</t>
  </si>
  <si>
    <t>1</t>
  </si>
  <si>
    <t>2</t>
  </si>
  <si>
    <t>3</t>
  </si>
  <si>
    <t>4</t>
  </si>
  <si>
    <t>5</t>
  </si>
  <si>
    <t>6</t>
  </si>
  <si>
    <t>7</t>
  </si>
  <si>
    <t>8</t>
  </si>
  <si>
    <t>9</t>
  </si>
  <si>
    <t>10</t>
  </si>
  <si>
    <t>11</t>
  </si>
  <si>
    <t>12</t>
  </si>
  <si>
    <t>ACTIVIDAD TURISTICA</t>
  </si>
  <si>
    <t>FAMILIA</t>
  </si>
  <si>
    <t>CIUU</t>
  </si>
  <si>
    <t>ACTIVIDAD ECONOMICA</t>
  </si>
  <si>
    <t>DESCRIPCIÓN</t>
  </si>
  <si>
    <t>VENTAS LOCALES 12% (411)</t>
  </si>
  <si>
    <t>VENTAS LOCALES 0% (413)</t>
  </si>
  <si>
    <t>EXPORTACIONES DE BIENES (417)</t>
  </si>
  <si>
    <t>EXPORTACIONES DE SERVICIOS (418)</t>
  </si>
  <si>
    <t>VENTAS</t>
  </si>
  <si>
    <t>EXPORTACIONES</t>
  </si>
  <si>
    <t>VENTAS TOTALES</t>
  </si>
  <si>
    <t>QUIMESTRAL</t>
  </si>
  <si>
    <t>ANUAL (estimado)</t>
  </si>
  <si>
    <t>TRASPORTE TURISTICO</t>
  </si>
  <si>
    <t>H49</t>
  </si>
  <si>
    <t>H491100</t>
  </si>
  <si>
    <t>Transporte de pasajeros por ferrocarriles interurbanos, incluye servicios de coches cama y coches restaurante integrados en los servicios de las compañías de ferrocarril</t>
  </si>
  <si>
    <t>H51</t>
  </si>
  <si>
    <t>H511001</t>
  </si>
  <si>
    <t>Transporte aéreo de pasajeros con itinerarios y horarios establecidos</t>
  </si>
  <si>
    <t>TOUR OPERACIÓN</t>
  </si>
  <si>
    <t>H511002</t>
  </si>
  <si>
    <t>Vuelos panorámicos y turísticos incluye actividades generales de aviación, como: transporte de pasajeros por clubes aéreos con fines de instrucción o de recreo</t>
  </si>
  <si>
    <t>H52</t>
  </si>
  <si>
    <t>H522905</t>
  </si>
  <si>
    <t>Actividades de guías turísticos</t>
  </si>
  <si>
    <t>I55</t>
  </si>
  <si>
    <t>I551001</t>
  </si>
  <si>
    <t>Servicios de alojamiento prestados por hoteles, hoteles de suites, apart hoteles, complejos turísticos, hosterías</t>
  </si>
  <si>
    <t>I551009</t>
  </si>
  <si>
    <t>Otros servicios de alojamientos por corto tiempo: casas de huéspedes; cabañas, chalets, cabañas con servicio de mantenimiento y limpieza, hostales juveniles y refugios de montaña</t>
  </si>
  <si>
    <t>I552000</t>
  </si>
  <si>
    <t>Provisión de alojamiento en campamentos, parques para caravanas, campamentos recreativos y campamentos de caza y de pesca para estancias cortas Espacio e instalaciones para vehículos de recreo Se incluye refugios o simples instalaciones de acampada para plantar tiendas o pernoctar en sacos de dormir</t>
  </si>
  <si>
    <t>I56</t>
  </si>
  <si>
    <t>I561001</t>
  </si>
  <si>
    <t>Restaurantes, cevicherías, picanterías, cafeterías, etcétera, incluido comida para llevar</t>
  </si>
  <si>
    <t>I561002</t>
  </si>
  <si>
    <t>Restaurantes de comida rápida, puestos de refrigerio y establecimientos que ofrecen comida para llevar, reparto de pizza, etcétera; heladerías, fuentes de soda, etcétera</t>
  </si>
  <si>
    <t>I561004</t>
  </si>
  <si>
    <t>Servicios de restaurantes y bares en conexión con transporte cuando son proporcionadas por unidades independientes: bares del aeropuerto, bares terminales terrestres, etcétera</t>
  </si>
  <si>
    <t>I562100</t>
  </si>
  <si>
    <t>Servicio de comidas basado en acuerdos contractuales con el cliente para un evento (banquetes, bodas, fiestas y otras celebraciones, buffet) en la localización especificada por el cliente (abastecedores de eventos)</t>
  </si>
  <si>
    <t>I562901</t>
  </si>
  <si>
    <t>Actividades de contratistas de servicio de comidas (por ejemplo, para compañías de transporte catering)</t>
  </si>
  <si>
    <t>I563001</t>
  </si>
  <si>
    <t>Actividades de preparación y servicio de bebidas para su consumo inmediato en: bares, tabernas, coctelerías, discotecas (con suministro predominante de bebidas) cervecerías y pubs</t>
  </si>
  <si>
    <t>I563002</t>
  </si>
  <si>
    <t>Actividades de preparación y servicio de bebidas para su consumo inmediato en: cafés, tiendas de jugos de fruta, vendedores ambulantes de bebidas, etcétera</t>
  </si>
  <si>
    <t>N</t>
  </si>
  <si>
    <t>N79</t>
  </si>
  <si>
    <t>N791100</t>
  </si>
  <si>
    <t>Actividades de las agencias de viajes dedicadas principalmente a vender servicios de viajes, de viajes organizados, de transporte y de alojamiento, al por mayor o al por menor, al público en general y a clientes comerciales</t>
  </si>
  <si>
    <t>N791200</t>
  </si>
  <si>
    <t>Actividad de Operadores turísticos que se encargan de la planificación y organización de paquetes de servicios de viajes (tours) para su venta a través de agencias de viajes o por los propios operadores turísticos Esos viajes organizados (tours) pueden incluir la totalidad o parte de las siguientes características: transporte, alojamiento, comidas, visitas a museos, lugares históricos o culturales, espectáculos teatrales, musicales o deportivos</t>
  </si>
  <si>
    <t>N799001</t>
  </si>
  <si>
    <t>Prestación de otros servicios de reservas relacionados con los viajes: reservas de transporte, hoteles, restaurantes, alquiler de automóviles, entretenimiento y deporte, etcétera</t>
  </si>
  <si>
    <t>N799002</t>
  </si>
  <si>
    <t>Prestación de servicios de intercambio en régimen de tiempo compartido o multipropiedad</t>
  </si>
  <si>
    <t>N799004</t>
  </si>
  <si>
    <t>Prestación de servicios de asistencia a los turistas: suministro a los clientes de información sobre los viajes, actividades de guías de turismo</t>
  </si>
  <si>
    <t>N799005</t>
  </si>
  <si>
    <t>Actividades de promoción turística</t>
  </si>
  <si>
    <t xml:space="preserve">TRANSPORTE TURISTICO </t>
  </si>
  <si>
    <t>TTOO</t>
  </si>
  <si>
    <t xml:space="preserve">Total al mes de corte: </t>
  </si>
  <si>
    <t xml:space="preserve">Total anual: </t>
  </si>
  <si>
    <t>respecto 2020</t>
  </si>
  <si>
    <t>respecto 2019</t>
  </si>
  <si>
    <t>ventas+export</t>
  </si>
  <si>
    <t>ene-may 2019</t>
  </si>
  <si>
    <t>ene-dic 2019</t>
  </si>
  <si>
    <t>ene-may 2020</t>
  </si>
  <si>
    <t>ene-dic 2020</t>
  </si>
  <si>
    <t>ene-may 2021</t>
  </si>
  <si>
    <t>ene-dic 2021</t>
  </si>
  <si>
    <t>Totales</t>
  </si>
  <si>
    <t xml:space="preserve">Meta 2022: </t>
  </si>
  <si>
    <t xml:space="preserve">% Estimado de afectación </t>
  </si>
  <si>
    <t>% Estimado de afectación - mejora</t>
  </si>
  <si>
    <t>MES</t>
  </si>
  <si>
    <t>EXPORTACIONES  PETROLERAS</t>
  </si>
  <si>
    <t>TASA DE CRECIMIENTO MENSUAL</t>
  </si>
  <si>
    <t>TASA DE CRECIMIENTO ANUAL</t>
  </si>
  <si>
    <t>en Millones</t>
  </si>
  <si>
    <t>Total ene-dic 2019</t>
  </si>
  <si>
    <t>Total ene-dic 2020</t>
  </si>
  <si>
    <t>Diferencia abs</t>
  </si>
  <si>
    <t>Tasa de crecimiento acumulada</t>
  </si>
  <si>
    <t>Total ene-dic 2021</t>
  </si>
  <si>
    <t>QUIMESTRE</t>
  </si>
  <si>
    <t>Total ene-mayo 2020</t>
  </si>
  <si>
    <t>Total ene-mayo 2021</t>
  </si>
  <si>
    <t>Total ene-mayo 2019</t>
  </si>
  <si>
    <t>Valor de ventas locales por actividad turística en el DMQ</t>
  </si>
  <si>
    <t>Variación porcentual interanual de veltas locales turísticas en el DMQ</t>
  </si>
  <si>
    <t>Millones de USD</t>
  </si>
  <si>
    <t>Fuente: SRI; elaborado desde QT con la SDPC</t>
  </si>
  <si>
    <t>datos a mayo 2021 - estimación a dic 2021</t>
  </si>
  <si>
    <t>Ventas locales turísticas en el DMQ</t>
  </si>
  <si>
    <t>Visitantes en Puntos de Información Turística del DMQ</t>
  </si>
  <si>
    <t>Variación porcentual interanual visitantes a Puntos de información</t>
  </si>
  <si>
    <t>Número visitantes</t>
  </si>
  <si>
    <t>Porcentaje</t>
  </si>
  <si>
    <t>TOTAL VISITANTES en puntos información DMQ</t>
  </si>
  <si>
    <t>EL QUINDE</t>
  </si>
  <si>
    <t>Visitantes a MUSEOS del DMQ</t>
  </si>
  <si>
    <t>Variación porcentual interanual visitantes a MUSEOS</t>
  </si>
  <si>
    <t>Fuente: Dirección de Desarrollo Quito Turismo</t>
  </si>
  <si>
    <t>Fuente: Dirección de Desarrollo Quito Turismo y Fundación Museos</t>
  </si>
  <si>
    <t>Valor recaudado por ventas locales en DMQ por actividades turísticas de acuerdo a datos del SRI</t>
  </si>
  <si>
    <t>Bi mensual</t>
  </si>
  <si>
    <t>15 días del bi mes</t>
  </si>
  <si>
    <t>Planificación y SDPC</t>
  </si>
  <si>
    <t>Número de visitantes que llegan a los puntos de información turística administrados por Quito Turismo</t>
  </si>
  <si>
    <t>15 días a cierre de mes</t>
  </si>
  <si>
    <t>Número de visitantes que llegan a la red de museos del DMQ</t>
  </si>
  <si>
    <t xml:space="preserve">AÑO 2021 CON CORTE HASTA SEPTIEMBRE 2021 </t>
  </si>
  <si>
    <t>2021 (e) Corte a la fecha</t>
  </si>
  <si>
    <t>Fuente: Dir. Desarrollo; email.- 22oct2021</t>
  </si>
  <si>
    <t>Fuente: https://servicios.turismo.gob.ec/entradas-y-salidas-internacionales (al 25oct2021)</t>
  </si>
  <si>
    <t>real a la fecha</t>
  </si>
  <si>
    <t>Venezuela (republica Bolivariana de )</t>
  </si>
  <si>
    <t>China (República Popular)</t>
  </si>
  <si>
    <t>Fuente: Sistema Institucional de Indicadores Turísticos - 2015-2016: perfil agosto 2015-2016 - estimado al 2021</t>
  </si>
  <si>
    <t>Dato al 25/10/2021</t>
  </si>
  <si>
    <t>ENERO - SEPTIEMBRE AÑO 2021</t>
  </si>
  <si>
    <t>CENTRO DE ARTE CONTEMPORÁNEO</t>
  </si>
  <si>
    <t xml:space="preserve"> </t>
  </si>
  <si>
    <t>Cumplido</t>
  </si>
  <si>
    <t>Pendiente</t>
  </si>
  <si>
    <t>TOTAL VISITANTES en museos descritos</t>
  </si>
  <si>
    <t>ARTE CONTEMPORÁNEO</t>
  </si>
  <si>
    <t>Elaborado y consolidado: Jefatura de Planificación - Quito Turismo. RB 15DIC2021</t>
  </si>
  <si>
    <t>TOH 2021</t>
  </si>
  <si>
    <t>TOH 2020</t>
  </si>
  <si>
    <t xml:space="preserve">oct (e) </t>
  </si>
  <si>
    <t xml:space="preserve">nov (e) </t>
  </si>
  <si>
    <t xml:space="preserve">dic (e) </t>
  </si>
  <si>
    <t>UIO_EOH_anexo-SEP 2021.xlsm</t>
  </si>
  <si>
    <t>TOH - TASA DE OCUPACIÓN HOTELERA - DMQ</t>
  </si>
  <si>
    <t>EOH - Encuesta de Ocupación Hotelera</t>
  </si>
  <si>
    <t>INGRESOS POR ACTIVIDAD DE ALOJAMIENTO EN EL DMQ</t>
  </si>
  <si>
    <t>INGRESOS 2021</t>
  </si>
  <si>
    <t>INGRESOS 2020</t>
  </si>
  <si>
    <t xml:space="preserve">INGRESOS 2019 (e) </t>
  </si>
  <si>
    <t>BOH sep2021 EPNTECH</t>
  </si>
  <si>
    <t>Fuente: https://servicios.turismo.gob.ec/entradas-y-salidas-internacionales (03ene2022)</t>
  </si>
  <si>
    <t>Estimado 2022</t>
  </si>
  <si>
    <t xml:space="preserve">Participación 2022 (e) </t>
  </si>
  <si>
    <t>Resumen de datos de ingreso de Turistas al DMQ en feriados</t>
  </si>
  <si>
    <t>Datos</t>
  </si>
  <si>
    <t>Fuente</t>
  </si>
  <si>
    <t>Carnaval</t>
  </si>
  <si>
    <t>Semana Santa</t>
  </si>
  <si>
    <t>Día Trabajo</t>
  </si>
  <si>
    <t>Batalla Pichincha</t>
  </si>
  <si>
    <t>Grito de Independencia</t>
  </si>
  <si>
    <t>Independencia de GYE</t>
  </si>
  <si>
    <t>Finados</t>
  </si>
  <si>
    <t>Fiestas Quito</t>
  </si>
  <si>
    <t>Navidad</t>
  </si>
  <si>
    <t>Fin año</t>
  </si>
  <si>
    <t>SubTotales</t>
  </si>
  <si>
    <t>% variación anual</t>
  </si>
  <si>
    <t>+</t>
  </si>
  <si>
    <t>Turistas Internacionales no residentes</t>
  </si>
  <si>
    <t>SIIT - 2018.- datos de migración</t>
  </si>
  <si>
    <t>Pasajeros en Terminales terrestres</t>
  </si>
  <si>
    <t>EPMMOP Gerencia Terminales y Estacionamientos</t>
  </si>
  <si>
    <t>SIIT - 2019.- datos de migración</t>
  </si>
  <si>
    <t>SIIT - 2020</t>
  </si>
  <si>
    <t>Pasajeros en vuelos (AIMS) doméstico</t>
  </si>
  <si>
    <t>EMPSA</t>
  </si>
  <si>
    <t>Desfile Carnaval</t>
  </si>
  <si>
    <t>Urbana</t>
  </si>
  <si>
    <t>Rural</t>
  </si>
  <si>
    <t xml:space="preserve">Alojamiento: situación del turismo para su establecimiento actualmente </t>
  </si>
  <si>
    <t>Peor</t>
  </si>
  <si>
    <t>Igual</t>
  </si>
  <si>
    <t>Mejor</t>
  </si>
  <si>
    <t xml:space="preserve">Alimentos y Bebidas: situación del turismo para su establecimiento actualmente </t>
  </si>
  <si>
    <t xml:space="preserve">Zona Rural: situación del turismo para su establecimiento actualmente </t>
  </si>
  <si>
    <t xml:space="preserve">Zona Urbana: situación del turismo para su establecimiento actualmente </t>
  </si>
  <si>
    <t>Promedio</t>
  </si>
  <si>
    <t>Sumatoria</t>
  </si>
  <si>
    <t>Gasto promedio por pax (estimado)</t>
  </si>
  <si>
    <t>Variación 2018-2019</t>
  </si>
  <si>
    <t>Variación 2019-2020</t>
  </si>
  <si>
    <t>Variación 2020-2021</t>
  </si>
  <si>
    <t>Variación 2021-2022</t>
  </si>
  <si>
    <t>Feriado de CARNAVAL: número de llegadas INTERNACIONALES a la ciudad de Quito</t>
  </si>
  <si>
    <t>Feriado de CARNAVAL: número de ARRIBOS a la ciudad de Quito</t>
  </si>
  <si>
    <r>
      <t xml:space="preserve">2018 </t>
    </r>
    <r>
      <rPr>
        <b/>
        <vertAlign val="superscript"/>
        <sz val="11"/>
        <color rgb="FF000000"/>
        <rFont val="Calibri"/>
        <family val="2"/>
        <scheme val="minor"/>
      </rPr>
      <t>1/</t>
    </r>
  </si>
  <si>
    <t>Estimado 2020</t>
  </si>
  <si>
    <t>14-17 FEB</t>
  </si>
  <si>
    <t>06-09 FEB</t>
  </si>
  <si>
    <t>25-28 FEB</t>
  </si>
  <si>
    <t>10-13 FEB</t>
  </si>
  <si>
    <t>2-5 MAR</t>
  </si>
  <si>
    <t>22-25 febrero</t>
  </si>
  <si>
    <t>13-16FEB</t>
  </si>
  <si>
    <t>Arribo pasajeros</t>
  </si>
  <si>
    <t>25-28FEB</t>
  </si>
  <si>
    <t>Domestico</t>
  </si>
  <si>
    <t>Internacional</t>
  </si>
  <si>
    <t>Llegadas (No residentes)</t>
  </si>
  <si>
    <t>Terminal Quitumbe</t>
  </si>
  <si>
    <t>Terminal Carcelén</t>
  </si>
  <si>
    <t>Fuente: datos Migración 6-9FEB 2016</t>
  </si>
  <si>
    <t>Fuente: datos Migración 25-28FEB 2017</t>
  </si>
  <si>
    <t>Fuente: datos Migración 10-13FEB 2018</t>
  </si>
  <si>
    <t>Fuente: datos Migración 2-5MAR 2019</t>
  </si>
  <si>
    <t>Fuente: Quiport / Dirección MICE – Quito Turismo</t>
  </si>
  <si>
    <t xml:space="preserve">Fuente: EPMMOP Gerencia Terminales y Estacionamientos - 30ABR2019, of. 744-GTE-DTP-  SG1323
</t>
  </si>
  <si>
    <t>Fuente: Dirección de Desarrollo – Quito Turismo, 2021; EPMMOP Gerencia Terminales y Estacionamientos</t>
  </si>
  <si>
    <t>Promedio diario (4 días)</t>
  </si>
  <si>
    <t>fuente: MDMQ</t>
  </si>
  <si>
    <t>Feriado de Semana Santa: número de llegadas INTERNACIONALES a la ciudad de Quito (arribos)</t>
  </si>
  <si>
    <t>Feriado de Semana Santa: número de llegadas a TERMINALES INTERPROVINCIALES a la ciudad de Quito</t>
  </si>
  <si>
    <r>
      <t xml:space="preserve">2017 </t>
    </r>
    <r>
      <rPr>
        <b/>
        <vertAlign val="superscript"/>
        <sz val="11"/>
        <color rgb="FF000000"/>
        <rFont val="Calibri"/>
        <family val="2"/>
        <scheme val="minor"/>
      </rPr>
      <t>1/</t>
    </r>
  </si>
  <si>
    <t>30-31 mar, 1abr</t>
  </si>
  <si>
    <t>18-20 Abr</t>
  </si>
  <si>
    <t>10-12 ABR</t>
  </si>
  <si>
    <t>2-4 abrl</t>
  </si>
  <si>
    <t>2,3,4 ABR</t>
  </si>
  <si>
    <t>24,25,26 ABR</t>
  </si>
  <si>
    <t>13,14,15 ABR</t>
  </si>
  <si>
    <t>29,30,31 mar</t>
  </si>
  <si>
    <t>18-20 ABR</t>
  </si>
  <si>
    <t>Extranjero</t>
  </si>
  <si>
    <t>Doméstico</t>
  </si>
  <si>
    <t>Llegadas (No residentes) (3 DIAS)</t>
  </si>
  <si>
    <t>Fuente: SIIT 2017-2018 - datos Migración</t>
  </si>
  <si>
    <t>Fuente: SIIT 2019 - datos Migración</t>
  </si>
  <si>
    <t>Fuente: datos Operaciones Corporación Quiport / MICE QT 2021</t>
  </si>
  <si>
    <t>Fuente: EPMMOP Gerencia Terminales y Estacionamientos - 12ABR2019, of. 576-GTE-DTP-   SG1101</t>
  </si>
  <si>
    <t>Fuente: EPMMOP Gerencia Terminales y Estacionamientos - 30ABR2019, of. 744-GTE-DTP-  SG1323</t>
  </si>
  <si>
    <t>Procesión (# personas)</t>
  </si>
  <si>
    <t>Promedio diario (3 días)</t>
  </si>
  <si>
    <t>Feriado de DIA TRABAJO: número de llegadas INTERNACIONALES a la ciudad de Quito</t>
  </si>
  <si>
    <t>Feriado de DIA TRABAJO: número de llegadas a la ciudad de Quito</t>
  </si>
  <si>
    <t>30abr, 1may</t>
  </si>
  <si>
    <t>28-30abr,1may</t>
  </si>
  <si>
    <t>3-5 May</t>
  </si>
  <si>
    <t>1-3 Mayo</t>
  </si>
  <si>
    <t>30abr-02may</t>
  </si>
  <si>
    <t>2-3 may</t>
  </si>
  <si>
    <t>29-30 abr, 1may</t>
  </si>
  <si>
    <t>28-30abr, 1may</t>
  </si>
  <si>
    <t>2-5 May</t>
  </si>
  <si>
    <t>29abr-02may</t>
  </si>
  <si>
    <t>Fuente: datos Migración 30ABR y 01MAY 2016</t>
  </si>
  <si>
    <t>Fuente: datos Migración 28-30ABR y 01MAY 2017</t>
  </si>
  <si>
    <t>Fuente: datos Migración 28-30ABR y 01MAY 2018</t>
  </si>
  <si>
    <t>Fuente: EPMMOP Gerencia Terminales y Estacionami+entos - 12ABR2019, of. 576-GTE-DTP- 1101
Fuente: EPMMOP Gerencia Terminales y Estacionamientos - 30ABR2019, of. 744-GTE-DTP-  SG1323</t>
  </si>
  <si>
    <t>Fuente: EPMMOP Gerencia Terminales y Estacionami+entos - 12JUN2019, of. 1605-GTE-DTP- 1018</t>
  </si>
  <si>
    <t>Fuente: Dirección de Desarrollo  - Gerencia de terminales y estacionamientos - 2021</t>
  </si>
  <si>
    <t>Promedio diario (2 días)</t>
  </si>
  <si>
    <t>Feriado de BATALLA PICHINCHA: número de llegadas INTERNACIONALES a la ciudad de Quito</t>
  </si>
  <si>
    <t>Feriado de BATALLA PICHINCHA: número de llegadas a la ciudad de Quito</t>
  </si>
  <si>
    <t>21-24may</t>
  </si>
  <si>
    <t>26-28may</t>
  </si>
  <si>
    <t>25-27may</t>
  </si>
  <si>
    <t>23-25may</t>
  </si>
  <si>
    <t>21-24 mayo</t>
  </si>
  <si>
    <t>22-24may</t>
  </si>
  <si>
    <t>23-26may</t>
  </si>
  <si>
    <t>23-25 may</t>
  </si>
  <si>
    <t>Domésticos</t>
  </si>
  <si>
    <t>Internacionales</t>
  </si>
  <si>
    <t>Fuente: datos Migración 21-24MAY 2016</t>
  </si>
  <si>
    <t>Fuente: datos Migración 26-28MAY 2017</t>
  </si>
  <si>
    <t>Fuente: datos Migración 25-27MAY 2018</t>
  </si>
  <si>
    <t>Fuente: EPMMOP Gerencia Terminales y Estacionamientos - 12ABR2019, of. 576-GTE-DTP- 1101
Fuente: EPMMOP Gerencia Terminales y Estacionamientos - 30ABR2019, of. 744-GTE-DTP-  SG1323</t>
  </si>
  <si>
    <t>Feriado de 10 de Agosto: número de llegadas INTERNACIONALES a la ciudad de Quito</t>
  </si>
  <si>
    <t>Feriado de 10 AGOSTO GRITO INDEPENDENCIA: número de llegadas a la ciudad de Quito</t>
  </si>
  <si>
    <t>11-14 Ago</t>
  </si>
  <si>
    <t>10-13 ago</t>
  </si>
  <si>
    <t>09-12 ago</t>
  </si>
  <si>
    <t>08-10 Ago</t>
  </si>
  <si>
    <t>7-10 Ago</t>
  </si>
  <si>
    <t>6-9 Ago</t>
  </si>
  <si>
    <t>10-13 Ago</t>
  </si>
  <si>
    <t>09-12 Ago</t>
  </si>
  <si>
    <t>Fuente: datos Migración 11-14 Ago 2016</t>
  </si>
  <si>
    <t>Fuente: datos Migración 10-13 Ago 2017</t>
  </si>
  <si>
    <t>Fuente: datos Migración 09-12 Ago 2018</t>
  </si>
  <si>
    <t>Fuente: datos Operaciones Corporación Quiport AGO2020</t>
  </si>
  <si>
    <t>Fuente: EPMMOP; Terminales; of. 2031-GTE-DTP; 10SEP2018</t>
  </si>
  <si>
    <t>oficio No. EPMMOP-GG-0453-2019-OF-17sep2019</t>
  </si>
  <si>
    <t>Fuente: Dir. Desarrollo Chat ago2020</t>
  </si>
  <si>
    <t>Fuente: Dir. Desarrollo 2021</t>
  </si>
  <si>
    <t>Peaje / Contador</t>
  </si>
  <si>
    <t>Ingresos
2020</t>
  </si>
  <si>
    <t>Salidas 
2020</t>
  </si>
  <si>
    <t>Diferencia Ingresos y Salidas</t>
  </si>
  <si>
    <t>Ingresos</t>
  </si>
  <si>
    <t xml:space="preserve">Salidas </t>
  </si>
  <si>
    <t>8-10 Ago</t>
  </si>
  <si>
    <t>Peaje de Machachi</t>
  </si>
  <si>
    <t>Contador Calacalí</t>
  </si>
  <si>
    <t>Peaje Aloag</t>
  </si>
  <si>
    <t>Peaje de Oyacoto</t>
  </si>
  <si>
    <t>Feriado de Independencia de Guayaquil: número de llegadas Domesticas e INTERNACIONALES a la ciudad de Quito</t>
  </si>
  <si>
    <t>Feriado de Independencia de Guayaquil: número de llegadas a TERMINALES INTERPROVINCIALES a la ciudad de Quito</t>
  </si>
  <si>
    <t>08-11oct</t>
  </si>
  <si>
    <t>08-10oct</t>
  </si>
  <si>
    <t>07-10oct</t>
  </si>
  <si>
    <t>Salidas 
(08-11oct-2020)</t>
  </si>
  <si>
    <t>Llegadas
(08-11oct-2020)</t>
  </si>
  <si>
    <t>Salidas de pasajeros
(07-10oct-2020)</t>
  </si>
  <si>
    <t>Llegadas de pasajeros
(07-10oct-2020)</t>
  </si>
  <si>
    <t xml:space="preserve">Salidas de pasajeros
</t>
  </si>
  <si>
    <t xml:space="preserve">Llegadas de pasajeros
</t>
  </si>
  <si>
    <t>(AIMS)</t>
  </si>
  <si>
    <t>diferencia LLvsSA</t>
  </si>
  <si>
    <t>% de llegadas vs Salidas</t>
  </si>
  <si>
    <t xml:space="preserve">Datos de EMPSA vía email de miguel.flores@aeropuertoquito.gob.ec; del 12oct2020 </t>
  </si>
  <si>
    <t>Fuente: EPMMOP Terminales Of. Nro. 0730-EPMMOP-GTE-2020-OF; 11octubre2020</t>
  </si>
  <si>
    <t>Fuente: EPMMOP Terminales Of. Nro. 1115-EPMMOP-GTE-2021-OF; 15octubre2021</t>
  </si>
  <si>
    <t>% de variación interanual</t>
  </si>
  <si>
    <t>Feriado de Finados e Independencia de Cuenca: número de llegadas Domésticas e INTERNACIONALES a la ciudad de Quito</t>
  </si>
  <si>
    <t>Feriado de Finados e Independencia de Cuenca: número de llegadas a TERMINALES INTERPROVINCIALES a la ciudad de Quito</t>
  </si>
  <si>
    <t>2-5 nov</t>
  </si>
  <si>
    <t>1-4 nov</t>
  </si>
  <si>
    <t>31Oct-3nov</t>
  </si>
  <si>
    <t>30oct-03nov</t>
  </si>
  <si>
    <t xml:space="preserve">1-4 nov </t>
  </si>
  <si>
    <t>1 - 4 nov</t>
  </si>
  <si>
    <t>29OCT-03NOV2021</t>
  </si>
  <si>
    <t>Estimado en base a% crecimeitno a la fecha</t>
  </si>
  <si>
    <t>Fuente: EPMMOP Terminales of. 2640-GTE-DTP   SG4082  23NOV2018</t>
  </si>
  <si>
    <t>Fuente: oficio No. EPMMOP-2221-GTE-DTP-DE; 12DIC2019</t>
  </si>
  <si>
    <t>Fuente:Gerente de terminales y estacionamientos - Oficio Nro. 0819-EPMMOP-GTE-2020-OF; 04 de noviembre de 2020 ; 04nov2020</t>
  </si>
  <si>
    <t>Promedio diario (4 días) Internacional</t>
  </si>
  <si>
    <t>Promedio diario (4 días) doméstico</t>
  </si>
  <si>
    <t>Fuente: EMPSA; QUIPORT ; Dirección MICE, 2021</t>
  </si>
  <si>
    <t>Feriado de FIESTAS DE QUITO: número de llegadas INTERNACIONALES a la ciudad de Quito</t>
  </si>
  <si>
    <t>Feriado de FIESTAS DE QUITO: número de llegadas a TERMINALES INTERPROVINCIALES a la ciudad de Quito</t>
  </si>
  <si>
    <t>1-6 dic</t>
  </si>
  <si>
    <t>5-10 dic</t>
  </si>
  <si>
    <t>4-9 dic</t>
  </si>
  <si>
    <t>5-8 dic</t>
  </si>
  <si>
    <t>4-7 dic</t>
  </si>
  <si>
    <t>2-6 dic</t>
  </si>
  <si>
    <t>4-6 dic</t>
  </si>
  <si>
    <t>3-6 dic</t>
  </si>
  <si>
    <t>8-10dic</t>
  </si>
  <si>
    <t>7-9 dic</t>
  </si>
  <si>
    <t>5-7 dic</t>
  </si>
  <si>
    <t>2-6dic</t>
  </si>
  <si>
    <t>Promedio diario (5 días)</t>
  </si>
  <si>
    <t>Promedio diario (6 días)</t>
  </si>
  <si>
    <t>Fuente: EMPSA; QUIPORT ; Dirección MICE, 2020</t>
  </si>
  <si>
    <t>Gasto internacional</t>
  </si>
  <si>
    <t>Gasto Nacional</t>
  </si>
  <si>
    <t>Internacional + nacional total gasto</t>
  </si>
  <si>
    <t>Feriado de Navidad: número de llegadas INTERNACIONALES a la ciudad de Quito</t>
  </si>
  <si>
    <t>Feriado de Navidad: número de llegadas a TERMINALES INTERPROVINCIALES a la ciudad de Quito</t>
  </si>
  <si>
    <t>23-26dic</t>
  </si>
  <si>
    <t>Promedio diario (días)</t>
  </si>
  <si>
    <t>Feriado de Fin de Año: número de llegadas INTERNACIONALES a la ciudad de Quito</t>
  </si>
  <si>
    <t>Feriado de Fin de Año: número de llegadas a TERMINALES INTERPROVINCIALES a la ciudad de Quito</t>
  </si>
  <si>
    <t>30dic-02ene</t>
  </si>
  <si>
    <t>Visitantes 2018</t>
  </si>
  <si>
    <t>Visitantes 2019</t>
  </si>
  <si>
    <t>Visitantes 2020</t>
  </si>
  <si>
    <t>Visitantes 2021</t>
  </si>
  <si>
    <t>Visitantes 2022</t>
  </si>
  <si>
    <t>Gasto promedio 2018</t>
  </si>
  <si>
    <t>Gasto promedio 2019</t>
  </si>
  <si>
    <t>Gasto promedio 2020</t>
  </si>
  <si>
    <t>Gasto promedio 2021</t>
  </si>
  <si>
    <t>Gasto promedio 2022</t>
  </si>
  <si>
    <t>Navidad y Fin de Año</t>
  </si>
  <si>
    <t>Pax diarios</t>
  </si>
  <si>
    <t>BOH OCT2021 EPNTECH</t>
  </si>
  <si>
    <t>ajustado el 25ene2022</t>
  </si>
  <si>
    <t>EOH oct 2021</t>
  </si>
  <si>
    <t>1,,15</t>
  </si>
  <si>
    <t>EOH OCT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</si>
</sst>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2">
    <numFmt numFmtId="43" formatCode="_ * #,##0.00_ ;_ * \-#,##0.00_ ;_ * &quot;-&quot;??_ ;_ @_ "/>
    <numFmt numFmtId="164" formatCode="_-* #,##0.00\ _€_-;\-* #,##0.00\ _€_-;_-* &quot;-&quot;??\ _€_-;_-@_-"/>
    <numFmt numFmtId="165" formatCode="_(&quot;$&quot;\ * #,##0.00_);_(&quot;$&quot;\ * \(#,##0.00\);_(&quot;$&quot;\ * &quot;-&quot;??_);_(@_)"/>
    <numFmt numFmtId="166" formatCode="_(* #,##0.00_);_(* \(#,##0.00\);_(* &quot;-&quot;??_);_(@_)"/>
    <numFmt numFmtId="167" formatCode="0.0%"/>
    <numFmt numFmtId="168" formatCode="_(* #,##0_);_(* \(#,##0\);_(* &quot;-&quot;??_);_(@_)"/>
    <numFmt numFmtId="169" formatCode="#,##0.000"/>
    <numFmt numFmtId="170" formatCode="#,##0.0"/>
    <numFmt numFmtId="171" formatCode="0.0"/>
    <numFmt numFmtId="172" formatCode="_ * #,##0_ ;_ * \-#,##0_ ;_ * &quot;-&quot;??_ ;_ @_ "/>
    <numFmt numFmtId="173" formatCode="###0.0"/>
    <numFmt numFmtId="174" formatCode="####.0"/>
    <numFmt numFmtId="175" formatCode="#,##0.0000"/>
    <numFmt numFmtId="176" formatCode="0.0000000"/>
    <numFmt numFmtId="177" formatCode="###0.00"/>
    <numFmt numFmtId="178" formatCode="0.000000%"/>
    <numFmt numFmtId="179" formatCode="0.0000"/>
    <numFmt numFmtId="180" formatCode="_(&quot;$&quot;\ * #,##0.0_);_(&quot;$&quot;\ * \(#,##0.0\);_(&quot;$&quot;\ * &quot;-&quot;??_);_(@_)"/>
    <numFmt numFmtId="181" formatCode="mmm\-yyyy"/>
    <numFmt numFmtId="182" formatCode="&quot;$&quot;\ #,##0.00"/>
    <numFmt numFmtId="183" formatCode="#,##0\ [$€-1];[Red]\-#,##0\ [$€-1]"/>
    <numFmt numFmtId="184" formatCode="_-* #,##0.00\ _$_-;\-* #,##0.00\ _$_-;_-* &quot;-&quot;??\ _$_-;_-@_-"/>
  </numFmts>
  <fonts count="297">
    <font>
      <sz val="11"/>
      <color theme="1"/>
      <name val="Calibri"/>
      <family val="2"/>
      <scheme val="minor"/>
    </font>
    <font>
      <sz val="11"/>
      <color theme="1"/>
      <name val="Calibri"/>
      <family val="2"/>
      <scheme val="minor"/>
    </font>
    <font>
      <sz val="10"/>
      <name val="Arial"/>
      <family val="2"/>
    </font>
    <font>
      <b/>
      <sz val="9"/>
      <color indexed="81"/>
      <name val="Tahoma"/>
      <family val="2"/>
    </font>
    <font>
      <sz val="9"/>
      <color indexed="81"/>
      <name val="Tahoma"/>
      <family val="2"/>
    </font>
    <font>
      <sz val="10"/>
      <color theme="1"/>
      <name val="Calibri"/>
      <family val="2"/>
      <scheme val="minor"/>
    </font>
    <font>
      <b/>
      <sz val="10"/>
      <name val="Calibri"/>
      <family val="2"/>
      <scheme val="minor"/>
    </font>
    <font>
      <sz val="10"/>
      <name val="Calibri"/>
      <family val="2"/>
      <scheme val="minor"/>
    </font>
    <font>
      <b/>
      <sz val="10"/>
      <name val="Arial"/>
      <family val="2"/>
    </font>
    <font>
      <sz val="9"/>
      <name val="Arial"/>
      <family val="2"/>
    </font>
    <font>
      <sz val="9"/>
      <color theme="1"/>
      <name val="Calibri"/>
      <family val="2"/>
      <scheme val="minor"/>
    </font>
    <font>
      <sz val="8"/>
      <name val="Calibri"/>
      <family val="2"/>
      <scheme val="minor"/>
    </font>
    <font>
      <sz val="8"/>
      <color theme="1"/>
      <name val="Calibri"/>
      <family val="2"/>
      <scheme val="minor"/>
    </font>
    <font>
      <sz val="8"/>
      <name val="Arial"/>
      <family val="2"/>
    </font>
    <font>
      <b/>
      <sz val="10"/>
      <color indexed="12"/>
      <name val="Calibri"/>
      <family val="2"/>
      <scheme val="minor"/>
    </font>
    <font>
      <b/>
      <sz val="10"/>
      <color theme="3" tint="-0.499984740745262"/>
      <name val="Calibri"/>
      <family val="2"/>
      <scheme val="minor"/>
    </font>
    <font>
      <sz val="10"/>
      <color rgb="FF000000"/>
      <name val="Calibri"/>
      <family val="2"/>
      <scheme val="minor"/>
    </font>
    <font>
      <b/>
      <sz val="10"/>
      <color theme="1"/>
      <name val="Calibri"/>
      <family val="2"/>
      <scheme val="minor"/>
    </font>
    <font>
      <b/>
      <sz val="14"/>
      <name val="Calibri"/>
      <family val="2"/>
      <scheme val="minor"/>
    </font>
    <font>
      <sz val="9"/>
      <name val="Calibri"/>
      <family val="2"/>
      <scheme val="minor"/>
    </font>
    <font>
      <b/>
      <sz val="8"/>
      <color theme="1"/>
      <name val="Calibri"/>
      <family val="2"/>
      <scheme val="minor"/>
    </font>
    <font>
      <u/>
      <sz val="9.35"/>
      <color theme="10"/>
      <name val="Calibri"/>
      <family val="2"/>
    </font>
    <font>
      <b/>
      <sz val="18"/>
      <color theme="1"/>
      <name val="Calibri"/>
      <family val="2"/>
      <scheme val="minor"/>
    </font>
    <font>
      <b/>
      <sz val="16"/>
      <color theme="1"/>
      <name val="Calibri"/>
      <family val="2"/>
      <scheme val="minor"/>
    </font>
    <font>
      <b/>
      <sz val="11"/>
      <name val="Arial"/>
      <family val="2"/>
    </font>
    <font>
      <b/>
      <sz val="11"/>
      <color theme="3" tint="-0.499984740745262"/>
      <name val="Arial"/>
      <family val="2"/>
    </font>
    <font>
      <b/>
      <sz val="11"/>
      <color theme="1"/>
      <name val="Calibri"/>
      <family val="2"/>
      <scheme val="minor"/>
    </font>
    <font>
      <sz val="12"/>
      <color rgb="FF000000"/>
      <name val="Calibri"/>
      <family val="2"/>
      <scheme val="minor"/>
    </font>
    <font>
      <b/>
      <sz val="9"/>
      <color theme="1"/>
      <name val="Calibri"/>
      <family val="2"/>
      <scheme val="minor"/>
    </font>
    <font>
      <sz val="11"/>
      <name val="Arial"/>
      <family val="2"/>
    </font>
    <font>
      <b/>
      <sz val="11"/>
      <name val="Calibri"/>
      <family val="2"/>
      <scheme val="minor"/>
    </font>
    <font>
      <b/>
      <sz val="12"/>
      <color theme="1"/>
      <name val="Calibri"/>
      <family val="2"/>
      <scheme val="minor"/>
    </font>
    <font>
      <b/>
      <sz val="14"/>
      <color theme="1"/>
      <name val="Calibri"/>
      <family val="2"/>
      <scheme val="minor"/>
    </font>
    <font>
      <sz val="11"/>
      <color rgb="FF3F3F76"/>
      <name val="Calibri"/>
      <family val="2"/>
      <scheme val="minor"/>
    </font>
    <font>
      <sz val="10"/>
      <name val="Arial"/>
      <family val="2"/>
    </font>
    <font>
      <u/>
      <sz val="10"/>
      <color theme="10"/>
      <name val="Arial"/>
      <family val="2"/>
    </font>
    <font>
      <sz val="11"/>
      <color theme="0" tint="-0.14999847407452621"/>
      <name val="Calibri"/>
      <family val="2"/>
      <scheme val="minor"/>
    </font>
    <font>
      <sz val="10"/>
      <name val="Arial"/>
      <family val="2"/>
    </font>
    <font>
      <sz val="11"/>
      <color theme="1" tint="0.499984740745262"/>
      <name val="Calibri"/>
      <family val="2"/>
      <scheme val="minor"/>
    </font>
    <font>
      <sz val="12"/>
      <color theme="1"/>
      <name val="Calibri"/>
      <family val="2"/>
      <charset val="136"/>
      <scheme val="minor"/>
    </font>
    <font>
      <b/>
      <sz val="9"/>
      <color indexed="16"/>
      <name val="Arial"/>
      <family val="2"/>
    </font>
    <font>
      <b/>
      <sz val="8"/>
      <name val="Arial"/>
      <family val="2"/>
    </font>
    <font>
      <b/>
      <sz val="8"/>
      <color indexed="16"/>
      <name val="Arial"/>
      <family val="2"/>
    </font>
    <font>
      <sz val="8"/>
      <color indexed="8"/>
      <name val="Arial"/>
      <family val="2"/>
    </font>
    <font>
      <b/>
      <sz val="8"/>
      <color theme="5"/>
      <name val="Arial"/>
      <family val="2"/>
    </font>
    <font>
      <sz val="8"/>
      <color theme="5"/>
      <name val="Arial"/>
      <family val="2"/>
    </font>
    <font>
      <sz val="11"/>
      <color rgb="FFFF0000"/>
      <name val="Calibri"/>
      <family val="2"/>
      <scheme val="minor"/>
    </font>
    <font>
      <b/>
      <sz val="10"/>
      <color rgb="FF000000"/>
      <name val="Calibri"/>
      <family val="2"/>
      <scheme val="minor"/>
    </font>
    <font>
      <b/>
      <sz val="10"/>
      <color rgb="FFFF0000"/>
      <name val="Calibri"/>
      <family val="2"/>
      <scheme val="minor"/>
    </font>
    <font>
      <b/>
      <sz val="10"/>
      <color rgb="FFFF0000"/>
      <name val="Arial"/>
      <family val="2"/>
    </font>
    <font>
      <sz val="10"/>
      <name val="Arial"/>
      <family val="2"/>
    </font>
    <font>
      <sz val="8"/>
      <color rgb="FF0070C0"/>
      <name val="Arial"/>
      <family val="2"/>
    </font>
    <font>
      <b/>
      <sz val="8"/>
      <color rgb="FF0070C0"/>
      <name val="Arial"/>
      <family val="2"/>
    </font>
    <font>
      <b/>
      <sz val="7"/>
      <color rgb="FF0070C0"/>
      <name val="Arial"/>
      <family val="2"/>
    </font>
    <font>
      <sz val="11"/>
      <color rgb="FF000000"/>
      <name val="Tahoma"/>
      <family val="2"/>
    </font>
    <font>
      <b/>
      <sz val="11"/>
      <color indexed="12"/>
      <name val="Calibri"/>
      <family val="2"/>
      <scheme val="minor"/>
    </font>
    <font>
      <b/>
      <sz val="10"/>
      <color indexed="56"/>
      <name val="Calibri"/>
      <family val="2"/>
      <scheme val="minor"/>
    </font>
    <font>
      <b/>
      <sz val="10"/>
      <color theme="6" tint="-0.499984740745262"/>
      <name val="Calibri"/>
      <family val="2"/>
      <scheme val="minor"/>
    </font>
    <font>
      <b/>
      <sz val="11"/>
      <color theme="3" tint="-0.499984740745262"/>
      <name val="Calibri"/>
      <family val="2"/>
      <scheme val="minor"/>
    </font>
    <font>
      <b/>
      <sz val="11"/>
      <color indexed="56"/>
      <name val="Calibri"/>
      <family val="2"/>
      <scheme val="minor"/>
    </font>
    <font>
      <b/>
      <sz val="11"/>
      <color indexed="16"/>
      <name val="Calibri"/>
      <family val="2"/>
      <scheme val="minor"/>
    </font>
    <font>
      <sz val="11"/>
      <name val="Calibri"/>
      <family val="2"/>
      <scheme val="minor"/>
    </font>
    <font>
      <b/>
      <sz val="11"/>
      <color indexed="48"/>
      <name val="Calibri"/>
      <family val="2"/>
      <scheme val="minor"/>
    </font>
    <font>
      <b/>
      <sz val="11"/>
      <color rgb="FF0070C0"/>
      <name val="Calibri"/>
      <family val="2"/>
      <scheme val="minor"/>
    </font>
    <font>
      <b/>
      <sz val="11"/>
      <color theme="5" tint="-0.249977111117893"/>
      <name val="Arial"/>
      <family val="2"/>
    </font>
    <font>
      <b/>
      <sz val="11"/>
      <color rgb="FF0070C0"/>
      <name val="Arial"/>
      <family val="2"/>
    </font>
    <font>
      <b/>
      <sz val="14"/>
      <name val="Arial Unicode MS"/>
      <family val="2"/>
    </font>
    <font>
      <b/>
      <sz val="9"/>
      <color indexed="8"/>
      <name val="Arial Bold"/>
    </font>
    <font>
      <sz val="9"/>
      <color indexed="8"/>
      <name val="Arial"/>
      <family val="2"/>
    </font>
    <font>
      <b/>
      <sz val="9"/>
      <color indexed="8"/>
      <name val="Arial"/>
      <family val="2"/>
    </font>
    <font>
      <b/>
      <sz val="12"/>
      <name val="Arial Unicode MS"/>
      <family val="2"/>
    </font>
    <font>
      <sz val="10"/>
      <name val="Arial"/>
      <family val="2"/>
    </font>
    <font>
      <sz val="10"/>
      <name val="Arial"/>
      <family val="2"/>
    </font>
    <font>
      <sz val="11"/>
      <color rgb="FF0070C0"/>
      <name val="Calibri"/>
      <family val="2"/>
      <scheme val="minor"/>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b/>
      <sz val="8"/>
      <color theme="0" tint="-0.249977111117893"/>
      <name val="Arial"/>
      <family val="2"/>
    </font>
    <font>
      <sz val="10"/>
      <name val="Arial"/>
      <family val="2"/>
    </font>
    <font>
      <u/>
      <sz val="11"/>
      <color theme="10"/>
      <name val="Calibri"/>
      <family val="2"/>
      <scheme val="minor"/>
    </font>
    <font>
      <b/>
      <u/>
      <sz val="9"/>
      <name val="Arial"/>
      <family val="2"/>
    </font>
    <font>
      <b/>
      <sz val="9"/>
      <name val="Arial"/>
      <family val="2"/>
    </font>
    <font>
      <b/>
      <sz val="9"/>
      <name val="Arial Unicode MS"/>
      <family val="2"/>
    </font>
    <font>
      <sz val="10"/>
      <color theme="0" tint="-0.499984740745262"/>
      <name val="Calibri"/>
      <family val="2"/>
      <scheme val="minor"/>
    </font>
    <font>
      <sz val="10"/>
      <name val="Arial"/>
      <family val="2"/>
    </font>
    <font>
      <sz val="10"/>
      <name val="Arial"/>
      <family val="2"/>
    </font>
    <font>
      <sz val="12"/>
      <name val="Calibri"/>
      <family val="2"/>
      <scheme val="minor"/>
    </font>
    <font>
      <b/>
      <sz val="12"/>
      <name val="Calibri"/>
      <family val="2"/>
      <scheme val="minor"/>
    </font>
    <font>
      <sz val="12"/>
      <color theme="1"/>
      <name val="Calibri"/>
      <family val="2"/>
      <scheme val="minor"/>
    </font>
    <font>
      <sz val="14"/>
      <name val="Calibri"/>
      <family val="2"/>
      <scheme val="minor"/>
    </font>
    <font>
      <sz val="14"/>
      <color theme="0"/>
      <name val="Calibri"/>
      <family val="2"/>
      <scheme val="minor"/>
    </font>
    <font>
      <b/>
      <sz val="14"/>
      <color theme="0"/>
      <name val="Calibri"/>
      <family val="2"/>
      <scheme val="minor"/>
    </font>
    <font>
      <b/>
      <sz val="12"/>
      <color theme="5" tint="-0.249977111117893"/>
      <name val="Arial"/>
      <family val="2"/>
    </font>
    <font>
      <b/>
      <sz val="12"/>
      <color rgb="FF222222"/>
      <name val="Times New Roman"/>
      <family val="1"/>
    </font>
    <font>
      <sz val="5"/>
      <color theme="1"/>
      <name val="Calibri"/>
      <family val="2"/>
      <scheme val="minor"/>
    </font>
    <font>
      <sz val="7"/>
      <color theme="1"/>
      <name val="Calibri"/>
      <family val="2"/>
      <scheme val="minor"/>
    </font>
    <font>
      <sz val="8"/>
      <color theme="0" tint="-0.499984740745262"/>
      <name val="Calibri"/>
      <family val="2"/>
      <scheme val="minor"/>
    </font>
    <font>
      <sz val="9"/>
      <color theme="5" tint="-0.249977111117893"/>
      <name val="Arial"/>
      <family val="2"/>
    </font>
    <font>
      <sz val="10"/>
      <color rgb="FF0070C0"/>
      <name val="Calibri"/>
      <family val="2"/>
      <scheme val="minor"/>
    </font>
    <font>
      <sz val="10"/>
      <color rgb="FFFF0000"/>
      <name val="Calibri"/>
      <family val="2"/>
      <scheme val="minor"/>
    </font>
    <font>
      <b/>
      <sz val="10"/>
      <color theme="0" tint="-0.499984740745262"/>
      <name val="Calibri"/>
      <family val="2"/>
      <scheme val="minor"/>
    </font>
    <font>
      <sz val="10"/>
      <name val="Arial"/>
      <family val="2"/>
    </font>
    <font>
      <sz val="8"/>
      <color rgb="FF00B050"/>
      <name val="Arial"/>
      <family val="2"/>
    </font>
    <font>
      <sz val="8"/>
      <color theme="9" tint="-0.499984740745262"/>
      <name val="Arial"/>
      <family val="2"/>
    </font>
    <font>
      <b/>
      <sz val="8"/>
      <color theme="9" tint="-0.499984740745262"/>
      <name val="Arial"/>
      <family val="2"/>
    </font>
    <font>
      <b/>
      <sz val="7"/>
      <color theme="1" tint="0.34998626667073579"/>
      <name val="Arial"/>
      <family val="2"/>
    </font>
    <font>
      <b/>
      <sz val="8"/>
      <color theme="1" tint="0.34998626667073579"/>
      <name val="Arial"/>
      <family val="2"/>
    </font>
    <font>
      <sz val="10"/>
      <color theme="0" tint="-0.14999847407452621"/>
      <name val="Calibri"/>
      <family val="2"/>
      <scheme val="minor"/>
    </font>
    <font>
      <sz val="10"/>
      <name val="Arial"/>
      <family val="2"/>
    </font>
    <font>
      <u/>
      <sz val="10"/>
      <color theme="10"/>
      <name val="Calibri"/>
      <family val="2"/>
      <scheme val="minor"/>
    </font>
    <font>
      <b/>
      <sz val="9"/>
      <name val="Calibri"/>
      <family val="2"/>
      <scheme val="minor"/>
    </font>
    <font>
      <sz val="8"/>
      <color theme="4" tint="0.59999389629810485"/>
      <name val="Arial"/>
      <family val="2"/>
    </font>
    <font>
      <sz val="12"/>
      <color theme="0" tint="-0.499984740745262"/>
      <name val="Calibri"/>
      <family val="2"/>
      <scheme val="minor"/>
    </font>
    <font>
      <b/>
      <sz val="12"/>
      <color rgb="FFFF0000"/>
      <name val="Calibri"/>
      <family val="2"/>
      <scheme val="minor"/>
    </font>
    <font>
      <b/>
      <sz val="8"/>
      <color theme="0" tint="-0.34998626667073579"/>
      <name val="Arial"/>
      <family val="2"/>
    </font>
    <font>
      <sz val="8"/>
      <color theme="0" tint="-0.34998626667073579"/>
      <name val="Arial"/>
      <family val="2"/>
    </font>
    <font>
      <sz val="8"/>
      <color rgb="FFFF0000"/>
      <name val="Calibri"/>
      <family val="2"/>
      <scheme val="minor"/>
    </font>
    <font>
      <b/>
      <sz val="8"/>
      <color theme="5" tint="-0.249977111117893"/>
      <name val="Calibri"/>
      <family val="2"/>
      <scheme val="minor"/>
    </font>
    <font>
      <b/>
      <sz val="16"/>
      <name val="Calibri"/>
      <family val="2"/>
      <scheme val="minor"/>
    </font>
    <font>
      <sz val="16"/>
      <color rgb="FFFF0000"/>
      <name val="Calibri"/>
      <family val="2"/>
      <scheme val="minor"/>
    </font>
    <font>
      <sz val="10"/>
      <name val="Arial"/>
      <family val="2"/>
    </font>
    <font>
      <sz val="7"/>
      <name val="Calibri"/>
      <family val="2"/>
      <scheme val="minor"/>
    </font>
    <font>
      <sz val="7"/>
      <color theme="0" tint="-0.499984740745262"/>
      <name val="Calibri"/>
      <family val="2"/>
      <scheme val="minor"/>
    </font>
    <font>
      <sz val="8"/>
      <color rgb="FF0070C0"/>
      <name val="Calibri"/>
      <family val="2"/>
      <scheme val="minor"/>
    </font>
    <font>
      <sz val="7"/>
      <color rgb="FFFF0000"/>
      <name val="Calibri"/>
      <family val="2"/>
      <scheme val="minor"/>
    </font>
    <font>
      <sz val="8"/>
      <color theme="0" tint="-0.249977111117893"/>
      <name val="Calibri"/>
      <family val="2"/>
      <scheme val="minor"/>
    </font>
    <font>
      <b/>
      <sz val="12"/>
      <color theme="2" tint="-0.749992370372631"/>
      <name val="Arial Unicode MS"/>
      <family val="2"/>
    </font>
    <font>
      <b/>
      <sz val="9"/>
      <color rgb="FF000000"/>
      <name val="Arial"/>
      <family val="2"/>
    </font>
    <font>
      <sz val="11"/>
      <color rgb="FF000000"/>
      <name val="Calibri"/>
      <family val="2"/>
      <scheme val="minor"/>
    </font>
    <font>
      <b/>
      <sz val="7"/>
      <name val="Calibri"/>
      <family val="2"/>
      <scheme val="minor"/>
    </font>
    <font>
      <b/>
      <sz val="18"/>
      <color theme="0" tint="-0.499984740745262"/>
      <name val="Calibri"/>
      <family val="2"/>
      <scheme val="minor"/>
    </font>
    <font>
      <b/>
      <sz val="14"/>
      <color theme="0" tint="-0.34998626667073579"/>
      <name val="Calibri"/>
      <family val="2"/>
      <scheme val="minor"/>
    </font>
    <font>
      <sz val="10"/>
      <color theme="0" tint="-0.34998626667073579"/>
      <name val="Calibri"/>
      <family val="2"/>
      <scheme val="minor"/>
    </font>
    <font>
      <b/>
      <sz val="11"/>
      <color theme="1" tint="0.499984740745262"/>
      <name val="Calibri"/>
      <family val="2"/>
      <scheme val="minor"/>
    </font>
    <font>
      <sz val="9"/>
      <color theme="1" tint="0.499984740745262"/>
      <name val="Calibri"/>
      <family val="2"/>
      <scheme val="minor"/>
    </font>
    <font>
      <sz val="7"/>
      <color theme="1" tint="0.499984740745262"/>
      <name val="Calibri"/>
      <family val="2"/>
      <scheme val="minor"/>
    </font>
    <font>
      <sz val="5"/>
      <color theme="1" tint="0.499984740745262"/>
      <name val="Calibri"/>
      <family val="2"/>
      <scheme val="minor"/>
    </font>
    <font>
      <sz val="9"/>
      <color theme="0"/>
      <name val="Arial"/>
      <family val="2"/>
    </font>
    <font>
      <sz val="8"/>
      <color rgb="FF000000"/>
      <name val="Calibri"/>
      <family val="2"/>
      <scheme val="minor"/>
    </font>
    <font>
      <sz val="8"/>
      <color theme="0"/>
      <name val="Calibri"/>
      <family val="2"/>
      <scheme val="minor"/>
    </font>
    <font>
      <sz val="10"/>
      <name val="Arial"/>
      <family val="2"/>
    </font>
    <font>
      <sz val="11"/>
      <color indexed="16"/>
      <name val="Calibri"/>
      <family val="2"/>
      <scheme val="minor"/>
    </font>
    <font>
      <b/>
      <sz val="11"/>
      <color rgb="FFFF0000"/>
      <name val="Calibri"/>
      <family val="2"/>
      <scheme val="minor"/>
    </font>
    <font>
      <b/>
      <sz val="10"/>
      <color rgb="FF0070C0"/>
      <name val="Calibri"/>
      <family val="2"/>
      <scheme val="minor"/>
    </font>
    <font>
      <sz val="8"/>
      <color rgb="FFFFFF00"/>
      <name val="Calibri"/>
      <family val="2"/>
      <scheme val="minor"/>
    </font>
    <font>
      <sz val="9"/>
      <color rgb="FFC00000"/>
      <name val="Calibri"/>
      <family val="2"/>
      <scheme val="minor"/>
    </font>
    <font>
      <sz val="6"/>
      <color indexed="8"/>
      <name val="Arial"/>
      <family val="2"/>
    </font>
    <font>
      <b/>
      <sz val="11"/>
      <color rgb="FF000000"/>
      <name val="Calibri"/>
      <family val="2"/>
      <scheme val="minor"/>
    </font>
    <font>
      <b/>
      <sz val="8"/>
      <color theme="0" tint="-0.499984740745262"/>
      <name val="Calibri"/>
      <family val="2"/>
      <scheme val="minor"/>
    </font>
    <font>
      <b/>
      <sz val="8"/>
      <name val="Calibri"/>
      <family val="2"/>
      <scheme val="minor"/>
    </font>
    <font>
      <b/>
      <sz val="12"/>
      <color rgb="FFC00000"/>
      <name val="Calibri"/>
      <family val="2"/>
      <scheme val="minor"/>
    </font>
    <font>
      <b/>
      <sz val="12"/>
      <color rgb="FF0070C0"/>
      <name val="Calibri"/>
      <family val="2"/>
      <scheme val="minor"/>
    </font>
    <font>
      <sz val="12"/>
      <color rgb="FF0070C0"/>
      <name val="Calibri"/>
      <family val="2"/>
      <scheme val="minor"/>
    </font>
    <font>
      <b/>
      <sz val="11"/>
      <color theme="5" tint="-0.249977111117893"/>
      <name val="Calibri"/>
      <family val="2"/>
      <scheme val="minor"/>
    </font>
    <font>
      <b/>
      <sz val="11"/>
      <color rgb="FFFFC000"/>
      <name val="Calibri"/>
      <family val="2"/>
      <scheme val="minor"/>
    </font>
    <font>
      <b/>
      <sz val="12"/>
      <color theme="3" tint="-0.499984740745262"/>
      <name val="Calibri"/>
      <family val="2"/>
      <scheme val="minor"/>
    </font>
    <font>
      <b/>
      <sz val="11"/>
      <color indexed="59"/>
      <name val="Calibri"/>
      <family val="2"/>
      <scheme val="minor"/>
    </font>
    <font>
      <b/>
      <sz val="12"/>
      <color indexed="59"/>
      <name val="Calibri"/>
      <family val="2"/>
      <scheme val="minor"/>
    </font>
    <font>
      <b/>
      <sz val="12"/>
      <color indexed="56"/>
      <name val="Calibri"/>
      <family val="2"/>
      <scheme val="minor"/>
    </font>
    <font>
      <b/>
      <u/>
      <sz val="10"/>
      <color theme="6"/>
      <name val="Calibri"/>
      <family val="2"/>
      <scheme val="minor"/>
    </font>
    <font>
      <b/>
      <sz val="10"/>
      <color indexed="63"/>
      <name val="Calibri"/>
      <family val="2"/>
      <scheme val="minor"/>
    </font>
    <font>
      <b/>
      <sz val="10"/>
      <color indexed="16"/>
      <name val="Calibri"/>
      <family val="2"/>
      <scheme val="minor"/>
    </font>
    <font>
      <u/>
      <sz val="8"/>
      <color theme="10"/>
      <name val="Calibri"/>
      <family val="2"/>
    </font>
    <font>
      <sz val="11"/>
      <color theme="2" tint="-9.9978637043366805E-2"/>
      <name val="Calibri"/>
      <family val="2"/>
      <scheme val="minor"/>
    </font>
    <font>
      <sz val="11"/>
      <color theme="2" tint="-9.9978637043366805E-2"/>
      <name val="Arial"/>
      <family val="2"/>
    </font>
    <font>
      <sz val="9"/>
      <color theme="9" tint="-0.249977111117893"/>
      <name val="Calibri"/>
      <family val="2"/>
      <scheme val="minor"/>
    </font>
    <font>
      <sz val="8"/>
      <color theme="9" tint="-0.249977111117893"/>
      <name val="Calibri"/>
      <family val="2"/>
      <scheme val="minor"/>
    </font>
    <font>
      <sz val="10"/>
      <name val="Arial"/>
      <family val="2"/>
    </font>
    <font>
      <sz val="12"/>
      <color rgb="FFFF0000"/>
      <name val="Calibri"/>
      <family val="2"/>
      <scheme val="minor"/>
    </font>
    <font>
      <sz val="9"/>
      <color theme="7" tint="0.39997558519241921"/>
      <name val="Calibri"/>
      <family val="2"/>
      <scheme val="minor"/>
    </font>
    <font>
      <b/>
      <sz val="7"/>
      <color theme="2" tint="-0.499984740745262"/>
      <name val="Calibri"/>
      <family val="2"/>
      <scheme val="minor"/>
    </font>
    <font>
      <sz val="12"/>
      <color theme="2" tint="-0.499984740745262"/>
      <name val="Calibri"/>
      <family val="2"/>
      <scheme val="minor"/>
    </font>
    <font>
      <sz val="12"/>
      <color theme="9" tint="-0.249977111117893"/>
      <name val="Calibri"/>
      <family val="2"/>
      <scheme val="minor"/>
    </font>
    <font>
      <sz val="16"/>
      <color theme="1"/>
      <name val="Calibri"/>
      <family val="2"/>
      <scheme val="minor"/>
    </font>
    <font>
      <b/>
      <sz val="11"/>
      <color rgb="FF000000"/>
      <name val="Arial"/>
      <family val="2"/>
    </font>
    <font>
      <b/>
      <sz val="14"/>
      <color rgb="FF373737"/>
      <name val="Calibri"/>
      <family val="2"/>
      <scheme val="minor"/>
    </font>
    <font>
      <sz val="12"/>
      <color rgb="FF373737"/>
      <name val="Calibri"/>
      <family val="2"/>
      <scheme val="minor"/>
    </font>
    <font>
      <sz val="7"/>
      <color rgb="FF373737"/>
      <name val="Times New Roman"/>
      <family val="1"/>
    </font>
    <font>
      <sz val="7"/>
      <color theme="1"/>
      <name val="Times New Roman"/>
      <family val="1"/>
    </font>
    <font>
      <sz val="11"/>
      <color rgb="FFFF0000"/>
      <name val="Arial"/>
      <family val="2"/>
    </font>
    <font>
      <sz val="12"/>
      <color rgb="FFFF0000"/>
      <name val="Arial"/>
      <family val="2"/>
    </font>
    <font>
      <b/>
      <sz val="18"/>
      <name val="Calibri"/>
      <family val="2"/>
      <scheme val="minor"/>
    </font>
    <font>
      <u/>
      <sz val="8"/>
      <name val="Calibri"/>
      <family val="2"/>
    </font>
    <font>
      <b/>
      <sz val="22"/>
      <name val="Calibri"/>
      <family val="2"/>
      <scheme val="minor"/>
    </font>
    <font>
      <sz val="8"/>
      <name val="Calibri"/>
      <family val="2"/>
    </font>
    <font>
      <b/>
      <sz val="10"/>
      <color indexed="48"/>
      <name val="Calibri"/>
      <family val="2"/>
      <scheme val="minor"/>
    </font>
    <font>
      <b/>
      <sz val="18"/>
      <color indexed="12"/>
      <name val="Calibri"/>
      <family val="2"/>
      <scheme val="minor"/>
    </font>
    <font>
      <b/>
      <sz val="18"/>
      <color indexed="63"/>
      <name val="Calibri"/>
      <family val="2"/>
      <scheme val="minor"/>
    </font>
    <font>
      <b/>
      <sz val="11"/>
      <color rgb="FFC00000"/>
      <name val="Calibri"/>
      <family val="2"/>
      <scheme val="minor"/>
    </font>
    <font>
      <b/>
      <sz val="11"/>
      <color indexed="10"/>
      <name val="Calibri"/>
      <family val="2"/>
      <scheme val="minor"/>
    </font>
    <font>
      <sz val="11"/>
      <color indexed="48"/>
      <name val="Calibri"/>
      <family val="2"/>
      <scheme val="minor"/>
    </font>
    <font>
      <sz val="6"/>
      <color theme="1"/>
      <name val="Calibri"/>
      <family val="2"/>
      <scheme val="minor"/>
    </font>
    <font>
      <b/>
      <sz val="10"/>
      <color indexed="53"/>
      <name val="Calibri"/>
      <family val="2"/>
      <scheme val="minor"/>
    </font>
    <font>
      <b/>
      <sz val="10"/>
      <color rgb="FF002060"/>
      <name val="Calibri"/>
      <family val="2"/>
      <scheme val="minor"/>
    </font>
    <font>
      <b/>
      <sz val="10"/>
      <color theme="5" tint="-0.249977111117893"/>
      <name val="Calibri"/>
      <family val="2"/>
      <scheme val="minor"/>
    </font>
    <font>
      <sz val="10"/>
      <color indexed="12"/>
      <name val="Calibri"/>
      <family val="2"/>
      <scheme val="minor"/>
    </font>
    <font>
      <sz val="10"/>
      <color rgb="FF002060"/>
      <name val="Calibri"/>
      <family val="2"/>
      <scheme val="minor"/>
    </font>
    <font>
      <b/>
      <sz val="10"/>
      <color indexed="10"/>
      <name val="Calibri"/>
      <family val="2"/>
      <scheme val="minor"/>
    </font>
    <font>
      <sz val="10"/>
      <color theme="4" tint="-0.499984740745262"/>
      <name val="Calibri"/>
      <family val="2"/>
      <scheme val="minor"/>
    </font>
    <font>
      <sz val="10"/>
      <color theme="3" tint="-0.499984740745262"/>
      <name val="Calibri"/>
      <family val="2"/>
      <scheme val="minor"/>
    </font>
    <font>
      <sz val="10"/>
      <color indexed="56"/>
      <name val="Calibri"/>
      <family val="2"/>
      <scheme val="minor"/>
    </font>
    <font>
      <sz val="10"/>
      <color theme="9" tint="-0.499984740745262"/>
      <name val="Calibri"/>
      <family val="2"/>
      <scheme val="minor"/>
    </font>
    <font>
      <b/>
      <sz val="10"/>
      <color theme="4" tint="-0.499984740745262"/>
      <name val="Calibri"/>
      <family val="2"/>
      <scheme val="minor"/>
    </font>
    <font>
      <b/>
      <sz val="10"/>
      <color rgb="FFFFC000"/>
      <name val="Calibri"/>
      <family val="2"/>
      <scheme val="minor"/>
    </font>
    <font>
      <b/>
      <sz val="10"/>
      <color rgb="FFC00000"/>
      <name val="Calibri"/>
      <family val="2"/>
      <scheme val="minor"/>
    </font>
    <font>
      <sz val="10"/>
      <color indexed="48"/>
      <name val="Calibri"/>
      <family val="2"/>
      <scheme val="minor"/>
    </font>
    <font>
      <sz val="10"/>
      <color theme="6" tint="-0.499984740745262"/>
      <name val="Calibri"/>
      <family val="2"/>
      <scheme val="minor"/>
    </font>
    <font>
      <u/>
      <sz val="8"/>
      <color theme="10"/>
      <name val="Calibri"/>
      <family val="2"/>
      <scheme val="minor"/>
    </font>
    <font>
      <sz val="10"/>
      <color rgb="FFC00000"/>
      <name val="Calibri"/>
      <family val="2"/>
      <scheme val="minor"/>
    </font>
    <font>
      <sz val="11"/>
      <color rgb="FFC00000"/>
      <name val="Calibri"/>
      <family val="2"/>
      <scheme val="minor"/>
    </font>
    <font>
      <b/>
      <sz val="11"/>
      <color rgb="FF7030A0"/>
      <name val="Calibri"/>
      <family val="2"/>
      <scheme val="minor"/>
    </font>
    <font>
      <sz val="11"/>
      <color theme="5" tint="-0.249977111117893"/>
      <name val="Calibri"/>
      <family val="2"/>
      <scheme val="minor"/>
    </font>
    <font>
      <sz val="8"/>
      <color theme="0" tint="-0.249977111117893"/>
      <name val="Arial"/>
      <family val="2"/>
    </font>
    <font>
      <u/>
      <sz val="7"/>
      <color theme="10"/>
      <name val="Calibri"/>
      <family val="2"/>
    </font>
    <font>
      <b/>
      <sz val="7"/>
      <color theme="0"/>
      <name val="Arial"/>
      <family val="2"/>
    </font>
    <font>
      <b/>
      <sz val="7"/>
      <color theme="1"/>
      <name val="Calibri"/>
      <family val="2"/>
      <scheme val="minor"/>
    </font>
    <font>
      <sz val="7"/>
      <color theme="0" tint="-0.249977111117893"/>
      <name val="Calibri"/>
      <family val="2"/>
      <scheme val="minor"/>
    </font>
    <font>
      <b/>
      <sz val="7"/>
      <color rgb="FFFF0000"/>
      <name val="Calibri"/>
      <family val="2"/>
      <scheme val="minor"/>
    </font>
    <font>
      <b/>
      <sz val="7"/>
      <color rgb="FF0070C0"/>
      <name val="Calibri"/>
      <family val="2"/>
      <scheme val="minor"/>
    </font>
    <font>
      <sz val="11"/>
      <color theme="3" tint="0.39997558519241921"/>
      <name val="Calibri"/>
      <family val="2"/>
      <scheme val="minor"/>
    </font>
    <font>
      <b/>
      <sz val="11"/>
      <color theme="3" tint="0.39997558519241921"/>
      <name val="Calibri"/>
      <family val="2"/>
      <scheme val="minor"/>
    </font>
    <font>
      <sz val="9"/>
      <color theme="3" tint="0.39997558519241921"/>
      <name val="Calibri"/>
      <family val="2"/>
      <scheme val="minor"/>
    </font>
    <font>
      <sz val="8"/>
      <color theme="3" tint="0.39997558519241921"/>
      <name val="Calibri"/>
      <family val="2"/>
      <scheme val="minor"/>
    </font>
    <font>
      <i/>
      <sz val="8"/>
      <color theme="1"/>
      <name val="Calibri"/>
      <family val="2"/>
      <scheme val="minor"/>
    </font>
    <font>
      <i/>
      <sz val="11"/>
      <color theme="1"/>
      <name val="Calibri"/>
      <family val="2"/>
      <scheme val="minor"/>
    </font>
    <font>
      <b/>
      <sz val="8"/>
      <color theme="3" tint="0.39997558519241921"/>
      <name val="Calibri"/>
      <family val="2"/>
      <scheme val="minor"/>
    </font>
    <font>
      <sz val="7"/>
      <color theme="0" tint="-0.14999847407452621"/>
      <name val="Calibri"/>
      <family val="2"/>
      <scheme val="minor"/>
    </font>
    <font>
      <sz val="14"/>
      <color theme="1"/>
      <name val="Calibri"/>
      <family val="2"/>
      <scheme val="minor"/>
    </font>
    <font>
      <b/>
      <sz val="9"/>
      <color rgb="FF0070C0"/>
      <name val="Calibri"/>
      <family val="2"/>
      <scheme val="minor"/>
    </font>
    <font>
      <b/>
      <sz val="11"/>
      <color indexed="63"/>
      <name val="Calibri"/>
      <family val="2"/>
      <scheme val="minor"/>
    </font>
    <font>
      <b/>
      <sz val="11"/>
      <color rgb="FF002060"/>
      <name val="Calibri"/>
      <family val="2"/>
      <scheme val="minor"/>
    </font>
    <font>
      <b/>
      <sz val="11"/>
      <color theme="4" tint="-0.499984740745262"/>
      <name val="Calibri"/>
      <family val="2"/>
      <scheme val="minor"/>
    </font>
    <font>
      <sz val="8"/>
      <color theme="6" tint="-0.249977111117893"/>
      <name val="Arial"/>
      <family val="2"/>
    </font>
    <font>
      <b/>
      <sz val="8"/>
      <color theme="3" tint="0.39997558519241921"/>
      <name val="Arial"/>
      <family val="2"/>
    </font>
    <font>
      <sz val="8"/>
      <color rgb="FFFF0000"/>
      <name val="Arial"/>
      <family val="2"/>
    </font>
    <font>
      <b/>
      <sz val="8"/>
      <color rgb="FFFF0000"/>
      <name val="Arial"/>
      <family val="2"/>
    </font>
    <font>
      <b/>
      <sz val="8"/>
      <color rgb="FF0070C0"/>
      <name val="Calibri"/>
      <family val="2"/>
      <scheme val="minor"/>
    </font>
    <font>
      <u/>
      <sz val="6"/>
      <color theme="10"/>
      <name val="Calibri"/>
      <family val="2"/>
    </font>
    <font>
      <sz val="6"/>
      <name val="Calibri"/>
      <family val="2"/>
      <scheme val="minor"/>
    </font>
    <font>
      <b/>
      <sz val="8"/>
      <color rgb="FFFF0000"/>
      <name val="Calibri"/>
      <family val="2"/>
      <scheme val="minor"/>
    </font>
    <font>
      <b/>
      <sz val="11"/>
      <color rgb="FF000000"/>
      <name val="Overlock"/>
    </font>
    <font>
      <sz val="11"/>
      <color indexed="12"/>
      <name val="Calibri"/>
      <family val="2"/>
      <scheme val="minor"/>
    </font>
    <font>
      <sz val="11"/>
      <color indexed="62"/>
      <name val="Calibri"/>
      <family val="2"/>
      <scheme val="minor"/>
    </font>
    <font>
      <sz val="11"/>
      <color theme="0" tint="-0.499984740745262"/>
      <name val="Calibri"/>
      <family val="2"/>
      <scheme val="minor"/>
    </font>
    <font>
      <sz val="11"/>
      <color rgb="FF002060"/>
      <name val="Calibri"/>
      <family val="2"/>
      <scheme val="minor"/>
    </font>
    <font>
      <b/>
      <sz val="11"/>
      <color indexed="62"/>
      <name val="Calibri"/>
      <family val="2"/>
      <scheme val="minor"/>
    </font>
    <font>
      <b/>
      <sz val="11"/>
      <color theme="0" tint="-0.499984740745262"/>
      <name val="Calibri"/>
      <family val="2"/>
      <scheme val="minor"/>
    </font>
    <font>
      <b/>
      <sz val="11"/>
      <color indexed="20"/>
      <name val="Calibri"/>
      <family val="2"/>
      <scheme val="minor"/>
    </font>
    <font>
      <sz val="11"/>
      <color indexed="9"/>
      <name val="Calibri"/>
      <family val="2"/>
      <scheme val="minor"/>
    </font>
    <font>
      <b/>
      <sz val="11"/>
      <color indexed="9"/>
      <name val="Calibri"/>
      <family val="2"/>
      <scheme val="minor"/>
    </font>
    <font>
      <b/>
      <sz val="11"/>
      <color theme="3" tint="-0.249977111117893"/>
      <name val="Calibri"/>
      <family val="2"/>
      <scheme val="minor"/>
    </font>
    <font>
      <b/>
      <sz val="11"/>
      <color indexed="17"/>
      <name val="Calibri"/>
      <family val="2"/>
      <scheme val="minor"/>
    </font>
    <font>
      <sz val="11"/>
      <color indexed="23"/>
      <name val="Calibri"/>
      <family val="2"/>
      <scheme val="minor"/>
    </font>
    <font>
      <b/>
      <sz val="11"/>
      <color theme="7" tint="0.59999389629810485"/>
      <name val="Calibri"/>
      <family val="2"/>
      <scheme val="minor"/>
    </font>
    <font>
      <b/>
      <sz val="11"/>
      <color theme="4" tint="-0.249977111117893"/>
      <name val="Calibri"/>
      <family val="2"/>
      <scheme val="minor"/>
    </font>
    <font>
      <sz val="11"/>
      <color theme="4" tint="-0.249977111117893"/>
      <name val="Calibri"/>
      <family val="2"/>
      <scheme val="minor"/>
    </font>
    <font>
      <sz val="11"/>
      <color theme="0" tint="-0.249977111117893"/>
      <name val="Calibri"/>
      <family val="2"/>
      <scheme val="minor"/>
    </font>
    <font>
      <b/>
      <sz val="11"/>
      <color theme="0" tint="-0.249977111117893"/>
      <name val="Calibri"/>
      <family val="2"/>
      <scheme val="minor"/>
    </font>
    <font>
      <b/>
      <sz val="10"/>
      <color indexed="62"/>
      <name val="Calibri"/>
      <family val="2"/>
      <scheme val="minor"/>
    </font>
    <font>
      <b/>
      <sz val="10"/>
      <color theme="0"/>
      <name val="Arial"/>
      <family val="2"/>
    </font>
    <font>
      <b/>
      <sz val="8"/>
      <color theme="0"/>
      <name val="Arial"/>
      <family val="2"/>
    </font>
    <font>
      <sz val="11"/>
      <color theme="1"/>
      <name val="Calibri"/>
      <family val="2"/>
    </font>
    <font>
      <sz val="11"/>
      <name val="Calibri"/>
      <family val="2"/>
    </font>
    <font>
      <b/>
      <sz val="8"/>
      <color rgb="FF00B050"/>
      <name val="Arial"/>
      <family val="2"/>
    </font>
    <font>
      <sz val="9"/>
      <color rgb="FF002060"/>
      <name val="Calibri"/>
      <family val="2"/>
      <scheme val="minor"/>
    </font>
    <font>
      <b/>
      <sz val="12"/>
      <color rgb="FF00B050"/>
      <name val="Calibri"/>
      <family val="2"/>
      <scheme val="minor"/>
    </font>
    <font>
      <b/>
      <sz val="16"/>
      <color rgb="FF00B050"/>
      <name val="Calibri"/>
      <family val="2"/>
      <scheme val="minor"/>
    </font>
    <font>
      <b/>
      <u/>
      <sz val="6"/>
      <color theme="10"/>
      <name val="Calibri"/>
      <family val="2"/>
    </font>
    <font>
      <b/>
      <sz val="7"/>
      <color theme="7" tint="-0.499984740745262"/>
      <name val="Calibri"/>
      <family val="2"/>
      <scheme val="minor"/>
    </font>
    <font>
      <sz val="7"/>
      <color theme="7" tint="-0.249977111117893"/>
      <name val="Calibri"/>
      <family val="2"/>
      <scheme val="minor"/>
    </font>
    <font>
      <b/>
      <sz val="7"/>
      <color theme="7" tint="-0.249977111117893"/>
      <name val="Calibri"/>
      <family val="2"/>
      <scheme val="minor"/>
    </font>
    <font>
      <b/>
      <sz val="10"/>
      <color theme="0"/>
      <name val="Calibri"/>
      <family val="2"/>
      <scheme val="minor"/>
    </font>
    <font>
      <sz val="10"/>
      <color indexed="8"/>
      <name val="Calibri"/>
      <family val="2"/>
      <scheme val="minor"/>
    </font>
    <font>
      <b/>
      <sz val="8"/>
      <color theme="1"/>
      <name val="Arial"/>
      <family val="2"/>
    </font>
    <font>
      <b/>
      <i/>
      <sz val="11"/>
      <color rgb="FF44546A"/>
      <name val="Calibri"/>
      <family val="2"/>
      <scheme val="minor"/>
    </font>
    <font>
      <b/>
      <i/>
      <sz val="11"/>
      <color rgb="FF00B050"/>
      <name val="Calibri"/>
      <family val="2"/>
      <scheme val="minor"/>
    </font>
    <font>
      <b/>
      <vertAlign val="superscript"/>
      <sz val="11"/>
      <color rgb="FF000000"/>
      <name val="Calibri"/>
      <family val="2"/>
      <scheme val="minor"/>
    </font>
    <font>
      <sz val="11"/>
      <color theme="4"/>
      <name val="Calibri"/>
      <family val="2"/>
      <scheme val="minor"/>
    </font>
    <font>
      <i/>
      <sz val="8"/>
      <color rgb="FF44546A"/>
      <name val="Calibri"/>
      <family val="2"/>
      <scheme val="minor"/>
    </font>
    <font>
      <sz val="8"/>
      <color rgb="FF00B050"/>
      <name val="Calibri"/>
      <family val="2"/>
      <scheme val="minor"/>
    </font>
    <font>
      <sz val="6"/>
      <color rgb="FF00B050"/>
      <name val="Calibri"/>
      <family val="2"/>
      <scheme val="minor"/>
    </font>
    <font>
      <i/>
      <sz val="8"/>
      <color rgb="FF00B050"/>
      <name val="Calibri"/>
      <family val="2"/>
      <scheme val="minor"/>
    </font>
    <font>
      <b/>
      <sz val="8"/>
      <color rgb="FF000000"/>
      <name val="Calibri"/>
      <family val="2"/>
      <scheme val="minor"/>
    </font>
    <font>
      <b/>
      <sz val="9"/>
      <color rgb="FF000000"/>
      <name val="Calibri"/>
      <family val="2"/>
      <scheme val="minor"/>
    </font>
    <font>
      <sz val="9"/>
      <color rgb="FF000000"/>
      <name val="Calibri"/>
      <family val="2"/>
      <scheme val="minor"/>
    </font>
    <font>
      <sz val="9"/>
      <color rgb="FF0070C0"/>
      <name val="Calibri"/>
      <family val="2"/>
      <scheme val="minor"/>
    </font>
    <font>
      <b/>
      <sz val="8"/>
      <color rgb="FF00B050"/>
      <name val="Calibri"/>
      <family val="2"/>
      <scheme val="minor"/>
    </font>
  </fonts>
  <fills count="135">
    <fill>
      <patternFill patternType="none"/>
    </fill>
    <fill>
      <patternFill patternType="gray125"/>
    </fill>
    <fill>
      <patternFill patternType="solid">
        <fgColor theme="2"/>
        <bgColor indexed="64"/>
      </patternFill>
    </fill>
    <fill>
      <patternFill patternType="solid">
        <fgColor rgb="FFFFFF00"/>
        <bgColor indexed="64"/>
      </patternFill>
    </fill>
    <fill>
      <patternFill patternType="solid">
        <fgColor indexed="9"/>
        <bgColor indexed="64"/>
      </patternFill>
    </fill>
    <fill>
      <patternFill patternType="solid">
        <fgColor rgb="FF92D050"/>
        <bgColor indexed="64"/>
      </patternFill>
    </fill>
    <fill>
      <patternFill patternType="solid">
        <fgColor indexed="57"/>
        <bgColor indexed="64"/>
      </patternFill>
    </fill>
    <fill>
      <patternFill patternType="solid">
        <fgColor theme="9" tint="0.39997558519241921"/>
        <bgColor indexed="64"/>
      </patternFill>
    </fill>
    <fill>
      <patternFill patternType="solid">
        <fgColor rgb="FFFFFFB9"/>
        <bgColor indexed="64"/>
      </patternFill>
    </fill>
    <fill>
      <patternFill patternType="solid">
        <fgColor indexed="22"/>
        <bgColor indexed="64"/>
      </patternFill>
    </fill>
    <fill>
      <patternFill patternType="solid">
        <fgColor theme="6" tint="0.59999389629810485"/>
        <bgColor indexed="64"/>
      </patternFill>
    </fill>
    <fill>
      <patternFill patternType="solid">
        <fgColor indexed="9"/>
        <bgColor indexed="26"/>
      </patternFill>
    </fill>
    <fill>
      <patternFill patternType="solid">
        <fgColor theme="0" tint="-0.14999847407452621"/>
        <bgColor indexed="64"/>
      </patternFill>
    </fill>
    <fill>
      <patternFill patternType="solid">
        <fgColor rgb="FFFFC000"/>
        <bgColor indexed="64"/>
      </patternFill>
    </fill>
    <fill>
      <patternFill patternType="solid">
        <fgColor theme="6"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indexed="23"/>
        <bgColor indexed="64"/>
      </patternFill>
    </fill>
    <fill>
      <patternFill patternType="solid">
        <fgColor rgb="FFD8D8C8"/>
        <bgColor indexed="64"/>
      </patternFill>
    </fill>
    <fill>
      <patternFill patternType="solid">
        <fgColor theme="3" tint="0.89999084444715716"/>
        <bgColor indexed="64"/>
      </patternFill>
    </fill>
    <fill>
      <patternFill patternType="solid">
        <fgColor rgb="FFFFE6CD"/>
        <bgColor indexed="64"/>
      </patternFill>
    </fill>
    <fill>
      <patternFill patternType="solid">
        <fgColor rgb="FFEAEAEA"/>
        <bgColor indexed="64"/>
      </patternFill>
    </fill>
    <fill>
      <patternFill patternType="solid">
        <fgColor rgb="FFF1F5F9"/>
        <bgColor indexed="64"/>
      </patternFill>
    </fill>
    <fill>
      <patternFill patternType="solid">
        <fgColor rgb="FFFFF2E5"/>
        <bgColor indexed="64"/>
      </patternFill>
    </fill>
    <fill>
      <patternFill patternType="solid">
        <fgColor indexed="9"/>
        <bgColor indexed="22"/>
      </patternFill>
    </fill>
    <fill>
      <patternFill patternType="solid">
        <fgColor rgb="FFEAEAEA"/>
        <bgColor indexed="22"/>
      </patternFill>
    </fill>
    <fill>
      <patternFill patternType="solid">
        <fgColor theme="8" tint="0.7999816888943144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indexed="47"/>
      </patternFill>
    </fill>
    <fill>
      <patternFill patternType="solid">
        <fgColor theme="6" tint="0.39997558519241921"/>
        <bgColor indexed="64"/>
      </patternFill>
    </fill>
    <fill>
      <patternFill patternType="solid">
        <fgColor indexed="11"/>
        <bgColor indexed="64"/>
      </patternFill>
    </fill>
    <fill>
      <patternFill patternType="solid">
        <fgColor indexed="42"/>
        <bgColor indexed="64"/>
      </patternFill>
    </fill>
    <fill>
      <patternFill patternType="solid">
        <fgColor theme="4" tint="0.39997558519241921"/>
        <bgColor indexed="64"/>
      </patternFill>
    </fill>
    <fill>
      <patternFill patternType="solid">
        <fgColor theme="9" tint="0.59999389629810485"/>
        <bgColor indexed="65"/>
      </patternFill>
    </fill>
    <fill>
      <patternFill patternType="solid">
        <fgColor theme="0" tint="-4.9989318521683403E-2"/>
        <bgColor indexed="26"/>
      </patternFill>
    </fill>
    <fill>
      <patternFill patternType="solid">
        <fgColor theme="5" tint="0.79998168889431442"/>
        <bgColor indexed="26"/>
      </patternFill>
    </fill>
    <fill>
      <patternFill patternType="solid">
        <fgColor theme="9" tint="0.59999389629810485"/>
        <bgColor indexed="64"/>
      </patternFill>
    </fill>
    <fill>
      <patternFill patternType="solid">
        <fgColor rgb="FFFFF5E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39997558519241921"/>
        <bgColor indexed="65"/>
      </patternFill>
    </fill>
    <fill>
      <patternFill patternType="solid">
        <fgColor theme="9" tint="0.79998168889431442"/>
        <bgColor indexed="64"/>
      </patternFill>
    </fill>
    <fill>
      <patternFill patternType="solid">
        <fgColor theme="2" tint="-9.9978637043366805E-2"/>
        <bgColor indexed="64"/>
      </patternFill>
    </fill>
    <fill>
      <patternFill patternType="solid">
        <fgColor indexed="54"/>
        <bgColor indexed="64"/>
      </patternFill>
    </fill>
    <fill>
      <patternFill patternType="solid">
        <fgColor theme="3" tint="0.79998168889431442"/>
        <bgColor indexed="64"/>
      </patternFill>
    </fill>
    <fill>
      <patternFill patternType="solid">
        <fgColor rgb="FFFEF2E8"/>
        <bgColor indexed="64"/>
      </patternFill>
    </fill>
    <fill>
      <patternFill patternType="solid">
        <fgColor rgb="FFFFFDFB"/>
        <bgColor indexed="64"/>
      </patternFill>
    </fill>
    <fill>
      <patternFill patternType="solid">
        <fgColor rgb="FFECF1F8"/>
        <bgColor indexed="64"/>
      </patternFill>
    </fill>
    <fill>
      <patternFill patternType="solid">
        <fgColor indexed="52"/>
        <bgColor indexed="64"/>
      </patternFill>
    </fill>
    <fill>
      <patternFill patternType="solid">
        <fgColor theme="5" tint="0.39997558519241921"/>
        <bgColor indexed="64"/>
      </patternFill>
    </fill>
    <fill>
      <patternFill patternType="solid">
        <fgColor rgb="FF00B0F0"/>
        <bgColor indexed="64"/>
      </patternFill>
    </fill>
    <fill>
      <patternFill patternType="solid">
        <fgColor theme="7" tint="0.59999389629810485"/>
        <bgColor indexed="64"/>
      </patternFill>
    </fill>
    <fill>
      <patternFill patternType="solid">
        <fgColor theme="9" tint="0.79998168889431442"/>
        <bgColor indexed="26"/>
      </patternFill>
    </fill>
    <fill>
      <patternFill patternType="solid">
        <fgColor theme="6" tint="0.59999389629810485"/>
        <bgColor indexed="26"/>
      </patternFill>
    </fill>
    <fill>
      <patternFill patternType="solid">
        <fgColor theme="0" tint="-0.249977111117893"/>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4" tint="0.59999389629810485"/>
        <bgColor indexed="64"/>
      </patternFill>
    </fill>
    <fill>
      <patternFill patternType="solid">
        <fgColor rgb="FFF29000"/>
        <bgColor indexed="64"/>
      </patternFill>
    </fill>
    <fill>
      <patternFill patternType="solid">
        <fgColor rgb="FFFFFFFF"/>
        <bgColor indexed="64"/>
      </patternFill>
    </fill>
    <fill>
      <patternFill patternType="solid">
        <fgColor rgb="FFDDEBF7"/>
        <bgColor indexed="64"/>
      </patternFill>
    </fill>
    <fill>
      <patternFill patternType="solid">
        <fgColor indexed="9"/>
        <bgColor indexed="9"/>
      </patternFill>
    </fill>
    <fill>
      <patternFill patternType="solid">
        <fgColor rgb="FFFF9900"/>
        <bgColor indexed="64"/>
      </patternFill>
    </fill>
    <fill>
      <patternFill patternType="solid">
        <fgColor rgb="FF002060"/>
        <bgColor indexed="64"/>
      </patternFill>
    </fill>
    <fill>
      <patternFill patternType="solid">
        <fgColor theme="8" tint="-0.499984740745262"/>
        <bgColor indexed="64"/>
      </patternFill>
    </fill>
    <fill>
      <patternFill patternType="solid">
        <fgColor theme="9" tint="-0.499984740745262"/>
        <bgColor indexed="64"/>
      </patternFill>
    </fill>
    <fill>
      <patternFill patternType="solid">
        <fgColor rgb="FFF0F8FA"/>
        <bgColor indexed="64"/>
      </patternFill>
    </fill>
    <fill>
      <patternFill patternType="solid">
        <fgColor rgb="FFFBFBFB"/>
        <bgColor indexed="64"/>
      </patternFill>
    </fill>
    <fill>
      <patternFill patternType="solid">
        <fgColor rgb="FFFAF0F0"/>
        <bgColor indexed="64"/>
      </patternFill>
    </fill>
    <fill>
      <patternFill patternType="solid">
        <fgColor rgb="FFE8F2E6"/>
        <bgColor indexed="64"/>
      </patternFill>
    </fill>
    <fill>
      <patternFill patternType="solid">
        <fgColor theme="6" tint="0.79998168889431442"/>
        <bgColor indexed="26"/>
      </patternFill>
    </fill>
    <fill>
      <patternFill patternType="solid">
        <fgColor theme="4" tint="0.79998168889431442"/>
        <bgColor indexed="26"/>
      </patternFill>
    </fill>
    <fill>
      <patternFill patternType="solid">
        <fgColor theme="8" tint="0.79998168889431442"/>
        <bgColor indexed="26"/>
      </patternFill>
    </fill>
    <fill>
      <patternFill patternType="solid">
        <fgColor theme="0"/>
        <bgColor indexed="26"/>
      </patternFill>
    </fill>
    <fill>
      <patternFill patternType="solid">
        <fgColor theme="2" tint="-9.9978637043366805E-2"/>
        <bgColor indexed="26"/>
      </patternFill>
    </fill>
    <fill>
      <patternFill patternType="solid">
        <fgColor rgb="FF00B050"/>
        <bgColor indexed="64"/>
      </patternFill>
    </fill>
    <fill>
      <patternFill patternType="solid">
        <fgColor theme="8" tint="0.59999389629810485"/>
        <bgColor indexed="64"/>
      </patternFill>
    </fill>
    <fill>
      <patternFill patternType="solid">
        <fgColor theme="2" tint="-9.9978637043366805E-2"/>
        <bgColor indexed="22"/>
      </patternFill>
    </fill>
    <fill>
      <patternFill patternType="solid">
        <fgColor theme="7" tint="0.39997558519241921"/>
        <bgColor indexed="64"/>
      </patternFill>
    </fill>
    <fill>
      <patternFill patternType="solid">
        <fgColor theme="6" tint="-0.249977111117893"/>
        <bgColor indexed="64"/>
      </patternFill>
    </fill>
    <fill>
      <patternFill patternType="solid">
        <fgColor theme="7" tint="-0.499984740745262"/>
        <bgColor indexed="64"/>
      </patternFill>
    </fill>
    <fill>
      <patternFill patternType="solid">
        <fgColor theme="4" tint="0.39997558519241921"/>
        <bgColor indexed="26"/>
      </patternFill>
    </fill>
    <fill>
      <patternFill patternType="solid">
        <fgColor rgb="FFE3F1F9"/>
        <bgColor indexed="64"/>
      </patternFill>
    </fill>
    <fill>
      <patternFill patternType="solid">
        <fgColor rgb="FFEFF7FB"/>
        <bgColor indexed="64"/>
      </patternFill>
    </fill>
    <fill>
      <patternFill patternType="solid">
        <fgColor rgb="FFFAECED"/>
        <bgColor indexed="64"/>
      </patternFill>
    </fill>
    <fill>
      <patternFill patternType="solid">
        <fgColor theme="2" tint="-0.249977111117893"/>
        <bgColor indexed="64"/>
      </patternFill>
    </fill>
    <fill>
      <patternFill patternType="solid">
        <fgColor theme="5" tint="0.59999389629810485"/>
        <bgColor indexed="64"/>
      </patternFill>
    </fill>
    <fill>
      <patternFill patternType="solid">
        <fgColor theme="4" tint="0.79998168889431442"/>
        <bgColor theme="4" tint="0.79998168889431442"/>
      </patternFill>
    </fill>
    <fill>
      <patternFill patternType="solid">
        <fgColor rgb="FFFFFF99"/>
        <bgColor indexed="64"/>
      </patternFill>
    </fill>
    <fill>
      <patternFill patternType="solid">
        <fgColor rgb="FFFD91EB"/>
        <bgColor indexed="64"/>
      </patternFill>
    </fill>
    <fill>
      <patternFill patternType="solid">
        <fgColor theme="9"/>
        <bgColor indexed="64"/>
      </patternFill>
    </fill>
    <fill>
      <patternFill patternType="solid">
        <fgColor rgb="FF9966FF"/>
        <bgColor indexed="64"/>
      </patternFill>
    </fill>
    <fill>
      <patternFill patternType="solid">
        <fgColor rgb="FF9999FF"/>
        <bgColor indexed="64"/>
      </patternFill>
    </fill>
    <fill>
      <patternFill patternType="solid">
        <fgColor theme="1" tint="0.34998626667073579"/>
        <bgColor indexed="64"/>
      </patternFill>
    </fill>
    <fill>
      <patternFill patternType="solid">
        <fgColor theme="8" tint="0.79998168889431442"/>
        <bgColor theme="4" tint="0.79998168889431442"/>
      </patternFill>
    </fill>
    <fill>
      <patternFill patternType="solid">
        <fgColor theme="8" tint="0.39997558519241921"/>
        <bgColor indexed="64"/>
      </patternFill>
    </fill>
    <fill>
      <patternFill patternType="solid">
        <fgColor theme="4" tint="-0.249977111117893"/>
        <bgColor indexed="64"/>
      </patternFill>
    </fill>
    <fill>
      <patternFill patternType="solid">
        <fgColor rgb="FFFFFF99"/>
        <bgColor theme="4" tint="0.79998168889431442"/>
      </patternFill>
    </fill>
    <fill>
      <patternFill patternType="solid">
        <fgColor rgb="FF990000"/>
        <bgColor indexed="64"/>
      </patternFill>
    </fill>
    <fill>
      <patternFill patternType="solid">
        <fgColor rgb="FFEB9EF8"/>
        <bgColor indexed="64"/>
      </patternFill>
    </fill>
    <fill>
      <patternFill patternType="solid">
        <fgColor rgb="FFCD9B69"/>
        <bgColor indexed="64"/>
      </patternFill>
    </fill>
    <fill>
      <patternFill patternType="solid">
        <fgColor theme="9" tint="-0.249977111117893"/>
        <bgColor indexed="64"/>
      </patternFill>
    </fill>
    <fill>
      <patternFill patternType="solid">
        <fgColor theme="6"/>
        <bgColor indexed="64"/>
      </patternFill>
    </fill>
    <fill>
      <patternFill patternType="solid">
        <fgColor theme="7"/>
        <bgColor indexed="64"/>
      </patternFill>
    </fill>
    <fill>
      <patternFill patternType="solid">
        <fgColor theme="4"/>
        <bgColor indexed="64"/>
      </patternFill>
    </fill>
    <fill>
      <patternFill patternType="solid">
        <fgColor rgb="FFF2F2F2"/>
        <bgColor indexed="64"/>
      </patternFill>
    </fill>
  </fills>
  <borders count="433">
    <border>
      <left/>
      <right/>
      <top/>
      <bottom/>
      <diagonal/>
    </border>
    <border>
      <left style="thin">
        <color indexed="22"/>
      </left>
      <right style="thin">
        <color indexed="22"/>
      </right>
      <top style="thin">
        <color indexed="22"/>
      </top>
      <bottom style="thin">
        <color indexed="22"/>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indexed="9"/>
      </left>
      <right style="thin">
        <color indexed="9"/>
      </right>
      <top style="thin">
        <color indexed="9"/>
      </top>
      <bottom style="thin">
        <color indexed="9"/>
      </bottom>
      <diagonal/>
    </border>
    <border>
      <left style="thin">
        <color indexed="22"/>
      </left>
      <right/>
      <top style="thin">
        <color indexed="22"/>
      </top>
      <bottom style="thin">
        <color indexed="22"/>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8"/>
      </left>
      <right style="thin">
        <color indexed="8"/>
      </right>
      <top/>
      <bottom/>
      <diagonal/>
    </border>
    <border>
      <left/>
      <right/>
      <top style="medium">
        <color indexed="64"/>
      </top>
      <bottom style="medium">
        <color indexed="64"/>
      </bottom>
      <diagonal/>
    </border>
    <border>
      <left style="thin">
        <color indexed="9"/>
      </left>
      <right/>
      <top style="thin">
        <color indexed="9"/>
      </top>
      <bottom style="thin">
        <color indexed="9"/>
      </bottom>
      <diagonal/>
    </border>
    <border>
      <left style="thin">
        <color indexed="64"/>
      </left>
      <right style="thin">
        <color indexed="64"/>
      </right>
      <top style="thin">
        <color indexed="64"/>
      </top>
      <bottom style="thin">
        <color indexed="64"/>
      </bottom>
      <diagonal/>
    </border>
    <border>
      <left style="thin">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8"/>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right/>
      <top style="thin">
        <color indexed="64"/>
      </top>
      <bottom/>
      <diagonal/>
    </border>
    <border>
      <left style="thin">
        <color theme="0" tint="-0.24994659260841701"/>
      </left>
      <right style="thin">
        <color indexed="55"/>
      </right>
      <top/>
      <bottom/>
      <diagonal/>
    </border>
    <border>
      <left/>
      <right/>
      <top style="medium">
        <color indexed="64"/>
      </top>
      <bottom/>
      <diagonal/>
    </border>
    <border>
      <left/>
      <right style="medium">
        <color indexed="64"/>
      </right>
      <top style="medium">
        <color indexed="64"/>
      </top>
      <bottom/>
      <diagonal/>
    </border>
    <border>
      <left style="thin">
        <color theme="0" tint="-0.24994659260841701"/>
      </left>
      <right style="thin">
        <color indexed="55"/>
      </right>
      <top style="thin">
        <color indexed="22"/>
      </top>
      <bottom style="thin">
        <color indexed="22"/>
      </bottom>
      <diagonal/>
    </border>
    <border>
      <left style="thin">
        <color indexed="22"/>
      </left>
      <right style="thin">
        <color indexed="55"/>
      </right>
      <top style="thin">
        <color indexed="22"/>
      </top>
      <bottom style="thin">
        <color indexed="22"/>
      </bottom>
      <diagonal/>
    </border>
    <border>
      <left/>
      <right/>
      <top/>
      <bottom style="medium">
        <color indexed="64"/>
      </bottom>
      <diagonal/>
    </border>
    <border>
      <left/>
      <right/>
      <top/>
      <bottom style="thin">
        <color indexed="64"/>
      </bottom>
      <diagonal/>
    </border>
    <border>
      <left style="medium">
        <color indexed="64"/>
      </left>
      <right/>
      <top style="medium">
        <color indexed="64"/>
      </top>
      <bottom/>
      <diagonal/>
    </border>
    <border>
      <left style="thin">
        <color indexed="64"/>
      </left>
      <right/>
      <top style="thin">
        <color indexed="64"/>
      </top>
      <bottom/>
      <diagonal/>
    </border>
    <border>
      <left style="medium">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style="thin">
        <color indexed="55"/>
      </right>
      <top style="thin">
        <color indexed="55"/>
      </top>
      <bottom style="thin">
        <color indexed="55"/>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style="thin">
        <color indexed="64"/>
      </right>
      <top/>
      <bottom/>
      <diagonal/>
    </border>
    <border>
      <left style="medium">
        <color indexed="64"/>
      </left>
      <right/>
      <top style="thin">
        <color indexed="55"/>
      </top>
      <bottom/>
      <diagonal/>
    </border>
    <border>
      <left/>
      <right/>
      <top style="thin">
        <color indexed="55"/>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theme="0" tint="-0.24994659260841701"/>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style="thin">
        <color indexed="55"/>
      </right>
      <top style="thin">
        <color indexed="55"/>
      </top>
      <bottom style="thin">
        <color indexed="55"/>
      </bottom>
      <diagonal/>
    </border>
    <border>
      <left style="thin">
        <color theme="0" tint="-0.24994659260841701"/>
      </left>
      <right style="thin">
        <color indexed="55"/>
      </right>
      <top style="thin">
        <color theme="0" tint="-0.24994659260841701"/>
      </top>
      <bottom style="thin">
        <color indexed="22"/>
      </bottom>
      <diagonal/>
    </border>
    <border>
      <left style="thin">
        <color indexed="22"/>
      </left>
      <right style="thin">
        <color indexed="55"/>
      </right>
      <top style="thin">
        <color theme="0" tint="-0.24994659260841701"/>
      </top>
      <bottom style="thin">
        <color indexed="22"/>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style="thin">
        <color theme="0" tint="-0.24994659260841701"/>
      </right>
      <top style="thin">
        <color theme="0" tint="-0.24994659260841701"/>
      </top>
      <bottom/>
      <diagonal/>
    </border>
    <border>
      <left style="thin">
        <color indexed="22"/>
      </left>
      <right style="thin">
        <color indexed="55"/>
      </right>
      <top style="thin">
        <color indexed="22"/>
      </top>
      <bottom style="thin">
        <color theme="0" tint="-0.24994659260841701"/>
      </bottom>
      <diagonal/>
    </border>
    <border>
      <left style="thin">
        <color rgb="FF7F7F7F"/>
      </left>
      <right style="thin">
        <color rgb="FF7F7F7F"/>
      </right>
      <top style="thin">
        <color rgb="FF7F7F7F"/>
      </top>
      <bottom style="thin">
        <color rgb="FF7F7F7F"/>
      </bottom>
      <diagonal/>
    </border>
    <border>
      <left style="medium">
        <color indexed="64"/>
      </left>
      <right style="medium">
        <color indexed="64"/>
      </right>
      <top style="thin">
        <color indexed="64"/>
      </top>
      <bottom/>
      <diagonal/>
    </border>
    <border>
      <left/>
      <right style="thin">
        <color theme="0" tint="-0.34998626667073579"/>
      </right>
      <top style="thin">
        <color theme="0" tint="-0.34998626667073579"/>
      </top>
      <bottom style="thin">
        <color theme="0" tint="-0.34998626667073579"/>
      </bottom>
      <diagonal/>
    </border>
    <border>
      <left/>
      <right style="medium">
        <color indexed="64"/>
      </right>
      <top style="medium">
        <color indexed="64"/>
      </top>
      <bottom style="medium">
        <color indexed="64"/>
      </bottom>
      <diagonal/>
    </border>
    <border>
      <left style="medium">
        <color indexed="64"/>
      </left>
      <right style="thin">
        <color theme="0" tint="-0.24994659260841701"/>
      </right>
      <top style="thin">
        <color theme="0" tint="-0.24994659260841701"/>
      </top>
      <bottom style="thin">
        <color theme="0" tint="-0.24994659260841701"/>
      </bottom>
      <diagonal/>
    </border>
    <border>
      <left style="medium">
        <color indexed="64"/>
      </left>
      <right style="thin">
        <color theme="0" tint="-0.24994659260841701"/>
      </right>
      <top style="thin">
        <color theme="0" tint="-0.24994659260841701"/>
      </top>
      <bottom style="medium">
        <color indexed="64"/>
      </bottom>
      <diagonal/>
    </border>
    <border>
      <left style="thin">
        <color theme="0" tint="-0.24994659260841701"/>
      </left>
      <right style="thin">
        <color theme="0" tint="-0.24994659260841701"/>
      </right>
      <top style="thin">
        <color theme="0" tint="-0.24994659260841701"/>
      </top>
      <bottom style="medium">
        <color indexed="64"/>
      </bottom>
      <diagonal/>
    </border>
    <border>
      <left style="thin">
        <color indexed="64"/>
      </left>
      <right/>
      <top style="medium">
        <color indexed="64"/>
      </top>
      <bottom style="medium">
        <color indexed="64"/>
      </bottom>
      <diagonal/>
    </border>
    <border>
      <left style="thin">
        <color theme="0" tint="-0.24994659260841701"/>
      </left>
      <right style="thin">
        <color theme="0" tint="-0.24994659260841701"/>
      </right>
      <top style="thin">
        <color theme="0" tint="-0.249977111117893"/>
      </top>
      <bottom style="thin">
        <color theme="0" tint="-0.24994659260841701"/>
      </bottom>
      <diagonal/>
    </border>
    <border>
      <left style="thin">
        <color indexed="64"/>
      </left>
      <right style="medium">
        <color indexed="64"/>
      </right>
      <top/>
      <bottom/>
      <diagonal/>
    </border>
    <border>
      <left style="thin">
        <color theme="0" tint="-0.24994659260841701"/>
      </left>
      <right style="medium">
        <color indexed="64"/>
      </right>
      <top style="thin">
        <color theme="0" tint="-0.24994659260841701"/>
      </top>
      <bottom style="medium">
        <color indexed="64"/>
      </bottom>
      <diagonal/>
    </border>
    <border>
      <left style="thin">
        <color theme="0" tint="-0.24994659260841701"/>
      </left>
      <right style="medium">
        <color indexed="64"/>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style="thin">
        <color indexed="64"/>
      </left>
      <right/>
      <top style="medium">
        <color indexed="64"/>
      </top>
      <bottom/>
      <diagonal/>
    </border>
    <border>
      <left style="medium">
        <color indexed="64"/>
      </left>
      <right style="thin">
        <color theme="0" tint="-0.24994659260841701"/>
      </right>
      <top/>
      <bottom style="thin">
        <color theme="0" tint="-0.24994659260841701"/>
      </bottom>
      <diagonal/>
    </border>
    <border>
      <left style="thin">
        <color theme="0" tint="-0.24994659260841701"/>
      </left>
      <right style="medium">
        <color indexed="64"/>
      </right>
      <top/>
      <bottom style="thin">
        <color theme="0" tint="-0.24994659260841701"/>
      </bottom>
      <diagonal/>
    </border>
    <border>
      <left style="medium">
        <color indexed="64"/>
      </left>
      <right style="thin">
        <color theme="0" tint="-0.24994659260841701"/>
      </right>
      <top style="medium">
        <color indexed="64"/>
      </top>
      <bottom style="medium">
        <color indexed="64"/>
      </bottom>
      <diagonal/>
    </border>
    <border>
      <left style="thin">
        <color theme="0" tint="-0.24994659260841701"/>
      </left>
      <right style="thin">
        <color theme="0" tint="-0.24994659260841701"/>
      </right>
      <top style="medium">
        <color indexed="64"/>
      </top>
      <bottom style="medium">
        <color indexed="64"/>
      </bottom>
      <diagonal/>
    </border>
    <border>
      <left style="thin">
        <color theme="0" tint="-0.24994659260841701"/>
      </left>
      <right style="medium">
        <color indexed="64"/>
      </right>
      <top style="medium">
        <color indexed="64"/>
      </top>
      <bottom style="medium">
        <color indexed="64"/>
      </bottom>
      <diagonal/>
    </border>
    <border>
      <left style="thin">
        <color theme="0" tint="-0.14999847407452621"/>
      </left>
      <right style="thin">
        <color theme="0" tint="-0.14999847407452621"/>
      </right>
      <top style="medium">
        <color indexed="64"/>
      </top>
      <bottom style="medium">
        <color indexed="64"/>
      </bottom>
      <diagonal/>
    </border>
    <border>
      <left/>
      <right/>
      <top style="thin">
        <color theme="0" tint="-0.34998626667073579"/>
      </top>
      <bottom style="thin">
        <color theme="0" tint="-0.34998626667073579"/>
      </bottom>
      <diagonal/>
    </border>
    <border>
      <left style="medium">
        <color theme="0" tint="-0.249977111117893"/>
      </left>
      <right/>
      <top/>
      <bottom/>
      <diagonal/>
    </border>
    <border>
      <left style="medium">
        <color indexed="64"/>
      </left>
      <right/>
      <top style="medium">
        <color indexed="64"/>
      </top>
      <bottom style="thin">
        <color indexed="55"/>
      </bottom>
      <diagonal/>
    </border>
    <border>
      <left/>
      <right/>
      <top style="medium">
        <color indexed="64"/>
      </top>
      <bottom style="thin">
        <color indexed="55"/>
      </bottom>
      <diagonal/>
    </border>
    <border>
      <left/>
      <right style="thin">
        <color theme="0" tint="-4.9989318521683403E-2"/>
      </right>
      <top style="medium">
        <color indexed="64"/>
      </top>
      <bottom/>
      <diagonal/>
    </border>
    <border>
      <left style="medium">
        <color indexed="64"/>
      </left>
      <right style="thin">
        <color theme="0" tint="-0.14999847407452621"/>
      </right>
      <top style="thin">
        <color theme="0" tint="-0.14999847407452621"/>
      </top>
      <bottom style="thin">
        <color theme="0" tint="-0.14999847407452621"/>
      </bottom>
      <diagonal/>
    </border>
    <border>
      <left style="thin">
        <color theme="0" tint="-0.14999847407452621"/>
      </left>
      <right style="medium">
        <color indexed="64"/>
      </right>
      <top style="thin">
        <color theme="0" tint="-0.14999847407452621"/>
      </top>
      <bottom style="thin">
        <color theme="0" tint="-0.14999847407452621"/>
      </bottom>
      <diagonal/>
    </border>
    <border>
      <left style="thin">
        <color theme="0" tint="-0.14999847407452621"/>
      </left>
      <right style="thin">
        <color theme="0" tint="-0.14999847407452621"/>
      </right>
      <top/>
      <bottom style="thin">
        <color theme="0" tint="-0.14999847407452621"/>
      </bottom>
      <diagonal/>
    </border>
    <border>
      <left style="medium">
        <color indexed="64"/>
      </left>
      <right style="medium">
        <color indexed="64"/>
      </right>
      <top/>
      <bottom style="thin">
        <color indexed="64"/>
      </bottom>
      <diagonal/>
    </border>
    <border>
      <left style="thick">
        <color indexed="8"/>
      </left>
      <right/>
      <top style="thick">
        <color indexed="8"/>
      </top>
      <bottom style="thick">
        <color indexed="8"/>
      </bottom>
      <diagonal/>
    </border>
    <border>
      <left style="thick">
        <color indexed="8"/>
      </left>
      <right style="thin">
        <color indexed="8"/>
      </right>
      <top style="thick">
        <color indexed="8"/>
      </top>
      <bottom style="thick">
        <color indexed="8"/>
      </bottom>
      <diagonal/>
    </border>
    <border>
      <left style="thin">
        <color indexed="8"/>
      </left>
      <right style="thick">
        <color indexed="8"/>
      </right>
      <top style="thick">
        <color indexed="8"/>
      </top>
      <bottom style="thick">
        <color indexed="8"/>
      </bottom>
      <diagonal/>
    </border>
    <border>
      <left style="thick">
        <color indexed="8"/>
      </left>
      <right/>
      <top/>
      <bottom/>
      <diagonal/>
    </border>
    <border>
      <left style="thick">
        <color indexed="8"/>
      </left>
      <right style="thin">
        <color indexed="8"/>
      </right>
      <top/>
      <bottom/>
      <diagonal/>
    </border>
    <border>
      <left style="thin">
        <color indexed="8"/>
      </left>
      <right style="thick">
        <color indexed="8"/>
      </right>
      <top/>
      <bottom/>
      <diagonal/>
    </border>
    <border>
      <left style="thick">
        <color indexed="8"/>
      </left>
      <right/>
      <top/>
      <bottom style="thick">
        <color indexed="8"/>
      </bottom>
      <diagonal/>
    </border>
    <border>
      <left style="thick">
        <color indexed="8"/>
      </left>
      <right style="thin">
        <color indexed="8"/>
      </right>
      <top/>
      <bottom style="thick">
        <color indexed="8"/>
      </bottom>
      <diagonal/>
    </border>
    <border>
      <left style="thin">
        <color indexed="8"/>
      </left>
      <right style="thick">
        <color indexed="8"/>
      </right>
      <top/>
      <bottom style="thick">
        <color indexed="8"/>
      </bottom>
      <diagonal/>
    </border>
    <border>
      <left style="thin">
        <color indexed="22"/>
      </left>
      <right style="thin">
        <color indexed="22"/>
      </right>
      <top/>
      <bottom style="thin">
        <color indexed="2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theme="0" tint="-0.24994659260841701"/>
      </left>
      <right/>
      <top/>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right/>
      <top style="thin">
        <color indexed="22"/>
      </top>
      <bottom style="thin">
        <color indexed="22"/>
      </bottom>
      <diagonal/>
    </border>
    <border>
      <left/>
      <right style="thin">
        <color indexed="22"/>
      </right>
      <top style="thin">
        <color indexed="22"/>
      </top>
      <bottom style="thin">
        <color indexed="22"/>
      </bottom>
      <diagonal/>
    </border>
    <border>
      <left style="thin">
        <color theme="1"/>
      </left>
      <right/>
      <top style="thin">
        <color theme="1"/>
      </top>
      <bottom style="thin">
        <color theme="0" tint="-0.24994659260841701"/>
      </bottom>
      <diagonal/>
    </border>
    <border>
      <left/>
      <right/>
      <top style="thin">
        <color theme="1"/>
      </top>
      <bottom style="thin">
        <color theme="0" tint="-0.24994659260841701"/>
      </bottom>
      <diagonal/>
    </border>
    <border>
      <left/>
      <right style="thin">
        <color theme="1"/>
      </right>
      <top style="thin">
        <color theme="1"/>
      </top>
      <bottom style="thin">
        <color theme="0" tint="-0.24994659260841701"/>
      </bottom>
      <diagonal/>
    </border>
    <border>
      <left style="thin">
        <color theme="1"/>
      </left>
      <right/>
      <top style="thin">
        <color theme="1"/>
      </top>
      <bottom style="thin">
        <color theme="6" tint="0.59999389629810485"/>
      </bottom>
      <diagonal/>
    </border>
    <border>
      <left/>
      <right/>
      <top style="thin">
        <color theme="1"/>
      </top>
      <bottom style="thin">
        <color theme="6" tint="0.59999389629810485"/>
      </bottom>
      <diagonal/>
    </border>
    <border>
      <left/>
      <right style="thin">
        <color theme="6" tint="0.59999389629810485"/>
      </right>
      <top style="thin">
        <color theme="1"/>
      </top>
      <bottom style="thin">
        <color theme="6" tint="0.59999389629810485"/>
      </bottom>
      <diagonal/>
    </border>
    <border>
      <left/>
      <right/>
      <top style="thin">
        <color theme="1"/>
      </top>
      <bottom/>
      <diagonal/>
    </border>
    <border>
      <left style="medium">
        <color theme="0" tint="-0.24994659260841701"/>
      </left>
      <right/>
      <top style="medium">
        <color theme="0" tint="-0.24994659260841701"/>
      </top>
      <bottom/>
      <diagonal/>
    </border>
    <border>
      <left/>
      <right/>
      <top style="medium">
        <color theme="0" tint="-0.24994659260841701"/>
      </top>
      <bottom/>
      <diagonal/>
    </border>
    <border>
      <left/>
      <right style="medium">
        <color theme="0" tint="-0.24994659260841701"/>
      </right>
      <top style="medium">
        <color theme="0" tint="-0.24994659260841701"/>
      </top>
      <bottom/>
      <diagonal/>
    </border>
    <border>
      <left style="medium">
        <color theme="0" tint="-0.24994659260841701"/>
      </left>
      <right/>
      <top style="medium">
        <color theme="0" tint="-0.34998626667073579"/>
      </top>
      <bottom/>
      <diagonal/>
    </border>
    <border>
      <left/>
      <right/>
      <top style="medium">
        <color theme="0" tint="-0.34998626667073579"/>
      </top>
      <bottom/>
      <diagonal/>
    </border>
    <border>
      <left/>
      <right/>
      <top style="thin">
        <color indexed="55"/>
      </top>
      <bottom style="thin">
        <color indexed="55"/>
      </bottom>
      <diagonal/>
    </border>
    <border>
      <left/>
      <right/>
      <top style="thin">
        <color indexed="22"/>
      </top>
      <bottom/>
      <diagonal/>
    </border>
    <border>
      <left style="thin">
        <color theme="1"/>
      </left>
      <right/>
      <top/>
      <bottom/>
      <diagonal/>
    </border>
    <border>
      <left/>
      <right style="thin">
        <color theme="1"/>
      </right>
      <top/>
      <bottom/>
      <diagonal/>
    </border>
    <border>
      <left style="medium">
        <color theme="0" tint="-0.24994659260841701"/>
      </left>
      <right/>
      <top/>
      <bottom style="thin">
        <color theme="0" tint="-0.24994659260841701"/>
      </bottom>
      <diagonal/>
    </border>
    <border>
      <left/>
      <right/>
      <top/>
      <bottom style="thin">
        <color theme="0" tint="-0.24994659260841701"/>
      </bottom>
      <diagonal/>
    </border>
    <border>
      <left/>
      <right style="medium">
        <color theme="0" tint="-0.24994659260841701"/>
      </right>
      <top/>
      <bottom style="thin">
        <color theme="0" tint="-0.24994659260841701"/>
      </bottom>
      <diagonal/>
    </border>
    <border>
      <left style="medium">
        <color theme="0" tint="-0.24994659260841701"/>
      </left>
      <right/>
      <top/>
      <bottom/>
      <diagonal/>
    </border>
    <border>
      <left/>
      <right/>
      <top/>
      <bottom style="thin">
        <color indexed="22"/>
      </bottom>
      <diagonal/>
    </border>
    <border>
      <left/>
      <right style="thin">
        <color indexed="55"/>
      </right>
      <top/>
      <bottom/>
      <diagonal/>
    </border>
    <border>
      <left style="thin">
        <color theme="0" tint="-0.34998626667073579"/>
      </left>
      <right style="thin">
        <color indexed="22"/>
      </right>
      <top style="thin">
        <color theme="0" tint="-0.34998626667073579"/>
      </top>
      <bottom style="thin">
        <color indexed="22"/>
      </bottom>
      <diagonal/>
    </border>
    <border>
      <left style="thin">
        <color indexed="22"/>
      </left>
      <right style="thin">
        <color indexed="22"/>
      </right>
      <top style="thin">
        <color theme="0" tint="-0.34998626667073579"/>
      </top>
      <bottom style="thin">
        <color indexed="22"/>
      </bottom>
      <diagonal/>
    </border>
    <border>
      <left style="thin">
        <color indexed="22"/>
      </left>
      <right style="thin">
        <color theme="0" tint="-0.34998626667073579"/>
      </right>
      <top style="thin">
        <color theme="0" tint="-0.34998626667073579"/>
      </top>
      <bottom style="thin">
        <color indexed="22"/>
      </bottom>
      <diagonal/>
    </border>
    <border>
      <left style="thin">
        <color theme="1"/>
      </left>
      <right/>
      <top style="thin">
        <color theme="0" tint="-0.34998626667073579"/>
      </top>
      <bottom/>
      <diagonal/>
    </border>
    <border>
      <left/>
      <right/>
      <top style="thin">
        <color theme="0" tint="-0.34998626667073579"/>
      </top>
      <bottom/>
      <diagonal/>
    </border>
    <border>
      <left/>
      <right style="thin">
        <color theme="1"/>
      </right>
      <top style="thin">
        <color theme="0" tint="-0.34998626667073579"/>
      </top>
      <bottom/>
      <diagonal/>
    </border>
    <border>
      <left style="thin">
        <color theme="1"/>
      </left>
      <right/>
      <top style="thin">
        <color theme="6" tint="0.59999389629810485"/>
      </top>
      <bottom/>
      <diagonal/>
    </border>
    <border>
      <left/>
      <right/>
      <top style="thin">
        <color theme="6" tint="0.59999389629810485"/>
      </top>
      <bottom/>
      <diagonal/>
    </border>
    <border>
      <left/>
      <right style="thin">
        <color theme="6" tint="0.59999389629810485"/>
      </right>
      <top style="thin">
        <color theme="6" tint="0.59999389629810485"/>
      </top>
      <bottom/>
      <diagonal/>
    </border>
    <border>
      <left style="medium">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77111117893"/>
      </left>
      <right style="thin">
        <color indexed="22"/>
      </right>
      <top style="thin">
        <color theme="0" tint="-0.249977111117893"/>
      </top>
      <bottom style="thin">
        <color indexed="22"/>
      </bottom>
      <diagonal/>
    </border>
    <border>
      <left style="thin">
        <color indexed="22"/>
      </left>
      <right style="thin">
        <color indexed="22"/>
      </right>
      <top style="thin">
        <color theme="0" tint="-0.249977111117893"/>
      </top>
      <bottom style="thin">
        <color indexed="22"/>
      </bottom>
      <diagonal/>
    </border>
    <border>
      <left style="thin">
        <color indexed="22"/>
      </left>
      <right style="thin">
        <color theme="0" tint="-0.249977111117893"/>
      </right>
      <top style="thin">
        <color theme="0" tint="-0.249977111117893"/>
      </top>
      <bottom style="thin">
        <color indexed="22"/>
      </bottom>
      <diagonal/>
    </border>
    <border>
      <left style="thin">
        <color theme="0" tint="-0.249977111117893"/>
      </left>
      <right/>
      <top style="thin">
        <color theme="0" tint="-0.249977111117893"/>
      </top>
      <bottom/>
      <diagonal/>
    </border>
    <border>
      <left/>
      <right/>
      <top style="thin">
        <color theme="0" tint="-0.249977111117893"/>
      </top>
      <bottom/>
      <diagonal/>
    </border>
    <border>
      <left style="thin">
        <color theme="0" tint="-0.24994659260841701"/>
      </left>
      <right/>
      <top style="thin">
        <color theme="0" tint="-0.24994659260841701"/>
      </top>
      <bottom/>
      <diagonal/>
    </border>
    <border>
      <left/>
      <right/>
      <top style="thin">
        <color theme="0" tint="-0.24994659260841701"/>
      </top>
      <bottom/>
      <diagonal/>
    </border>
    <border>
      <left style="thin">
        <color theme="0" tint="-0.34998626667073579"/>
      </left>
      <right style="thin">
        <color indexed="22"/>
      </right>
      <top style="thin">
        <color indexed="22"/>
      </top>
      <bottom style="thin">
        <color indexed="22"/>
      </bottom>
      <diagonal/>
    </border>
    <border>
      <left style="thin">
        <color indexed="22"/>
      </left>
      <right style="thin">
        <color theme="0" tint="-0.34998626667073579"/>
      </right>
      <top style="thin">
        <color indexed="22"/>
      </top>
      <bottom style="thin">
        <color indexed="22"/>
      </bottom>
      <diagonal/>
    </border>
    <border>
      <left style="thin">
        <color theme="1"/>
      </left>
      <right style="thin">
        <color theme="6" tint="0.59996337778862885"/>
      </right>
      <top style="thin">
        <color theme="6" tint="0.59996337778862885"/>
      </top>
      <bottom style="thin">
        <color theme="6" tint="0.59996337778862885"/>
      </bottom>
      <diagonal/>
    </border>
    <border>
      <left style="thin">
        <color theme="6" tint="0.59996337778862885"/>
      </left>
      <right style="thin">
        <color theme="6" tint="0.59996337778862885"/>
      </right>
      <top style="thin">
        <color theme="6" tint="0.59996337778862885"/>
      </top>
      <bottom style="thin">
        <color theme="6" tint="0.59996337778862885"/>
      </bottom>
      <diagonal/>
    </border>
    <border>
      <left style="thin">
        <color theme="6" tint="0.59996337778862885"/>
      </left>
      <right style="thin">
        <color theme="6" tint="0.59999389629810485"/>
      </right>
      <top style="thin">
        <color theme="6" tint="0.59996337778862885"/>
      </top>
      <bottom style="thin">
        <color theme="6" tint="0.59996337778862885"/>
      </bottom>
      <diagonal/>
    </border>
    <border>
      <left style="thin">
        <color theme="6" tint="0.59996337778862885"/>
      </left>
      <right/>
      <top style="thin">
        <color theme="6" tint="0.59996337778862885"/>
      </top>
      <bottom style="thin">
        <color theme="6" tint="0.59996337778862885"/>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style="thin">
        <color theme="0" tint="-0.34998626667073579"/>
      </left>
      <right style="medium">
        <color theme="0" tint="-0.34998626667073579"/>
      </right>
      <top style="thin">
        <color theme="0" tint="-0.34998626667073579"/>
      </top>
      <bottom style="thin">
        <color theme="0" tint="-0.34998626667073579"/>
      </bottom>
      <diagonal/>
    </border>
    <border>
      <left style="thin">
        <color theme="0" tint="-0.249977111117893"/>
      </left>
      <right style="thin">
        <color indexed="22"/>
      </right>
      <top style="thin">
        <color indexed="22"/>
      </top>
      <bottom style="thin">
        <color indexed="22"/>
      </bottom>
      <diagonal/>
    </border>
    <border>
      <left style="thin">
        <color indexed="22"/>
      </left>
      <right style="thin">
        <color theme="0" tint="-0.249977111117893"/>
      </right>
      <top style="thin">
        <color indexed="22"/>
      </top>
      <bottom style="thin">
        <color indexed="22"/>
      </bottom>
      <diagonal/>
    </border>
    <border>
      <left style="thin">
        <color theme="0" tint="-0.249977111117893"/>
      </left>
      <right/>
      <top style="thin">
        <color indexed="22"/>
      </top>
      <bottom style="thin">
        <color indexed="22"/>
      </bottom>
      <diagonal/>
    </border>
    <border>
      <left style="thin">
        <color theme="0" tint="-0.34998626667073579"/>
      </left>
      <right style="thin">
        <color indexed="22"/>
      </right>
      <top style="thin">
        <color indexed="22"/>
      </top>
      <bottom style="thin">
        <color theme="0" tint="-0.34998626667073579"/>
      </bottom>
      <diagonal/>
    </border>
    <border>
      <left style="thin">
        <color indexed="22"/>
      </left>
      <right style="thin">
        <color indexed="22"/>
      </right>
      <top style="thin">
        <color indexed="22"/>
      </top>
      <bottom style="thin">
        <color theme="0" tint="-0.34998626667073579"/>
      </bottom>
      <diagonal/>
    </border>
    <border>
      <left style="thin">
        <color indexed="22"/>
      </left>
      <right style="thin">
        <color theme="0" tint="-0.34998626667073579"/>
      </right>
      <top style="thin">
        <color indexed="22"/>
      </top>
      <bottom style="thin">
        <color theme="0" tint="-0.34998626667073579"/>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theme="1"/>
      </left>
      <right style="thin">
        <color theme="6" tint="0.59996337778862885"/>
      </right>
      <top style="thin">
        <color theme="6" tint="0.59996337778862885"/>
      </top>
      <bottom style="thin">
        <color theme="1"/>
      </bottom>
      <diagonal/>
    </border>
    <border>
      <left style="thin">
        <color theme="6" tint="0.59996337778862885"/>
      </left>
      <right style="thin">
        <color theme="6" tint="0.59996337778862885"/>
      </right>
      <top style="thin">
        <color theme="6" tint="0.59996337778862885"/>
      </top>
      <bottom style="thin">
        <color theme="1"/>
      </bottom>
      <diagonal/>
    </border>
    <border>
      <left style="thin">
        <color theme="6" tint="0.59996337778862885"/>
      </left>
      <right style="thin">
        <color theme="6" tint="0.59999389629810485"/>
      </right>
      <top style="thin">
        <color theme="6" tint="0.59996337778862885"/>
      </top>
      <bottom style="thin">
        <color theme="1"/>
      </bottom>
      <diagonal/>
    </border>
    <border>
      <left style="thin">
        <color theme="6" tint="0.59996337778862885"/>
      </left>
      <right/>
      <top style="thin">
        <color theme="6" tint="0.59996337778862885"/>
      </top>
      <bottom style="thin">
        <color theme="1"/>
      </bottom>
      <diagonal/>
    </border>
    <border>
      <left style="thin">
        <color indexed="64"/>
      </left>
      <right style="thin">
        <color theme="0" tint="-0.34998626667073579"/>
      </right>
      <top style="thin">
        <color theme="0" tint="-0.34998626667073579"/>
      </top>
      <bottom style="thin">
        <color indexed="64"/>
      </bottom>
      <diagonal/>
    </border>
    <border>
      <left style="thin">
        <color theme="0" tint="-0.34998626667073579"/>
      </left>
      <right style="thin">
        <color theme="0" tint="-0.34998626667073579"/>
      </right>
      <top style="thin">
        <color theme="0" tint="-0.34998626667073579"/>
      </top>
      <bottom style="thin">
        <color indexed="64"/>
      </bottom>
      <diagonal/>
    </border>
    <border>
      <left style="thin">
        <color theme="0" tint="-0.34998626667073579"/>
      </left>
      <right/>
      <top style="thin">
        <color theme="0" tint="-0.34998626667073579"/>
      </top>
      <bottom style="thin">
        <color indexed="64"/>
      </bottom>
      <diagonal/>
    </border>
    <border>
      <left style="medium">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medium">
        <color theme="0" tint="-0.24994659260841701"/>
      </right>
      <top style="thin">
        <color theme="0" tint="-0.24994659260841701"/>
      </top>
      <bottom style="medium">
        <color theme="0" tint="-0.24994659260841701"/>
      </bottom>
      <diagonal/>
    </border>
    <border>
      <left/>
      <right style="thin">
        <color theme="0" tint="-0.34998626667073579"/>
      </right>
      <top style="thin">
        <color theme="0" tint="-0.34998626667073579"/>
      </top>
      <bottom style="medium">
        <color theme="0" tint="-0.34998626667073579"/>
      </bottom>
      <diagonal/>
    </border>
    <border>
      <left style="thin">
        <color theme="0" tint="-0.34998626667073579"/>
      </left>
      <right style="thin">
        <color theme="0" tint="-0.34998626667073579"/>
      </right>
      <top style="thin">
        <color theme="0" tint="-0.34998626667073579"/>
      </top>
      <bottom style="medium">
        <color theme="0" tint="-0.34998626667073579"/>
      </bottom>
      <diagonal/>
    </border>
    <border>
      <left style="thin">
        <color theme="0" tint="-0.34998626667073579"/>
      </left>
      <right/>
      <top style="thin">
        <color theme="0" tint="-0.34998626667073579"/>
      </top>
      <bottom style="medium">
        <color theme="0" tint="-0.34998626667073579"/>
      </bottom>
      <diagonal/>
    </border>
    <border>
      <left style="thin">
        <color theme="0" tint="-0.34998626667073579"/>
      </left>
      <right style="medium">
        <color theme="0" tint="-0.34998626667073579"/>
      </right>
      <top style="thin">
        <color theme="0" tint="-0.34998626667073579"/>
      </top>
      <bottom style="medium">
        <color theme="0" tint="-0.34998626667073579"/>
      </bottom>
      <diagonal/>
    </border>
    <border>
      <left style="thin">
        <color theme="0" tint="-0.249977111117893"/>
      </left>
      <right style="thin">
        <color indexed="22"/>
      </right>
      <top style="thin">
        <color indexed="22"/>
      </top>
      <bottom style="thin">
        <color theme="0" tint="-0.249977111117893"/>
      </bottom>
      <diagonal/>
    </border>
    <border>
      <left style="thin">
        <color indexed="22"/>
      </left>
      <right style="thin">
        <color indexed="22"/>
      </right>
      <top style="thin">
        <color indexed="22"/>
      </top>
      <bottom style="thin">
        <color theme="0" tint="-0.249977111117893"/>
      </bottom>
      <diagonal/>
    </border>
    <border>
      <left style="thin">
        <color indexed="22"/>
      </left>
      <right style="thin">
        <color theme="0" tint="-0.249977111117893"/>
      </right>
      <top style="thin">
        <color indexed="22"/>
      </top>
      <bottom style="thin">
        <color theme="0" tint="-0.249977111117893"/>
      </bottom>
      <diagonal/>
    </border>
    <border>
      <left style="thin">
        <color theme="0" tint="-0.249977111117893"/>
      </left>
      <right/>
      <top style="thin">
        <color indexed="22"/>
      </top>
      <bottom style="thin">
        <color theme="0" tint="-0.249977111117893"/>
      </bottom>
      <diagonal/>
    </border>
    <border>
      <left/>
      <right/>
      <top style="thin">
        <color indexed="22"/>
      </top>
      <bottom style="thin">
        <color theme="0" tint="-0.249977111117893"/>
      </bottom>
      <diagonal/>
    </border>
    <border>
      <left style="thin">
        <color theme="0" tint="-0.24994659260841701"/>
      </left>
      <right/>
      <top/>
      <bottom style="thin">
        <color theme="0" tint="-0.24994659260841701"/>
      </bottom>
      <diagonal/>
    </border>
    <border>
      <left/>
      <right style="thin">
        <color theme="0" tint="-0.24994659260841701"/>
      </right>
      <top/>
      <bottom style="thin">
        <color theme="0" tint="-0.24994659260841701"/>
      </bottom>
      <diagonal/>
    </border>
    <border>
      <left/>
      <right style="thin">
        <color theme="1"/>
      </right>
      <top style="thin">
        <color theme="1"/>
      </top>
      <bottom style="thin">
        <color theme="6" tint="0.59999389629810485"/>
      </bottom>
      <diagonal/>
    </border>
    <border>
      <left style="thin">
        <color theme="1"/>
      </left>
      <right/>
      <top style="thin">
        <color theme="1"/>
      </top>
      <bottom/>
      <diagonal/>
    </border>
    <border>
      <left/>
      <right style="medium">
        <color theme="0" tint="-0.34998626667073579"/>
      </right>
      <top style="medium">
        <color theme="0" tint="-0.34998626667073579"/>
      </top>
      <bottom/>
      <diagonal/>
    </border>
    <border>
      <left/>
      <right style="medium">
        <color theme="0" tint="-0.34998626667073579"/>
      </right>
      <top/>
      <bottom/>
      <diagonal/>
    </border>
    <border>
      <left/>
      <right style="thin">
        <color theme="1"/>
      </right>
      <top style="thin">
        <color theme="6" tint="0.59999389629810485"/>
      </top>
      <bottom/>
      <diagonal/>
    </border>
    <border>
      <left style="thin">
        <color theme="6" tint="0.59996337778862885"/>
      </left>
      <right style="thin">
        <color theme="1"/>
      </right>
      <top style="thin">
        <color theme="6" tint="0.59996337778862885"/>
      </top>
      <bottom style="thin">
        <color theme="6" tint="0.59996337778862885"/>
      </bottom>
      <diagonal/>
    </border>
    <border>
      <left style="thin">
        <color theme="1"/>
      </left>
      <right style="thin">
        <color theme="0" tint="-0.34998626667073579"/>
      </right>
      <top style="thin">
        <color theme="0" tint="-0.34998626667073579"/>
      </top>
      <bottom style="thin">
        <color theme="0" tint="-0.34998626667073579"/>
      </bottom>
      <diagonal/>
    </border>
    <border>
      <left style="thin">
        <color theme="6" tint="0.59996337778862885"/>
      </left>
      <right style="thin">
        <color theme="1"/>
      </right>
      <top style="thin">
        <color theme="6" tint="0.59996337778862885"/>
      </top>
      <bottom style="thin">
        <color theme="1"/>
      </bottom>
      <diagonal/>
    </border>
    <border>
      <left style="thin">
        <color theme="1"/>
      </left>
      <right style="thin">
        <color theme="0" tint="-0.34998626667073579"/>
      </right>
      <top style="thin">
        <color theme="0" tint="-0.34998626667073579"/>
      </top>
      <bottom style="thin">
        <color theme="1"/>
      </bottom>
      <diagonal/>
    </border>
    <border>
      <left style="thin">
        <color theme="0" tint="-0.34998626667073579"/>
      </left>
      <right style="thin">
        <color theme="0" tint="-0.34998626667073579"/>
      </right>
      <top style="thin">
        <color theme="0" tint="-0.34998626667073579"/>
      </top>
      <bottom style="thin">
        <color theme="1"/>
      </bottom>
      <diagonal/>
    </border>
    <border>
      <left style="thin">
        <color theme="6" tint="0.59996337778862885"/>
      </left>
      <right style="thin">
        <color theme="6" tint="0.59996337778862885"/>
      </right>
      <top/>
      <bottom style="thin">
        <color theme="6" tint="0.59996337778862885"/>
      </bottom>
      <diagonal/>
    </border>
    <border>
      <left/>
      <right style="thin">
        <color theme="0" tint="-0.34998626667073579"/>
      </right>
      <top style="thin">
        <color theme="0" tint="-0.34998626667073579"/>
      </top>
      <bottom style="thin">
        <color indexed="22"/>
      </bottom>
      <diagonal/>
    </border>
    <border>
      <left/>
      <right style="thin">
        <color theme="0" tint="-0.34998626667073579"/>
      </right>
      <top style="thin">
        <color indexed="22"/>
      </top>
      <bottom style="thin">
        <color indexed="22"/>
      </bottom>
      <diagonal/>
    </border>
    <border>
      <left/>
      <right style="thin">
        <color theme="0" tint="-0.34998626667073579"/>
      </right>
      <top style="thin">
        <color indexed="22"/>
      </top>
      <bottom style="thin">
        <color theme="0" tint="-0.34998626667073579"/>
      </bottom>
      <diagonal/>
    </border>
    <border>
      <left style="thin">
        <color theme="0" tint="-0.34998626667073579"/>
      </left>
      <right/>
      <top style="thin">
        <color theme="0" tint="-0.34998626667073579"/>
      </top>
      <bottom style="thin">
        <color theme="1"/>
      </bottom>
      <diagonal/>
    </border>
    <border>
      <left/>
      <right style="thin">
        <color theme="1"/>
      </right>
      <top style="thin">
        <color theme="1"/>
      </top>
      <bottom/>
      <diagonal/>
    </border>
    <border>
      <left style="thin">
        <color theme="0" tint="-0.34998626667073579"/>
      </left>
      <right style="thin">
        <color indexed="22"/>
      </right>
      <top style="medium">
        <color indexed="64"/>
      </top>
      <bottom style="thin">
        <color theme="0" tint="-0.34998626667073579"/>
      </bottom>
      <diagonal/>
    </border>
    <border>
      <left style="thin">
        <color indexed="22"/>
      </left>
      <right style="thin">
        <color indexed="22"/>
      </right>
      <top style="medium">
        <color indexed="64"/>
      </top>
      <bottom style="thin">
        <color theme="0" tint="-0.34998626667073579"/>
      </bottom>
      <diagonal/>
    </border>
    <border>
      <left style="thin">
        <color indexed="22"/>
      </left>
      <right style="thin">
        <color theme="0" tint="-0.34998626667073579"/>
      </right>
      <top style="medium">
        <color indexed="64"/>
      </top>
      <bottom style="thin">
        <color theme="0" tint="-0.34998626667073579"/>
      </bottom>
      <diagonal/>
    </border>
    <border>
      <left/>
      <right style="thin">
        <color theme="0" tint="-0.24994659260841701"/>
      </right>
      <top style="medium">
        <color indexed="64"/>
      </top>
      <bottom style="thin">
        <color theme="0" tint="-0.24994659260841701"/>
      </bottom>
      <diagonal/>
    </border>
    <border>
      <left style="thin">
        <color theme="0" tint="-0.24994659260841701"/>
      </left>
      <right style="thin">
        <color theme="0" tint="-0.24994659260841701"/>
      </right>
      <top style="medium">
        <color indexed="64"/>
      </top>
      <bottom style="thin">
        <color theme="0" tint="-0.24994659260841701"/>
      </bottom>
      <diagonal/>
    </border>
    <border>
      <left style="thin">
        <color theme="0" tint="-0.24994659260841701"/>
      </left>
      <right/>
      <top style="medium">
        <color indexed="64"/>
      </top>
      <bottom style="thin">
        <color theme="0" tint="-0.24994659260841701"/>
      </bottom>
      <diagonal/>
    </border>
    <border>
      <left style="thin">
        <color theme="1"/>
      </left>
      <right/>
      <top style="medium">
        <color indexed="64"/>
      </top>
      <bottom style="thin">
        <color theme="1"/>
      </bottom>
      <diagonal/>
    </border>
    <border>
      <left/>
      <right/>
      <top style="medium">
        <color indexed="64"/>
      </top>
      <bottom style="thin">
        <color theme="1"/>
      </bottom>
      <diagonal/>
    </border>
    <border>
      <left/>
      <right style="thin">
        <color theme="1"/>
      </right>
      <top style="medium">
        <color indexed="64"/>
      </top>
      <bottom style="thin">
        <color theme="1"/>
      </bottom>
      <diagonal/>
    </border>
    <border>
      <left style="thin">
        <color theme="1"/>
      </left>
      <right style="thin">
        <color theme="6" tint="0.59996337778862885"/>
      </right>
      <top style="medium">
        <color indexed="64"/>
      </top>
      <bottom style="thin">
        <color theme="1"/>
      </bottom>
      <diagonal/>
    </border>
    <border>
      <left style="thin">
        <color theme="6" tint="0.59996337778862885"/>
      </left>
      <right style="thin">
        <color theme="6" tint="0.59996337778862885"/>
      </right>
      <top style="medium">
        <color indexed="64"/>
      </top>
      <bottom style="thin">
        <color theme="1"/>
      </bottom>
      <diagonal/>
    </border>
    <border>
      <left style="thin">
        <color theme="6" tint="0.59996337778862885"/>
      </left>
      <right style="thin">
        <color theme="6" tint="0.59999389629810485"/>
      </right>
      <top style="medium">
        <color indexed="64"/>
      </top>
      <bottom style="thin">
        <color theme="1"/>
      </bottom>
      <diagonal/>
    </border>
    <border>
      <left style="thin">
        <color theme="6" tint="0.59996337778862885"/>
      </left>
      <right style="thin">
        <color theme="1"/>
      </right>
      <top style="medium">
        <color indexed="64"/>
      </top>
      <bottom style="thin">
        <color theme="1"/>
      </bottom>
      <diagonal/>
    </border>
    <border>
      <left style="thin">
        <color theme="1"/>
      </left>
      <right style="thin">
        <color theme="0" tint="-0.34998626667073579"/>
      </right>
      <top style="medium">
        <color indexed="64"/>
      </top>
      <bottom style="thin">
        <color theme="1"/>
      </bottom>
      <diagonal/>
    </border>
    <border>
      <left style="thin">
        <color theme="0" tint="-0.34998626667073579"/>
      </left>
      <right style="thin">
        <color theme="0" tint="-0.34998626667073579"/>
      </right>
      <top style="medium">
        <color indexed="64"/>
      </top>
      <bottom style="thin">
        <color theme="1"/>
      </bottom>
      <diagonal/>
    </border>
    <border>
      <left style="thin">
        <color theme="0" tint="-0.34998626667073579"/>
      </left>
      <right/>
      <top style="medium">
        <color indexed="64"/>
      </top>
      <bottom style="thin">
        <color theme="1"/>
      </bottom>
      <diagonal/>
    </border>
    <border>
      <left style="medium">
        <color theme="0" tint="-0.24994659260841701"/>
      </left>
      <right style="thin">
        <color theme="0" tint="-0.24994659260841701"/>
      </right>
      <top style="medium">
        <color indexed="64"/>
      </top>
      <bottom style="medium">
        <color theme="0" tint="-0.24994659260841701"/>
      </bottom>
      <diagonal/>
    </border>
    <border>
      <left style="thin">
        <color theme="0" tint="-0.24994659260841701"/>
      </left>
      <right style="thin">
        <color theme="0" tint="-0.24994659260841701"/>
      </right>
      <top style="medium">
        <color indexed="64"/>
      </top>
      <bottom style="medium">
        <color theme="0" tint="-0.24994659260841701"/>
      </bottom>
      <diagonal/>
    </border>
    <border>
      <left style="thin">
        <color theme="0" tint="-0.24994659260841701"/>
      </left>
      <right style="medium">
        <color theme="0" tint="-0.24994659260841701"/>
      </right>
      <top style="medium">
        <color indexed="64"/>
      </top>
      <bottom style="medium">
        <color theme="0" tint="-0.24994659260841701"/>
      </bottom>
      <diagonal/>
    </border>
    <border>
      <left/>
      <right style="thin">
        <color theme="0" tint="-0.34998626667073579"/>
      </right>
      <top style="medium">
        <color indexed="64"/>
      </top>
      <bottom style="medium">
        <color theme="0" tint="-0.34998626667073579"/>
      </bottom>
      <diagonal/>
    </border>
    <border>
      <left style="thin">
        <color theme="0" tint="-0.34998626667073579"/>
      </left>
      <right style="thin">
        <color theme="0" tint="-0.34998626667073579"/>
      </right>
      <top style="medium">
        <color indexed="64"/>
      </top>
      <bottom style="medium">
        <color theme="0" tint="-0.34998626667073579"/>
      </bottom>
      <diagonal/>
    </border>
    <border>
      <left style="thin">
        <color theme="0" tint="-0.34998626667073579"/>
      </left>
      <right/>
      <top style="medium">
        <color indexed="64"/>
      </top>
      <bottom style="medium">
        <color theme="0" tint="-0.34998626667073579"/>
      </bottom>
      <diagonal/>
    </border>
    <border>
      <left style="thin">
        <color theme="0" tint="-0.34998626667073579"/>
      </left>
      <right style="medium">
        <color theme="0" tint="-0.34998626667073579"/>
      </right>
      <top style="medium">
        <color indexed="64"/>
      </top>
      <bottom style="medium">
        <color theme="0" tint="-0.34998626667073579"/>
      </bottom>
      <diagonal/>
    </border>
    <border>
      <left style="thin">
        <color indexed="64"/>
      </left>
      <right/>
      <top/>
      <bottom style="medium">
        <color indexed="64"/>
      </bottom>
      <diagonal/>
    </border>
    <border>
      <left style="thin">
        <color indexed="22"/>
      </left>
      <right style="thin">
        <color indexed="22"/>
      </right>
      <top style="thin">
        <color indexed="22"/>
      </top>
      <bottom/>
      <diagonal/>
    </border>
    <border>
      <left style="thin">
        <color theme="9"/>
      </left>
      <right/>
      <top style="thin">
        <color theme="9"/>
      </top>
      <bottom/>
      <diagonal/>
    </border>
    <border>
      <left/>
      <right/>
      <top/>
      <bottom style="thin">
        <color theme="4" tint="0.39997558519241921"/>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medium">
        <color theme="0" tint="-0.249977111117893"/>
      </right>
      <top style="thin">
        <color theme="0" tint="-0.249977111117893"/>
      </top>
      <bottom style="thin">
        <color theme="0" tint="-0.249977111117893"/>
      </bottom>
      <diagonal/>
    </border>
    <border>
      <left style="medium">
        <color indexed="64"/>
      </left>
      <right style="thin">
        <color theme="0" tint="-0.24994659260841701"/>
      </right>
      <top style="medium">
        <color indexed="64"/>
      </top>
      <bottom style="thin">
        <color theme="0" tint="-0.24994659260841701"/>
      </bottom>
      <diagonal/>
    </border>
    <border>
      <left style="thin">
        <color theme="0" tint="-0.24994659260841701"/>
      </left>
      <right style="thin">
        <color theme="0" tint="-0.24994659260841701"/>
      </right>
      <top style="thin">
        <color theme="0" tint="-0.249977111117893"/>
      </top>
      <bottom style="medium">
        <color indexed="64"/>
      </bottom>
      <diagonal/>
    </border>
    <border>
      <left style="thin">
        <color theme="0" tint="-0.14999847407452621"/>
      </left>
      <right style="thin">
        <color theme="0" tint="-0.14999847407452621"/>
      </right>
      <top/>
      <bottom style="medium">
        <color indexed="64"/>
      </bottom>
      <diagonal/>
    </border>
    <border>
      <left/>
      <right/>
      <top/>
      <bottom style="double">
        <color indexed="64"/>
      </bottom>
      <diagonal/>
    </border>
    <border>
      <left style="thin">
        <color indexed="64"/>
      </left>
      <right/>
      <top style="medium">
        <color indexed="64"/>
      </top>
      <bottom style="thin">
        <color indexed="64"/>
      </bottom>
      <diagonal/>
    </border>
    <border>
      <left/>
      <right style="medium">
        <color indexed="64"/>
      </right>
      <top style="thin">
        <color indexed="64"/>
      </top>
      <bottom/>
      <diagonal/>
    </border>
    <border>
      <left style="thin">
        <color theme="0" tint="-0.14999847407452621"/>
      </left>
      <right style="medium">
        <color indexed="64"/>
      </right>
      <top style="medium">
        <color indexed="64"/>
      </top>
      <bottom style="medium">
        <color indexed="64"/>
      </bottom>
      <diagonal/>
    </border>
    <border>
      <left style="thin">
        <color indexed="64"/>
      </left>
      <right style="thin">
        <color theme="0" tint="-0.14999847407452621"/>
      </right>
      <top style="thin">
        <color theme="0" tint="-0.14999847407452621"/>
      </top>
      <bottom style="thin">
        <color theme="0" tint="-0.14999847407452621"/>
      </bottom>
      <diagonal/>
    </border>
    <border>
      <left style="thin">
        <color indexed="64"/>
      </left>
      <right style="thin">
        <color theme="0" tint="-0.14999847407452621"/>
      </right>
      <top style="medium">
        <color indexed="64"/>
      </top>
      <bottom style="medium">
        <color indexed="64"/>
      </bottom>
      <diagonal/>
    </border>
    <border>
      <left/>
      <right style="thin">
        <color indexed="64"/>
      </right>
      <top style="thin">
        <color theme="0" tint="-0.14999847407452621"/>
      </top>
      <bottom/>
      <diagonal/>
    </border>
    <border>
      <left style="medium">
        <color indexed="64"/>
      </left>
      <right style="thin">
        <color indexed="64"/>
      </right>
      <top/>
      <bottom style="thin">
        <color indexed="64"/>
      </bottom>
      <diagonal/>
    </border>
    <border>
      <left style="thick">
        <color indexed="8"/>
      </left>
      <right/>
      <top style="thick">
        <color indexed="8"/>
      </top>
      <bottom/>
      <diagonal/>
    </border>
    <border>
      <left style="thick">
        <color indexed="8"/>
      </left>
      <right style="thin">
        <color indexed="8"/>
      </right>
      <top style="thick">
        <color indexed="8"/>
      </top>
      <bottom/>
      <diagonal/>
    </border>
    <border>
      <left style="thin">
        <color indexed="8"/>
      </left>
      <right style="thick">
        <color indexed="8"/>
      </right>
      <top style="thick">
        <color indexed="8"/>
      </top>
      <bottom/>
      <diagonal/>
    </border>
    <border>
      <left style="medium">
        <color indexed="64"/>
      </left>
      <right style="thin">
        <color indexed="64"/>
      </right>
      <top style="medium">
        <color indexed="64"/>
      </top>
      <bottom/>
      <diagonal/>
    </border>
    <border>
      <left style="medium">
        <color indexed="64"/>
      </left>
      <right/>
      <top style="thin">
        <color indexed="64"/>
      </top>
      <bottom/>
      <diagonal/>
    </border>
    <border>
      <left style="thin">
        <color theme="0" tint="-0.24994659260841701"/>
      </left>
      <right/>
      <top style="thin">
        <color theme="0" tint="-0.499984740745262"/>
      </top>
      <bottom/>
      <diagonal/>
    </border>
    <border>
      <left/>
      <right/>
      <top style="thin">
        <color theme="0" tint="-0.499984740745262"/>
      </top>
      <bottom/>
      <diagonal/>
    </border>
    <border>
      <left/>
      <right style="thin">
        <color theme="0" tint="-0.24994659260841701"/>
      </right>
      <top style="thin">
        <color theme="0" tint="-0.499984740745262"/>
      </top>
      <bottom/>
      <diagonal/>
    </border>
    <border>
      <left/>
      <right/>
      <top/>
      <bottom style="thin">
        <color theme="0" tint="-0.34998626667073579"/>
      </bottom>
      <diagonal/>
    </border>
    <border>
      <left style="thin">
        <color theme="0" tint="-0.24994659260841701"/>
      </left>
      <right style="thin">
        <color theme="0" tint="-0.34998626667073579"/>
      </right>
      <top style="thin">
        <color theme="0" tint="-0.34998626667073579"/>
      </top>
      <bottom style="thin">
        <color theme="0" tint="-0.34998626667073579"/>
      </bottom>
      <diagonal/>
    </border>
    <border>
      <left/>
      <right/>
      <top style="thin">
        <color theme="0" tint="-0.34998626667073579"/>
      </top>
      <bottom style="thin">
        <color theme="0" tint="-0.499984740745262"/>
      </bottom>
      <diagonal/>
    </border>
    <border>
      <left style="thin">
        <color theme="0" tint="-0.34998626667073579"/>
      </left>
      <right/>
      <top style="thin">
        <color theme="0" tint="-0.34998626667073579"/>
      </top>
      <bottom style="thin">
        <color theme="0" tint="-0.499984740745262"/>
      </bottom>
      <diagonal/>
    </border>
    <border>
      <left style="thin">
        <color theme="0" tint="-0.34998626667073579"/>
      </left>
      <right style="thin">
        <color theme="0" tint="-0.34998626667073579"/>
      </right>
      <top style="thin">
        <color theme="0" tint="-0.34998626667073579"/>
      </top>
      <bottom style="thin">
        <color theme="0" tint="-0.499984740745262"/>
      </bottom>
      <diagonal/>
    </border>
    <border>
      <left style="thin">
        <color theme="0" tint="-0.34998626667073579"/>
      </left>
      <right/>
      <top style="thin">
        <color theme="0" tint="-0.34998626667073579"/>
      </top>
      <bottom style="medium">
        <color theme="0" tint="-0.24994659260841701"/>
      </bottom>
      <diagonal/>
    </border>
    <border>
      <left style="thin">
        <color theme="0" tint="-0.24994659260841701"/>
      </left>
      <right style="thin">
        <color theme="0" tint="-0.34998626667073579"/>
      </right>
      <top style="thin">
        <color theme="0" tint="-0.34998626667073579"/>
      </top>
      <bottom style="medium">
        <color theme="0" tint="-0.24994659260841701"/>
      </bottom>
      <diagonal/>
    </border>
    <border>
      <left style="thin">
        <color theme="0" tint="-0.24994659260841701"/>
      </left>
      <right/>
      <top style="medium">
        <color theme="0" tint="-0.24994659260841701"/>
      </top>
      <bottom/>
      <diagonal/>
    </border>
    <border>
      <left style="thin">
        <color theme="0" tint="-0.24994659260841701"/>
      </left>
      <right style="thin">
        <color theme="0" tint="-0.34998626667073579"/>
      </right>
      <top style="thin">
        <color theme="0" tint="-0.34998626667073579"/>
      </top>
      <bottom style="thin">
        <color theme="0" tint="-0.499984740745262"/>
      </bottom>
      <diagonal/>
    </border>
    <border>
      <left/>
      <right/>
      <top/>
      <bottom style="medium">
        <color theme="0" tint="-0.24994659260841701"/>
      </bottom>
      <diagonal/>
    </border>
    <border>
      <left style="thin">
        <color indexed="55"/>
      </left>
      <right style="thin">
        <color indexed="55"/>
      </right>
      <top style="thin">
        <color theme="0" tint="-0.24994659260841701"/>
      </top>
      <bottom/>
      <diagonal/>
    </border>
    <border>
      <left style="thin">
        <color indexed="55"/>
      </left>
      <right style="thin">
        <color indexed="55"/>
      </right>
      <top/>
      <bottom/>
      <diagonal/>
    </border>
    <border>
      <left style="thin">
        <color indexed="55"/>
      </left>
      <right style="thin">
        <color indexed="55"/>
      </right>
      <top/>
      <bottom style="thin">
        <color theme="0" tint="-0.14999847407452621"/>
      </bottom>
      <diagonal/>
    </border>
    <border>
      <left style="medium">
        <color indexed="64"/>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medium">
        <color indexed="64"/>
      </right>
      <top style="thin">
        <color theme="0" tint="-0.14996795556505021"/>
      </top>
      <bottom style="thin">
        <color theme="0" tint="-0.14996795556505021"/>
      </bottom>
      <diagonal/>
    </border>
    <border>
      <left style="thin">
        <color indexed="64"/>
      </left>
      <right/>
      <top style="thin">
        <color theme="0" tint="-0.24994659260841701"/>
      </top>
      <bottom style="thin">
        <color theme="0" tint="-0.24994659260841701"/>
      </bottom>
      <diagonal/>
    </border>
    <border>
      <left style="thin">
        <color theme="0" tint="-0.34998626667073579"/>
      </left>
      <right style="thin">
        <color indexed="64"/>
      </right>
      <top style="thin">
        <color theme="0" tint="-0.34998626667073579"/>
      </top>
      <bottom style="thin">
        <color theme="0" tint="-0.34998626667073579"/>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right style="thin">
        <color indexed="64"/>
      </right>
      <top style="thin">
        <color indexed="64"/>
      </top>
      <bottom style="thin">
        <color indexed="22"/>
      </bottom>
      <diagonal/>
    </border>
    <border>
      <left style="thin">
        <color indexed="64"/>
      </left>
      <right/>
      <top/>
      <bottom style="thin">
        <color theme="0" tint="-0.24994659260841701"/>
      </bottom>
      <diagonal/>
    </border>
    <border>
      <left/>
      <right style="thin">
        <color indexed="64"/>
      </right>
      <top/>
      <bottom style="thin">
        <color theme="0" tint="-0.24994659260841701"/>
      </bottom>
      <diagonal/>
    </border>
    <border>
      <left style="thin">
        <color indexed="64"/>
      </left>
      <right style="thin">
        <color indexed="22"/>
      </right>
      <top style="thin">
        <color theme="0" tint="-0.34998626667073579"/>
      </top>
      <bottom style="thin">
        <color indexed="22"/>
      </bottom>
      <diagonal/>
    </border>
    <border>
      <left style="thin">
        <color indexed="22"/>
      </left>
      <right style="thin">
        <color indexed="64"/>
      </right>
      <top style="thin">
        <color theme="0" tint="-0.34998626667073579"/>
      </top>
      <bottom style="thin">
        <color indexed="22"/>
      </bottom>
      <diagonal/>
    </border>
    <border>
      <left style="thin">
        <color indexed="64"/>
      </left>
      <right style="thin">
        <color theme="0" tint="-0.24994659260841701"/>
      </right>
      <top style="thin">
        <color theme="0" tint="-0.24994659260841701"/>
      </top>
      <bottom style="thin">
        <color theme="0" tint="-0.24994659260841701"/>
      </bottom>
      <diagonal/>
    </border>
    <border>
      <left style="thin">
        <color theme="0" tint="-0.24994659260841701"/>
      </left>
      <right style="thin">
        <color indexed="64"/>
      </right>
      <top style="thin">
        <color theme="0" tint="-0.24994659260841701"/>
      </top>
      <bottom style="thin">
        <color theme="0" tint="-0.24994659260841701"/>
      </bottom>
      <diagonal/>
    </border>
    <border>
      <left style="thin">
        <color indexed="64"/>
      </left>
      <right style="thin">
        <color indexed="22"/>
      </right>
      <top style="thin">
        <color indexed="22"/>
      </top>
      <bottom style="thin">
        <color indexed="22"/>
      </bottom>
      <diagonal/>
    </border>
    <border>
      <left style="thin">
        <color indexed="22"/>
      </left>
      <right style="thin">
        <color indexed="64"/>
      </right>
      <top style="thin">
        <color indexed="22"/>
      </top>
      <bottom style="thin">
        <color indexed="22"/>
      </bottom>
      <diagonal/>
    </border>
    <border>
      <left/>
      <right style="thin">
        <color indexed="64"/>
      </right>
      <top style="thin">
        <color theme="1"/>
      </top>
      <bottom/>
      <diagonal/>
    </border>
    <border>
      <left style="thin">
        <color indexed="64"/>
      </left>
      <right/>
      <top style="thin">
        <color theme="1"/>
      </top>
      <bottom/>
      <diagonal/>
    </border>
    <border>
      <left/>
      <right style="thin">
        <color theme="0" tint="-0.24994659260841701"/>
      </right>
      <top style="thin">
        <color indexed="55"/>
      </top>
      <bottom style="thin">
        <color indexed="55"/>
      </bottom>
      <diagonal/>
    </border>
    <border>
      <left style="thin">
        <color indexed="8"/>
      </left>
      <right/>
      <top/>
      <bottom/>
      <diagonal/>
    </border>
    <border>
      <left style="thin">
        <color indexed="8"/>
      </left>
      <right/>
      <top/>
      <bottom style="thick">
        <color indexed="8"/>
      </bottom>
      <diagonal/>
    </border>
    <border>
      <left style="medium">
        <color indexed="64"/>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theme="0" tint="-0.24994659260841701"/>
      </right>
      <top/>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22"/>
      </left>
      <right/>
      <top style="thin">
        <color indexed="22"/>
      </top>
      <bottom/>
      <diagonal/>
    </border>
    <border>
      <left style="thin">
        <color indexed="64"/>
      </left>
      <right style="thin">
        <color indexed="22"/>
      </right>
      <top style="thin">
        <color indexed="22"/>
      </top>
      <bottom/>
      <diagonal/>
    </border>
    <border>
      <left style="thin">
        <color indexed="22"/>
      </left>
      <right style="thin">
        <color indexed="64"/>
      </right>
      <top style="thin">
        <color indexed="22"/>
      </top>
      <bottom/>
      <diagonal/>
    </border>
    <border>
      <left style="thin">
        <color indexed="64"/>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indexed="64"/>
      </right>
      <top style="thin">
        <color theme="0" tint="-0.24994659260841701"/>
      </top>
      <bottom/>
      <diagonal/>
    </border>
    <border>
      <left style="thin">
        <color theme="1"/>
      </left>
      <right style="thin">
        <color theme="6" tint="0.59996337778862885"/>
      </right>
      <top style="thin">
        <color theme="6" tint="0.59996337778862885"/>
      </top>
      <bottom/>
      <diagonal/>
    </border>
    <border>
      <left style="thin">
        <color theme="6" tint="0.59996337778862885"/>
      </left>
      <right style="thin">
        <color theme="6" tint="0.59996337778862885"/>
      </right>
      <top style="thin">
        <color theme="6" tint="0.59996337778862885"/>
      </top>
      <bottom/>
      <diagonal/>
    </border>
    <border>
      <left style="thin">
        <color theme="6" tint="0.59996337778862885"/>
      </left>
      <right style="thin">
        <color theme="6" tint="0.59999389629810485"/>
      </right>
      <top style="thin">
        <color theme="6" tint="0.59996337778862885"/>
      </top>
      <bottom/>
      <diagonal/>
    </border>
    <border>
      <left style="thin">
        <color theme="6" tint="0.59996337778862885"/>
      </left>
      <right style="thin">
        <color theme="1"/>
      </right>
      <top style="thin">
        <color theme="6" tint="0.59996337778862885"/>
      </top>
      <bottom/>
      <diagonal/>
    </border>
    <border>
      <left style="thin">
        <color theme="1"/>
      </left>
      <right style="thin">
        <color theme="0" tint="-0.34998626667073579"/>
      </right>
      <top style="thin">
        <color theme="0" tint="-0.34998626667073579"/>
      </top>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top style="thin">
        <color theme="0" tint="-0.34998626667073579"/>
      </top>
      <bottom/>
      <diagonal/>
    </border>
    <border>
      <left style="thin">
        <color indexed="64"/>
      </left>
      <right/>
      <top style="thin">
        <color theme="0" tint="-0.24994659260841701"/>
      </top>
      <bottom/>
      <diagonal/>
    </border>
    <border>
      <left style="thin">
        <color theme="0" tint="-0.34998626667073579"/>
      </left>
      <right style="thin">
        <color indexed="64"/>
      </right>
      <top style="thin">
        <color theme="0" tint="-0.34998626667073579"/>
      </top>
      <bottom/>
      <diagonal/>
    </border>
    <border>
      <left style="thin">
        <color theme="0" tint="-0.249977111117893"/>
      </left>
      <right style="thin">
        <color indexed="22"/>
      </right>
      <top style="thin">
        <color indexed="22"/>
      </top>
      <bottom/>
      <diagonal/>
    </border>
    <border>
      <left style="thin">
        <color indexed="22"/>
      </left>
      <right style="thin">
        <color theme="0" tint="-0.249977111117893"/>
      </right>
      <top style="thin">
        <color indexed="22"/>
      </top>
      <bottom/>
      <diagonal/>
    </border>
    <border>
      <left style="thin">
        <color theme="0" tint="-0.249977111117893"/>
      </left>
      <right/>
      <top style="thin">
        <color indexed="22"/>
      </top>
      <bottom/>
      <diagonal/>
    </border>
    <border>
      <left style="thin">
        <color theme="0" tint="-0.24994659260841701"/>
      </left>
      <right style="thin">
        <color indexed="55"/>
      </right>
      <top style="thin">
        <color indexed="22"/>
      </top>
      <bottom/>
      <diagonal/>
    </border>
    <border>
      <left style="thin">
        <color indexed="22"/>
      </left>
      <right style="thin">
        <color indexed="55"/>
      </right>
      <top style="thin">
        <color indexed="22"/>
      </top>
      <bottom/>
      <diagonal/>
    </border>
    <border>
      <left style="thin">
        <color indexed="22"/>
      </left>
      <right/>
      <top style="medium">
        <color indexed="64"/>
      </top>
      <bottom style="medium">
        <color indexed="64"/>
      </bottom>
      <diagonal/>
    </border>
    <border>
      <left style="thin">
        <color indexed="64"/>
      </left>
      <right style="thin">
        <color indexed="22"/>
      </right>
      <top style="medium">
        <color indexed="64"/>
      </top>
      <bottom style="medium">
        <color indexed="64"/>
      </bottom>
      <diagonal/>
    </border>
    <border>
      <left style="thin">
        <color indexed="22"/>
      </left>
      <right style="thin">
        <color indexed="22"/>
      </right>
      <top style="medium">
        <color indexed="64"/>
      </top>
      <bottom style="medium">
        <color indexed="64"/>
      </bottom>
      <diagonal/>
    </border>
    <border>
      <left style="thin">
        <color indexed="22"/>
      </left>
      <right style="thin">
        <color indexed="64"/>
      </right>
      <top style="medium">
        <color indexed="64"/>
      </top>
      <bottom style="medium">
        <color indexed="64"/>
      </bottom>
      <diagonal/>
    </border>
    <border>
      <left style="thin">
        <color indexed="64"/>
      </left>
      <right style="thin">
        <color theme="0" tint="-0.24994659260841701"/>
      </right>
      <top style="medium">
        <color indexed="64"/>
      </top>
      <bottom style="medium">
        <color indexed="64"/>
      </bottom>
      <diagonal/>
    </border>
    <border>
      <left style="thin">
        <color theme="0" tint="-0.24994659260841701"/>
      </left>
      <right style="thin">
        <color indexed="64"/>
      </right>
      <top style="medium">
        <color indexed="64"/>
      </top>
      <bottom style="medium">
        <color indexed="64"/>
      </bottom>
      <diagonal/>
    </border>
    <border>
      <left/>
      <right style="thin">
        <color theme="1"/>
      </right>
      <top style="medium">
        <color indexed="64"/>
      </top>
      <bottom style="medium">
        <color indexed="64"/>
      </bottom>
      <diagonal/>
    </border>
    <border>
      <left style="thin">
        <color theme="1"/>
      </left>
      <right style="thin">
        <color theme="6" tint="0.59996337778862885"/>
      </right>
      <top style="medium">
        <color indexed="64"/>
      </top>
      <bottom style="medium">
        <color indexed="64"/>
      </bottom>
      <diagonal/>
    </border>
    <border>
      <left style="thin">
        <color theme="6" tint="0.59996337778862885"/>
      </left>
      <right style="thin">
        <color theme="6" tint="0.59996337778862885"/>
      </right>
      <top style="medium">
        <color indexed="64"/>
      </top>
      <bottom style="medium">
        <color indexed="64"/>
      </bottom>
      <diagonal/>
    </border>
    <border>
      <left style="thin">
        <color theme="6" tint="0.59996337778862885"/>
      </left>
      <right style="thin">
        <color theme="6" tint="0.59999389629810485"/>
      </right>
      <top style="medium">
        <color indexed="64"/>
      </top>
      <bottom style="medium">
        <color indexed="64"/>
      </bottom>
      <diagonal/>
    </border>
    <border>
      <left style="thin">
        <color theme="6" tint="0.59996337778862885"/>
      </left>
      <right/>
      <top style="medium">
        <color indexed="64"/>
      </top>
      <bottom style="medium">
        <color indexed="64"/>
      </bottom>
      <diagonal/>
    </border>
    <border>
      <left style="thin">
        <color indexed="64"/>
      </left>
      <right style="thin">
        <color theme="0" tint="-0.34998626667073579"/>
      </right>
      <top style="medium">
        <color indexed="64"/>
      </top>
      <bottom style="medium">
        <color indexed="64"/>
      </bottom>
      <diagonal/>
    </border>
    <border>
      <left style="thin">
        <color theme="0" tint="-0.34998626667073579"/>
      </left>
      <right style="thin">
        <color theme="0" tint="-0.34998626667073579"/>
      </right>
      <top style="medium">
        <color indexed="64"/>
      </top>
      <bottom style="medium">
        <color indexed="64"/>
      </bottom>
      <diagonal/>
    </border>
    <border>
      <left style="thin">
        <color theme="0" tint="-0.34998626667073579"/>
      </left>
      <right/>
      <top style="medium">
        <color indexed="64"/>
      </top>
      <bottom style="medium">
        <color indexed="64"/>
      </bottom>
      <diagonal/>
    </border>
    <border>
      <left style="thin">
        <color theme="0" tint="-0.34998626667073579"/>
      </left>
      <right style="thin">
        <color indexed="64"/>
      </right>
      <top style="medium">
        <color indexed="64"/>
      </top>
      <bottom style="medium">
        <color indexed="64"/>
      </bottom>
      <diagonal/>
    </border>
    <border>
      <left style="thin">
        <color theme="0" tint="-0.249977111117893"/>
      </left>
      <right style="thin">
        <color indexed="22"/>
      </right>
      <top style="medium">
        <color indexed="64"/>
      </top>
      <bottom style="medium">
        <color indexed="64"/>
      </bottom>
      <diagonal/>
    </border>
    <border>
      <left style="thin">
        <color indexed="22"/>
      </left>
      <right style="thin">
        <color theme="0" tint="-0.249977111117893"/>
      </right>
      <top style="medium">
        <color indexed="64"/>
      </top>
      <bottom style="medium">
        <color indexed="64"/>
      </bottom>
      <diagonal/>
    </border>
    <border>
      <left style="thin">
        <color theme="0" tint="-0.249977111117893"/>
      </left>
      <right/>
      <top style="medium">
        <color indexed="64"/>
      </top>
      <bottom style="medium">
        <color indexed="64"/>
      </bottom>
      <diagonal/>
    </border>
    <border>
      <left style="thin">
        <color theme="0" tint="-0.24994659260841701"/>
      </left>
      <right/>
      <top style="medium">
        <color indexed="64"/>
      </top>
      <bottom style="medium">
        <color indexed="64"/>
      </bottom>
      <diagonal/>
    </border>
    <border>
      <left/>
      <right style="thin">
        <color theme="0" tint="-0.24994659260841701"/>
      </right>
      <top style="medium">
        <color indexed="64"/>
      </top>
      <bottom style="medium">
        <color indexed="64"/>
      </bottom>
      <diagonal/>
    </border>
    <border>
      <left style="thin">
        <color theme="0" tint="-0.24994659260841701"/>
      </left>
      <right style="thin">
        <color indexed="55"/>
      </right>
      <top style="medium">
        <color indexed="64"/>
      </top>
      <bottom style="medium">
        <color indexed="64"/>
      </bottom>
      <diagonal/>
    </border>
    <border>
      <left style="thin">
        <color indexed="22"/>
      </left>
      <right style="thin">
        <color indexed="55"/>
      </right>
      <top style="medium">
        <color indexed="64"/>
      </top>
      <bottom style="medium">
        <color indexed="64"/>
      </bottom>
      <diagonal/>
    </border>
    <border>
      <left/>
      <right style="thin">
        <color indexed="64"/>
      </right>
      <top/>
      <bottom style="medium">
        <color indexed="64"/>
      </bottom>
      <diagonal/>
    </border>
    <border>
      <left/>
      <right style="medium">
        <color indexed="64"/>
      </right>
      <top style="thin">
        <color indexed="64"/>
      </top>
      <bottom style="thin">
        <color indexed="64"/>
      </bottom>
      <diagonal/>
    </border>
    <border>
      <left style="medium">
        <color indexed="64"/>
      </left>
      <right/>
      <top/>
      <bottom style="double">
        <color indexed="64"/>
      </bottom>
      <diagonal/>
    </border>
    <border>
      <left style="thin">
        <color indexed="64"/>
      </left>
      <right style="medium">
        <color indexed="64"/>
      </right>
      <top/>
      <bottom style="double">
        <color indexed="64"/>
      </bottom>
      <diagonal/>
    </border>
    <border>
      <left style="medium">
        <color indexed="64"/>
      </left>
      <right/>
      <top style="medium">
        <color indexed="64"/>
      </top>
      <bottom style="thin">
        <color indexed="22"/>
      </bottom>
      <diagonal/>
    </border>
    <border>
      <left style="thin">
        <color indexed="22"/>
      </left>
      <right/>
      <top style="medium">
        <color indexed="64"/>
      </top>
      <bottom style="thin">
        <color indexed="22"/>
      </bottom>
      <diagonal/>
    </border>
    <border>
      <left style="medium">
        <color indexed="64"/>
      </left>
      <right/>
      <top style="thin">
        <color indexed="22"/>
      </top>
      <bottom style="thin">
        <color indexed="22"/>
      </bottom>
      <diagonal/>
    </border>
    <border>
      <left style="medium">
        <color indexed="64"/>
      </left>
      <right/>
      <top style="thin">
        <color indexed="22"/>
      </top>
      <bottom style="medium">
        <color indexed="64"/>
      </bottom>
      <diagonal/>
    </border>
    <border>
      <left style="thin">
        <color indexed="22"/>
      </left>
      <right/>
      <top style="thin">
        <color indexed="22"/>
      </top>
      <bottom style="medium">
        <color indexed="64"/>
      </bottom>
      <diagonal/>
    </border>
    <border>
      <left/>
      <right style="thin">
        <color indexed="64"/>
      </right>
      <top style="thin">
        <color indexed="64"/>
      </top>
      <bottom style="medium">
        <color indexed="64"/>
      </bottom>
      <diagonal/>
    </border>
    <border>
      <left style="thin">
        <color theme="0" tint="-0.14996795556505021"/>
      </left>
      <right style="thin">
        <color theme="0" tint="-0.24994659260841701"/>
      </right>
      <top style="thin">
        <color theme="0" tint="-0.24994659260841701"/>
      </top>
      <bottom style="thin">
        <color theme="0" tint="-0.24994659260841701"/>
      </bottom>
      <diagonal/>
    </border>
    <border>
      <left style="thin">
        <color indexed="64"/>
      </left>
      <right style="thin">
        <color theme="0" tint="-4.9989318521683403E-2"/>
      </right>
      <top/>
      <bottom/>
      <diagonal/>
    </border>
    <border>
      <left/>
      <right style="thin">
        <color theme="0" tint="-4.9989318521683403E-2"/>
      </right>
      <top/>
      <bottom/>
      <diagonal/>
    </border>
    <border>
      <left style="thin">
        <color theme="0" tint="-0.14999847407452621"/>
      </left>
      <right style="thin">
        <color indexed="64"/>
      </right>
      <top style="thin">
        <color theme="0" tint="-0.14999847407452621"/>
      </top>
      <bottom style="thin">
        <color theme="0" tint="-0.14999847407452621"/>
      </bottom>
      <diagonal/>
    </border>
    <border>
      <left/>
      <right style="thin">
        <color theme="0" tint="-4.9989318521683403E-2"/>
      </right>
      <top style="medium">
        <color indexed="64"/>
      </top>
      <bottom style="thin">
        <color theme="0" tint="-0.24994659260841701"/>
      </bottom>
      <diagonal/>
    </border>
    <border>
      <left/>
      <right style="thin">
        <color indexed="64"/>
      </right>
      <top style="medium">
        <color indexed="64"/>
      </top>
      <bottom/>
      <diagonal/>
    </border>
    <border>
      <left/>
      <right/>
      <top style="thin">
        <color theme="0" tint="-0.14999847407452621"/>
      </top>
      <bottom/>
      <diagonal/>
    </border>
    <border>
      <left style="thin">
        <color indexed="22"/>
      </left>
      <right/>
      <top style="thin">
        <color theme="0" tint="-0.24994659260841701"/>
      </top>
      <bottom style="thin">
        <color indexed="22"/>
      </bottom>
      <diagonal/>
    </border>
    <border>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double">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22"/>
      </bottom>
      <diagonal/>
    </border>
    <border>
      <left style="thin">
        <color indexed="64"/>
      </left>
      <right style="thin">
        <color indexed="55"/>
      </right>
      <top style="thin">
        <color theme="0" tint="-0.24994659260841701"/>
      </top>
      <bottom style="thin">
        <color indexed="22"/>
      </bottom>
      <diagonal/>
    </border>
    <border>
      <left style="thin">
        <color indexed="64"/>
      </left>
      <right style="thin">
        <color indexed="55"/>
      </right>
      <top/>
      <bottom/>
      <diagonal/>
    </border>
    <border>
      <left style="thin">
        <color indexed="64"/>
      </left>
      <right style="thin">
        <color indexed="55"/>
      </right>
      <top style="thin">
        <color indexed="22"/>
      </top>
      <bottom style="thin">
        <color indexed="22"/>
      </bottom>
      <diagonal/>
    </border>
    <border>
      <left style="thin">
        <color indexed="64"/>
      </left>
      <right style="thin">
        <color indexed="55"/>
      </right>
      <top style="thin">
        <color indexed="22"/>
      </top>
      <bottom style="thin">
        <color theme="0" tint="-0.24994659260841701"/>
      </bottom>
      <diagonal/>
    </border>
    <border>
      <left/>
      <right style="thin">
        <color indexed="22"/>
      </right>
      <top style="thin">
        <color theme="0" tint="-0.34998626667073579"/>
      </top>
      <bottom style="thin">
        <color indexed="22"/>
      </bottom>
      <diagonal/>
    </border>
    <border>
      <left/>
      <right style="thin">
        <color indexed="22"/>
      </right>
      <top style="thin">
        <color indexed="22"/>
      </top>
      <bottom style="thin">
        <color theme="0" tint="-0.34998626667073579"/>
      </bottom>
      <diagonal/>
    </border>
    <border>
      <left style="thin">
        <color indexed="22"/>
      </left>
      <right/>
      <top/>
      <bottom style="thin">
        <color indexed="22"/>
      </bottom>
      <diagonal/>
    </border>
    <border>
      <left style="medium">
        <color indexed="64"/>
      </left>
      <right style="medium">
        <color indexed="64"/>
      </right>
      <top style="thin">
        <color indexed="22"/>
      </top>
      <bottom style="thin">
        <color indexed="22"/>
      </bottom>
      <diagonal/>
    </border>
    <border>
      <left style="medium">
        <color indexed="64"/>
      </left>
      <right style="thin">
        <color indexed="64"/>
      </right>
      <top/>
      <bottom style="medium">
        <color indexed="64"/>
      </bottom>
      <diagonal/>
    </border>
    <border>
      <left style="thick">
        <color auto="1"/>
      </left>
      <right style="thick">
        <color auto="1"/>
      </right>
      <top/>
      <bottom style="thick">
        <color auto="1"/>
      </bottom>
      <diagonal/>
    </border>
    <border>
      <left/>
      <right style="thin">
        <color indexed="22"/>
      </right>
      <top/>
      <bottom style="thin">
        <color indexed="22"/>
      </bottom>
      <diagonal/>
    </border>
    <border>
      <left style="thin">
        <color indexed="22"/>
      </left>
      <right style="thin">
        <color indexed="64"/>
      </right>
      <top/>
      <bottom style="thin">
        <color indexed="22"/>
      </bottom>
      <diagonal/>
    </border>
    <border>
      <left style="thin">
        <color indexed="64"/>
      </left>
      <right style="thin">
        <color indexed="22"/>
      </right>
      <top/>
      <bottom style="thin">
        <color indexed="22"/>
      </bottom>
      <diagonal/>
    </border>
    <border>
      <left/>
      <right style="thin">
        <color theme="6" tint="0.59999389629810485"/>
      </right>
      <top/>
      <bottom/>
      <diagonal/>
    </border>
    <border>
      <left style="thin">
        <color theme="0" tint="-0.249977111117893"/>
      </left>
      <right style="thin">
        <color indexed="22"/>
      </right>
      <top/>
      <bottom style="thin">
        <color indexed="22"/>
      </bottom>
      <diagonal/>
    </border>
    <border>
      <left style="thin">
        <color indexed="22"/>
      </left>
      <right style="thin">
        <color theme="0" tint="-0.249977111117893"/>
      </right>
      <top/>
      <bottom style="thin">
        <color indexed="22"/>
      </bottom>
      <diagonal/>
    </border>
    <border>
      <left style="thin">
        <color theme="0" tint="-0.249977111117893"/>
      </left>
      <right/>
      <top/>
      <bottom/>
      <diagonal/>
    </border>
    <border>
      <left style="thin">
        <color theme="0" tint="-0.249977111117893"/>
      </left>
      <right style="thin">
        <color theme="0" tint="-0.249977111117893"/>
      </right>
      <top style="medium">
        <color indexed="64"/>
      </top>
      <bottom style="thin">
        <color theme="0" tint="-0.249977111117893"/>
      </bottom>
      <diagonal/>
    </border>
    <border>
      <left style="thin">
        <color theme="0" tint="-0.249977111117893"/>
      </left>
      <right style="medium">
        <color theme="0" tint="-0.249977111117893"/>
      </right>
      <top style="medium">
        <color indexed="64"/>
      </top>
      <bottom style="thin">
        <color theme="0" tint="-0.249977111117893"/>
      </bottom>
      <diagonal/>
    </border>
    <border>
      <left style="thin">
        <color theme="0" tint="-0.14999847407452621"/>
      </left>
      <right/>
      <top style="thin">
        <color theme="0" tint="-0.14999847407452621"/>
      </top>
      <bottom style="thin">
        <color theme="0" tint="-0.14999847407452621"/>
      </bottom>
      <diagonal/>
    </border>
    <border>
      <left style="thin">
        <color theme="0" tint="-0.14999847407452621"/>
      </left>
      <right/>
      <top style="medium">
        <color indexed="64"/>
      </top>
      <bottom style="medium">
        <color indexed="64"/>
      </bottom>
      <diagonal/>
    </border>
    <border>
      <left style="medium">
        <color indexed="64"/>
      </left>
      <right style="medium">
        <color indexed="64"/>
      </right>
      <top style="thin">
        <color theme="0" tint="-0.14999847407452621"/>
      </top>
      <bottom style="thin">
        <color theme="0" tint="-0.14999847407452621"/>
      </bottom>
      <diagonal/>
    </border>
    <border>
      <left style="thin">
        <color indexed="64"/>
      </left>
      <right style="thin">
        <color theme="0" tint="-0.14999847407452621"/>
      </right>
      <top style="medium">
        <color indexed="64"/>
      </top>
      <bottom style="thin">
        <color theme="0" tint="-0.14999847407452621"/>
      </bottom>
      <diagonal/>
    </border>
    <border>
      <left style="thin">
        <color theme="0" tint="-0.14999847407452621"/>
      </left>
      <right style="thin">
        <color theme="0" tint="-0.14999847407452621"/>
      </right>
      <top style="medium">
        <color indexed="64"/>
      </top>
      <bottom style="thin">
        <color theme="0" tint="-0.14999847407452621"/>
      </bottom>
      <diagonal/>
    </border>
    <border>
      <left style="thin">
        <color theme="0" tint="-0.14999847407452621"/>
      </left>
      <right style="medium">
        <color indexed="64"/>
      </right>
      <top style="medium">
        <color indexed="64"/>
      </top>
      <bottom style="thin">
        <color theme="0" tint="-0.14999847407452621"/>
      </bottom>
      <diagonal/>
    </border>
    <border>
      <left style="thin">
        <color theme="0" tint="-0.14999847407452621"/>
      </left>
      <right/>
      <top style="medium">
        <color indexed="64"/>
      </top>
      <bottom style="thin">
        <color theme="0" tint="-0.14999847407452621"/>
      </bottom>
      <diagonal/>
    </border>
    <border>
      <left style="medium">
        <color indexed="64"/>
      </left>
      <right style="medium">
        <color indexed="64"/>
      </right>
      <top style="medium">
        <color indexed="64"/>
      </top>
      <bottom style="thin">
        <color theme="0" tint="-0.14999847407452621"/>
      </bottom>
      <diagonal/>
    </border>
    <border>
      <left style="thin">
        <color indexed="64"/>
      </left>
      <right style="thin">
        <color theme="0" tint="-0.14999847407452621"/>
      </right>
      <top style="thin">
        <color theme="0" tint="-0.14999847407452621"/>
      </top>
      <bottom style="medium">
        <color indexed="64"/>
      </bottom>
      <diagonal/>
    </border>
    <border>
      <left style="thin">
        <color theme="0" tint="-0.14999847407452621"/>
      </left>
      <right style="thin">
        <color theme="0" tint="-0.14999847407452621"/>
      </right>
      <top style="thin">
        <color theme="0" tint="-0.14999847407452621"/>
      </top>
      <bottom style="medium">
        <color indexed="64"/>
      </bottom>
      <diagonal/>
    </border>
    <border>
      <left style="thin">
        <color theme="0" tint="-0.14999847407452621"/>
      </left>
      <right style="medium">
        <color indexed="64"/>
      </right>
      <top style="thin">
        <color theme="0" tint="-0.14999847407452621"/>
      </top>
      <bottom style="medium">
        <color indexed="64"/>
      </bottom>
      <diagonal/>
    </border>
    <border>
      <left style="thin">
        <color theme="0" tint="-0.14999847407452621"/>
      </left>
      <right/>
      <top style="thin">
        <color theme="0" tint="-0.14999847407452621"/>
      </top>
      <bottom style="medium">
        <color indexed="64"/>
      </bottom>
      <diagonal/>
    </border>
    <border>
      <left style="medium">
        <color indexed="64"/>
      </left>
      <right style="medium">
        <color indexed="64"/>
      </right>
      <top style="thin">
        <color theme="0" tint="-0.14999847407452621"/>
      </top>
      <bottom style="medium">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medium">
        <color indexed="64"/>
      </bottom>
      <diagonal/>
    </border>
    <border>
      <left style="double">
        <color indexed="64"/>
      </left>
      <right/>
      <top/>
      <bottom/>
      <diagonal/>
    </border>
    <border>
      <left style="double">
        <color indexed="64"/>
      </left>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style="medium">
        <color indexed="64"/>
      </bottom>
      <diagonal/>
    </border>
    <border>
      <left style="double">
        <color indexed="64"/>
      </left>
      <right/>
      <top/>
      <bottom style="thin">
        <color indexed="64"/>
      </bottom>
      <diagonal/>
    </border>
    <border>
      <left style="double">
        <color indexed="64"/>
      </left>
      <right style="medium">
        <color indexed="64"/>
      </right>
      <top style="medium">
        <color indexed="64"/>
      </top>
      <bottom style="medium">
        <color indexed="64"/>
      </bottom>
      <diagonal/>
    </border>
    <border>
      <left style="double">
        <color indexed="64"/>
      </left>
      <right/>
      <top style="thin">
        <color indexed="64"/>
      </top>
      <bottom/>
      <diagonal/>
    </border>
    <border>
      <left style="double">
        <color indexed="64"/>
      </left>
      <right/>
      <top style="medium">
        <color indexed="64"/>
      </top>
      <bottom style="medium">
        <color indexed="64"/>
      </bottom>
      <diagonal/>
    </border>
    <border>
      <left style="medium">
        <color indexed="64"/>
      </left>
      <right style="thin">
        <color theme="0" tint="-0.24994659260841701"/>
      </right>
      <top style="medium">
        <color indexed="64"/>
      </top>
      <bottom style="thin">
        <color indexed="64"/>
      </bottom>
      <diagonal/>
    </border>
    <border>
      <left style="thin">
        <color theme="0" tint="-0.24994659260841701"/>
      </left>
      <right style="thin">
        <color theme="0" tint="-0.24994659260841701"/>
      </right>
      <top style="medium">
        <color indexed="64"/>
      </top>
      <bottom style="thin">
        <color indexed="64"/>
      </bottom>
      <diagonal/>
    </border>
    <border>
      <left style="thin">
        <color theme="0" tint="-0.24994659260841701"/>
      </left>
      <right style="medium">
        <color indexed="64"/>
      </right>
      <top style="thin">
        <color theme="0" tint="-0.249977111117893"/>
      </top>
      <bottom style="thin">
        <color theme="0" tint="-0.24994659260841701"/>
      </bottom>
      <diagonal/>
    </border>
    <border>
      <left style="thin">
        <color theme="0" tint="-0.24994659260841701"/>
      </left>
      <right style="medium">
        <color indexed="64"/>
      </right>
      <top style="thin">
        <color theme="0" tint="-0.249977111117893"/>
      </top>
      <bottom style="medium">
        <color indexed="64"/>
      </bottom>
      <diagonal/>
    </border>
    <border>
      <left/>
      <right style="medium">
        <color indexed="64"/>
      </right>
      <top/>
      <bottom style="double">
        <color indexed="64"/>
      </bottom>
      <diagonal/>
    </border>
  </borders>
  <cellStyleXfs count="111">
    <xf numFmtId="0" fontId="0" fillId="0" borderId="0"/>
    <xf numFmtId="166"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xf numFmtId="0" fontId="21" fillId="0" borderId="0" applyNumberFormat="0" applyFill="0" applyBorder="0" applyAlignment="0" applyProtection="0">
      <alignment vertical="top"/>
      <protection locked="0"/>
    </xf>
    <xf numFmtId="0" fontId="34" fillId="0" borderId="0"/>
    <xf numFmtId="0" fontId="33" fillId="30" borderId="80" applyNumberFormat="0" applyAlignment="0" applyProtection="0"/>
    <xf numFmtId="0" fontId="2" fillId="0" borderId="0"/>
    <xf numFmtId="0" fontId="35" fillId="0" borderId="0" applyNumberFormat="0" applyFill="0" applyBorder="0" applyAlignment="0" applyProtection="0">
      <alignment vertical="top"/>
      <protection locked="0"/>
    </xf>
    <xf numFmtId="0" fontId="37" fillId="0" borderId="0"/>
    <xf numFmtId="0" fontId="1" fillId="0" borderId="0"/>
    <xf numFmtId="0" fontId="35" fillId="0" borderId="0" applyNumberFormat="0" applyFill="0" applyBorder="0" applyAlignment="0" applyProtection="0"/>
    <xf numFmtId="9" fontId="37" fillId="0" borderId="0" applyFont="0" applyFill="0" applyBorder="0" applyAlignment="0" applyProtection="0"/>
    <xf numFmtId="0" fontId="39" fillId="0" borderId="0"/>
    <xf numFmtId="43" fontId="2" fillId="0" borderId="0" applyFont="0" applyFill="0" applyBorder="0" applyAlignment="0" applyProtection="0"/>
    <xf numFmtId="9" fontId="2" fillId="0" borderId="0" applyFont="0" applyFill="0" applyBorder="0" applyAlignment="0" applyProtection="0"/>
    <xf numFmtId="0" fontId="1" fillId="35" borderId="0" applyNumberFormat="0" applyBorder="0" applyAlignment="0" applyProtection="0"/>
    <xf numFmtId="0" fontId="50" fillId="0" borderId="0"/>
    <xf numFmtId="0" fontId="2" fillId="0" borderId="0"/>
    <xf numFmtId="0" fontId="2" fillId="0" borderId="0">
      <alignment wrapText="1"/>
    </xf>
    <xf numFmtId="9" fontId="2" fillId="0" borderId="0" applyFont="0" applyFill="0" applyBorder="0" applyAlignment="0" applyProtection="0">
      <alignment wrapText="1"/>
    </xf>
    <xf numFmtId="0" fontId="2" fillId="0" borderId="0">
      <alignment wrapText="1"/>
    </xf>
    <xf numFmtId="0" fontId="2" fillId="0" borderId="0"/>
    <xf numFmtId="0" fontId="2" fillId="0" borderId="0"/>
    <xf numFmtId="0" fontId="71" fillId="0" borderId="0"/>
    <xf numFmtId="0" fontId="1" fillId="0" borderId="0"/>
    <xf numFmtId="0" fontId="72" fillId="0" borderId="0"/>
    <xf numFmtId="0" fontId="74" fillId="0" borderId="0" applyNumberFormat="0" applyFill="0" applyBorder="0" applyAlignment="0" applyProtection="0"/>
    <xf numFmtId="0" fontId="75" fillId="0" borderId="119" applyNumberFormat="0" applyFill="0" applyAlignment="0" applyProtection="0"/>
    <xf numFmtId="0" fontId="76" fillId="0" borderId="120" applyNumberFormat="0" applyFill="0" applyAlignment="0" applyProtection="0"/>
    <xf numFmtId="0" fontId="77" fillId="0" borderId="121" applyNumberFormat="0" applyFill="0" applyAlignment="0" applyProtection="0"/>
    <xf numFmtId="0" fontId="77" fillId="0" borderId="0" applyNumberFormat="0" applyFill="0" applyBorder="0" applyAlignment="0" applyProtection="0"/>
    <xf numFmtId="0" fontId="78" fillId="40" borderId="0" applyNumberFormat="0" applyBorder="0" applyAlignment="0" applyProtection="0"/>
    <xf numFmtId="0" fontId="79" fillId="41" borderId="0" applyNumberFormat="0" applyBorder="0" applyAlignment="0" applyProtection="0"/>
    <xf numFmtId="0" fontId="80" fillId="42" borderId="0" applyNumberFormat="0" applyBorder="0" applyAlignment="0" applyProtection="0"/>
    <xf numFmtId="0" fontId="33" fillId="43" borderId="80" applyNumberFormat="0" applyAlignment="0" applyProtection="0"/>
    <xf numFmtId="0" fontId="81" fillId="44" borderId="122" applyNumberFormat="0" applyAlignment="0" applyProtection="0"/>
    <xf numFmtId="0" fontId="82" fillId="44" borderId="80" applyNumberFormat="0" applyAlignment="0" applyProtection="0"/>
    <xf numFmtId="0" fontId="83" fillId="0" borderId="123" applyNumberFormat="0" applyFill="0" applyAlignment="0" applyProtection="0"/>
    <xf numFmtId="0" fontId="84" fillId="45" borderId="124" applyNumberFormat="0" applyAlignment="0" applyProtection="0"/>
    <xf numFmtId="0" fontId="46" fillId="0" borderId="0" applyNumberFormat="0" applyFill="0" applyBorder="0" applyAlignment="0" applyProtection="0"/>
    <xf numFmtId="0" fontId="1" fillId="46" borderId="125" applyNumberFormat="0" applyFont="0" applyAlignment="0" applyProtection="0"/>
    <xf numFmtId="0" fontId="85" fillId="0" borderId="0" applyNumberFormat="0" applyFill="0" applyBorder="0" applyAlignment="0" applyProtection="0"/>
    <xf numFmtId="0" fontId="26" fillId="0" borderId="126" applyNumberFormat="0" applyFill="0" applyAlignment="0" applyProtection="0"/>
    <xf numFmtId="0" fontId="86" fillId="47" borderId="0" applyNumberFormat="0" applyBorder="0" applyAlignment="0" applyProtection="0"/>
    <xf numFmtId="0" fontId="1" fillId="48" borderId="0" applyNumberFormat="0" applyBorder="0" applyAlignment="0" applyProtection="0"/>
    <xf numFmtId="0" fontId="1" fillId="49" borderId="0" applyNumberFormat="0" applyBorder="0" applyAlignment="0" applyProtection="0"/>
    <xf numFmtId="0" fontId="86" fillId="50" borderId="0" applyNumberFormat="0" applyBorder="0" applyAlignment="0" applyProtection="0"/>
    <xf numFmtId="0" fontId="86" fillId="51" borderId="0" applyNumberFormat="0" applyBorder="0" applyAlignment="0" applyProtection="0"/>
    <xf numFmtId="0" fontId="1" fillId="52" borderId="0" applyNumberFormat="0" applyBorder="0" applyAlignment="0" applyProtection="0"/>
    <xf numFmtId="0" fontId="1" fillId="53" borderId="0" applyNumberFormat="0" applyBorder="0" applyAlignment="0" applyProtection="0"/>
    <xf numFmtId="0" fontId="86" fillId="54" borderId="0" applyNumberFormat="0" applyBorder="0" applyAlignment="0" applyProtection="0"/>
    <xf numFmtId="0" fontId="86" fillId="55" borderId="0" applyNumberFormat="0" applyBorder="0" applyAlignment="0" applyProtection="0"/>
    <xf numFmtId="0" fontId="1" fillId="56" borderId="0" applyNumberFormat="0" applyBorder="0" applyAlignment="0" applyProtection="0"/>
    <xf numFmtId="0" fontId="1" fillId="57" borderId="0" applyNumberFormat="0" applyBorder="0" applyAlignment="0" applyProtection="0"/>
    <xf numFmtId="0" fontId="86" fillId="58" borderId="0" applyNumberFormat="0" applyBorder="0" applyAlignment="0" applyProtection="0"/>
    <xf numFmtId="0" fontId="86" fillId="59" borderId="0" applyNumberFormat="0" applyBorder="0" applyAlignment="0" applyProtection="0"/>
    <xf numFmtId="0" fontId="1" fillId="60" borderId="0" applyNumberFormat="0" applyBorder="0" applyAlignment="0" applyProtection="0"/>
    <xf numFmtId="0" fontId="1" fillId="61" borderId="0" applyNumberFormat="0" applyBorder="0" applyAlignment="0" applyProtection="0"/>
    <xf numFmtId="0" fontId="86" fillId="62" borderId="0" applyNumberFormat="0" applyBorder="0" applyAlignment="0" applyProtection="0"/>
    <xf numFmtId="0" fontId="86" fillId="63" borderId="0" applyNumberFormat="0" applyBorder="0" applyAlignment="0" applyProtection="0"/>
    <xf numFmtId="0" fontId="1" fillId="64" borderId="0" applyNumberFormat="0" applyBorder="0" applyAlignment="0" applyProtection="0"/>
    <xf numFmtId="0" fontId="1" fillId="65" borderId="0" applyNumberFormat="0" applyBorder="0" applyAlignment="0" applyProtection="0"/>
    <xf numFmtId="0" fontId="86" fillId="66" borderId="0" applyNumberFormat="0" applyBorder="0" applyAlignment="0" applyProtection="0"/>
    <xf numFmtId="0" fontId="86" fillId="67" borderId="0" applyNumberFormat="0" applyBorder="0" applyAlignment="0" applyProtection="0"/>
    <xf numFmtId="0" fontId="1" fillId="68" borderId="0" applyNumberFormat="0" applyBorder="0" applyAlignment="0" applyProtection="0"/>
    <xf numFmtId="0" fontId="86" fillId="69" borderId="0" applyNumberFormat="0" applyBorder="0" applyAlignment="0" applyProtection="0"/>
    <xf numFmtId="0" fontId="8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9" fillId="0" borderId="0" applyNumberFormat="0" applyFill="0" applyBorder="0" applyAlignment="0" applyProtection="0"/>
    <xf numFmtId="0" fontId="94" fillId="0" borderId="0"/>
    <xf numFmtId="0" fontId="95" fillId="0" borderId="0"/>
    <xf numFmtId="0" fontId="111" fillId="0" borderId="0"/>
    <xf numFmtId="0" fontId="118" fillId="0" borderId="0"/>
    <xf numFmtId="0" fontId="130" fillId="0" borderId="0"/>
    <xf numFmtId="164" fontId="1" fillId="0" borderId="0" applyFont="0" applyFill="0" applyBorder="0" applyAlignment="0" applyProtection="0"/>
    <xf numFmtId="0" fontId="150"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 fillId="0" borderId="0" applyFont="0" applyFill="0" applyBorder="0" applyAlignment="0" applyProtection="0"/>
    <xf numFmtId="0" fontId="2" fillId="0" borderId="0"/>
    <xf numFmtId="164" fontId="1" fillId="0" borderId="0" applyFont="0" applyFill="0" applyBorder="0" applyAlignment="0" applyProtection="0"/>
    <xf numFmtId="0" fontId="177" fillId="0" borderId="0"/>
    <xf numFmtId="43" fontId="1" fillId="0" borderId="0" applyFont="0" applyFill="0" applyBorder="0" applyAlignment="0" applyProtection="0"/>
    <xf numFmtId="184" fontId="1" fillId="0" borderId="0" applyFon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1" fillId="0" borderId="0" applyNumberFormat="0" applyFill="0" applyBorder="0" applyAlignment="0" applyProtection="0">
      <alignment vertical="top"/>
      <protection locked="0"/>
    </xf>
    <xf numFmtId="166" fontId="1" fillId="0" borderId="0" applyFont="0" applyFill="0" applyBorder="0" applyAlignment="0" applyProtection="0"/>
  </cellStyleXfs>
  <cellXfs count="5744">
    <xf numFmtId="0" fontId="0" fillId="0" borderId="0" xfId="0"/>
    <xf numFmtId="3" fontId="0" fillId="0" borderId="0" xfId="0" applyNumberFormat="1"/>
    <xf numFmtId="0" fontId="5" fillId="0" borderId="0" xfId="0" applyFont="1"/>
    <xf numFmtId="3" fontId="5" fillId="0" borderId="0" xfId="0" applyNumberFormat="1" applyFont="1"/>
    <xf numFmtId="9" fontId="0" fillId="0" borderId="0" xfId="2" applyFont="1"/>
    <xf numFmtId="9" fontId="5" fillId="0" borderId="0" xfId="2" applyFont="1"/>
    <xf numFmtId="0" fontId="5" fillId="0" borderId="0" xfId="0" applyFont="1" applyAlignment="1">
      <alignment horizontal="center"/>
    </xf>
    <xf numFmtId="0" fontId="5" fillId="0" borderId="0" xfId="0" applyFont="1" applyAlignment="1">
      <alignment horizontal="left"/>
    </xf>
    <xf numFmtId="3" fontId="8" fillId="0" borderId="0" xfId="0" applyNumberFormat="1" applyFont="1" applyAlignment="1">
      <alignment vertical="center"/>
    </xf>
    <xf numFmtId="3" fontId="8" fillId="6" borderId="0" xfId="0" applyNumberFormat="1" applyFont="1" applyFill="1" applyAlignment="1">
      <alignment vertical="center"/>
    </xf>
    <xf numFmtId="3" fontId="2" fillId="0" borderId="0" xfId="0" applyNumberFormat="1" applyFont="1" applyAlignment="1">
      <alignment vertical="center"/>
    </xf>
    <xf numFmtId="3" fontId="2" fillId="4" borderId="13" xfId="0" applyNumberFormat="1" applyFont="1" applyFill="1" applyBorder="1" applyAlignment="1">
      <alignment horizontal="center" vertical="center"/>
    </xf>
    <xf numFmtId="3" fontId="9" fillId="4" borderId="14" xfId="0" applyNumberFormat="1" applyFont="1" applyFill="1" applyBorder="1" applyAlignment="1">
      <alignment horizontal="center" vertical="center" wrapText="1"/>
    </xf>
    <xf numFmtId="3" fontId="9" fillId="4" borderId="15" xfId="0" applyNumberFormat="1" applyFont="1" applyFill="1" applyBorder="1" applyAlignment="1">
      <alignment horizontal="center" vertical="center" wrapText="1"/>
    </xf>
    <xf numFmtId="3" fontId="9" fillId="4" borderId="16" xfId="0" applyNumberFormat="1" applyFont="1" applyFill="1" applyBorder="1" applyAlignment="1">
      <alignment horizontal="center" vertical="center" wrapText="1"/>
    </xf>
    <xf numFmtId="3" fontId="9" fillId="0" borderId="17" xfId="0" applyNumberFormat="1" applyFont="1" applyBorder="1" applyAlignment="1">
      <alignment horizontal="left" vertical="center" wrapText="1"/>
    </xf>
    <xf numFmtId="3" fontId="9" fillId="0" borderId="18" xfId="0" applyNumberFormat="1" applyFont="1" applyBorder="1" applyAlignment="1">
      <alignment horizontal="right" vertical="center"/>
    </xf>
    <xf numFmtId="3" fontId="9" fillId="0" borderId="10" xfId="0" applyNumberFormat="1" applyFont="1" applyBorder="1" applyAlignment="1">
      <alignment horizontal="right" vertical="center"/>
    </xf>
    <xf numFmtId="3" fontId="9" fillId="0" borderId="19" xfId="0" applyNumberFormat="1" applyFont="1" applyBorder="1" applyAlignment="1">
      <alignment horizontal="left" vertical="center" wrapText="1"/>
    </xf>
    <xf numFmtId="3" fontId="9" fillId="0" borderId="20" xfId="0" applyNumberFormat="1" applyFont="1" applyBorder="1" applyAlignment="1">
      <alignment horizontal="left" vertical="center" wrapText="1"/>
    </xf>
    <xf numFmtId="0" fontId="5" fillId="0" borderId="0" xfId="0" applyFont="1" applyAlignment="1">
      <alignment wrapText="1"/>
    </xf>
    <xf numFmtId="0" fontId="0" fillId="0" borderId="0" xfId="0" applyAlignment="1">
      <alignment wrapText="1"/>
    </xf>
    <xf numFmtId="0" fontId="10" fillId="0" borderId="0" xfId="0" applyFont="1"/>
    <xf numFmtId="3" fontId="2" fillId="0" borderId="10" xfId="0" applyNumberFormat="1" applyFont="1" applyBorder="1" applyAlignment="1">
      <alignment horizontal="center" vertical="center"/>
    </xf>
    <xf numFmtId="3" fontId="9" fillId="0" borderId="18" xfId="0" applyNumberFormat="1" applyFont="1" applyBorder="1" applyAlignment="1">
      <alignment vertical="center"/>
    </xf>
    <xf numFmtId="3" fontId="9" fillId="0" borderId="10" xfId="0" applyNumberFormat="1" applyFont="1" applyBorder="1" applyAlignment="1">
      <alignment vertical="center"/>
    </xf>
    <xf numFmtId="3" fontId="2" fillId="0" borderId="18" xfId="0" applyNumberFormat="1" applyFont="1" applyBorder="1" applyAlignment="1">
      <alignment vertical="center"/>
    </xf>
    <xf numFmtId="3" fontId="2" fillId="0" borderId="10" xfId="0" applyNumberFormat="1" applyFont="1" applyBorder="1" applyAlignment="1">
      <alignment vertical="center"/>
    </xf>
    <xf numFmtId="3" fontId="9" fillId="0" borderId="21" xfId="0" applyNumberFormat="1" applyFont="1" applyBorder="1" applyAlignment="1">
      <alignment vertical="center"/>
    </xf>
    <xf numFmtId="3" fontId="9" fillId="0" borderId="22" xfId="0" applyNumberFormat="1" applyFont="1" applyBorder="1" applyAlignment="1">
      <alignment vertical="center"/>
    </xf>
    <xf numFmtId="3" fontId="0" fillId="0" borderId="0" xfId="0" applyNumberFormat="1" applyBorder="1"/>
    <xf numFmtId="0" fontId="8" fillId="0" borderId="0" xfId="0" applyFont="1" applyBorder="1"/>
    <xf numFmtId="0" fontId="0" fillId="0" borderId="0" xfId="0" applyBorder="1"/>
    <xf numFmtId="0" fontId="0" fillId="0" borderId="25" xfId="0" applyBorder="1"/>
    <xf numFmtId="170" fontId="0" fillId="0" borderId="25" xfId="0" applyNumberFormat="1" applyBorder="1" applyAlignment="1">
      <alignment horizontal="center"/>
    </xf>
    <xf numFmtId="167" fontId="0" fillId="0" borderId="0" xfId="2" applyNumberFormat="1" applyFont="1"/>
    <xf numFmtId="0" fontId="5" fillId="0" borderId="0" xfId="0" applyFont="1" applyAlignment="1">
      <alignment horizontal="center" wrapText="1"/>
    </xf>
    <xf numFmtId="0" fontId="5" fillId="0" borderId="0" xfId="0" applyFont="1" applyAlignment="1">
      <alignment horizontal="left" vertical="center" wrapText="1"/>
    </xf>
    <xf numFmtId="168" fontId="0" fillId="0" borderId="0" xfId="1" applyNumberFormat="1" applyFont="1"/>
    <xf numFmtId="168" fontId="5" fillId="0" borderId="0" xfId="1" applyNumberFormat="1" applyFont="1"/>
    <xf numFmtId="0" fontId="10" fillId="0" borderId="0" xfId="0" applyFont="1" applyAlignment="1">
      <alignment horizontal="center" wrapText="1"/>
    </xf>
    <xf numFmtId="3" fontId="9" fillId="4" borderId="0" xfId="0" applyNumberFormat="1" applyFont="1" applyFill="1" applyBorder="1" applyAlignment="1">
      <alignment horizontal="center" vertical="center" wrapText="1"/>
    </xf>
    <xf numFmtId="0" fontId="10" fillId="0" borderId="0" xfId="0" applyFont="1" applyAlignment="1">
      <alignment horizontal="center" vertical="center" wrapText="1"/>
    </xf>
    <xf numFmtId="0" fontId="0" fillId="16" borderId="0" xfId="0" applyFill="1"/>
    <xf numFmtId="0" fontId="0" fillId="0" borderId="37" xfId="0" applyBorder="1"/>
    <xf numFmtId="0" fontId="26" fillId="0" borderId="0" xfId="0" applyFont="1"/>
    <xf numFmtId="0" fontId="26" fillId="0" borderId="69" xfId="0" applyFont="1" applyBorder="1" applyAlignment="1">
      <alignment horizontal="center" vertical="center" wrapText="1"/>
    </xf>
    <xf numFmtId="9" fontId="10" fillId="0" borderId="0" xfId="2" applyFont="1"/>
    <xf numFmtId="0" fontId="0" fillId="0" borderId="0" xfId="0" applyFill="1"/>
    <xf numFmtId="0" fontId="0" fillId="0" borderId="0" xfId="0" applyAlignment="1">
      <alignment horizontal="center" vertical="center"/>
    </xf>
    <xf numFmtId="0" fontId="0" fillId="0" borderId="0" xfId="0" applyAlignment="1">
      <alignment horizontal="center" vertical="center" wrapText="1"/>
    </xf>
    <xf numFmtId="0" fontId="5" fillId="0" borderId="0" xfId="0" applyFont="1" applyAlignment="1">
      <alignment vertical="center"/>
    </xf>
    <xf numFmtId="0" fontId="0" fillId="13" borderId="0" xfId="0" applyFill="1"/>
    <xf numFmtId="0" fontId="5" fillId="0" borderId="0" xfId="0" applyFont="1" applyAlignment="1">
      <alignment horizontal="center" vertical="center" wrapText="1"/>
    </xf>
    <xf numFmtId="3" fontId="0" fillId="0" borderId="0" xfId="0" applyNumberFormat="1" applyFill="1" applyBorder="1" applyAlignment="1">
      <alignment horizontal="center"/>
    </xf>
    <xf numFmtId="0" fontId="19" fillId="0" borderId="0" xfId="0" applyFont="1" applyFill="1" applyBorder="1" applyAlignment="1">
      <alignment horizontal="left"/>
    </xf>
    <xf numFmtId="0" fontId="13" fillId="0" borderId="0" xfId="7" applyFont="1"/>
    <xf numFmtId="0" fontId="41" fillId="0" borderId="0" xfId="7" applyFont="1" applyFill="1" applyBorder="1" applyAlignment="1">
      <alignment horizontal="left"/>
    </xf>
    <xf numFmtId="172" fontId="41" fillId="0" borderId="0" xfId="14" applyNumberFormat="1" applyFont="1" applyFill="1" applyBorder="1" applyAlignment="1">
      <alignment horizontal="right"/>
    </xf>
    <xf numFmtId="172" fontId="41" fillId="0" borderId="0" xfId="7" applyNumberFormat="1" applyFont="1" applyFill="1" applyBorder="1" applyAlignment="1">
      <alignment horizontal="right"/>
    </xf>
    <xf numFmtId="172" fontId="41" fillId="0" borderId="0" xfId="14" applyNumberFormat="1" applyFont="1" applyFill="1" applyBorder="1"/>
    <xf numFmtId="10" fontId="41" fillId="0" borderId="0" xfId="7" applyNumberFormat="1" applyFont="1" applyFill="1" applyBorder="1" applyAlignment="1">
      <alignment horizontal="center"/>
    </xf>
    <xf numFmtId="0" fontId="41" fillId="0" borderId="23" xfId="7" applyFont="1" applyFill="1" applyBorder="1"/>
    <xf numFmtId="0" fontId="41" fillId="0" borderId="0" xfId="7" applyFont="1" applyFill="1" applyBorder="1" applyAlignment="1">
      <alignment horizontal="center"/>
    </xf>
    <xf numFmtId="0" fontId="41" fillId="0" borderId="63" xfId="7" applyFont="1" applyFill="1" applyBorder="1" applyAlignment="1">
      <alignment horizontal="center"/>
    </xf>
    <xf numFmtId="0" fontId="13" fillId="0" borderId="23" xfId="7" applyFont="1" applyFill="1" applyBorder="1"/>
    <xf numFmtId="172" fontId="13" fillId="32" borderId="0" xfId="14" applyNumberFormat="1" applyFont="1" applyFill="1" applyBorder="1"/>
    <xf numFmtId="172" fontId="43" fillId="32" borderId="0" xfId="14" applyNumberFormat="1" applyFont="1" applyFill="1" applyBorder="1"/>
    <xf numFmtId="172" fontId="41" fillId="0" borderId="63" xfId="14" applyNumberFormat="1" applyFont="1" applyFill="1" applyBorder="1"/>
    <xf numFmtId="0" fontId="41" fillId="0" borderId="52" xfId="7" applyFont="1" applyFill="1" applyBorder="1" applyAlignment="1">
      <alignment horizontal="left"/>
    </xf>
    <xf numFmtId="172" fontId="41" fillId="0" borderId="11" xfId="14" applyNumberFormat="1" applyFont="1" applyFill="1" applyBorder="1"/>
    <xf numFmtId="172" fontId="41" fillId="0" borderId="11" xfId="7" applyNumberFormat="1" applyFont="1" applyBorder="1"/>
    <xf numFmtId="172" fontId="41" fillId="0" borderId="83" xfId="7" applyNumberFormat="1" applyFont="1" applyFill="1" applyBorder="1" applyAlignment="1">
      <alignment horizontal="right"/>
    </xf>
    <xf numFmtId="172" fontId="41" fillId="0" borderId="0" xfId="7" applyNumberFormat="1" applyFont="1" applyBorder="1"/>
    <xf numFmtId="3" fontId="13" fillId="32" borderId="0" xfId="7" applyNumberFormat="1" applyFont="1" applyFill="1" applyBorder="1" applyAlignment="1" applyProtection="1">
      <alignment horizontal="right"/>
    </xf>
    <xf numFmtId="3" fontId="13" fillId="32" borderId="0" xfId="7" applyNumberFormat="1" applyFont="1" applyFill="1" applyBorder="1" applyProtection="1"/>
    <xf numFmtId="3" fontId="13" fillId="32" borderId="0" xfId="7" applyNumberFormat="1" applyFont="1" applyFill="1" applyBorder="1" applyProtection="1">
      <protection locked="0"/>
    </xf>
    <xf numFmtId="3" fontId="41" fillId="0" borderId="11" xfId="7" applyNumberFormat="1" applyFont="1" applyBorder="1" applyAlignment="1">
      <alignment horizontal="right"/>
    </xf>
    <xf numFmtId="172" fontId="41" fillId="0" borderId="83" xfId="14" applyNumberFormat="1" applyFont="1" applyFill="1" applyBorder="1"/>
    <xf numFmtId="3" fontId="41" fillId="0" borderId="0" xfId="7" applyNumberFormat="1" applyFont="1" applyBorder="1" applyAlignment="1">
      <alignment horizontal="right"/>
    </xf>
    <xf numFmtId="0" fontId="41" fillId="33" borderId="0" xfId="7" applyFont="1" applyFill="1" applyBorder="1"/>
    <xf numFmtId="3" fontId="41" fillId="33" borderId="0" xfId="7" applyNumberFormat="1" applyFont="1" applyFill="1" applyBorder="1" applyAlignment="1">
      <alignment horizontal="right"/>
    </xf>
    <xf numFmtId="172" fontId="41" fillId="33" borderId="0" xfId="14" applyNumberFormat="1" applyFont="1" applyFill="1" applyBorder="1"/>
    <xf numFmtId="0" fontId="13" fillId="33" borderId="0" xfId="7" applyFont="1" applyFill="1" applyBorder="1"/>
    <xf numFmtId="167" fontId="13" fillId="33" borderId="0" xfId="7" applyNumberFormat="1" applyFont="1" applyFill="1" applyBorder="1" applyAlignment="1">
      <alignment horizontal="right"/>
    </xf>
    <xf numFmtId="167" fontId="13" fillId="33" borderId="0" xfId="14" applyNumberFormat="1" applyFont="1" applyFill="1" applyBorder="1"/>
    <xf numFmtId="0" fontId="13" fillId="33" borderId="0" xfId="7" applyFont="1" applyFill="1" applyBorder="1" applyAlignment="1">
      <alignment horizontal="left"/>
    </xf>
    <xf numFmtId="172" fontId="13" fillId="32" borderId="0" xfId="14" applyNumberFormat="1" applyFont="1" applyFill="1" applyBorder="1" applyProtection="1"/>
    <xf numFmtId="1" fontId="13" fillId="32" borderId="0" xfId="7" applyNumberFormat="1" applyFont="1" applyFill="1" applyBorder="1" applyProtection="1"/>
    <xf numFmtId="172" fontId="13" fillId="32" borderId="0" xfId="14" applyNumberFormat="1" applyFont="1" applyFill="1" applyBorder="1" applyProtection="1">
      <protection locked="0"/>
    </xf>
    <xf numFmtId="1" fontId="13" fillId="32" borderId="0" xfId="7" applyNumberFormat="1" applyFont="1" applyFill="1" applyBorder="1" applyProtection="1">
      <protection locked="0"/>
    </xf>
    <xf numFmtId="172" fontId="13" fillId="32" borderId="0" xfId="14" applyNumberFormat="1" applyFont="1" applyFill="1" applyBorder="1" applyAlignment="1" applyProtection="1">
      <alignment horizontal="right"/>
    </xf>
    <xf numFmtId="1" fontId="13" fillId="32" borderId="0" xfId="7" applyNumberFormat="1" applyFont="1" applyFill="1" applyBorder="1" applyAlignment="1" applyProtection="1">
      <alignment horizontal="right"/>
    </xf>
    <xf numFmtId="3" fontId="41" fillId="0" borderId="83" xfId="7" applyNumberFormat="1" applyFont="1" applyBorder="1" applyAlignment="1">
      <alignment horizontal="right"/>
    </xf>
    <xf numFmtId="0" fontId="13" fillId="33" borderId="0" xfId="7" applyFont="1" applyFill="1"/>
    <xf numFmtId="167" fontId="13" fillId="33" borderId="0" xfId="7" applyNumberFormat="1" applyFont="1" applyFill="1"/>
    <xf numFmtId="0" fontId="13" fillId="0" borderId="0" xfId="7" applyFont="1" applyFill="1" applyBorder="1" applyAlignment="1">
      <alignment horizontal="left"/>
    </xf>
    <xf numFmtId="167" fontId="13" fillId="0" borderId="0" xfId="7" applyNumberFormat="1" applyFont="1" applyFill="1"/>
    <xf numFmtId="0" fontId="13" fillId="0" borderId="0" xfId="7" applyFont="1" applyFill="1"/>
    <xf numFmtId="3" fontId="13" fillId="34" borderId="0" xfId="7" applyNumberFormat="1" applyFont="1" applyFill="1" applyBorder="1" applyAlignment="1" applyProtection="1">
      <alignment horizontal="right"/>
    </xf>
    <xf numFmtId="0" fontId="13" fillId="10" borderId="23" xfId="7" applyFont="1" applyFill="1" applyBorder="1"/>
    <xf numFmtId="3" fontId="43" fillId="34" borderId="0" xfId="7" applyNumberFormat="1" applyFont="1" applyFill="1" applyBorder="1" applyAlignment="1" applyProtection="1">
      <alignment horizontal="right"/>
    </xf>
    <xf numFmtId="0" fontId="41" fillId="27" borderId="0" xfId="7" applyFont="1" applyFill="1" applyBorder="1"/>
    <xf numFmtId="0" fontId="13" fillId="27" borderId="0" xfId="7" applyFont="1" applyFill="1"/>
    <xf numFmtId="167" fontId="13" fillId="27" borderId="0" xfId="7" applyNumberFormat="1" applyFont="1" applyFill="1"/>
    <xf numFmtId="0" fontId="13" fillId="27" borderId="0" xfId="7" applyFont="1" applyFill="1" applyBorder="1"/>
    <xf numFmtId="0" fontId="13" fillId="27" borderId="0" xfId="7" applyFont="1" applyFill="1" applyBorder="1" applyAlignment="1">
      <alignment horizontal="left"/>
    </xf>
    <xf numFmtId="3" fontId="43" fillId="0" borderId="0" xfId="7" applyNumberFormat="1" applyFont="1" applyFill="1" applyBorder="1" applyAlignment="1" applyProtection="1">
      <alignment horizontal="right"/>
    </xf>
    <xf numFmtId="172" fontId="13" fillId="0" borderId="0" xfId="7" applyNumberFormat="1" applyFont="1"/>
    <xf numFmtId="4" fontId="13" fillId="0" borderId="0" xfId="7" applyNumberFormat="1" applyFont="1"/>
    <xf numFmtId="167" fontId="13" fillId="27" borderId="0" xfId="15" applyNumberFormat="1" applyFont="1" applyFill="1"/>
    <xf numFmtId="3" fontId="13" fillId="0" borderId="0" xfId="7" applyNumberFormat="1" applyFont="1"/>
    <xf numFmtId="167" fontId="13" fillId="0" borderId="0" xfId="15" applyNumberFormat="1" applyFont="1"/>
    <xf numFmtId="9" fontId="13" fillId="0" borderId="0" xfId="15" applyFont="1"/>
    <xf numFmtId="10" fontId="13" fillId="0" borderId="0" xfId="15" applyNumberFormat="1" applyFont="1"/>
    <xf numFmtId="3" fontId="0" fillId="0" borderId="0" xfId="0" applyNumberFormat="1" applyAlignment="1">
      <alignment horizontal="center"/>
    </xf>
    <xf numFmtId="0" fontId="41" fillId="0" borderId="23" xfId="0" applyFont="1" applyFill="1" applyBorder="1"/>
    <xf numFmtId="0" fontId="41" fillId="0" borderId="0" xfId="0" applyFont="1" applyFill="1" applyBorder="1" applyAlignment="1">
      <alignment horizontal="center"/>
    </xf>
    <xf numFmtId="0" fontId="41" fillId="0" borderId="63" xfId="0" applyFont="1" applyFill="1" applyBorder="1" applyAlignment="1">
      <alignment horizontal="center"/>
    </xf>
    <xf numFmtId="0" fontId="13" fillId="0" borderId="23" xfId="0" applyFont="1" applyFill="1" applyBorder="1"/>
    <xf numFmtId="3" fontId="13" fillId="34" borderId="0" xfId="0" applyNumberFormat="1" applyFont="1" applyFill="1" applyBorder="1" applyAlignment="1" applyProtection="1">
      <alignment horizontal="right"/>
    </xf>
    <xf numFmtId="0" fontId="13" fillId="10" borderId="23" xfId="0" applyFont="1" applyFill="1" applyBorder="1"/>
    <xf numFmtId="3" fontId="43" fillId="34" borderId="0" xfId="0" applyNumberFormat="1" applyFont="1" applyFill="1" applyBorder="1" applyAlignment="1" applyProtection="1">
      <alignment horizontal="right"/>
    </xf>
    <xf numFmtId="0" fontId="41" fillId="0" borderId="52" xfId="0" applyFont="1" applyFill="1" applyBorder="1" applyAlignment="1">
      <alignment horizontal="left"/>
    </xf>
    <xf numFmtId="3" fontId="41" fillId="0" borderId="11" xfId="0" applyNumberFormat="1" applyFont="1" applyBorder="1" applyAlignment="1">
      <alignment horizontal="right"/>
    </xf>
    <xf numFmtId="3" fontId="41" fillId="0" borderId="83" xfId="0" applyNumberFormat="1" applyFont="1" applyBorder="1" applyAlignment="1">
      <alignment horizontal="right"/>
    </xf>
    <xf numFmtId="0" fontId="41" fillId="27" borderId="0" xfId="0" applyFont="1" applyFill="1" applyBorder="1"/>
    <xf numFmtId="0" fontId="13" fillId="27" borderId="0" xfId="0" applyFont="1" applyFill="1"/>
    <xf numFmtId="167" fontId="13" fillId="27" borderId="0" xfId="0" applyNumberFormat="1" applyFont="1" applyFill="1"/>
    <xf numFmtId="0" fontId="13" fillId="27" borderId="0" xfId="0" applyFont="1" applyFill="1" applyBorder="1"/>
    <xf numFmtId="0" fontId="13" fillId="27" borderId="0" xfId="0" applyFont="1" applyFill="1" applyBorder="1" applyAlignment="1">
      <alignment horizontal="left"/>
    </xf>
    <xf numFmtId="0" fontId="13" fillId="0" borderId="0" xfId="0" applyFont="1"/>
    <xf numFmtId="0" fontId="5" fillId="0" borderId="0" xfId="0" applyFont="1" applyBorder="1" applyAlignment="1">
      <alignment horizontal="left" vertical="center" wrapText="1"/>
    </xf>
    <xf numFmtId="0" fontId="5" fillId="0" borderId="13" xfId="0" applyFont="1" applyBorder="1" applyAlignment="1">
      <alignment horizontal="left" vertical="center" wrapText="1"/>
    </xf>
    <xf numFmtId="0" fontId="5" fillId="0" borderId="13" xfId="0" applyFont="1" applyBorder="1" applyAlignment="1">
      <alignment horizontal="center" vertical="center" wrapText="1"/>
    </xf>
    <xf numFmtId="0" fontId="17" fillId="0" borderId="0" xfId="0" applyFont="1" applyAlignment="1">
      <alignment horizontal="center" vertical="center" wrapText="1"/>
    </xf>
    <xf numFmtId="0" fontId="17" fillId="0" borderId="0" xfId="0" applyFont="1" applyAlignment="1">
      <alignment horizontal="left" vertical="center" wrapText="1"/>
    </xf>
    <xf numFmtId="0" fontId="41" fillId="0" borderId="37" xfId="0" applyFont="1" applyFill="1" applyBorder="1"/>
    <xf numFmtId="0" fontId="41" fillId="0" borderId="7" xfId="0" applyFont="1" applyFill="1" applyBorder="1" applyAlignment="1">
      <alignment horizontal="center"/>
    </xf>
    <xf numFmtId="0" fontId="13" fillId="0" borderId="37" xfId="0" applyFont="1" applyFill="1" applyBorder="1"/>
    <xf numFmtId="172" fontId="41" fillId="0" borderId="7" xfId="14" applyNumberFormat="1" applyFont="1" applyFill="1" applyBorder="1"/>
    <xf numFmtId="0" fontId="13" fillId="10" borderId="37" xfId="0" applyFont="1" applyFill="1" applyBorder="1"/>
    <xf numFmtId="0" fontId="13" fillId="0" borderId="37" xfId="0" applyFont="1" applyFill="1" applyBorder="1" applyAlignment="1">
      <alignment horizontal="left"/>
    </xf>
    <xf numFmtId="167" fontId="13" fillId="0" borderId="0" xfId="0" applyNumberFormat="1" applyFont="1" applyFill="1" applyBorder="1"/>
    <xf numFmtId="167" fontId="13" fillId="0" borderId="7" xfId="0" applyNumberFormat="1" applyFont="1" applyFill="1" applyBorder="1"/>
    <xf numFmtId="0" fontId="41" fillId="27" borderId="37" xfId="0" applyFont="1" applyFill="1" applyBorder="1"/>
    <xf numFmtId="167" fontId="13" fillId="27" borderId="0" xfId="0" applyNumberFormat="1" applyFont="1" applyFill="1" applyBorder="1"/>
    <xf numFmtId="0" fontId="13" fillId="27" borderId="7" xfId="0" applyFont="1" applyFill="1" applyBorder="1"/>
    <xf numFmtId="0" fontId="13" fillId="27" borderId="37" xfId="0" applyFont="1" applyFill="1" applyBorder="1"/>
    <xf numFmtId="0" fontId="13" fillId="27" borderId="40" xfId="0" applyFont="1" applyFill="1" applyBorder="1" applyAlignment="1">
      <alignment horizontal="left"/>
    </xf>
    <xf numFmtId="167" fontId="13" fillId="27" borderId="33" xfId="0" applyNumberFormat="1" applyFont="1" applyFill="1" applyBorder="1"/>
    <xf numFmtId="0" fontId="41" fillId="0" borderId="0" xfId="7" applyFont="1" applyAlignment="1">
      <alignment horizontal="center" vertical="center"/>
    </xf>
    <xf numFmtId="0" fontId="51" fillId="0" borderId="0" xfId="7" applyFont="1"/>
    <xf numFmtId="0" fontId="52" fillId="0" borderId="0" xfId="7" applyFont="1" applyAlignment="1">
      <alignment horizontal="center" vertical="center"/>
    </xf>
    <xf numFmtId="0" fontId="53" fillId="0" borderId="0" xfId="7" applyFont="1" applyAlignment="1">
      <alignment horizontal="center" vertical="center" wrapText="1"/>
    </xf>
    <xf numFmtId="0" fontId="52" fillId="0" borderId="0" xfId="7" applyFont="1" applyAlignment="1">
      <alignment horizontal="center"/>
    </xf>
    <xf numFmtId="0" fontId="54" fillId="0" borderId="0" xfId="0" applyFont="1"/>
    <xf numFmtId="0" fontId="0" fillId="17" borderId="0" xfId="0" applyFont="1" applyFill="1" applyBorder="1"/>
    <xf numFmtId="0" fontId="0" fillId="0" borderId="0" xfId="0" applyFont="1"/>
    <xf numFmtId="171" fontId="30" fillId="4" borderId="29" xfId="0" applyNumberFormat="1" applyFont="1" applyFill="1" applyBorder="1" applyAlignment="1">
      <alignment horizontal="center"/>
    </xf>
    <xf numFmtId="0" fontId="5" fillId="17" borderId="0" xfId="0" applyFont="1" applyFill="1" applyBorder="1" applyAlignment="1">
      <alignment vertical="center"/>
    </xf>
    <xf numFmtId="0" fontId="7" fillId="0" borderId="0" xfId="0" applyFont="1" applyFill="1" applyAlignment="1">
      <alignment vertical="center"/>
    </xf>
    <xf numFmtId="171" fontId="30" fillId="0" borderId="0" xfId="0" applyNumberFormat="1" applyFont="1" applyFill="1" applyBorder="1" applyAlignment="1">
      <alignment horizontal="center"/>
    </xf>
    <xf numFmtId="171" fontId="30" fillId="0" borderId="7" xfId="0" applyNumberFormat="1" applyFont="1" applyFill="1" applyBorder="1" applyAlignment="1">
      <alignment horizontal="center"/>
    </xf>
    <xf numFmtId="0" fontId="61" fillId="0" borderId="0" xfId="0" applyFont="1" applyFill="1" applyBorder="1" applyAlignment="1">
      <alignment vertical="center"/>
    </xf>
    <xf numFmtId="0" fontId="61" fillId="0" borderId="0" xfId="0" applyFont="1" applyFill="1" applyAlignment="1">
      <alignment vertical="center"/>
    </xf>
    <xf numFmtId="0" fontId="8" fillId="31" borderId="26" xfId="0" applyFont="1" applyFill="1" applyBorder="1" applyAlignment="1">
      <alignment horizontal="center"/>
    </xf>
    <xf numFmtId="0" fontId="30" fillId="0" borderId="0" xfId="0" applyFont="1" applyFill="1" applyBorder="1" applyAlignment="1">
      <alignment horizontal="left" vertical="center"/>
    </xf>
    <xf numFmtId="0" fontId="55" fillId="9" borderId="0" xfId="0" applyFont="1" applyFill="1" applyBorder="1" applyAlignment="1">
      <alignment horizontal="center"/>
    </xf>
    <xf numFmtId="1" fontId="58" fillId="38" borderId="35" xfId="0" applyNumberFormat="1" applyFont="1" applyFill="1" applyBorder="1" applyAlignment="1">
      <alignment horizontal="left" vertical="center"/>
    </xf>
    <xf numFmtId="171" fontId="58" fillId="38" borderId="29" xfId="0" applyNumberFormat="1" applyFont="1" applyFill="1" applyBorder="1" applyAlignment="1">
      <alignment horizontal="center" vertical="center"/>
    </xf>
    <xf numFmtId="171" fontId="58" fillId="38" borderId="30" xfId="0" applyNumberFormat="1" applyFont="1" applyFill="1" applyBorder="1" applyAlignment="1">
      <alignment horizontal="center" vertical="center"/>
    </xf>
    <xf numFmtId="0" fontId="0" fillId="0" borderId="0" xfId="0" applyFont="1" applyAlignment="1">
      <alignment vertical="center"/>
    </xf>
    <xf numFmtId="0" fontId="30" fillId="11" borderId="52" xfId="0" applyFont="1" applyFill="1" applyBorder="1"/>
    <xf numFmtId="1" fontId="0" fillId="0" borderId="0" xfId="0" applyNumberFormat="1" applyFont="1"/>
    <xf numFmtId="1" fontId="64" fillId="0" borderId="11" xfId="0" applyNumberFormat="1" applyFont="1" applyFill="1" applyBorder="1" applyAlignment="1">
      <alignment horizontal="center"/>
    </xf>
    <xf numFmtId="0" fontId="60" fillId="11" borderId="37" xfId="0" applyFont="1" applyFill="1" applyBorder="1"/>
    <xf numFmtId="1" fontId="64" fillId="0" borderId="0" xfId="0" applyNumberFormat="1" applyFont="1" applyFill="1" applyBorder="1" applyAlignment="1">
      <alignment horizontal="center"/>
    </xf>
    <xf numFmtId="0" fontId="60" fillId="11" borderId="40" xfId="0" applyFont="1" applyFill="1" applyBorder="1"/>
    <xf numFmtId="1" fontId="64" fillId="0" borderId="33" xfId="0" applyNumberFormat="1" applyFont="1" applyFill="1" applyBorder="1" applyAlignment="1">
      <alignment horizontal="center"/>
    </xf>
    <xf numFmtId="171" fontId="64" fillId="16" borderId="0" xfId="0" applyNumberFormat="1" applyFont="1" applyFill="1" applyBorder="1" applyAlignment="1">
      <alignment horizontal="center"/>
    </xf>
    <xf numFmtId="1" fontId="0" fillId="16" borderId="0" xfId="0" applyNumberFormat="1" applyFont="1" applyFill="1"/>
    <xf numFmtId="0" fontId="60" fillId="11" borderId="0" xfId="0" applyFont="1" applyFill="1" applyBorder="1"/>
    <xf numFmtId="171" fontId="65" fillId="16" borderId="0" xfId="0" applyNumberFormat="1" applyFont="1" applyFill="1" applyBorder="1" applyAlignment="1">
      <alignment horizontal="center"/>
    </xf>
    <xf numFmtId="1" fontId="58" fillId="15" borderId="35" xfId="0" applyNumberFormat="1" applyFont="1" applyFill="1" applyBorder="1" applyAlignment="1">
      <alignment horizontal="left" vertical="center"/>
    </xf>
    <xf numFmtId="171" fontId="58" fillId="15" borderId="29" xfId="0" applyNumberFormat="1" applyFont="1" applyFill="1" applyBorder="1" applyAlignment="1">
      <alignment horizontal="center" vertical="center"/>
    </xf>
    <xf numFmtId="171" fontId="58" fillId="15" borderId="30" xfId="0" applyNumberFormat="1" applyFont="1" applyFill="1" applyBorder="1" applyAlignment="1">
      <alignment horizontal="center" vertical="center"/>
    </xf>
    <xf numFmtId="171" fontId="0" fillId="0" borderId="0" xfId="0" applyNumberFormat="1" applyFont="1" applyBorder="1"/>
    <xf numFmtId="171" fontId="64" fillId="0" borderId="0" xfId="18" applyNumberFormat="1" applyFont="1" applyFill="1" applyBorder="1" applyAlignment="1">
      <alignment horizontal="center"/>
    </xf>
    <xf numFmtId="1" fontId="65" fillId="0" borderId="0" xfId="18" applyNumberFormat="1" applyFont="1" applyFill="1" applyBorder="1" applyAlignment="1">
      <alignment horizontal="center"/>
    </xf>
    <xf numFmtId="171" fontId="30" fillId="15" borderId="66" xfId="0" applyNumberFormat="1" applyFont="1" applyFill="1" applyBorder="1" applyAlignment="1">
      <alignment horizontal="center"/>
    </xf>
    <xf numFmtId="171" fontId="30" fillId="15" borderId="34" xfId="0" applyNumberFormat="1" applyFont="1" applyFill="1" applyBorder="1" applyAlignment="1">
      <alignment horizontal="center"/>
    </xf>
    <xf numFmtId="171" fontId="30" fillId="15" borderId="67" xfId="0" applyNumberFormat="1" applyFont="1" applyFill="1" applyBorder="1" applyAlignment="1">
      <alignment horizontal="center"/>
    </xf>
    <xf numFmtId="0" fontId="30" fillId="36" borderId="52" xfId="0" applyFont="1" applyFill="1" applyBorder="1"/>
    <xf numFmtId="0" fontId="60" fillId="36" borderId="37" xfId="0" applyFont="1" applyFill="1" applyBorder="1"/>
    <xf numFmtId="0" fontId="60" fillId="36" borderId="40" xfId="0" applyFont="1" applyFill="1" applyBorder="1"/>
    <xf numFmtId="171" fontId="58" fillId="16" borderId="0" xfId="0" applyNumberFormat="1" applyFont="1" applyFill="1" applyBorder="1" applyAlignment="1">
      <alignment horizontal="center" vertical="top"/>
    </xf>
    <xf numFmtId="1" fontId="58" fillId="29" borderId="35" xfId="0" applyNumberFormat="1" applyFont="1" applyFill="1" applyBorder="1" applyAlignment="1">
      <alignment horizontal="left" vertical="center"/>
    </xf>
    <xf numFmtId="171" fontId="58" fillId="29" borderId="29" xfId="0" applyNumberFormat="1" applyFont="1" applyFill="1" applyBorder="1" applyAlignment="1">
      <alignment horizontal="center" vertical="center"/>
    </xf>
    <xf numFmtId="171" fontId="58" fillId="29" borderId="30" xfId="0" applyNumberFormat="1" applyFont="1" applyFill="1" applyBorder="1" applyAlignment="1">
      <alignment horizontal="center" vertical="center"/>
    </xf>
    <xf numFmtId="171" fontId="30" fillId="29" borderId="37" xfId="0" applyNumberFormat="1" applyFont="1" applyFill="1" applyBorder="1" applyAlignment="1">
      <alignment horizontal="center"/>
    </xf>
    <xf numFmtId="171" fontId="30" fillId="29" borderId="0" xfId="0" applyNumberFormat="1" applyFont="1" applyFill="1" applyBorder="1" applyAlignment="1">
      <alignment horizontal="center"/>
    </xf>
    <xf numFmtId="171" fontId="30" fillId="29" borderId="7" xfId="0" applyNumberFormat="1" applyFont="1" applyFill="1" applyBorder="1" applyAlignment="1">
      <alignment horizontal="center"/>
    </xf>
    <xf numFmtId="0" fontId="30" fillId="37" borderId="52" xfId="0" applyFont="1" applyFill="1" applyBorder="1"/>
    <xf numFmtId="0" fontId="60" fillId="37" borderId="37" xfId="0" applyFont="1" applyFill="1" applyBorder="1"/>
    <xf numFmtId="0" fontId="60" fillId="37" borderId="40" xfId="0" applyFont="1" applyFill="1" applyBorder="1"/>
    <xf numFmtId="0" fontId="61" fillId="0" borderId="0" xfId="0" applyFont="1" applyFill="1" applyBorder="1" applyAlignment="1">
      <alignment horizontal="left"/>
    </xf>
    <xf numFmtId="3" fontId="0" fillId="0" borderId="5" xfId="0" applyNumberFormat="1" applyBorder="1"/>
    <xf numFmtId="0" fontId="5" fillId="0" borderId="35" xfId="0" applyFont="1" applyBorder="1"/>
    <xf numFmtId="0" fontId="5" fillId="0" borderId="52" xfId="0" applyFont="1" applyBorder="1" applyAlignment="1">
      <alignment horizontal="right"/>
    </xf>
    <xf numFmtId="0" fontId="0" fillId="0" borderId="0" xfId="0" applyAlignment="1">
      <alignment horizontal="left" indent="1"/>
    </xf>
    <xf numFmtId="0" fontId="26" fillId="0" borderId="0" xfId="0" applyFont="1" applyAlignment="1">
      <alignment horizontal="left" indent="1"/>
    </xf>
    <xf numFmtId="0" fontId="67" fillId="0" borderId="0" xfId="23" applyFont="1" applyBorder="1" applyAlignment="1">
      <alignment horizontal="left" vertical="center" wrapText="1" indent="1"/>
    </xf>
    <xf numFmtId="3" fontId="67" fillId="0" borderId="0" xfId="23" applyNumberFormat="1" applyFont="1" applyBorder="1" applyAlignment="1">
      <alignment horizontal="center" vertical="center" wrapText="1"/>
    </xf>
    <xf numFmtId="0" fontId="67" fillId="0" borderId="0" xfId="23" applyFont="1" applyBorder="1" applyAlignment="1">
      <alignment horizontal="center" vertical="center" wrapText="1"/>
    </xf>
    <xf numFmtId="1" fontId="0" fillId="0" borderId="0" xfId="0" applyNumberFormat="1"/>
    <xf numFmtId="0" fontId="69" fillId="27" borderId="112" xfId="23" applyFont="1" applyFill="1" applyBorder="1" applyAlignment="1">
      <alignment horizontal="left" vertical="top" wrapText="1" indent="1"/>
    </xf>
    <xf numFmtId="0" fontId="68" fillId="0" borderId="112" xfId="23" applyFont="1" applyBorder="1" applyAlignment="1">
      <alignment horizontal="left" vertical="top" wrapText="1" indent="1"/>
    </xf>
    <xf numFmtId="3" fontId="68" fillId="0" borderId="113" xfId="23" applyNumberFormat="1" applyFont="1" applyBorder="1" applyAlignment="1">
      <alignment horizontal="center" vertical="center"/>
    </xf>
    <xf numFmtId="0" fontId="69" fillId="27" borderId="115" xfId="23" applyFont="1" applyFill="1" applyBorder="1" applyAlignment="1">
      <alignment horizontal="left" vertical="top" wrapText="1" indent="1"/>
    </xf>
    <xf numFmtId="3" fontId="69" fillId="27" borderId="116" xfId="23" applyNumberFormat="1" applyFont="1" applyFill="1" applyBorder="1" applyAlignment="1">
      <alignment horizontal="center" vertical="center"/>
    </xf>
    <xf numFmtId="171" fontId="0" fillId="0" borderId="0" xfId="0" applyNumberFormat="1"/>
    <xf numFmtId="0" fontId="31" fillId="0" borderId="0" xfId="0" applyFont="1"/>
    <xf numFmtId="0" fontId="5" fillId="0" borderId="34" xfId="0" applyFont="1" applyBorder="1"/>
    <xf numFmtId="0" fontId="5" fillId="15" borderId="0" xfId="0" applyFont="1" applyFill="1" applyAlignment="1">
      <alignment horizontal="center" vertical="center" wrapText="1"/>
    </xf>
    <xf numFmtId="9" fontId="0" fillId="15" borderId="0" xfId="2" applyFont="1" applyFill="1"/>
    <xf numFmtId="0" fontId="17" fillId="0" borderId="0" xfId="0" applyFont="1"/>
    <xf numFmtId="0" fontId="17" fillId="0" borderId="69" xfId="0" applyFont="1" applyBorder="1" applyAlignment="1">
      <alignment horizontal="center" vertical="center"/>
    </xf>
    <xf numFmtId="9" fontId="87" fillId="0" borderId="0" xfId="2" applyFont="1" applyAlignment="1">
      <alignment horizontal="center" vertical="center"/>
    </xf>
    <xf numFmtId="0" fontId="12" fillId="0" borderId="0" xfId="0" applyFont="1"/>
    <xf numFmtId="3" fontId="0" fillId="0" borderId="52" xfId="0" applyNumberFormat="1" applyBorder="1"/>
    <xf numFmtId="3" fontId="0" fillId="0" borderId="11" xfId="0" applyNumberFormat="1" applyBorder="1"/>
    <xf numFmtId="9" fontId="0" fillId="0" borderId="83" xfId="2" applyFont="1" applyBorder="1"/>
    <xf numFmtId="0" fontId="104" fillId="0" borderId="0" xfId="0" applyFont="1" applyAlignment="1">
      <alignment horizontal="center" wrapText="1"/>
    </xf>
    <xf numFmtId="17" fontId="104" fillId="0" borderId="0" xfId="0" applyNumberFormat="1" applyFont="1" applyAlignment="1">
      <alignment horizontal="center" wrapText="1"/>
    </xf>
    <xf numFmtId="0" fontId="105" fillId="0" borderId="0" xfId="0" applyFont="1" applyAlignment="1">
      <alignment wrapText="1"/>
    </xf>
    <xf numFmtId="2" fontId="0" fillId="78" borderId="13" xfId="0" applyNumberFormat="1" applyFill="1" applyBorder="1" applyAlignment="1">
      <alignment wrapText="1"/>
    </xf>
    <xf numFmtId="0" fontId="103" fillId="0" borderId="127" xfId="0" applyFont="1" applyBorder="1" applyAlignment="1">
      <alignment horizontal="left" vertical="center"/>
    </xf>
    <xf numFmtId="2" fontId="0" fillId="78" borderId="42" xfId="0" applyNumberFormat="1" applyFill="1" applyBorder="1" applyAlignment="1">
      <alignment wrapText="1"/>
    </xf>
    <xf numFmtId="0" fontId="103" fillId="0" borderId="44" xfId="0" applyFont="1" applyBorder="1" applyAlignment="1">
      <alignment horizontal="left" vertical="center"/>
    </xf>
    <xf numFmtId="0" fontId="103" fillId="0" borderId="46" xfId="0" applyFont="1" applyBorder="1" applyAlignment="1">
      <alignment horizontal="left" vertical="center"/>
    </xf>
    <xf numFmtId="2" fontId="0" fillId="78" borderId="47" xfId="0" applyNumberFormat="1" applyFill="1" applyBorder="1" applyAlignment="1">
      <alignment wrapText="1"/>
    </xf>
    <xf numFmtId="0" fontId="26" fillId="0" borderId="35" xfId="0" applyFont="1" applyBorder="1" applyAlignment="1">
      <alignment horizontal="center" vertical="center" wrapText="1"/>
    </xf>
    <xf numFmtId="0" fontId="26" fillId="0" borderId="29" xfId="0" applyFont="1" applyBorder="1" applyAlignment="1">
      <alignment horizontal="center" vertical="center" wrapText="1"/>
    </xf>
    <xf numFmtId="3" fontId="8" fillId="31" borderId="26" xfId="0" applyNumberFormat="1" applyFont="1" applyFill="1" applyBorder="1"/>
    <xf numFmtId="167" fontId="8" fillId="31" borderId="26" xfId="2" applyNumberFormat="1" applyFont="1" applyFill="1" applyBorder="1" applyAlignment="1">
      <alignment horizontal="center"/>
    </xf>
    <xf numFmtId="0" fontId="93" fillId="70" borderId="0" xfId="0" applyFont="1" applyFill="1"/>
    <xf numFmtId="167" fontId="106" fillId="70" borderId="52" xfId="2" applyNumberFormat="1" applyFont="1" applyFill="1" applyBorder="1" applyAlignment="1">
      <alignment horizontal="center" vertical="center" wrapText="1"/>
    </xf>
    <xf numFmtId="167" fontId="13" fillId="3" borderId="0" xfId="0" applyNumberFormat="1" applyFont="1" applyFill="1"/>
    <xf numFmtId="167" fontId="13" fillId="70" borderId="0" xfId="15" applyNumberFormat="1" applyFont="1" applyFill="1"/>
    <xf numFmtId="171" fontId="107" fillId="16" borderId="0" xfId="0" applyNumberFormat="1" applyFont="1" applyFill="1" applyBorder="1" applyAlignment="1">
      <alignment horizontal="center"/>
    </xf>
    <xf numFmtId="0" fontId="103" fillId="0" borderId="0" xfId="0" applyFont="1" applyBorder="1" applyAlignment="1">
      <alignment horizontal="left" vertical="center"/>
    </xf>
    <xf numFmtId="2" fontId="0" fillId="78" borderId="0" xfId="0" applyNumberFormat="1" applyFill="1" applyBorder="1" applyAlignment="1">
      <alignment wrapText="1"/>
    </xf>
    <xf numFmtId="0" fontId="5" fillId="0" borderId="0" xfId="0" applyFont="1" applyAlignment="1">
      <alignment horizontal="center" vertical="center"/>
    </xf>
    <xf numFmtId="0" fontId="0" fillId="0" borderId="29" xfId="0" applyFont="1" applyBorder="1"/>
    <xf numFmtId="0" fontId="41" fillId="0" borderId="38" xfId="7" applyFont="1" applyFill="1" applyBorder="1"/>
    <xf numFmtId="0" fontId="26" fillId="0" borderId="0" xfId="0" applyFont="1" applyFill="1"/>
    <xf numFmtId="0" fontId="0" fillId="0" borderId="0" xfId="0" applyFont="1" applyFill="1"/>
    <xf numFmtId="171" fontId="6" fillId="16" borderId="0" xfId="0" applyNumberFormat="1" applyFont="1" applyFill="1" applyBorder="1" applyAlignment="1">
      <alignment horizontal="left" vertical="center"/>
    </xf>
    <xf numFmtId="171" fontId="7" fillId="16" borderId="0" xfId="0" applyNumberFormat="1" applyFont="1" applyFill="1" applyBorder="1" applyAlignment="1">
      <alignment horizontal="center" vertical="center"/>
    </xf>
    <xf numFmtId="171" fontId="6" fillId="16" borderId="0" xfId="0" applyNumberFormat="1" applyFont="1" applyFill="1" applyBorder="1" applyAlignment="1">
      <alignment horizontal="center" vertical="center"/>
    </xf>
    <xf numFmtId="3" fontId="5" fillId="0" borderId="11" xfId="0" applyNumberFormat="1" applyFont="1" applyBorder="1"/>
    <xf numFmtId="3" fontId="7" fillId="0" borderId="118" xfId="0" applyNumberFormat="1" applyFont="1" applyFill="1" applyBorder="1"/>
    <xf numFmtId="3" fontId="7" fillId="0" borderId="1" xfId="0" applyNumberFormat="1" applyFont="1" applyFill="1" applyBorder="1"/>
    <xf numFmtId="3" fontId="7" fillId="0" borderId="0" xfId="0" applyNumberFormat="1" applyFont="1" applyFill="1" applyBorder="1"/>
    <xf numFmtId="3" fontId="7" fillId="0" borderId="254" xfId="0" applyNumberFormat="1" applyFont="1" applyFill="1" applyBorder="1"/>
    <xf numFmtId="0" fontId="5" fillId="0" borderId="0" xfId="0" applyFont="1" applyAlignment="1">
      <alignment horizontal="left" wrapText="1"/>
    </xf>
    <xf numFmtId="0" fontId="5" fillId="0" borderId="36" xfId="0" applyFont="1" applyBorder="1"/>
    <xf numFmtId="0" fontId="5" fillId="0" borderId="27" xfId="0" applyFont="1" applyBorder="1"/>
    <xf numFmtId="0" fontId="5" fillId="0" borderId="13" xfId="0" applyFont="1" applyFill="1" applyBorder="1" applyAlignment="1">
      <alignment wrapText="1"/>
    </xf>
    <xf numFmtId="0" fontId="5" fillId="3" borderId="13" xfId="0" applyFont="1" applyFill="1" applyBorder="1" applyAlignment="1">
      <alignment horizontal="center" vertical="center" wrapText="1"/>
    </xf>
    <xf numFmtId="0" fontId="5" fillId="0" borderId="38" xfId="0" applyFont="1" applyBorder="1"/>
    <xf numFmtId="3" fontId="5" fillId="0" borderId="0" xfId="0" applyNumberFormat="1" applyFont="1" applyAlignment="1">
      <alignment horizontal="left" wrapText="1"/>
    </xf>
    <xf numFmtId="3" fontId="5" fillId="0" borderId="0" xfId="0" applyNumberFormat="1" applyFont="1" applyAlignment="1">
      <alignment wrapText="1"/>
    </xf>
    <xf numFmtId="3" fontId="5" fillId="5" borderId="0" xfId="0" applyNumberFormat="1" applyFont="1" applyFill="1" applyAlignment="1">
      <alignment horizontal="left" wrapText="1"/>
    </xf>
    <xf numFmtId="3" fontId="5" fillId="5" borderId="0" xfId="0" applyNumberFormat="1" applyFont="1" applyFill="1" applyAlignment="1">
      <alignment wrapText="1"/>
    </xf>
    <xf numFmtId="3" fontId="7" fillId="28" borderId="16" xfId="0" applyNumberFormat="1" applyFont="1" applyFill="1" applyBorder="1" applyAlignment="1">
      <alignment horizontal="left" wrapText="1"/>
    </xf>
    <xf numFmtId="3" fontId="5" fillId="0" borderId="52" xfId="0" applyNumberFormat="1" applyFont="1" applyBorder="1" applyAlignment="1">
      <alignment horizontal="left" wrapText="1"/>
    </xf>
    <xf numFmtId="3" fontId="5" fillId="0" borderId="11" xfId="0" applyNumberFormat="1" applyFont="1" applyBorder="1" applyAlignment="1">
      <alignment wrapText="1"/>
    </xf>
    <xf numFmtId="9" fontId="5" fillId="0" borderId="13" xfId="0" applyNumberFormat="1" applyFont="1" applyBorder="1"/>
    <xf numFmtId="9" fontId="5" fillId="5" borderId="13" xfId="0" applyNumberFormat="1" applyFont="1" applyFill="1" applyBorder="1"/>
    <xf numFmtId="3" fontId="5" fillId="80" borderId="0" xfId="0" applyNumberFormat="1" applyFont="1" applyFill="1" applyAlignment="1">
      <alignment wrapText="1"/>
    </xf>
    <xf numFmtId="9" fontId="5" fillId="80" borderId="13" xfId="0" applyNumberFormat="1" applyFont="1" applyFill="1" applyBorder="1"/>
    <xf numFmtId="9" fontId="5" fillId="80" borderId="17" xfId="0" applyNumberFormat="1" applyFont="1" applyFill="1" applyBorder="1"/>
    <xf numFmtId="167" fontId="5" fillId="0" borderId="13" xfId="2" applyNumberFormat="1" applyFont="1" applyFill="1" applyBorder="1"/>
    <xf numFmtId="167" fontId="5" fillId="0" borderId="13" xfId="2" applyNumberFormat="1" applyFont="1" applyBorder="1" applyAlignment="1">
      <alignment horizontal="center" vertical="center"/>
    </xf>
    <xf numFmtId="167" fontId="5" fillId="0" borderId="17" xfId="2" applyNumberFormat="1" applyFont="1" applyFill="1" applyBorder="1"/>
    <xf numFmtId="167" fontId="5" fillId="0" borderId="17" xfId="2" applyNumberFormat="1" applyFont="1" applyBorder="1" applyAlignment="1">
      <alignment horizontal="center" vertical="center"/>
    </xf>
    <xf numFmtId="167" fontId="5" fillId="0" borderId="50" xfId="2" applyNumberFormat="1" applyFont="1" applyFill="1" applyBorder="1"/>
    <xf numFmtId="167" fontId="5" fillId="0" borderId="50" xfId="2" applyNumberFormat="1" applyFont="1" applyBorder="1" applyAlignment="1">
      <alignment horizontal="center" vertical="center"/>
    </xf>
    <xf numFmtId="167" fontId="5" fillId="0" borderId="50" xfId="2" applyNumberFormat="1" applyFont="1" applyBorder="1"/>
    <xf numFmtId="167" fontId="5" fillId="0" borderId="51" xfId="0" applyNumberFormat="1" applyFont="1" applyBorder="1"/>
    <xf numFmtId="0" fontId="7" fillId="0" borderId="0" xfId="0" applyFont="1" applyFill="1" applyBorder="1" applyAlignment="1">
      <alignment horizontal="left"/>
    </xf>
    <xf numFmtId="0" fontId="17" fillId="0" borderId="0" xfId="0" applyFont="1" applyAlignment="1">
      <alignment wrapText="1"/>
    </xf>
    <xf numFmtId="17" fontId="5" fillId="0" borderId="0" xfId="0" applyNumberFormat="1" applyFont="1" applyAlignment="1">
      <alignment horizontal="center" wrapText="1"/>
    </xf>
    <xf numFmtId="9" fontId="5" fillId="0" borderId="13" xfId="2" applyNumberFormat="1" applyFont="1" applyBorder="1"/>
    <xf numFmtId="9" fontId="108" fillId="0" borderId="13" xfId="2" applyNumberFormat="1" applyFont="1" applyBorder="1"/>
    <xf numFmtId="9" fontId="109" fillId="0" borderId="13" xfId="2" applyNumberFormat="1" applyFont="1" applyBorder="1"/>
    <xf numFmtId="9" fontId="109" fillId="0" borderId="17" xfId="2" applyNumberFormat="1" applyFont="1" applyBorder="1"/>
    <xf numFmtId="0" fontId="28" fillId="0" borderId="0" xfId="0" applyFont="1" applyAlignment="1">
      <alignment wrapText="1"/>
    </xf>
    <xf numFmtId="17" fontId="10" fillId="0" borderId="0" xfId="0" applyNumberFormat="1" applyFont="1" applyAlignment="1">
      <alignment horizontal="center" wrapText="1"/>
    </xf>
    <xf numFmtId="0" fontId="5" fillId="0" borderId="30" xfId="0" applyFont="1" applyBorder="1" applyAlignment="1">
      <alignment horizontal="center" wrapText="1"/>
    </xf>
    <xf numFmtId="9" fontId="9" fillId="0" borderId="128" xfId="2" applyFont="1" applyBorder="1" applyAlignment="1">
      <alignment horizontal="center" vertical="center" wrapText="1"/>
    </xf>
    <xf numFmtId="9" fontId="0" fillId="0" borderId="7" xfId="2" applyFont="1" applyBorder="1"/>
    <xf numFmtId="1" fontId="5" fillId="0" borderId="29" xfId="0" applyNumberFormat="1" applyFont="1" applyBorder="1"/>
    <xf numFmtId="0" fontId="5" fillId="0" borderId="37" xfId="0" applyFont="1" applyBorder="1"/>
    <xf numFmtId="1" fontId="5" fillId="0" borderId="0" xfId="0" applyNumberFormat="1" applyFont="1" applyBorder="1"/>
    <xf numFmtId="0" fontId="5" fillId="0" borderId="52" xfId="0" applyFont="1" applyBorder="1"/>
    <xf numFmtId="1" fontId="5" fillId="0" borderId="11" xfId="0" applyNumberFormat="1" applyFont="1" applyBorder="1"/>
    <xf numFmtId="9" fontId="9" fillId="0" borderId="49" xfId="2" applyFont="1" applyBorder="1" applyAlignment="1">
      <alignment horizontal="center" vertical="center" wrapText="1"/>
    </xf>
    <xf numFmtId="0" fontId="5" fillId="0" borderId="40" xfId="0" applyFont="1" applyBorder="1" applyAlignment="1">
      <alignment horizontal="center" vertical="center"/>
    </xf>
    <xf numFmtId="0" fontId="5" fillId="0" borderId="33" xfId="0" applyFont="1" applyBorder="1" applyAlignment="1">
      <alignment horizontal="center" vertical="center"/>
    </xf>
    <xf numFmtId="0" fontId="5" fillId="0" borderId="35" xfId="0" applyFont="1" applyBorder="1" applyAlignment="1">
      <alignment horizontal="center" vertical="center"/>
    </xf>
    <xf numFmtId="0" fontId="5" fillId="0" borderId="29" xfId="0" applyFont="1" applyBorder="1" applyAlignment="1">
      <alignment horizontal="center" vertical="center"/>
    </xf>
    <xf numFmtId="0" fontId="5" fillId="0" borderId="35" xfId="0" applyFont="1" applyBorder="1" applyAlignment="1">
      <alignment horizontal="center" wrapText="1"/>
    </xf>
    <xf numFmtId="0" fontId="0" fillId="0" borderId="37" xfId="0" applyBorder="1" applyAlignment="1">
      <alignment horizontal="center"/>
    </xf>
    <xf numFmtId="0" fontId="0" fillId="0" borderId="7" xfId="0" applyBorder="1" applyAlignment="1">
      <alignment horizontal="center"/>
    </xf>
    <xf numFmtId="168" fontId="0" fillId="0" borderId="0" xfId="1" applyNumberFormat="1" applyFont="1" applyBorder="1"/>
    <xf numFmtId="3" fontId="9" fillId="0" borderId="128" xfId="0" applyNumberFormat="1" applyFont="1" applyBorder="1" applyAlignment="1">
      <alignment horizontal="left" vertical="top" wrapText="1"/>
    </xf>
    <xf numFmtId="0" fontId="0" fillId="0" borderId="52" xfId="0" applyBorder="1"/>
    <xf numFmtId="168" fontId="0" fillId="0" borderId="11" xfId="1" applyNumberFormat="1" applyFont="1" applyBorder="1"/>
    <xf numFmtId="0" fontId="0" fillId="0" borderId="52" xfId="0" applyBorder="1" applyAlignment="1">
      <alignment horizontal="center" vertical="center" wrapText="1"/>
    </xf>
    <xf numFmtId="0" fontId="0" fillId="0" borderId="11" xfId="0" applyBorder="1" applyAlignment="1">
      <alignment horizontal="center" vertical="center" wrapText="1"/>
    </xf>
    <xf numFmtId="0" fontId="0" fillId="15" borderId="52" xfId="0" applyFill="1" applyBorder="1" applyAlignment="1">
      <alignment horizontal="center" vertical="center" wrapText="1"/>
    </xf>
    <xf numFmtId="0" fontId="10" fillId="0" borderId="83" xfId="0" applyFont="1" applyBorder="1" applyAlignment="1">
      <alignment horizontal="center" vertical="center" wrapText="1"/>
    </xf>
    <xf numFmtId="9" fontId="0" fillId="15" borderId="37" xfId="2" applyFont="1" applyFill="1" applyBorder="1" applyAlignment="1">
      <alignment horizontal="center"/>
    </xf>
    <xf numFmtId="9" fontId="0" fillId="0" borderId="7" xfId="2" applyFont="1" applyBorder="1" applyAlignment="1">
      <alignment horizontal="center"/>
    </xf>
    <xf numFmtId="9" fontId="0" fillId="15" borderId="52" xfId="2" applyFont="1" applyFill="1" applyBorder="1" applyAlignment="1">
      <alignment horizontal="center"/>
    </xf>
    <xf numFmtId="9" fontId="0" fillId="0" borderId="83" xfId="2" applyFont="1" applyBorder="1" applyAlignment="1">
      <alignment horizontal="center"/>
    </xf>
    <xf numFmtId="0" fontId="12" fillId="0" borderId="0" xfId="0" applyFont="1" applyFill="1"/>
    <xf numFmtId="166" fontId="12" fillId="0" borderId="0" xfId="1" applyFont="1" applyAlignment="1">
      <alignment wrapText="1"/>
    </xf>
    <xf numFmtId="0" fontId="110" fillId="70" borderId="0" xfId="0" applyFont="1" applyFill="1" applyAlignment="1">
      <alignment horizontal="center"/>
    </xf>
    <xf numFmtId="167" fontId="93" fillId="70" borderId="0" xfId="2" applyNumberFormat="1" applyFont="1" applyFill="1" applyAlignment="1">
      <alignment horizontal="center"/>
    </xf>
    <xf numFmtId="0" fontId="112" fillId="0" borderId="0" xfId="7" applyFont="1"/>
    <xf numFmtId="0" fontId="112" fillId="0" borderId="0" xfId="7" applyFont="1" applyAlignment="1">
      <alignment horizontal="center"/>
    </xf>
    <xf numFmtId="3" fontId="112" fillId="0" borderId="0" xfId="7" applyNumberFormat="1" applyFont="1"/>
    <xf numFmtId="171" fontId="30" fillId="31" borderId="29" xfId="0" applyNumberFormat="1" applyFont="1" applyFill="1" applyBorder="1" applyAlignment="1">
      <alignment horizontal="center" vertical="center"/>
    </xf>
    <xf numFmtId="171" fontId="30" fillId="31" borderId="30" xfId="0" applyNumberFormat="1" applyFont="1" applyFill="1" applyBorder="1" applyAlignment="1">
      <alignment horizontal="center" vertical="center"/>
    </xf>
    <xf numFmtId="0" fontId="30" fillId="81" borderId="52" xfId="0" applyFont="1" applyFill="1" applyBorder="1"/>
    <xf numFmtId="0" fontId="60" fillId="81" borderId="37" xfId="0" applyFont="1" applyFill="1" applyBorder="1"/>
    <xf numFmtId="0" fontId="30" fillId="11" borderId="37" xfId="0" applyFont="1" applyFill="1" applyBorder="1" applyAlignment="1">
      <alignment horizontal="center" vertical="center"/>
    </xf>
    <xf numFmtId="171" fontId="30" fillId="31" borderId="34" xfId="0" applyNumberFormat="1" applyFont="1" applyFill="1" applyBorder="1" applyAlignment="1">
      <alignment horizontal="center" vertical="center"/>
    </xf>
    <xf numFmtId="171" fontId="30" fillId="31" borderId="67" xfId="0" applyNumberFormat="1" applyFont="1" applyFill="1" applyBorder="1" applyAlignment="1">
      <alignment horizontal="center" vertical="center"/>
    </xf>
    <xf numFmtId="0" fontId="0" fillId="0" borderId="0" xfId="0" applyFont="1" applyAlignment="1">
      <alignment horizontal="center" vertical="center"/>
    </xf>
    <xf numFmtId="0" fontId="60" fillId="16" borderId="0" xfId="0" applyFont="1" applyFill="1" applyBorder="1" applyAlignment="1">
      <alignment vertical="center"/>
    </xf>
    <xf numFmtId="171" fontId="24" fillId="16" borderId="0" xfId="0" applyNumberFormat="1" applyFont="1" applyFill="1" applyBorder="1" applyAlignment="1">
      <alignment horizontal="center" vertical="center"/>
    </xf>
    <xf numFmtId="171" fontId="64" fillId="16" borderId="0" xfId="0" applyNumberFormat="1" applyFont="1" applyFill="1" applyBorder="1" applyAlignment="1">
      <alignment horizontal="center" vertical="center"/>
    </xf>
    <xf numFmtId="171" fontId="24" fillId="16" borderId="0" xfId="0" applyNumberFormat="1" applyFont="1" applyFill="1" applyBorder="1" applyAlignment="1">
      <alignment horizontal="center" vertical="center" wrapText="1"/>
    </xf>
    <xf numFmtId="0" fontId="0" fillId="16" borderId="0" xfId="0" applyFont="1" applyFill="1" applyAlignment="1">
      <alignment vertical="center"/>
    </xf>
    <xf numFmtId="0" fontId="0" fillId="0" borderId="41" xfId="0" applyFont="1" applyFill="1" applyBorder="1" applyAlignment="1">
      <alignment vertical="center"/>
    </xf>
    <xf numFmtId="167" fontId="48" fillId="70" borderId="0" xfId="2" applyNumberFormat="1" applyFont="1" applyFill="1" applyAlignment="1">
      <alignment horizontal="center"/>
    </xf>
    <xf numFmtId="0" fontId="41" fillId="0" borderId="0" xfId="7" applyFont="1" applyFill="1" applyBorder="1"/>
    <xf numFmtId="0" fontId="13" fillId="0" borderId="0" xfId="7" applyFont="1" applyFill="1" applyBorder="1"/>
    <xf numFmtId="0" fontId="41" fillId="0" borderId="11" xfId="7" applyFont="1" applyFill="1" applyBorder="1" applyAlignment="1">
      <alignment horizontal="left"/>
    </xf>
    <xf numFmtId="0" fontId="13" fillId="10" borderId="0" xfId="7" applyFont="1" applyFill="1" applyBorder="1"/>
    <xf numFmtId="0" fontId="41" fillId="0" borderId="0" xfId="0" applyFont="1" applyFill="1" applyBorder="1"/>
    <xf numFmtId="0" fontId="13" fillId="0" borderId="0" xfId="0" applyFont="1" applyFill="1" applyBorder="1"/>
    <xf numFmtId="0" fontId="13" fillId="10" borderId="0" xfId="0" applyFont="1" applyFill="1" applyBorder="1"/>
    <xf numFmtId="0" fontId="41" fillId="0" borderId="11" xfId="0" applyFont="1" applyFill="1" applyBorder="1" applyAlignment="1">
      <alignment horizontal="left"/>
    </xf>
    <xf numFmtId="0" fontId="13" fillId="0" borderId="0" xfId="0" applyFont="1" applyFill="1" applyBorder="1" applyAlignment="1">
      <alignment horizontal="left"/>
    </xf>
    <xf numFmtId="0" fontId="13" fillId="27" borderId="33" xfId="0" applyFont="1" applyFill="1" applyBorder="1" applyAlignment="1">
      <alignment horizontal="left"/>
    </xf>
    <xf numFmtId="167" fontId="106" fillId="14" borderId="52" xfId="2" applyNumberFormat="1" applyFont="1" applyFill="1" applyBorder="1" applyAlignment="1">
      <alignment horizontal="center" vertical="center" wrapText="1"/>
    </xf>
    <xf numFmtId="0" fontId="41" fillId="0" borderId="0" xfId="7" applyFont="1" applyFill="1"/>
    <xf numFmtId="0" fontId="41" fillId="0" borderId="0" xfId="7" applyFont="1" applyFill="1" applyAlignment="1">
      <alignment horizontal="center"/>
    </xf>
    <xf numFmtId="0" fontId="41" fillId="0" borderId="0" xfId="7" applyFont="1" applyFill="1" applyAlignment="1">
      <alignment horizontal="center" wrapText="1"/>
    </xf>
    <xf numFmtId="172" fontId="13" fillId="0" borderId="0" xfId="7" applyNumberFormat="1" applyFont="1" applyFill="1"/>
    <xf numFmtId="0" fontId="41" fillId="0" borderId="0" xfId="7" applyFont="1" applyFill="1" applyAlignment="1">
      <alignment horizontal="right"/>
    </xf>
    <xf numFmtId="166" fontId="41" fillId="0" borderId="0" xfId="1" applyFont="1" applyFill="1"/>
    <xf numFmtId="0" fontId="41" fillId="0" borderId="36" xfId="7" applyFont="1" applyFill="1" applyBorder="1" applyAlignment="1">
      <alignment horizontal="right"/>
    </xf>
    <xf numFmtId="0" fontId="13" fillId="0" borderId="27" xfId="7" applyFont="1" applyFill="1" applyBorder="1"/>
    <xf numFmtId="167" fontId="13" fillId="0" borderId="27" xfId="2" applyNumberFormat="1" applyFont="1" applyFill="1" applyBorder="1"/>
    <xf numFmtId="9" fontId="13" fillId="0" borderId="0" xfId="2" applyFont="1" applyFill="1" applyBorder="1"/>
    <xf numFmtId="0" fontId="13" fillId="0" borderId="34" xfId="7" applyFont="1" applyFill="1" applyBorder="1"/>
    <xf numFmtId="9" fontId="13" fillId="0" borderId="34" xfId="2" applyFont="1" applyFill="1" applyBorder="1"/>
    <xf numFmtId="3" fontId="13" fillId="0" borderId="0" xfId="7" applyNumberFormat="1" applyFont="1" applyFill="1"/>
    <xf numFmtId="167" fontId="13" fillId="0" borderId="0" xfId="15" applyNumberFormat="1" applyFont="1" applyFill="1"/>
    <xf numFmtId="9" fontId="13" fillId="0" borderId="0" xfId="15" applyFont="1" applyFill="1"/>
    <xf numFmtId="0" fontId="13" fillId="0" borderId="0" xfId="0" applyFont="1" applyFill="1"/>
    <xf numFmtId="0" fontId="41" fillId="0" borderId="0" xfId="7" applyFont="1" applyFill="1" applyAlignment="1">
      <alignment horizontal="center" vertical="center"/>
    </xf>
    <xf numFmtId="0" fontId="113" fillId="0" borderId="0" xfId="7" applyFont="1"/>
    <xf numFmtId="0" fontId="114" fillId="0" borderId="0" xfId="7" applyFont="1" applyAlignment="1">
      <alignment horizontal="center"/>
    </xf>
    <xf numFmtId="0" fontId="115" fillId="0" borderId="0" xfId="7" applyFont="1" applyAlignment="1">
      <alignment horizontal="center" vertical="center" wrapText="1"/>
    </xf>
    <xf numFmtId="0" fontId="116" fillId="0" borderId="0" xfId="7" applyFont="1" applyAlignment="1">
      <alignment horizontal="center" vertical="center"/>
    </xf>
    <xf numFmtId="0" fontId="8" fillId="0" borderId="24" xfId="0" applyFont="1" applyBorder="1" applyAlignment="1">
      <alignment horizontal="left"/>
    </xf>
    <xf numFmtId="0" fontId="26" fillId="0" borderId="0" xfId="0" applyFont="1" applyAlignment="1">
      <alignment horizontal="center"/>
    </xf>
    <xf numFmtId="0" fontId="0" fillId="0" borderId="0" xfId="0" applyFont="1" applyAlignment="1">
      <alignment horizontal="right"/>
    </xf>
    <xf numFmtId="0" fontId="0" fillId="12" borderId="0" xfId="0" applyFont="1" applyFill="1"/>
    <xf numFmtId="0" fontId="0" fillId="0" borderId="0" xfId="0" applyFont="1" applyAlignment="1">
      <alignment horizontal="center"/>
    </xf>
    <xf numFmtId="9" fontId="5" fillId="0" borderId="0" xfId="2" applyFont="1" applyFill="1" applyAlignment="1">
      <alignment horizontal="center" vertical="center"/>
    </xf>
    <xf numFmtId="0" fontId="5" fillId="0" borderId="0" xfId="0" applyFont="1" applyFill="1" applyAlignment="1">
      <alignment horizontal="center" vertical="center"/>
    </xf>
    <xf numFmtId="0" fontId="5" fillId="0" borderId="0" xfId="0" applyFont="1" applyFill="1" applyBorder="1" applyAlignment="1">
      <alignment horizontal="left" vertical="center" wrapText="1"/>
    </xf>
    <xf numFmtId="0" fontId="17" fillId="0" borderId="0" xfId="0" applyFont="1" applyFill="1" applyAlignment="1">
      <alignment horizontal="center" vertical="center" wrapText="1"/>
    </xf>
    <xf numFmtId="0" fontId="5" fillId="0" borderId="0" xfId="0" applyFont="1" applyFill="1" applyAlignment="1">
      <alignment horizontal="left" vertical="center" wrapText="1"/>
    </xf>
    <xf numFmtId="0" fontId="5" fillId="0" borderId="0" xfId="0" applyFont="1" applyFill="1"/>
    <xf numFmtId="0" fontId="17" fillId="0" borderId="0" xfId="0" applyFont="1" applyFill="1"/>
    <xf numFmtId="0" fontId="17" fillId="0" borderId="0" xfId="0" applyFont="1" applyFill="1" applyAlignment="1">
      <alignment horizontal="left" vertical="center" wrapText="1"/>
    </xf>
    <xf numFmtId="0" fontId="6" fillId="0" borderId="255" xfId="0" applyFont="1" applyBorder="1" applyAlignment="1">
      <alignment horizontal="left" vertical="center" wrapText="1"/>
    </xf>
    <xf numFmtId="0" fontId="17" fillId="0" borderId="255" xfId="0" applyFont="1" applyBorder="1" applyAlignment="1">
      <alignment horizontal="left" vertical="center" wrapText="1"/>
    </xf>
    <xf numFmtId="0" fontId="0" fillId="0" borderId="0" xfId="0" applyAlignment="1">
      <alignment horizontal="left" indent="2"/>
    </xf>
    <xf numFmtId="0" fontId="26" fillId="0" borderId="0" xfId="0" applyFont="1" applyFill="1" applyAlignment="1">
      <alignment horizontal="center"/>
    </xf>
    <xf numFmtId="0" fontId="5" fillId="0" borderId="0" xfId="0" applyFont="1" applyFill="1" applyAlignment="1">
      <alignment wrapText="1"/>
    </xf>
    <xf numFmtId="0" fontId="17" fillId="0" borderId="49" xfId="0" applyFont="1" applyFill="1" applyBorder="1" applyAlignment="1">
      <alignment horizontal="center" vertical="center"/>
    </xf>
    <xf numFmtId="0" fontId="17" fillId="0" borderId="50" xfId="0" applyFont="1" applyFill="1" applyBorder="1" applyAlignment="1">
      <alignment horizontal="center" vertical="center"/>
    </xf>
    <xf numFmtId="0" fontId="17" fillId="0" borderId="51" xfId="0" applyFont="1" applyFill="1" applyBorder="1" applyAlignment="1">
      <alignment horizontal="center" vertical="center"/>
    </xf>
    <xf numFmtId="1" fontId="5" fillId="0" borderId="49" xfId="0" applyNumberFormat="1" applyFont="1" applyFill="1" applyBorder="1" applyAlignment="1">
      <alignment horizontal="center" vertical="center"/>
    </xf>
    <xf numFmtId="9" fontId="5" fillId="0" borderId="0" xfId="2" applyFont="1" applyFill="1"/>
    <xf numFmtId="0" fontId="16" fillId="0" borderId="257" xfId="0" applyFont="1" applyFill="1" applyBorder="1" applyAlignment="1">
      <alignment horizontal="center" vertical="center"/>
    </xf>
    <xf numFmtId="168" fontId="5" fillId="0" borderId="258" xfId="1" applyNumberFormat="1" applyFont="1" applyFill="1" applyBorder="1" applyAlignment="1">
      <alignment horizontal="center" vertical="center"/>
    </xf>
    <xf numFmtId="0" fontId="10" fillId="0" borderId="0" xfId="0" applyFont="1" applyFill="1"/>
    <xf numFmtId="0" fontId="10" fillId="0" borderId="87" xfId="0" applyFont="1" applyFill="1" applyBorder="1" applyAlignment="1">
      <alignment horizontal="center" vertical="center"/>
    </xf>
    <xf numFmtId="0" fontId="17"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Border="1" applyAlignment="1">
      <alignment vertical="center" wrapText="1"/>
    </xf>
    <xf numFmtId="167" fontId="5" fillId="0" borderId="0" xfId="2" applyNumberFormat="1" applyFont="1" applyFill="1" applyBorder="1" applyAlignment="1">
      <alignment vertical="center" wrapText="1"/>
    </xf>
    <xf numFmtId="167" fontId="0" fillId="0" borderId="0" xfId="2" applyNumberFormat="1" applyFont="1" applyFill="1" applyBorder="1" applyAlignment="1">
      <alignment vertical="center" wrapText="1"/>
    </xf>
    <xf numFmtId="0" fontId="119" fillId="0" borderId="0" xfId="4" applyFont="1" applyFill="1" applyBorder="1" applyAlignment="1" applyProtection="1">
      <alignment horizontal="left" vertical="center" wrapText="1"/>
    </xf>
    <xf numFmtId="0" fontId="21" fillId="0" borderId="0" xfId="4" applyFill="1" applyBorder="1" applyAlignment="1" applyProtection="1">
      <alignment horizontal="left" vertical="center" wrapText="1"/>
    </xf>
    <xf numFmtId="0" fontId="17" fillId="0" borderId="69" xfId="0" applyFont="1" applyFill="1" applyBorder="1" applyAlignment="1">
      <alignment horizontal="center" vertical="center"/>
    </xf>
    <xf numFmtId="1" fontId="10" fillId="0" borderId="13" xfId="0" applyNumberFormat="1" applyFont="1" applyFill="1" applyBorder="1" applyAlignment="1">
      <alignment horizontal="center" vertical="top"/>
    </xf>
    <xf numFmtId="0" fontId="10" fillId="0" borderId="13" xfId="0" applyFont="1" applyFill="1" applyBorder="1" applyAlignment="1">
      <alignment horizontal="center" vertical="top"/>
    </xf>
    <xf numFmtId="0" fontId="20" fillId="0" borderId="51" xfId="0" applyFont="1" applyBorder="1" applyAlignment="1">
      <alignment horizontal="center" vertical="center" wrapText="1"/>
    </xf>
    <xf numFmtId="9" fontId="12" fillId="0" borderId="55" xfId="0" applyNumberFormat="1" applyFont="1" applyBorder="1" applyAlignment="1">
      <alignment horizontal="center" vertical="center"/>
    </xf>
    <xf numFmtId="10" fontId="20" fillId="0" borderId="51" xfId="0" applyNumberFormat="1" applyFont="1" applyBorder="1" applyAlignment="1">
      <alignment horizontal="center" vertical="center"/>
    </xf>
    <xf numFmtId="0" fontId="20" fillId="0" borderId="51" xfId="0" applyFont="1" applyFill="1" applyBorder="1" applyAlignment="1">
      <alignment horizontal="center" vertical="center" wrapText="1"/>
    </xf>
    <xf numFmtId="9" fontId="12" fillId="0" borderId="55" xfId="0" applyNumberFormat="1" applyFont="1" applyFill="1" applyBorder="1" applyAlignment="1">
      <alignment horizontal="center" vertical="center"/>
    </xf>
    <xf numFmtId="9" fontId="12" fillId="0" borderId="0" xfId="2" applyFont="1" applyFill="1"/>
    <xf numFmtId="10" fontId="20" fillId="0" borderId="51" xfId="0" applyNumberFormat="1" applyFont="1" applyFill="1" applyBorder="1" applyAlignment="1">
      <alignment horizontal="center" vertical="center"/>
    </xf>
    <xf numFmtId="0" fontId="61" fillId="0" borderId="0" xfId="0" applyFont="1" applyFill="1"/>
    <xf numFmtId="0" fontId="97" fillId="0" borderId="0" xfId="0" applyFont="1" applyFill="1"/>
    <xf numFmtId="0" fontId="7" fillId="0" borderId="0" xfId="0" applyFont="1" applyFill="1"/>
    <xf numFmtId="0" fontId="30" fillId="0" borderId="0" xfId="0" applyFont="1" applyFill="1"/>
    <xf numFmtId="0" fontId="11" fillId="0" borderId="0" xfId="0" applyFont="1" applyFill="1"/>
    <xf numFmtId="0" fontId="120" fillId="0" borderId="0" xfId="0" applyFont="1" applyFill="1" applyAlignment="1">
      <alignment horizontal="center" vertical="center" wrapText="1"/>
    </xf>
    <xf numFmtId="0" fontId="120" fillId="0" borderId="0" xfId="0" applyFont="1" applyFill="1" applyAlignment="1">
      <alignment horizontal="center" vertical="center"/>
    </xf>
    <xf numFmtId="0" fontId="30" fillId="0" borderId="0" xfId="0" applyFont="1" applyFill="1" applyAlignment="1">
      <alignment vertical="center"/>
    </xf>
    <xf numFmtId="3" fontId="30" fillId="0" borderId="0" xfId="0" applyNumberFormat="1" applyFont="1" applyFill="1" applyAlignment="1"/>
    <xf numFmtId="2" fontId="30" fillId="0" borderId="0" xfId="0" applyNumberFormat="1" applyFont="1" applyFill="1" applyAlignment="1"/>
    <xf numFmtId="2" fontId="30" fillId="0" borderId="0" xfId="0" applyNumberFormat="1" applyFont="1" applyFill="1"/>
    <xf numFmtId="0" fontId="61" fillId="0" borderId="0" xfId="0" applyFont="1" applyFill="1" applyAlignment="1">
      <alignment horizontal="left" vertical="center" indent="2"/>
    </xf>
    <xf numFmtId="3" fontId="30" fillId="0" borderId="0" xfId="0" applyNumberFormat="1" applyFont="1" applyFill="1" applyAlignment="1">
      <alignment horizontal="right"/>
    </xf>
    <xf numFmtId="3" fontId="61" fillId="0" borderId="0" xfId="0" applyNumberFormat="1" applyFont="1" applyFill="1" applyAlignment="1">
      <alignment horizontal="right"/>
    </xf>
    <xf numFmtId="2" fontId="61" fillId="0" borderId="0" xfId="0" applyNumberFormat="1" applyFont="1" applyFill="1" applyAlignment="1">
      <alignment horizontal="right"/>
    </xf>
    <xf numFmtId="3" fontId="30" fillId="0" borderId="0" xfId="0" applyNumberFormat="1" applyFont="1" applyFill="1" applyAlignment="1">
      <alignment horizontal="right" vertical="center" wrapText="1"/>
    </xf>
    <xf numFmtId="3" fontId="61" fillId="0" borderId="0" xfId="0" applyNumberFormat="1" applyFont="1" applyFill="1" applyAlignment="1">
      <alignment horizontal="right" vertical="center" wrapText="1"/>
    </xf>
    <xf numFmtId="2" fontId="61" fillId="0" borderId="0" xfId="0" applyNumberFormat="1" applyFont="1" applyFill="1" applyAlignment="1">
      <alignment horizontal="right" vertical="center" wrapText="1"/>
    </xf>
    <xf numFmtId="2" fontId="30" fillId="0" borderId="0" xfId="0" applyNumberFormat="1" applyFont="1" applyFill="1" applyAlignment="1">
      <alignment horizontal="right" vertical="center" wrapText="1"/>
    </xf>
    <xf numFmtId="0" fontId="92" fillId="0" borderId="12" xfId="0" applyFont="1" applyFill="1" applyBorder="1" applyAlignment="1"/>
    <xf numFmtId="0" fontId="92" fillId="0" borderId="0" xfId="0" applyFont="1" applyFill="1" applyBorder="1" applyAlignment="1"/>
    <xf numFmtId="0" fontId="92" fillId="0" borderId="3" xfId="0" applyFont="1" applyFill="1" applyBorder="1" applyAlignment="1">
      <alignment horizontal="left"/>
    </xf>
    <xf numFmtId="0" fontId="92" fillId="0" borderId="0" xfId="0" applyFont="1" applyFill="1" applyBorder="1" applyAlignment="1">
      <alignment horizontal="left"/>
    </xf>
    <xf numFmtId="0" fontId="70" fillId="0" borderId="0" xfId="0" applyFont="1" applyFill="1" applyBorder="1" applyAlignment="1">
      <alignment horizontal="left"/>
    </xf>
    <xf numFmtId="0" fontId="91" fillId="0" borderId="50" xfId="0" applyFont="1" applyFill="1" applyBorder="1" applyAlignment="1">
      <alignment horizontal="center" vertical="center" wrapText="1"/>
    </xf>
    <xf numFmtId="3" fontId="19" fillId="0" borderId="0" xfId="0" applyNumberFormat="1" applyFont="1" applyFill="1"/>
    <xf numFmtId="0" fontId="19" fillId="0" borderId="0" xfId="0" applyFont="1" applyFill="1" applyAlignment="1">
      <alignment horizontal="center"/>
    </xf>
    <xf numFmtId="3" fontId="61" fillId="0" borderId="0" xfId="0" applyNumberFormat="1" applyFont="1" applyFill="1"/>
    <xf numFmtId="0" fontId="61" fillId="0" borderId="0" xfId="0" applyFont="1" applyFill="1" applyAlignment="1">
      <alignment horizontal="center"/>
    </xf>
    <xf numFmtId="0" fontId="120" fillId="0" borderId="0" xfId="0" applyFont="1" applyFill="1"/>
    <xf numFmtId="0" fontId="19" fillId="0" borderId="0" xfId="0" applyFont="1" applyFill="1"/>
    <xf numFmtId="3" fontId="91" fillId="0" borderId="52" xfId="0" applyNumberFormat="1" applyFont="1" applyFill="1" applyBorder="1" applyAlignment="1">
      <alignment horizontal="center" vertical="center" wrapText="1"/>
    </xf>
    <xf numFmtId="3" fontId="91" fillId="0" borderId="49" xfId="0" applyNumberFormat="1" applyFont="1" applyFill="1" applyBorder="1" applyAlignment="1">
      <alignment horizontal="center" vertical="center" wrapText="1"/>
    </xf>
    <xf numFmtId="0" fontId="9" fillId="0" borderId="112" xfId="23" applyFont="1" applyFill="1" applyBorder="1" applyAlignment="1">
      <alignment horizontal="left" vertical="top" wrapText="1" indent="1"/>
    </xf>
    <xf numFmtId="167" fontId="9" fillId="0" borderId="112" xfId="2" applyNumberFormat="1" applyFont="1" applyFill="1" applyBorder="1" applyAlignment="1">
      <alignment horizontal="center" vertical="top" wrapText="1"/>
    </xf>
    <xf numFmtId="3" fontId="9" fillId="0" borderId="113" xfId="23" applyNumberFormat="1" applyFont="1" applyFill="1" applyBorder="1" applyAlignment="1">
      <alignment horizontal="center" vertical="center"/>
    </xf>
    <xf numFmtId="0" fontId="9" fillId="0" borderId="115" xfId="23" applyFont="1" applyFill="1" applyBorder="1" applyAlignment="1">
      <alignment horizontal="left" vertical="top" wrapText="1" indent="1"/>
    </xf>
    <xf numFmtId="167" fontId="9" fillId="0" borderId="115" xfId="2" applyNumberFormat="1" applyFont="1" applyFill="1" applyBorder="1" applyAlignment="1">
      <alignment horizontal="center" vertical="top" wrapText="1"/>
    </xf>
    <xf numFmtId="3" fontId="9" fillId="0" borderId="116" xfId="23" applyNumberFormat="1" applyFont="1" applyFill="1" applyBorder="1" applyAlignment="1">
      <alignment horizontal="center" vertical="center"/>
    </xf>
    <xf numFmtId="167" fontId="121" fillId="27" borderId="7" xfId="0" applyNumberFormat="1" applyFont="1" applyFill="1" applyBorder="1"/>
    <xf numFmtId="167" fontId="121" fillId="27" borderId="7" xfId="15" applyNumberFormat="1" applyFont="1" applyFill="1" applyBorder="1"/>
    <xf numFmtId="3" fontId="117" fillId="16" borderId="0" xfId="0" applyNumberFormat="1" applyFont="1" applyFill="1" applyBorder="1"/>
    <xf numFmtId="167" fontId="0" fillId="0" borderId="0" xfId="0" applyNumberFormat="1" applyFont="1"/>
    <xf numFmtId="0" fontId="61" fillId="0" borderId="37" xfId="0" applyFont="1" applyFill="1" applyBorder="1" applyAlignment="1">
      <alignment horizontal="center" vertical="center" wrapText="1"/>
    </xf>
    <xf numFmtId="0" fontId="61" fillId="0" borderId="0" xfId="0" applyFont="1" applyFill="1" applyBorder="1" applyAlignment="1">
      <alignment horizontal="center" vertical="center" wrapText="1"/>
    </xf>
    <xf numFmtId="171" fontId="30" fillId="38" borderId="37" xfId="0" applyNumberFormat="1" applyFont="1" applyFill="1" applyBorder="1" applyAlignment="1">
      <alignment horizontal="center"/>
    </xf>
    <xf numFmtId="171" fontId="30" fillId="38" borderId="0" xfId="0" applyNumberFormat="1" applyFont="1" applyFill="1" applyBorder="1" applyAlignment="1">
      <alignment horizontal="center"/>
    </xf>
    <xf numFmtId="0" fontId="60" fillId="81" borderId="40" xfId="0" applyFont="1" applyFill="1" applyBorder="1"/>
    <xf numFmtId="0" fontId="0" fillId="0" borderId="0" xfId="0" applyAlignment="1">
      <alignment horizontal="center"/>
    </xf>
    <xf numFmtId="0" fontId="97" fillId="0" borderId="52" xfId="0" applyFont="1" applyBorder="1" applyAlignment="1">
      <alignment horizontal="right"/>
    </xf>
    <xf numFmtId="0" fontId="98" fillId="0" borderId="0" xfId="0" applyFont="1"/>
    <xf numFmtId="0" fontId="96" fillId="0" borderId="0" xfId="0" applyFont="1" applyFill="1"/>
    <xf numFmtId="0" fontId="98" fillId="0" borderId="0" xfId="0" applyFont="1" applyFill="1"/>
    <xf numFmtId="166" fontId="123" fillId="0" borderId="0" xfId="1" applyFont="1" applyFill="1" applyAlignment="1">
      <alignment horizontal="center"/>
    </xf>
    <xf numFmtId="0" fontId="96" fillId="0" borderId="52" xfId="0" applyFont="1" applyBorder="1" applyAlignment="1">
      <alignment horizontal="center" vertical="center" wrapText="1"/>
    </xf>
    <xf numFmtId="0" fontId="97" fillId="7" borderId="11" xfId="0" applyFont="1" applyFill="1" applyBorder="1" applyAlignment="1">
      <alignment horizontal="center" vertical="center" wrapText="1"/>
    </xf>
    <xf numFmtId="0" fontId="96" fillId="0" borderId="0" xfId="0" applyFont="1" applyFill="1" applyAlignment="1">
      <alignment vertical="center" wrapText="1"/>
    </xf>
    <xf numFmtId="0" fontId="97" fillId="0" borderId="23" xfId="0" applyFont="1" applyBorder="1" applyAlignment="1">
      <alignment horizontal="center"/>
    </xf>
    <xf numFmtId="3" fontId="98" fillId="0" borderId="0" xfId="0" applyNumberFormat="1" applyFont="1" applyBorder="1"/>
    <xf numFmtId="3" fontId="122" fillId="70" borderId="11" xfId="0" applyNumberFormat="1" applyFont="1" applyFill="1" applyBorder="1"/>
    <xf numFmtId="168" fontId="0" fillId="13" borderId="0" xfId="1" applyNumberFormat="1" applyFont="1" applyFill="1"/>
    <xf numFmtId="0" fontId="5" fillId="13" borderId="0" xfId="0" applyFont="1" applyFill="1"/>
    <xf numFmtId="0" fontId="5" fillId="13" borderId="27" xfId="0" applyFont="1" applyFill="1" applyBorder="1"/>
    <xf numFmtId="0" fontId="5" fillId="13" borderId="34" xfId="0" applyFont="1" applyFill="1" applyBorder="1"/>
    <xf numFmtId="3" fontId="7" fillId="13" borderId="118" xfId="0" applyNumberFormat="1" applyFont="1" applyFill="1" applyBorder="1"/>
    <xf numFmtId="3" fontId="7" fillId="13" borderId="1" xfId="0" applyNumberFormat="1" applyFont="1" applyFill="1" applyBorder="1"/>
    <xf numFmtId="3" fontId="7" fillId="13" borderId="0" xfId="0" applyNumberFormat="1" applyFont="1" applyFill="1" applyBorder="1"/>
    <xf numFmtId="3" fontId="5" fillId="13" borderId="0" xfId="0" applyNumberFormat="1" applyFont="1" applyFill="1"/>
    <xf numFmtId="3" fontId="7" fillId="13" borderId="254" xfId="0" applyNumberFormat="1" applyFont="1" applyFill="1" applyBorder="1"/>
    <xf numFmtId="3" fontId="5" fillId="13" borderId="11" xfId="0" applyNumberFormat="1" applyFont="1" applyFill="1" applyBorder="1"/>
    <xf numFmtId="0" fontId="0" fillId="13" borderId="0" xfId="0" applyFill="1" applyAlignment="1">
      <alignment horizontal="center" vertical="center"/>
    </xf>
    <xf numFmtId="0" fontId="92" fillId="13" borderId="12" xfId="0" applyFont="1" applyFill="1" applyBorder="1" applyAlignment="1"/>
    <xf numFmtId="0" fontId="92" fillId="13" borderId="0" xfId="0" applyFont="1" applyFill="1" applyBorder="1" applyAlignment="1"/>
    <xf numFmtId="0" fontId="19" fillId="13" borderId="0" xfId="0" applyFont="1" applyFill="1" applyAlignment="1">
      <alignment horizontal="center"/>
    </xf>
    <xf numFmtId="0" fontId="66" fillId="13" borderId="12" xfId="0" applyFont="1" applyFill="1" applyBorder="1" applyAlignment="1"/>
    <xf numFmtId="0" fontId="66" fillId="13" borderId="0" xfId="0" applyFont="1" applyFill="1" applyBorder="1" applyAlignment="1"/>
    <xf numFmtId="0" fontId="61" fillId="13" borderId="0" xfId="0" applyFont="1" applyFill="1" applyAlignment="1">
      <alignment horizontal="center"/>
    </xf>
    <xf numFmtId="0" fontId="61" fillId="13" borderId="0" xfId="0" applyFont="1" applyFill="1"/>
    <xf numFmtId="0" fontId="97" fillId="13" borderId="0" xfId="0" applyFont="1" applyFill="1"/>
    <xf numFmtId="3" fontId="0" fillId="13" borderId="0" xfId="0" applyNumberFormat="1" applyFill="1"/>
    <xf numFmtId="3" fontId="0" fillId="13" borderId="5" xfId="0" applyNumberFormat="1" applyFill="1" applyBorder="1"/>
    <xf numFmtId="9" fontId="0" fillId="13" borderId="0" xfId="2" applyFont="1" applyFill="1"/>
    <xf numFmtId="0" fontId="5" fillId="13" borderId="0" xfId="0" applyFont="1" applyFill="1" applyAlignment="1">
      <alignment horizontal="center" vertical="center" wrapText="1"/>
    </xf>
    <xf numFmtId="168" fontId="5" fillId="13" borderId="0" xfId="1" applyNumberFormat="1" applyFont="1" applyFill="1"/>
    <xf numFmtId="3" fontId="8" fillId="13" borderId="0" xfId="0" applyNumberFormat="1" applyFont="1" applyFill="1" applyAlignment="1">
      <alignment vertical="center"/>
    </xf>
    <xf numFmtId="3" fontId="2" fillId="13" borderId="0" xfId="0" applyNumberFormat="1" applyFont="1" applyFill="1" applyAlignment="1">
      <alignment vertical="center"/>
    </xf>
    <xf numFmtId="3" fontId="9" fillId="13" borderId="15" xfId="0" applyNumberFormat="1" applyFont="1" applyFill="1" applyBorder="1" applyAlignment="1">
      <alignment horizontal="center" vertical="center" wrapText="1"/>
    </xf>
    <xf numFmtId="3" fontId="2" fillId="13" borderId="10" xfId="0" applyNumberFormat="1" applyFont="1" applyFill="1" applyBorder="1" applyAlignment="1">
      <alignment horizontal="center" vertical="center"/>
    </xf>
    <xf numFmtId="3" fontId="9" fillId="13" borderId="10" xfId="0" applyNumberFormat="1" applyFont="1" applyFill="1" applyBorder="1" applyAlignment="1">
      <alignment vertical="center"/>
    </xf>
    <xf numFmtId="3" fontId="2" fillId="13" borderId="10" xfId="0" applyNumberFormat="1" applyFont="1" applyFill="1" applyBorder="1" applyAlignment="1">
      <alignment vertical="center"/>
    </xf>
    <xf numFmtId="3" fontId="9" fillId="13" borderId="22" xfId="0" applyNumberFormat="1" applyFont="1" applyFill="1" applyBorder="1" applyAlignment="1">
      <alignment vertical="center"/>
    </xf>
    <xf numFmtId="0" fontId="5" fillId="13" borderId="30" xfId="0" applyFont="1" applyFill="1" applyBorder="1" applyAlignment="1">
      <alignment horizontal="center" vertical="center"/>
    </xf>
    <xf numFmtId="0" fontId="5" fillId="13" borderId="9" xfId="0" applyFont="1" applyFill="1" applyBorder="1" applyAlignment="1">
      <alignment horizontal="center" vertical="center"/>
    </xf>
    <xf numFmtId="1" fontId="5" fillId="13" borderId="30" xfId="0" applyNumberFormat="1" applyFont="1" applyFill="1" applyBorder="1"/>
    <xf numFmtId="1" fontId="5" fillId="13" borderId="7" xfId="0" applyNumberFormat="1" applyFont="1" applyFill="1" applyBorder="1"/>
    <xf numFmtId="1" fontId="5" fillId="13" borderId="83" xfId="0" applyNumberFormat="1" applyFont="1" applyFill="1" applyBorder="1"/>
    <xf numFmtId="0" fontId="10" fillId="13" borderId="0" xfId="0" applyFont="1" applyFill="1"/>
    <xf numFmtId="0" fontId="10" fillId="13" borderId="0" xfId="0" applyFont="1" applyFill="1" applyAlignment="1">
      <alignment horizontal="center" wrapText="1"/>
    </xf>
    <xf numFmtId="3" fontId="9" fillId="13" borderId="10" xfId="0" applyNumberFormat="1" applyFont="1" applyFill="1" applyBorder="1" applyAlignment="1">
      <alignment horizontal="right" vertical="top"/>
    </xf>
    <xf numFmtId="0" fontId="0" fillId="13" borderId="51" xfId="0" applyFill="1" applyBorder="1" applyAlignment="1">
      <alignment horizontal="center" vertical="center" wrapText="1"/>
    </xf>
    <xf numFmtId="3" fontId="9" fillId="13" borderId="89" xfId="0" applyNumberFormat="1" applyFont="1" applyFill="1" applyBorder="1" applyAlignment="1">
      <alignment vertical="center"/>
    </xf>
    <xf numFmtId="168" fontId="0" fillId="13" borderId="89" xfId="1" applyNumberFormat="1" applyFont="1" applyFill="1" applyBorder="1"/>
    <xf numFmtId="168" fontId="0" fillId="13" borderId="51" xfId="1" applyNumberFormat="1" applyFont="1" applyFill="1" applyBorder="1"/>
    <xf numFmtId="0" fontId="13" fillId="0" borderId="0" xfId="0" applyFont="1" applyAlignment="1">
      <alignment horizontal="center"/>
    </xf>
    <xf numFmtId="0" fontId="44" fillId="27" borderId="0" xfId="0" applyFont="1" applyFill="1"/>
    <xf numFmtId="3" fontId="45" fillId="27" borderId="0" xfId="0" applyNumberFormat="1" applyFont="1" applyFill="1"/>
    <xf numFmtId="0" fontId="45" fillId="27" borderId="0" xfId="0" applyFont="1" applyFill="1"/>
    <xf numFmtId="0" fontId="124" fillId="16" borderId="37" xfId="0" applyFont="1" applyFill="1" applyBorder="1"/>
    <xf numFmtId="0" fontId="124" fillId="16" borderId="0" xfId="0" applyFont="1" applyFill="1" applyBorder="1"/>
    <xf numFmtId="0" fontId="125" fillId="16" borderId="0" xfId="0" applyFont="1" applyFill="1" applyBorder="1"/>
    <xf numFmtId="167" fontId="125" fillId="16" borderId="0" xfId="0" applyNumberFormat="1" applyFont="1" applyFill="1" applyBorder="1"/>
    <xf numFmtId="0" fontId="125" fillId="16" borderId="7" xfId="0" applyFont="1" applyFill="1" applyBorder="1"/>
    <xf numFmtId="0" fontId="125" fillId="16" borderId="0" xfId="0" applyFont="1" applyFill="1"/>
    <xf numFmtId="0" fontId="125" fillId="16" borderId="37" xfId="0" applyFont="1" applyFill="1" applyBorder="1"/>
    <xf numFmtId="167" fontId="125" fillId="16" borderId="7" xfId="0" applyNumberFormat="1" applyFont="1" applyFill="1" applyBorder="1"/>
    <xf numFmtId="167" fontId="125" fillId="16" borderId="7" xfId="15" applyNumberFormat="1" applyFont="1" applyFill="1" applyBorder="1"/>
    <xf numFmtId="0" fontId="125" fillId="16" borderId="40" xfId="0" applyFont="1" applyFill="1" applyBorder="1" applyAlignment="1">
      <alignment horizontal="left"/>
    </xf>
    <xf numFmtId="0" fontId="125" fillId="16" borderId="33" xfId="0" applyFont="1" applyFill="1" applyBorder="1" applyAlignment="1">
      <alignment horizontal="left"/>
    </xf>
    <xf numFmtId="167" fontId="125" fillId="16" borderId="33" xfId="0" applyNumberFormat="1" applyFont="1" applyFill="1" applyBorder="1"/>
    <xf numFmtId="167" fontId="124" fillId="70" borderId="9" xfId="0" applyNumberFormat="1" applyFont="1" applyFill="1" applyBorder="1"/>
    <xf numFmtId="0" fontId="61" fillId="0" borderId="23" xfId="0" applyFont="1" applyBorder="1" applyAlignment="1">
      <alignment horizontal="center" vertical="center"/>
    </xf>
    <xf numFmtId="0" fontId="61" fillId="0" borderId="0" xfId="0" applyFont="1" applyBorder="1" applyAlignment="1">
      <alignment horizontal="center" vertical="center"/>
    </xf>
    <xf numFmtId="0" fontId="30" fillId="11" borderId="52" xfId="0" applyFont="1" applyFill="1" applyBorder="1" applyAlignment="1">
      <alignment horizontal="center" vertical="center"/>
    </xf>
    <xf numFmtId="0" fontId="61" fillId="0" borderId="11" xfId="0" applyFont="1" applyBorder="1" applyAlignment="1">
      <alignment horizontal="center" vertical="center"/>
    </xf>
    <xf numFmtId="17" fontId="0" fillId="31" borderId="83" xfId="0" applyNumberFormat="1" applyFont="1" applyFill="1" applyBorder="1" applyAlignment="1">
      <alignment horizontal="center" vertical="center" wrapText="1"/>
    </xf>
    <xf numFmtId="0" fontId="61" fillId="0" borderId="0" xfId="0" applyFont="1" applyFill="1" applyBorder="1" applyAlignment="1">
      <alignment horizontal="left" vertical="top"/>
    </xf>
    <xf numFmtId="1" fontId="30" fillId="10" borderId="35" xfId="0" applyNumberFormat="1" applyFont="1" applyFill="1" applyBorder="1" applyAlignment="1">
      <alignment horizontal="left" vertical="center"/>
    </xf>
    <xf numFmtId="171" fontId="30" fillId="10" borderId="29" xfId="0" applyNumberFormat="1" applyFont="1" applyFill="1" applyBorder="1" applyAlignment="1">
      <alignment horizontal="center" vertical="center"/>
    </xf>
    <xf numFmtId="171" fontId="30" fillId="10" borderId="66" xfId="0" applyNumberFormat="1" applyFont="1" applyFill="1" applyBorder="1" applyAlignment="1">
      <alignment horizontal="center" vertical="center"/>
    </xf>
    <xf numFmtId="171" fontId="30" fillId="10" borderId="34" xfId="0" applyNumberFormat="1" applyFont="1" applyFill="1" applyBorder="1" applyAlignment="1">
      <alignment horizontal="center" vertical="center"/>
    </xf>
    <xf numFmtId="171" fontId="30" fillId="10" borderId="30" xfId="0" applyNumberFormat="1" applyFont="1" applyFill="1" applyBorder="1" applyAlignment="1">
      <alignment horizontal="center" vertical="center"/>
    </xf>
    <xf numFmtId="171" fontId="30" fillId="10" borderId="67" xfId="0" applyNumberFormat="1" applyFont="1" applyFill="1" applyBorder="1" applyAlignment="1">
      <alignment horizontal="center" vertical="center"/>
    </xf>
    <xf numFmtId="0" fontId="30" fillId="82" borderId="52" xfId="0" applyFont="1" applyFill="1" applyBorder="1"/>
    <xf numFmtId="0" fontId="61" fillId="0" borderId="35" xfId="0" applyFont="1" applyFill="1" applyBorder="1" applyAlignment="1">
      <alignment vertical="center"/>
    </xf>
    <xf numFmtId="0" fontId="30" fillId="82" borderId="37" xfId="0" applyFont="1" applyFill="1" applyBorder="1"/>
    <xf numFmtId="0" fontId="30" fillId="82" borderId="40" xfId="0" applyFont="1" applyFill="1" applyBorder="1"/>
    <xf numFmtId="171" fontId="29" fillId="0" borderId="0" xfId="0" applyNumberFormat="1" applyFont="1" applyFill="1" applyBorder="1" applyAlignment="1">
      <alignment horizontal="center"/>
    </xf>
    <xf numFmtId="1" fontId="30" fillId="31" borderId="29" xfId="0" applyNumberFormat="1" applyFont="1" applyFill="1" applyBorder="1" applyAlignment="1">
      <alignment horizontal="left" vertical="center"/>
    </xf>
    <xf numFmtId="0" fontId="61" fillId="0" borderId="6" xfId="0" applyFont="1" applyFill="1" applyBorder="1" applyAlignment="1">
      <alignment horizontal="center" vertical="center" wrapText="1"/>
    </xf>
    <xf numFmtId="171" fontId="30" fillId="10" borderId="0" xfId="0" applyNumberFormat="1" applyFont="1" applyFill="1" applyBorder="1" applyAlignment="1">
      <alignment horizontal="center" vertical="center"/>
    </xf>
    <xf numFmtId="0" fontId="5" fillId="0" borderId="0" xfId="0" applyFont="1" applyAlignment="1">
      <alignment vertical="center" wrapText="1"/>
    </xf>
    <xf numFmtId="171" fontId="127" fillId="16" borderId="0" xfId="0" applyNumberFormat="1" applyFont="1" applyFill="1" applyBorder="1" applyAlignment="1">
      <alignment horizontal="center" vertical="center"/>
    </xf>
    <xf numFmtId="171" fontId="11" fillId="16" borderId="0" xfId="0" applyNumberFormat="1" applyFont="1" applyFill="1" applyBorder="1" applyAlignment="1">
      <alignment horizontal="center" vertical="center" wrapText="1"/>
    </xf>
    <xf numFmtId="0" fontId="6" fillId="4" borderId="40" xfId="0" applyFont="1" applyFill="1" applyBorder="1" applyAlignment="1">
      <alignment horizontal="right" vertical="center"/>
    </xf>
    <xf numFmtId="0" fontId="6" fillId="21" borderId="33" xfId="0" applyFont="1" applyFill="1" applyBorder="1" applyAlignment="1">
      <alignment vertical="center"/>
    </xf>
    <xf numFmtId="171" fontId="57" fillId="16" borderId="33" xfId="0" applyNumberFormat="1" applyFont="1" applyFill="1" applyBorder="1" applyAlignment="1">
      <alignment horizontal="center" vertical="center"/>
    </xf>
    <xf numFmtId="3" fontId="15" fillId="39" borderId="33" xfId="0" applyNumberFormat="1" applyFont="1" applyFill="1" applyBorder="1" applyAlignment="1">
      <alignment horizontal="center" vertical="center"/>
    </xf>
    <xf numFmtId="0" fontId="126" fillId="23" borderId="0" xfId="0" applyFont="1" applyFill="1" applyBorder="1" applyAlignment="1">
      <alignment horizontal="center"/>
    </xf>
    <xf numFmtId="1" fontId="30" fillId="70" borderId="37" xfId="0" applyNumberFormat="1" applyFont="1" applyFill="1" applyBorder="1" applyAlignment="1">
      <alignment horizontal="center" vertical="center" wrapText="1"/>
    </xf>
    <xf numFmtId="171" fontId="24" fillId="70" borderId="52" xfId="0" applyNumberFormat="1" applyFont="1" applyFill="1" applyBorder="1" applyAlignment="1">
      <alignment horizontal="center"/>
    </xf>
    <xf numFmtId="171" fontId="24" fillId="70" borderId="37" xfId="0" applyNumberFormat="1" applyFont="1" applyFill="1" applyBorder="1" applyAlignment="1">
      <alignment horizontal="center"/>
    </xf>
    <xf numFmtId="171" fontId="24" fillId="70" borderId="40" xfId="0" applyNumberFormat="1" applyFont="1" applyFill="1" applyBorder="1" applyAlignment="1">
      <alignment horizontal="center"/>
    </xf>
    <xf numFmtId="3" fontId="15" fillId="0" borderId="33" xfId="0" applyNumberFormat="1" applyFont="1" applyFill="1" applyBorder="1" applyAlignment="1">
      <alignment horizontal="center" vertical="center"/>
    </xf>
    <xf numFmtId="0" fontId="123" fillId="3" borderId="5" xfId="0" applyFont="1" applyFill="1" applyBorder="1" applyAlignment="1">
      <alignment horizontal="center" vertical="center" wrapText="1"/>
    </xf>
    <xf numFmtId="9" fontId="10" fillId="0" borderId="0" xfId="2" applyFont="1" applyAlignment="1">
      <alignment wrapText="1"/>
    </xf>
    <xf numFmtId="0" fontId="93" fillId="0" borderId="0" xfId="0" applyFont="1" applyFill="1"/>
    <xf numFmtId="167" fontId="93" fillId="0" borderId="0" xfId="2" applyNumberFormat="1" applyFont="1" applyFill="1" applyAlignment="1">
      <alignment horizontal="center"/>
    </xf>
    <xf numFmtId="167" fontId="48" fillId="0" borderId="0" xfId="2" applyNumberFormat="1" applyFont="1" applyFill="1" applyAlignment="1">
      <alignment horizontal="center"/>
    </xf>
    <xf numFmtId="167" fontId="106" fillId="70" borderId="40" xfId="2" applyNumberFormat="1" applyFont="1" applyFill="1" applyBorder="1" applyAlignment="1">
      <alignment horizontal="center" vertical="center" wrapText="1"/>
    </xf>
    <xf numFmtId="167" fontId="93" fillId="0" borderId="5" xfId="2" applyNumberFormat="1" applyFont="1" applyFill="1" applyBorder="1" applyAlignment="1">
      <alignment horizontal="center"/>
    </xf>
    <xf numFmtId="0" fontId="7" fillId="0" borderId="11" xfId="0" applyFont="1" applyFill="1" applyBorder="1" applyAlignment="1">
      <alignment horizontal="center" vertical="center" wrapText="1"/>
    </xf>
    <xf numFmtId="168" fontId="106" fillId="14" borderId="11" xfId="1" applyNumberFormat="1" applyFont="1" applyFill="1" applyBorder="1" applyAlignment="1">
      <alignment horizontal="center" vertical="center"/>
    </xf>
    <xf numFmtId="168" fontId="126" fillId="14" borderId="83" xfId="1" applyNumberFormat="1" applyFont="1" applyFill="1" applyBorder="1" applyAlignment="1">
      <alignment horizontal="center" vertical="center"/>
    </xf>
    <xf numFmtId="168" fontId="106" fillId="70" borderId="11" xfId="1" applyNumberFormat="1" applyFont="1" applyFill="1" applyBorder="1" applyAlignment="1">
      <alignment horizontal="center" vertical="center"/>
    </xf>
    <xf numFmtId="168" fontId="126" fillId="70" borderId="83" xfId="1" applyNumberFormat="1" applyFont="1" applyFill="1" applyBorder="1" applyAlignment="1">
      <alignment horizontal="center" vertical="center"/>
    </xf>
    <xf numFmtId="3" fontId="128" fillId="0" borderId="11" xfId="0" applyNumberFormat="1" applyFont="1" applyBorder="1" applyAlignment="1">
      <alignment horizontal="right"/>
    </xf>
    <xf numFmtId="0" fontId="128" fillId="0" borderId="0" xfId="0" applyFont="1" applyFill="1"/>
    <xf numFmtId="3" fontId="129" fillId="3" borderId="5" xfId="67" applyNumberFormat="1" applyFont="1" applyFill="1" applyBorder="1" applyAlignment="1">
      <alignment horizontal="right"/>
    </xf>
    <xf numFmtId="0" fontId="46" fillId="3" borderId="0" xfId="0" applyFont="1" applyFill="1" applyBorder="1" applyAlignment="1">
      <alignment horizontal="center" vertical="center"/>
    </xf>
    <xf numFmtId="0" fontId="131" fillId="0" borderId="0" xfId="0" applyFont="1" applyAlignment="1">
      <alignment horizontal="center"/>
    </xf>
    <xf numFmtId="0" fontId="105" fillId="0" borderId="0" xfId="0" applyFont="1" applyAlignment="1">
      <alignment horizontal="center"/>
    </xf>
    <xf numFmtId="0" fontId="105" fillId="0" borderId="0" xfId="0" applyFont="1" applyFill="1" applyAlignment="1">
      <alignment horizontal="center"/>
    </xf>
    <xf numFmtId="167" fontId="132" fillId="0" borderId="0" xfId="2" applyNumberFormat="1" applyFont="1" applyFill="1"/>
    <xf numFmtId="167" fontId="105" fillId="0" borderId="0" xfId="2" applyNumberFormat="1" applyFont="1" applyFill="1"/>
    <xf numFmtId="0" fontId="105" fillId="0" borderId="0" xfId="0" applyFont="1"/>
    <xf numFmtId="0" fontId="12" fillId="0" borderId="0" xfId="0" applyFont="1" applyAlignment="1">
      <alignment vertical="center"/>
    </xf>
    <xf numFmtId="0" fontId="32" fillId="0" borderId="0" xfId="0" applyFont="1" applyAlignment="1">
      <alignment vertical="center"/>
    </xf>
    <xf numFmtId="171" fontId="102" fillId="31" borderId="7" xfId="0" applyNumberFormat="1" applyFont="1" applyFill="1" applyBorder="1" applyAlignment="1">
      <alignment horizontal="center" vertical="center"/>
    </xf>
    <xf numFmtId="171" fontId="102" fillId="31" borderId="9" xfId="0" applyNumberFormat="1" applyFont="1" applyFill="1" applyBorder="1" applyAlignment="1">
      <alignment horizontal="center" vertical="center"/>
    </xf>
    <xf numFmtId="171" fontId="63" fillId="13" borderId="0" xfId="0" applyNumberFormat="1" applyFont="1" applyFill="1" applyBorder="1" applyAlignment="1">
      <alignment horizontal="center" vertical="center" wrapText="1"/>
    </xf>
    <xf numFmtId="1" fontId="30" fillId="31" borderId="6" xfId="0" applyNumberFormat="1" applyFont="1" applyFill="1" applyBorder="1" applyAlignment="1">
      <alignment horizontal="center" vertical="center" wrapText="1"/>
    </xf>
    <xf numFmtId="171" fontId="24" fillId="31" borderId="5" xfId="0" applyNumberFormat="1" applyFont="1" applyFill="1" applyBorder="1" applyAlignment="1">
      <alignment horizontal="center"/>
    </xf>
    <xf numFmtId="171" fontId="24" fillId="31" borderId="6" xfId="0" applyNumberFormat="1" applyFont="1" applyFill="1" applyBorder="1" applyAlignment="1">
      <alignment horizontal="center"/>
    </xf>
    <xf numFmtId="171" fontId="24" fillId="31" borderId="8" xfId="0" applyNumberFormat="1" applyFont="1" applyFill="1" applyBorder="1" applyAlignment="1">
      <alignment horizontal="center"/>
    </xf>
    <xf numFmtId="0" fontId="133" fillId="13" borderId="7" xfId="0" applyFont="1" applyFill="1" applyBorder="1" applyAlignment="1">
      <alignment horizontal="center"/>
    </xf>
    <xf numFmtId="10" fontId="134" fillId="0" borderId="0" xfId="2" applyNumberFormat="1" applyFont="1" applyFill="1" applyBorder="1" applyAlignment="1">
      <alignment horizontal="center"/>
    </xf>
    <xf numFmtId="0" fontId="0" fillId="0" borderId="34" xfId="0" applyFont="1" applyBorder="1"/>
    <xf numFmtId="176" fontId="26" fillId="0" borderId="0" xfId="0" applyNumberFormat="1" applyFont="1" applyAlignment="1">
      <alignment horizontal="center"/>
    </xf>
    <xf numFmtId="171" fontId="0" fillId="0" borderId="0" xfId="0" applyNumberFormat="1" applyFont="1"/>
    <xf numFmtId="1" fontId="64" fillId="13" borderId="11" xfId="0" applyNumberFormat="1" applyFont="1" applyFill="1" applyBorder="1" applyAlignment="1">
      <alignment horizontal="center"/>
    </xf>
    <xf numFmtId="171" fontId="0" fillId="0" borderId="0" xfId="0" applyNumberFormat="1" applyFont="1" applyAlignment="1">
      <alignment horizontal="center"/>
    </xf>
    <xf numFmtId="171" fontId="0" fillId="13" borderId="0" xfId="0" applyNumberFormat="1" applyFont="1" applyFill="1" applyAlignment="1">
      <alignment horizontal="center"/>
    </xf>
    <xf numFmtId="168" fontId="135" fillId="0" borderId="0" xfId="1" applyNumberFormat="1" applyFont="1" applyFill="1" applyBorder="1" applyAlignment="1">
      <alignment horizontal="center" vertical="center"/>
    </xf>
    <xf numFmtId="0" fontId="0" fillId="0" borderId="0" xfId="0" applyAlignment="1">
      <alignment horizontal="center"/>
    </xf>
    <xf numFmtId="0" fontId="66" fillId="90" borderId="12" xfId="0" applyFont="1" applyFill="1" applyBorder="1" applyAlignment="1"/>
    <xf numFmtId="17" fontId="26" fillId="0" borderId="0" xfId="0" applyNumberFormat="1" applyFont="1" applyAlignment="1">
      <alignment horizontal="left" indent="1"/>
    </xf>
    <xf numFmtId="0" fontId="68" fillId="0" borderId="109" xfId="23" applyFont="1" applyBorder="1" applyAlignment="1">
      <alignment horizontal="left" wrapText="1" indent="1"/>
    </xf>
    <xf numFmtId="3" fontId="68" fillId="0" borderId="110" xfId="23" applyNumberFormat="1" applyFont="1" applyBorder="1" applyAlignment="1">
      <alignment horizontal="center" wrapText="1"/>
    </xf>
    <xf numFmtId="0" fontId="68" fillId="0" borderId="111" xfId="23" applyFont="1" applyBorder="1" applyAlignment="1">
      <alignment horizontal="center" wrapText="1"/>
    </xf>
    <xf numFmtId="0" fontId="68" fillId="0" borderId="270" xfId="23" applyFont="1" applyBorder="1" applyAlignment="1">
      <alignment horizontal="left" vertical="top" wrapText="1" indent="1"/>
    </xf>
    <xf numFmtId="3" fontId="68" fillId="0" borderId="271" xfId="23" applyNumberFormat="1" applyFont="1" applyBorder="1" applyAlignment="1">
      <alignment horizontal="center" vertical="center"/>
    </xf>
    <xf numFmtId="173" fontId="68" fillId="0" borderId="272" xfId="23" applyNumberFormat="1" applyFont="1" applyBorder="1" applyAlignment="1">
      <alignment horizontal="center" vertical="center"/>
    </xf>
    <xf numFmtId="3" fontId="69" fillId="27" borderId="113" xfId="23" applyNumberFormat="1" applyFont="1" applyFill="1" applyBorder="1" applyAlignment="1">
      <alignment horizontal="center" vertical="center"/>
    </xf>
    <xf numFmtId="173" fontId="69" fillId="27" borderId="114" xfId="23" applyNumberFormat="1" applyFont="1" applyFill="1" applyBorder="1" applyAlignment="1">
      <alignment horizontal="center" vertical="center"/>
    </xf>
    <xf numFmtId="173" fontId="68" fillId="0" borderId="114" xfId="23" applyNumberFormat="1" applyFont="1" applyBorder="1" applyAlignment="1">
      <alignment horizontal="center" vertical="center"/>
    </xf>
    <xf numFmtId="0" fontId="9" fillId="16" borderId="112" xfId="23" applyFont="1" applyFill="1" applyBorder="1" applyAlignment="1">
      <alignment horizontal="left" vertical="top" wrapText="1" indent="1"/>
    </xf>
    <xf numFmtId="3" fontId="9" fillId="16" borderId="113" xfId="23" applyNumberFormat="1" applyFont="1" applyFill="1" applyBorder="1" applyAlignment="1">
      <alignment horizontal="center" vertical="center"/>
    </xf>
    <xf numFmtId="173" fontId="9" fillId="16" borderId="114" xfId="23" applyNumberFormat="1" applyFont="1" applyFill="1" applyBorder="1" applyAlignment="1">
      <alignment horizontal="center" vertical="center"/>
    </xf>
    <xf numFmtId="3" fontId="0" fillId="0" borderId="0" xfId="0" applyNumberFormat="1" applyFill="1"/>
    <xf numFmtId="174" fontId="68" fillId="0" borderId="114" xfId="23" applyNumberFormat="1" applyFont="1" applyBorder="1" applyAlignment="1">
      <alignment horizontal="center" vertical="center"/>
    </xf>
    <xf numFmtId="3" fontId="68" fillId="27" borderId="113" xfId="23" applyNumberFormat="1" applyFont="1" applyFill="1" applyBorder="1" applyAlignment="1">
      <alignment horizontal="center" vertical="center"/>
    </xf>
    <xf numFmtId="3" fontId="0" fillId="12" borderId="0" xfId="0" applyNumberFormat="1" applyFill="1"/>
    <xf numFmtId="0" fontId="9" fillId="16" borderId="115" xfId="23" applyFont="1" applyFill="1" applyBorder="1" applyAlignment="1">
      <alignment horizontal="left" vertical="top" wrapText="1" indent="1"/>
    </xf>
    <xf numFmtId="3" fontId="9" fillId="16" borderId="116" xfId="23" applyNumberFormat="1" applyFont="1" applyFill="1" applyBorder="1" applyAlignment="1">
      <alignment horizontal="center" vertical="center"/>
    </xf>
    <xf numFmtId="173" fontId="9" fillId="16" borderId="117" xfId="23" applyNumberFormat="1" applyFont="1" applyFill="1" applyBorder="1" applyAlignment="1">
      <alignment horizontal="center" vertical="center"/>
    </xf>
    <xf numFmtId="0" fontId="69" fillId="27" borderId="117" xfId="23" applyFont="1" applyFill="1" applyBorder="1" applyAlignment="1">
      <alignment horizontal="center" vertical="center" wrapText="1"/>
    </xf>
    <xf numFmtId="171" fontId="69" fillId="27" borderId="117" xfId="23" applyNumberFormat="1" applyFont="1" applyFill="1" applyBorder="1" applyAlignment="1">
      <alignment horizontal="center" vertical="center" wrapText="1"/>
    </xf>
    <xf numFmtId="173" fontId="69" fillId="0" borderId="114" xfId="23" applyNumberFormat="1" applyFont="1" applyFill="1" applyBorder="1" applyAlignment="1">
      <alignment horizontal="center" vertical="center"/>
    </xf>
    <xf numFmtId="173" fontId="69" fillId="0" borderId="272" xfId="23" applyNumberFormat="1" applyFont="1" applyFill="1" applyBorder="1" applyAlignment="1">
      <alignment horizontal="center" vertical="center"/>
    </xf>
    <xf numFmtId="173" fontId="68" fillId="0" borderId="114" xfId="23" applyNumberFormat="1" applyFont="1" applyFill="1" applyBorder="1" applyAlignment="1">
      <alignment horizontal="center" vertical="center"/>
    </xf>
    <xf numFmtId="0" fontId="68" fillId="27" borderId="115" xfId="23" applyFont="1" applyFill="1" applyBorder="1" applyAlignment="1">
      <alignment horizontal="left" vertical="top" wrapText="1" indent="1"/>
    </xf>
    <xf numFmtId="3" fontId="68" fillId="27" borderId="116" xfId="23" applyNumberFormat="1" applyFont="1" applyFill="1" applyBorder="1" applyAlignment="1">
      <alignment horizontal="center" vertical="center"/>
    </xf>
    <xf numFmtId="173" fontId="68" fillId="0" borderId="117" xfId="23" applyNumberFormat="1" applyFont="1" applyFill="1" applyBorder="1" applyAlignment="1">
      <alignment horizontal="center" vertical="center" wrapText="1"/>
    </xf>
    <xf numFmtId="0" fontId="68" fillId="0" borderId="115" xfId="23" applyFont="1" applyBorder="1" applyAlignment="1">
      <alignment horizontal="left" vertical="top" wrapText="1" indent="1"/>
    </xf>
    <xf numFmtId="3" fontId="68" fillId="0" borderId="116" xfId="23" applyNumberFormat="1" applyFont="1" applyBorder="1" applyAlignment="1">
      <alignment horizontal="center" vertical="center"/>
    </xf>
    <xf numFmtId="173" fontId="68" fillId="0" borderId="117" xfId="23" applyNumberFormat="1" applyFont="1" applyBorder="1" applyAlignment="1">
      <alignment horizontal="center" vertical="center"/>
    </xf>
    <xf numFmtId="0" fontId="91" fillId="14" borderId="50" xfId="0" applyFont="1" applyFill="1" applyBorder="1" applyAlignment="1">
      <alignment horizontal="center" vertical="center" wrapText="1"/>
    </xf>
    <xf numFmtId="171" fontId="64" fillId="0" borderId="0" xfId="0" applyNumberFormat="1" applyFont="1" applyFill="1" applyBorder="1" applyAlignment="1">
      <alignment horizontal="center"/>
    </xf>
    <xf numFmtId="171" fontId="64" fillId="0" borderId="33" xfId="0" applyNumberFormat="1" applyFont="1" applyFill="1" applyBorder="1" applyAlignment="1">
      <alignment horizontal="center"/>
    </xf>
    <xf numFmtId="10" fontId="139" fillId="0" borderId="0" xfId="2" applyNumberFormat="1" applyFont="1" applyFill="1" applyBorder="1" applyAlignment="1">
      <alignment horizontal="center"/>
    </xf>
    <xf numFmtId="10" fontId="41" fillId="13" borderId="0" xfId="2" applyNumberFormat="1" applyFont="1" applyFill="1" applyAlignment="1">
      <alignment horizontal="center" vertical="center"/>
    </xf>
    <xf numFmtId="0" fontId="140" fillId="70" borderId="52" xfId="0" applyFont="1" applyFill="1" applyBorder="1" applyAlignment="1">
      <alignment horizontal="center"/>
    </xf>
    <xf numFmtId="0" fontId="32" fillId="0" borderId="0" xfId="0" applyFont="1"/>
    <xf numFmtId="0" fontId="142" fillId="0" borderId="0" xfId="0" applyFont="1" applyFill="1" applyAlignment="1">
      <alignment horizontal="left"/>
    </xf>
    <xf numFmtId="0" fontId="145" fillId="0" borderId="0" xfId="0" applyFont="1" applyAlignment="1">
      <alignment wrapText="1"/>
    </xf>
    <xf numFmtId="0" fontId="146" fillId="0" borderId="0" xfId="0" applyFont="1" applyAlignment="1">
      <alignment horizontal="center" wrapText="1"/>
    </xf>
    <xf numFmtId="3" fontId="41" fillId="5" borderId="83" xfId="0" applyNumberFormat="1" applyFont="1" applyFill="1" applyBorder="1" applyAlignment="1">
      <alignment horizontal="right"/>
    </xf>
    <xf numFmtId="3" fontId="41" fillId="13" borderId="83" xfId="0" applyNumberFormat="1" applyFont="1" applyFill="1" applyBorder="1" applyAlignment="1">
      <alignment horizontal="right"/>
    </xf>
    <xf numFmtId="10" fontId="87" fillId="0" borderId="0" xfId="2" applyNumberFormat="1" applyFont="1" applyAlignment="1">
      <alignment horizontal="center" vertical="center"/>
    </xf>
    <xf numFmtId="10" fontId="116" fillId="0" borderId="0" xfId="2" applyNumberFormat="1" applyFont="1" applyAlignment="1">
      <alignment horizontal="center" vertical="center"/>
    </xf>
    <xf numFmtId="9" fontId="0" fillId="0" borderId="0" xfId="2" applyFont="1" applyAlignment="1">
      <alignment horizontal="left"/>
    </xf>
    <xf numFmtId="167" fontId="106" fillId="0" borderId="0" xfId="2" applyNumberFormat="1" applyFont="1" applyFill="1" applyBorder="1" applyAlignment="1">
      <alignment horizontal="center" vertical="center" wrapText="1"/>
    </xf>
    <xf numFmtId="167" fontId="0" fillId="0" borderId="0" xfId="2" applyNumberFormat="1" applyFont="1" applyFill="1"/>
    <xf numFmtId="0" fontId="97" fillId="7" borderId="5" xfId="0" applyFont="1" applyFill="1" applyBorder="1" applyAlignment="1">
      <alignment horizontal="center" vertical="center" wrapText="1"/>
    </xf>
    <xf numFmtId="168" fontId="106" fillId="0" borderId="0" xfId="1" applyNumberFormat="1" applyFont="1" applyFill="1" applyBorder="1" applyAlignment="1">
      <alignment horizontal="center" vertical="center"/>
    </xf>
    <xf numFmtId="168" fontId="126" fillId="0" borderId="0" xfId="1" applyNumberFormat="1" applyFont="1" applyFill="1" applyBorder="1" applyAlignment="1">
      <alignment horizontal="center" vertical="center"/>
    </xf>
    <xf numFmtId="0" fontId="147" fillId="92" borderId="112" xfId="23" applyFont="1" applyFill="1" applyBorder="1" applyAlignment="1">
      <alignment horizontal="left" vertical="top" wrapText="1" indent="1"/>
    </xf>
    <xf numFmtId="167" fontId="147" fillId="92" borderId="112" xfId="2" applyNumberFormat="1" applyFont="1" applyFill="1" applyBorder="1" applyAlignment="1">
      <alignment horizontal="center" vertical="top" wrapText="1"/>
    </xf>
    <xf numFmtId="3" fontId="147" fillId="92" borderId="113" xfId="23" applyNumberFormat="1" applyFont="1" applyFill="1" applyBorder="1" applyAlignment="1">
      <alignment horizontal="center" vertical="center"/>
    </xf>
    <xf numFmtId="0" fontId="30" fillId="99" borderId="52" xfId="0" applyFont="1" applyFill="1" applyBorder="1"/>
    <xf numFmtId="0" fontId="60" fillId="99" borderId="37" xfId="0" applyFont="1" applyFill="1" applyBorder="1"/>
    <xf numFmtId="0" fontId="60" fillId="99" borderId="40" xfId="0" applyFont="1" applyFill="1" applyBorder="1"/>
    <xf numFmtId="0" fontId="30" fillId="100" borderId="52" xfId="0" applyFont="1" applyFill="1" applyBorder="1"/>
    <xf numFmtId="0" fontId="60" fillId="100" borderId="37" xfId="0" applyFont="1" applyFill="1" applyBorder="1"/>
    <xf numFmtId="0" fontId="60" fillId="100" borderId="40" xfId="0" applyFont="1" applyFill="1" applyBorder="1"/>
    <xf numFmtId="0" fontId="30" fillId="101" borderId="52" xfId="0" applyFont="1" applyFill="1" applyBorder="1"/>
    <xf numFmtId="0" fontId="60" fillId="101" borderId="37" xfId="0" applyFont="1" applyFill="1" applyBorder="1"/>
    <xf numFmtId="0" fontId="60" fillId="101" borderId="40" xfId="0" applyFont="1" applyFill="1" applyBorder="1"/>
    <xf numFmtId="0" fontId="30" fillId="102" borderId="52" xfId="0" applyFont="1" applyFill="1" applyBorder="1"/>
    <xf numFmtId="0" fontId="60" fillId="102" borderId="37" xfId="0" applyFont="1" applyFill="1" applyBorder="1"/>
    <xf numFmtId="0" fontId="60" fillId="102" borderId="40" xfId="0" applyFont="1" applyFill="1" applyBorder="1"/>
    <xf numFmtId="0" fontId="30" fillId="103" borderId="52" xfId="0" applyFont="1" applyFill="1" applyBorder="1"/>
    <xf numFmtId="0" fontId="60" fillId="103" borderId="37" xfId="0" applyFont="1" applyFill="1" applyBorder="1"/>
    <xf numFmtId="0" fontId="60" fillId="103" borderId="40" xfId="0" applyFont="1" applyFill="1" applyBorder="1"/>
    <xf numFmtId="0" fontId="151" fillId="16" borderId="0" xfId="0" applyFont="1" applyFill="1" applyBorder="1" applyAlignment="1">
      <alignment horizontal="right" vertical="center"/>
    </xf>
    <xf numFmtId="0" fontId="97" fillId="0" borderId="0" xfId="0" applyFont="1" applyAlignment="1">
      <alignment horizontal="left" vertical="center" wrapText="1"/>
    </xf>
    <xf numFmtId="0" fontId="5" fillId="0" borderId="13" xfId="0" applyNumberFormat="1" applyFont="1" applyFill="1" applyBorder="1" applyAlignment="1">
      <alignment horizontal="center" vertical="center" wrapText="1"/>
    </xf>
    <xf numFmtId="168" fontId="5" fillId="0" borderId="13" xfId="0" applyNumberFormat="1" applyFont="1" applyFill="1" applyBorder="1" applyAlignment="1">
      <alignment horizontal="center" vertical="center" wrapText="1"/>
    </xf>
    <xf numFmtId="168" fontId="126" fillId="70" borderId="0" xfId="1" applyNumberFormat="1" applyFont="1" applyFill="1" applyBorder="1" applyAlignment="1">
      <alignment horizontal="center" vertical="center"/>
    </xf>
    <xf numFmtId="168" fontId="126" fillId="14" borderId="0" xfId="1" applyNumberFormat="1" applyFont="1" applyFill="1" applyBorder="1" applyAlignment="1">
      <alignment horizontal="center" vertical="center"/>
    </xf>
    <xf numFmtId="3" fontId="96" fillId="3" borderId="6" xfId="67" applyNumberFormat="1" applyFont="1" applyFill="1" applyBorder="1" applyAlignment="1">
      <alignment horizontal="right"/>
    </xf>
    <xf numFmtId="0" fontId="138" fillId="0" borderId="13" xfId="0" applyFont="1" applyFill="1" applyBorder="1" applyAlignment="1">
      <alignment vertical="center"/>
    </xf>
    <xf numFmtId="0" fontId="26" fillId="0" borderId="49" xfId="0" applyFont="1" applyFill="1" applyBorder="1" applyAlignment="1">
      <alignment horizontal="center" vertical="center" wrapText="1"/>
    </xf>
    <xf numFmtId="0" fontId="26" fillId="0" borderId="50" xfId="0" applyFont="1" applyFill="1" applyBorder="1" applyAlignment="1">
      <alignment horizontal="center" vertical="center" wrapText="1"/>
    </xf>
    <xf numFmtId="9" fontId="0" fillId="0" borderId="0" xfId="2" applyFont="1"/>
    <xf numFmtId="0" fontId="0" fillId="0" borderId="0" xfId="0" applyFont="1"/>
    <xf numFmtId="0" fontId="0" fillId="0" borderId="0" xfId="0" applyFont="1" applyAlignment="1">
      <alignment vertical="center"/>
    </xf>
    <xf numFmtId="0" fontId="0" fillId="0" borderId="0" xfId="0" applyAlignment="1">
      <alignment vertical="center"/>
    </xf>
    <xf numFmtId="0" fontId="0" fillId="0" borderId="0" xfId="0" applyFont="1" applyAlignment="1">
      <alignment horizontal="center" vertical="center"/>
    </xf>
    <xf numFmtId="0" fontId="12" fillId="0" borderId="0" xfId="0" applyFont="1" applyAlignment="1">
      <alignment horizontal="left" vertical="center"/>
    </xf>
    <xf numFmtId="0" fontId="12" fillId="0" borderId="0" xfId="0" applyFont="1" applyFill="1" applyAlignment="1">
      <alignment horizontal="left" vertical="center"/>
    </xf>
    <xf numFmtId="10" fontId="0" fillId="0" borderId="0" xfId="0" applyNumberFormat="1" applyFont="1" applyAlignment="1">
      <alignment vertical="center"/>
    </xf>
    <xf numFmtId="9" fontId="0" fillId="0" borderId="0" xfId="0" applyNumberFormat="1" applyFont="1" applyAlignment="1">
      <alignment vertical="center"/>
    </xf>
    <xf numFmtId="167" fontId="0" fillId="0" borderId="0" xfId="0" applyNumberFormat="1" applyFont="1" applyAlignment="1">
      <alignment vertical="center"/>
    </xf>
    <xf numFmtId="0" fontId="0" fillId="0" borderId="0" xfId="0" applyFont="1" applyFill="1" applyAlignment="1">
      <alignment vertical="center"/>
    </xf>
    <xf numFmtId="0" fontId="47" fillId="0" borderId="69" xfId="0" applyFont="1" applyBorder="1" applyAlignment="1">
      <alignment horizontal="center" vertical="center" wrapText="1"/>
    </xf>
    <xf numFmtId="0" fontId="47" fillId="0" borderId="50" xfId="0" applyFont="1" applyBorder="1" applyAlignment="1">
      <alignment horizontal="center" vertical="center" wrapText="1"/>
    </xf>
    <xf numFmtId="0" fontId="47" fillId="3" borderId="50" xfId="0" applyFont="1" applyFill="1" applyBorder="1" applyAlignment="1">
      <alignment horizontal="center" vertical="center" wrapText="1"/>
    </xf>
    <xf numFmtId="0" fontId="47" fillId="0" borderId="87" xfId="0" applyFont="1" applyBorder="1" applyAlignment="1">
      <alignment horizontal="center" vertical="center" wrapText="1"/>
    </xf>
    <xf numFmtId="0" fontId="47" fillId="0" borderId="5" xfId="0" applyFont="1" applyBorder="1" applyAlignment="1">
      <alignment horizontal="center" vertical="center" wrapText="1"/>
    </xf>
    <xf numFmtId="10" fontId="47" fillId="0" borderId="5" xfId="2" applyNumberFormat="1" applyFont="1" applyBorder="1" applyAlignment="1">
      <alignment horizontal="center" vertical="center" wrapText="1"/>
    </xf>
    <xf numFmtId="168" fontId="138" fillId="0" borderId="13" xfId="1" applyNumberFormat="1" applyFont="1" applyBorder="1" applyAlignment="1">
      <alignment vertical="center"/>
    </xf>
    <xf numFmtId="168" fontId="138" fillId="3" borderId="13" xfId="1" applyNumberFormat="1" applyFont="1" applyFill="1" applyBorder="1" applyAlignment="1">
      <alignment vertical="center"/>
    </xf>
    <xf numFmtId="168" fontId="138" fillId="0" borderId="24" xfId="1" applyNumberFormat="1" applyFont="1" applyBorder="1" applyAlignment="1">
      <alignment vertical="center"/>
    </xf>
    <xf numFmtId="168" fontId="138" fillId="0" borderId="70" xfId="1" applyNumberFormat="1" applyFont="1" applyBorder="1" applyAlignment="1">
      <alignment vertical="center"/>
    </xf>
    <xf numFmtId="168" fontId="138" fillId="0" borderId="44" xfId="1" applyNumberFormat="1" applyFont="1" applyBorder="1" applyAlignment="1">
      <alignment vertical="center"/>
    </xf>
    <xf numFmtId="168" fontId="138" fillId="0" borderId="44" xfId="1" applyNumberFormat="1" applyFont="1" applyBorder="1"/>
    <xf numFmtId="168" fontId="138" fillId="0" borderId="13" xfId="1" applyNumberFormat="1" applyFont="1" applyBorder="1"/>
    <xf numFmtId="168" fontId="138" fillId="0" borderId="24" xfId="1" applyNumberFormat="1" applyFont="1" applyBorder="1"/>
    <xf numFmtId="0" fontId="138" fillId="0" borderId="13" xfId="0" applyFont="1" applyFill="1" applyBorder="1" applyAlignment="1">
      <alignment horizontal="center" vertical="center"/>
    </xf>
    <xf numFmtId="0" fontId="22" fillId="0" borderId="0" xfId="0" applyFont="1" applyAlignment="1">
      <alignment horizontal="left"/>
    </xf>
    <xf numFmtId="167" fontId="11" fillId="31" borderId="8" xfId="2" applyNumberFormat="1" applyFont="1" applyFill="1" applyBorder="1"/>
    <xf numFmtId="0" fontId="61" fillId="0" borderId="0" xfId="0" applyFont="1"/>
    <xf numFmtId="0" fontId="61" fillId="0" borderId="0" xfId="0" applyFont="1" applyFill="1" applyAlignment="1">
      <alignment horizontal="center" vertical="center"/>
    </xf>
    <xf numFmtId="0" fontId="13" fillId="16" borderId="0" xfId="0" applyFont="1" applyFill="1" applyBorder="1" applyAlignment="1">
      <alignment horizontal="left"/>
    </xf>
    <xf numFmtId="167" fontId="13" fillId="16" borderId="0" xfId="0" applyNumberFormat="1" applyFont="1" applyFill="1"/>
    <xf numFmtId="0" fontId="13" fillId="16" borderId="0" xfId="0" applyFont="1" applyFill="1"/>
    <xf numFmtId="10" fontId="41" fillId="70" borderId="9" xfId="0" applyNumberFormat="1" applyFont="1" applyFill="1" applyBorder="1"/>
    <xf numFmtId="0" fontId="13" fillId="0" borderId="35" xfId="0" applyFont="1" applyFill="1" applyBorder="1" applyAlignment="1">
      <alignment horizontal="left"/>
    </xf>
    <xf numFmtId="0" fontId="13" fillId="0" borderId="29" xfId="0" applyFont="1" applyFill="1" applyBorder="1" applyAlignment="1">
      <alignment horizontal="left"/>
    </xf>
    <xf numFmtId="167" fontId="36" fillId="0" borderId="0" xfId="2" applyNumberFormat="1" applyFont="1"/>
    <xf numFmtId="2" fontId="64" fillId="0" borderId="11" xfId="0" applyNumberFormat="1" applyFont="1" applyFill="1" applyBorder="1" applyAlignment="1">
      <alignment horizontal="center"/>
    </xf>
    <xf numFmtId="2" fontId="64" fillId="13" borderId="11" xfId="0" applyNumberFormat="1" applyFont="1" applyFill="1" applyBorder="1" applyAlignment="1">
      <alignment horizontal="center"/>
    </xf>
    <xf numFmtId="2" fontId="102" fillId="31" borderId="83" xfId="0" applyNumberFormat="1" applyFont="1" applyFill="1" applyBorder="1" applyAlignment="1">
      <alignment horizontal="center" vertical="center"/>
    </xf>
    <xf numFmtId="0" fontId="21" fillId="0" borderId="0" xfId="4" applyAlignment="1" applyProtection="1"/>
    <xf numFmtId="167" fontId="49" fillId="31" borderId="0" xfId="2" applyNumberFormat="1" applyFont="1" applyFill="1" applyBorder="1" applyAlignment="1">
      <alignment horizontal="center"/>
    </xf>
    <xf numFmtId="10" fontId="13" fillId="27" borderId="0" xfId="0" applyNumberFormat="1" applyFont="1" applyFill="1" applyBorder="1"/>
    <xf numFmtId="10" fontId="13" fillId="27" borderId="33" xfId="0" applyNumberFormat="1" applyFont="1" applyFill="1" applyBorder="1"/>
    <xf numFmtId="0" fontId="0" fillId="0" borderId="0" xfId="0" applyAlignment="1">
      <alignment horizontal="center" vertical="center"/>
    </xf>
    <xf numFmtId="0" fontId="0" fillId="0" borderId="0" xfId="0" applyAlignment="1">
      <alignment horizontal="center"/>
    </xf>
    <xf numFmtId="0" fontId="136" fillId="0" borderId="12" xfId="0" applyFont="1" applyFill="1" applyBorder="1" applyAlignment="1">
      <alignment vertical="center"/>
    </xf>
    <xf numFmtId="0" fontId="26" fillId="0" borderId="0" xfId="0" applyFont="1" applyAlignment="1">
      <alignment horizontal="left" vertical="center"/>
    </xf>
    <xf numFmtId="17" fontId="26" fillId="0" borderId="0" xfId="0" applyNumberFormat="1" applyFont="1" applyAlignment="1">
      <alignment horizontal="left" vertical="center"/>
    </xf>
    <xf numFmtId="0" fontId="67" fillId="0" borderId="0" xfId="23" applyFont="1" applyBorder="1" applyAlignment="1">
      <alignment horizontal="left" vertical="center" wrapText="1"/>
    </xf>
    <xf numFmtId="0" fontId="0" fillId="0" borderId="0" xfId="0" applyAlignment="1">
      <alignment horizontal="left" vertical="center"/>
    </xf>
    <xf numFmtId="0" fontId="68" fillId="0" borderId="109" xfId="23" applyFont="1" applyBorder="1" applyAlignment="1">
      <alignment horizontal="center" vertical="center" wrapText="1"/>
    </xf>
    <xf numFmtId="3" fontId="68" fillId="0" borderId="110" xfId="23" applyNumberFormat="1" applyFont="1" applyBorder="1" applyAlignment="1">
      <alignment horizontal="center" vertical="center" wrapText="1"/>
    </xf>
    <xf numFmtId="0" fontId="68" fillId="0" borderId="111" xfId="23" applyFont="1" applyBorder="1" applyAlignment="1">
      <alignment horizontal="center" vertical="center" wrapText="1"/>
    </xf>
    <xf numFmtId="168" fontId="69" fillId="0" borderId="0" xfId="1" applyNumberFormat="1" applyFont="1" applyFill="1" applyBorder="1" applyAlignment="1">
      <alignment horizontal="center" vertical="center"/>
    </xf>
    <xf numFmtId="168" fontId="68" fillId="0" borderId="0" xfId="1" applyNumberFormat="1" applyFont="1" applyFill="1" applyBorder="1" applyAlignment="1">
      <alignment horizontal="center" vertical="center"/>
    </xf>
    <xf numFmtId="168" fontId="156" fillId="0" borderId="0" xfId="1" applyNumberFormat="1" applyFont="1" applyFill="1" applyBorder="1" applyAlignment="1">
      <alignment horizontal="center" vertical="center"/>
    </xf>
    <xf numFmtId="3" fontId="91" fillId="0" borderId="87" xfId="0" applyNumberFormat="1" applyFont="1" applyFill="1" applyBorder="1" applyAlignment="1">
      <alignment horizontal="center" vertical="center" wrapText="1"/>
    </xf>
    <xf numFmtId="173" fontId="9" fillId="0" borderId="310" xfId="23" applyNumberFormat="1" applyFont="1" applyFill="1" applyBorder="1" applyAlignment="1">
      <alignment horizontal="center" vertical="center"/>
    </xf>
    <xf numFmtId="173" fontId="147" fillId="92" borderId="310" xfId="23" applyNumberFormat="1" applyFont="1" applyFill="1" applyBorder="1" applyAlignment="1">
      <alignment horizontal="center" vertical="center"/>
    </xf>
    <xf numFmtId="0" fontId="9" fillId="0" borderId="311" xfId="23" applyFont="1" applyFill="1" applyBorder="1" applyAlignment="1">
      <alignment horizontal="center" vertical="center" wrapText="1"/>
    </xf>
    <xf numFmtId="0" fontId="61" fillId="0" borderId="13" xfId="0" applyFont="1" applyFill="1" applyBorder="1"/>
    <xf numFmtId="167" fontId="9" fillId="0" borderId="13" xfId="2" applyNumberFormat="1" applyFont="1" applyFill="1" applyBorder="1" applyAlignment="1">
      <alignment horizontal="center" vertical="top" wrapText="1"/>
    </xf>
    <xf numFmtId="3" fontId="61" fillId="0" borderId="13" xfId="0" applyNumberFormat="1" applyFont="1" applyFill="1" applyBorder="1" applyAlignment="1">
      <alignment horizontal="center" vertical="center"/>
    </xf>
    <xf numFmtId="0" fontId="61" fillId="0" borderId="13" xfId="0" applyFont="1" applyFill="1" applyBorder="1" applyAlignment="1">
      <alignment horizontal="center" vertical="center"/>
    </xf>
    <xf numFmtId="2" fontId="61" fillId="0" borderId="13" xfId="0" applyNumberFormat="1" applyFont="1" applyFill="1" applyBorder="1" applyAlignment="1">
      <alignment horizontal="center" vertical="center"/>
    </xf>
    <xf numFmtId="0" fontId="0" fillId="0" borderId="13" xfId="0" applyBorder="1" applyAlignment="1">
      <alignment horizontal="left" indent="1"/>
    </xf>
    <xf numFmtId="9" fontId="12" fillId="0" borderId="13" xfId="2" applyFont="1" applyBorder="1" applyAlignment="1">
      <alignment horizontal="left" indent="1"/>
    </xf>
    <xf numFmtId="4" fontId="138" fillId="0" borderId="13" xfId="0" applyNumberFormat="1" applyFont="1" applyFill="1" applyBorder="1" applyAlignment="1">
      <alignment horizontal="center" vertical="center"/>
    </xf>
    <xf numFmtId="0" fontId="86" fillId="92" borderId="13" xfId="0" applyFont="1" applyFill="1" applyBorder="1" applyAlignment="1">
      <alignment horizontal="left" indent="1"/>
    </xf>
    <xf numFmtId="9" fontId="149" fillId="92" borderId="13" xfId="2" applyFont="1" applyFill="1" applyBorder="1" applyAlignment="1">
      <alignment horizontal="left" indent="1"/>
    </xf>
    <xf numFmtId="4" fontId="86" fillId="92" borderId="13" xfId="0" applyNumberFormat="1" applyFont="1" applyFill="1" applyBorder="1" applyAlignment="1">
      <alignment horizontal="center" vertical="center"/>
    </xf>
    <xf numFmtId="0" fontId="43" fillId="0" borderId="43" xfId="23" applyFont="1" applyBorder="1" applyAlignment="1">
      <alignment horizontal="center" vertical="center" wrapText="1"/>
    </xf>
    <xf numFmtId="0" fontId="7" fillId="0" borderId="44" xfId="0" applyFont="1" applyFill="1" applyBorder="1" applyAlignment="1">
      <alignment horizontal="left" vertical="center" indent="1"/>
    </xf>
    <xf numFmtId="168" fontId="43" fillId="0" borderId="45" xfId="1" applyNumberFormat="1" applyFont="1" applyFill="1" applyBorder="1" applyAlignment="1">
      <alignment horizontal="center" vertical="center"/>
    </xf>
    <xf numFmtId="0" fontId="6" fillId="0" borderId="46" xfId="0" applyFont="1" applyFill="1" applyBorder="1" applyAlignment="1">
      <alignment horizontal="left" vertical="center" indent="1"/>
    </xf>
    <xf numFmtId="0" fontId="6" fillId="0" borderId="47" xfId="0" applyFont="1" applyFill="1" applyBorder="1" applyAlignment="1">
      <alignment horizontal="left" vertical="center" indent="1"/>
    </xf>
    <xf numFmtId="3" fontId="30" fillId="0" borderId="47" xfId="0" applyNumberFormat="1" applyFont="1" applyFill="1" applyBorder="1" applyAlignment="1">
      <alignment horizontal="center" vertical="center"/>
    </xf>
    <xf numFmtId="2" fontId="30" fillId="0" borderId="47" xfId="0" applyNumberFormat="1" applyFont="1" applyFill="1" applyBorder="1" applyAlignment="1">
      <alignment horizontal="center" vertical="center"/>
    </xf>
    <xf numFmtId="0" fontId="61" fillId="0" borderId="47" xfId="0" applyFont="1" applyFill="1" applyBorder="1"/>
    <xf numFmtId="0" fontId="26" fillId="0" borderId="47" xfId="0" applyFont="1" applyBorder="1" applyAlignment="1">
      <alignment horizontal="left" indent="1"/>
    </xf>
    <xf numFmtId="9" fontId="20" fillId="0" borderId="47" xfId="2" applyFont="1" applyBorder="1" applyAlignment="1">
      <alignment horizontal="left" indent="1"/>
    </xf>
    <xf numFmtId="3" fontId="26" fillId="0" borderId="47" xfId="0" applyNumberFormat="1" applyFont="1" applyBorder="1" applyAlignment="1">
      <alignment horizontal="center"/>
    </xf>
    <xf numFmtId="3" fontId="26" fillId="0" borderId="47" xfId="0" applyNumberFormat="1" applyFont="1" applyFill="1" applyBorder="1" applyAlignment="1">
      <alignment horizontal="center"/>
    </xf>
    <xf numFmtId="4" fontId="30" fillId="0" borderId="47" xfId="0" applyNumberFormat="1" applyFont="1" applyFill="1" applyBorder="1" applyAlignment="1">
      <alignment horizontal="center" vertical="center"/>
    </xf>
    <xf numFmtId="0" fontId="61" fillId="0" borderId="48" xfId="0" applyFont="1" applyFill="1" applyBorder="1"/>
    <xf numFmtId="0" fontId="7" fillId="0" borderId="269" xfId="0" applyFont="1" applyFill="1" applyBorder="1" applyAlignment="1">
      <alignment horizontal="left" vertical="center" indent="1"/>
    </xf>
    <xf numFmtId="167" fontId="9" fillId="0" borderId="20" xfId="2" applyNumberFormat="1" applyFont="1" applyFill="1" applyBorder="1" applyAlignment="1">
      <alignment horizontal="center" vertical="top" wrapText="1"/>
    </xf>
    <xf numFmtId="3" fontId="61" fillId="0" borderId="20" xfId="0" applyNumberFormat="1" applyFont="1" applyFill="1" applyBorder="1" applyAlignment="1">
      <alignment horizontal="center" vertical="center"/>
    </xf>
    <xf numFmtId="0" fontId="61" fillId="0" borderId="20" xfId="0" applyFont="1" applyFill="1" applyBorder="1" applyAlignment="1">
      <alignment horizontal="center" vertical="center"/>
    </xf>
    <xf numFmtId="2" fontId="61" fillId="0" borderId="20" xfId="0" applyNumberFormat="1" applyFont="1" applyFill="1" applyBorder="1" applyAlignment="1">
      <alignment horizontal="center" vertical="center"/>
    </xf>
    <xf numFmtId="0" fontId="61" fillId="0" borderId="20" xfId="0" applyFont="1" applyFill="1" applyBorder="1"/>
    <xf numFmtId="0" fontId="16" fillId="0" borderId="20" xfId="0" applyFont="1" applyFill="1" applyBorder="1" applyAlignment="1">
      <alignment horizontal="left" vertical="center" indent="1"/>
    </xf>
    <xf numFmtId="9" fontId="148" fillId="0" borderId="20" xfId="2" applyFont="1" applyFill="1" applyBorder="1" applyAlignment="1">
      <alignment horizontal="left" vertical="center" indent="1"/>
    </xf>
    <xf numFmtId="3" fontId="138" fillId="0" borderId="20" xfId="0" applyNumberFormat="1" applyFont="1" applyFill="1" applyBorder="1" applyAlignment="1">
      <alignment horizontal="center" vertical="center"/>
    </xf>
    <xf numFmtId="168" fontId="43" fillId="0" borderId="55" xfId="1" applyNumberFormat="1" applyFont="1" applyFill="1" applyBorder="1" applyAlignment="1">
      <alignment horizontal="center" vertical="center"/>
    </xf>
    <xf numFmtId="3" fontId="91" fillId="0" borderId="50" xfId="0" applyNumberFormat="1" applyFont="1" applyFill="1" applyBorder="1" applyAlignment="1">
      <alignment horizontal="center" vertical="center" wrapText="1"/>
    </xf>
    <xf numFmtId="0" fontId="90" fillId="0" borderId="50" xfId="83" applyFont="1" applyFill="1" applyBorder="1" applyAlignment="1">
      <alignment horizontal="center" vertical="center" wrapText="1"/>
    </xf>
    <xf numFmtId="0" fontId="61" fillId="0" borderId="50" xfId="0" applyFont="1" applyFill="1" applyBorder="1"/>
    <xf numFmtId="3" fontId="137" fillId="14" borderId="50" xfId="0" applyNumberFormat="1" applyFont="1" applyFill="1" applyBorder="1" applyAlignment="1">
      <alignment horizontal="center" vertical="center" wrapText="1"/>
    </xf>
    <xf numFmtId="0" fontId="41" fillId="14" borderId="50" xfId="83" applyFont="1" applyFill="1" applyBorder="1" applyAlignment="1">
      <alignment horizontal="center" vertical="center" wrapText="1"/>
    </xf>
    <xf numFmtId="0" fontId="43" fillId="0" borderId="51" xfId="23" applyFont="1" applyBorder="1" applyAlignment="1">
      <alignment horizontal="center" vertical="center" wrapText="1"/>
    </xf>
    <xf numFmtId="3" fontId="11" fillId="0" borderId="0" xfId="0" applyNumberFormat="1" applyFont="1" applyFill="1"/>
    <xf numFmtId="0" fontId="11" fillId="0" borderId="0" xfId="0" applyFont="1" applyFill="1" applyAlignment="1">
      <alignment horizontal="center"/>
    </xf>
    <xf numFmtId="0" fontId="154" fillId="0" borderId="0" xfId="0" applyFont="1" applyFill="1" applyAlignment="1">
      <alignment horizontal="center" vertical="center"/>
    </xf>
    <xf numFmtId="9" fontId="154" fillId="0" borderId="0" xfId="2" applyFont="1" applyFill="1"/>
    <xf numFmtId="3" fontId="11" fillId="83" borderId="13" xfId="0" applyNumberFormat="1" applyFont="1" applyFill="1" applyBorder="1" applyAlignment="1">
      <alignment vertical="center"/>
    </xf>
    <xf numFmtId="4" fontId="11" fillId="83" borderId="13" xfId="0" applyNumberFormat="1" applyFont="1" applyFill="1" applyBorder="1" applyAlignment="1">
      <alignment vertical="center"/>
    </xf>
    <xf numFmtId="9" fontId="11" fillId="83" borderId="13" xfId="2" applyFont="1" applyFill="1" applyBorder="1" applyAlignment="1">
      <alignment vertical="center"/>
    </xf>
    <xf numFmtId="0" fontId="11" fillId="83" borderId="44" xfId="0" applyFont="1" applyFill="1" applyBorder="1" applyAlignment="1">
      <alignment vertical="center"/>
    </xf>
    <xf numFmtId="168" fontId="11" fillId="83" borderId="45" xfId="1" applyNumberFormat="1" applyFont="1" applyFill="1" applyBorder="1" applyAlignment="1">
      <alignment vertical="center"/>
    </xf>
    <xf numFmtId="0" fontId="11" fillId="83" borderId="46" xfId="0" applyFont="1" applyFill="1" applyBorder="1" applyAlignment="1">
      <alignment vertical="center"/>
    </xf>
    <xf numFmtId="3" fontId="11" fillId="83" borderId="47" xfId="0" applyNumberFormat="1" applyFont="1" applyFill="1" applyBorder="1" applyAlignment="1">
      <alignment vertical="center"/>
    </xf>
    <xf numFmtId="4" fontId="11" fillId="83" borderId="47" xfId="0" applyNumberFormat="1" applyFont="1" applyFill="1" applyBorder="1" applyAlignment="1">
      <alignment vertical="center"/>
    </xf>
    <xf numFmtId="9" fontId="11" fillId="83" borderId="47" xfId="2" applyFont="1" applyFill="1" applyBorder="1" applyAlignment="1">
      <alignment vertical="center"/>
    </xf>
    <xf numFmtId="168" fontId="11" fillId="83" borderId="48" xfId="1" applyNumberFormat="1" applyFont="1" applyFill="1" applyBorder="1" applyAlignment="1">
      <alignment vertical="center"/>
    </xf>
    <xf numFmtId="0" fontId="11" fillId="83" borderId="269" xfId="0" applyFont="1" applyFill="1" applyBorder="1" applyAlignment="1">
      <alignment vertical="center"/>
    </xf>
    <xf numFmtId="3" fontId="11" fillId="83" borderId="20" xfId="0" applyNumberFormat="1" applyFont="1" applyFill="1" applyBorder="1" applyAlignment="1">
      <alignment vertical="center"/>
    </xf>
    <xf numFmtId="4" fontId="11" fillId="83" borderId="20" xfId="0" applyNumberFormat="1" applyFont="1" applyFill="1" applyBorder="1" applyAlignment="1">
      <alignment vertical="center"/>
    </xf>
    <xf numFmtId="9" fontId="11" fillId="83" borderId="20" xfId="2" applyFont="1" applyFill="1" applyBorder="1" applyAlignment="1">
      <alignment vertical="center"/>
    </xf>
    <xf numFmtId="168" fontId="11" fillId="83" borderId="55" xfId="1" applyNumberFormat="1" applyFont="1" applyFill="1" applyBorder="1" applyAlignment="1">
      <alignment vertical="center"/>
    </xf>
    <xf numFmtId="17" fontId="11" fillId="83" borderId="49" xfId="0" applyNumberFormat="1" applyFont="1" applyFill="1" applyBorder="1" applyAlignment="1">
      <alignment horizontal="center" vertical="center"/>
    </xf>
    <xf numFmtId="0" fontId="11" fillId="83" borderId="50" xfId="0" applyFont="1" applyFill="1" applyBorder="1" applyAlignment="1">
      <alignment horizontal="center" vertical="center"/>
    </xf>
    <xf numFmtId="0" fontId="11" fillId="83" borderId="51" xfId="0" applyFont="1" applyFill="1" applyBorder="1" applyAlignment="1">
      <alignment horizontal="center" vertical="center" wrapText="1"/>
    </xf>
    <xf numFmtId="0" fontId="0" fillId="0" borderId="0" xfId="0" applyFill="1" applyAlignment="1">
      <alignment horizontal="center"/>
    </xf>
    <xf numFmtId="0" fontId="67" fillId="0" borderId="0" xfId="23" applyFont="1" applyFill="1" applyBorder="1" applyAlignment="1">
      <alignment horizontal="center" vertical="center" wrapText="1"/>
    </xf>
    <xf numFmtId="0" fontId="43" fillId="0" borderId="0" xfId="23" applyFont="1" applyFill="1" applyBorder="1" applyAlignment="1">
      <alignment horizontal="center" vertical="center" wrapText="1"/>
    </xf>
    <xf numFmtId="173" fontId="68" fillId="0" borderId="0" xfId="23" applyNumberFormat="1" applyFont="1" applyFill="1" applyBorder="1" applyAlignment="1">
      <alignment horizontal="center" vertical="center"/>
    </xf>
    <xf numFmtId="168" fontId="91" fillId="0" borderId="0" xfId="1" applyNumberFormat="1" applyFont="1" applyFill="1" applyBorder="1" applyAlignment="1">
      <alignment horizontal="center" vertical="center"/>
    </xf>
    <xf numFmtId="168" fontId="69" fillId="0" borderId="0" xfId="1" applyNumberFormat="1" applyFont="1" applyFill="1" applyBorder="1" applyAlignment="1">
      <alignment horizontal="center" vertical="center" wrapText="1"/>
    </xf>
    <xf numFmtId="3" fontId="0" fillId="0" borderId="0" xfId="0" applyNumberFormat="1" applyFill="1" applyAlignment="1">
      <alignment horizontal="center"/>
    </xf>
    <xf numFmtId="3" fontId="69" fillId="27" borderId="13" xfId="23" applyNumberFormat="1" applyFont="1" applyFill="1" applyBorder="1" applyAlignment="1">
      <alignment horizontal="center" vertical="center"/>
    </xf>
    <xf numFmtId="177" fontId="69" fillId="27" borderId="13" xfId="23" applyNumberFormat="1" applyFont="1" applyFill="1" applyBorder="1" applyAlignment="1">
      <alignment horizontal="center" vertical="center"/>
    </xf>
    <xf numFmtId="3" fontId="68" fillId="0" borderId="13" xfId="23" applyNumberFormat="1" applyFont="1" applyBorder="1" applyAlignment="1">
      <alignment horizontal="center" vertical="center"/>
    </xf>
    <xf numFmtId="173" fontId="68" fillId="0" borderId="13" xfId="23" applyNumberFormat="1" applyFont="1" applyBorder="1" applyAlignment="1">
      <alignment horizontal="center" vertical="center"/>
    </xf>
    <xf numFmtId="177" fontId="68" fillId="0" borderId="13" xfId="23" applyNumberFormat="1" applyFont="1" applyBorder="1" applyAlignment="1">
      <alignment horizontal="center" vertical="center"/>
    </xf>
    <xf numFmtId="3" fontId="91" fillId="27" borderId="13" xfId="23" applyNumberFormat="1" applyFont="1" applyFill="1" applyBorder="1" applyAlignment="1">
      <alignment horizontal="center" vertical="center"/>
    </xf>
    <xf numFmtId="177" fontId="91" fillId="27" borderId="13" xfId="23" applyNumberFormat="1" applyFont="1" applyFill="1" applyBorder="1" applyAlignment="1">
      <alignment horizontal="center" vertical="center"/>
    </xf>
    <xf numFmtId="3" fontId="68" fillId="16" borderId="13" xfId="23" applyNumberFormat="1" applyFont="1" applyFill="1" applyBorder="1" applyAlignment="1">
      <alignment horizontal="center" vertical="center"/>
    </xf>
    <xf numFmtId="3" fontId="9" fillId="0" borderId="13" xfId="23" applyNumberFormat="1" applyFont="1" applyFill="1" applyBorder="1" applyAlignment="1">
      <alignment horizontal="center" vertical="center"/>
    </xf>
    <xf numFmtId="0" fontId="68" fillId="0" borderId="127" xfId="23" applyFont="1" applyBorder="1" applyAlignment="1">
      <alignment horizontal="center" vertical="center" wrapText="1"/>
    </xf>
    <xf numFmtId="3" fontId="68" fillId="0" borderId="42" xfId="23" applyNumberFormat="1" applyFont="1" applyBorder="1" applyAlignment="1">
      <alignment horizontal="center" vertical="center" wrapText="1"/>
    </xf>
    <xf numFmtId="0" fontId="69" fillId="27" borderId="44" xfId="23" applyFont="1" applyFill="1" applyBorder="1" applyAlignment="1">
      <alignment horizontal="left" vertical="center" wrapText="1"/>
    </xf>
    <xf numFmtId="0" fontId="68" fillId="0" borderId="44" xfId="23" applyFont="1" applyBorder="1" applyAlignment="1">
      <alignment horizontal="left" vertical="center" wrapText="1"/>
    </xf>
    <xf numFmtId="0" fontId="69" fillId="27" borderId="44" xfId="23" applyFont="1" applyFill="1" applyBorder="1" applyAlignment="1">
      <alignment horizontal="center" vertical="center" wrapText="1"/>
    </xf>
    <xf numFmtId="0" fontId="69" fillId="27" borderId="46" xfId="23" applyFont="1" applyFill="1" applyBorder="1" applyAlignment="1">
      <alignment horizontal="left" vertical="center" wrapText="1"/>
    </xf>
    <xf numFmtId="3" fontId="69" fillId="27" borderId="47" xfId="23" applyNumberFormat="1" applyFont="1" applyFill="1" applyBorder="1" applyAlignment="1">
      <alignment horizontal="center" vertical="center"/>
    </xf>
    <xf numFmtId="0" fontId="68" fillId="0" borderId="42" xfId="23" applyFont="1" applyBorder="1" applyAlignment="1">
      <alignment horizontal="center" vertical="center" wrapText="1"/>
    </xf>
    <xf numFmtId="168" fontId="69" fillId="27" borderId="45" xfId="1" applyNumberFormat="1" applyFont="1" applyFill="1" applyBorder="1" applyAlignment="1">
      <alignment horizontal="center" vertical="center"/>
    </xf>
    <xf numFmtId="168" fontId="68" fillId="0" borderId="45" xfId="1" applyNumberFormat="1" applyFont="1" applyBorder="1" applyAlignment="1">
      <alignment horizontal="center" vertical="center"/>
    </xf>
    <xf numFmtId="168" fontId="91" fillId="27" borderId="45" xfId="1" applyNumberFormat="1" applyFont="1" applyFill="1" applyBorder="1" applyAlignment="1">
      <alignment horizontal="center" vertical="center"/>
    </xf>
    <xf numFmtId="171" fontId="69" fillId="27" borderId="47" xfId="23" applyNumberFormat="1" applyFont="1" applyFill="1" applyBorder="1" applyAlignment="1">
      <alignment horizontal="center" vertical="center" wrapText="1"/>
    </xf>
    <xf numFmtId="168" fontId="69" fillId="27" borderId="48" xfId="1" applyNumberFormat="1" applyFont="1" applyFill="1" applyBorder="1" applyAlignment="1">
      <alignment horizontal="center" vertical="center" wrapText="1"/>
    </xf>
    <xf numFmtId="0" fontId="69" fillId="27" borderId="269" xfId="23" applyFont="1" applyFill="1" applyBorder="1" applyAlignment="1">
      <alignment horizontal="center" vertical="center" wrapText="1"/>
    </xf>
    <xf numFmtId="3" fontId="69" fillId="27" borderId="20" xfId="23" applyNumberFormat="1" applyFont="1" applyFill="1" applyBorder="1" applyAlignment="1">
      <alignment horizontal="center" vertical="center"/>
    </xf>
    <xf numFmtId="177" fontId="69" fillId="27" borderId="20" xfId="23" applyNumberFormat="1" applyFont="1" applyFill="1" applyBorder="1" applyAlignment="1">
      <alignment horizontal="center" vertical="center"/>
    </xf>
    <xf numFmtId="168" fontId="69" fillId="27" borderId="55" xfId="1" applyNumberFormat="1" applyFont="1" applyFill="1" applyBorder="1" applyAlignment="1">
      <alignment horizontal="center" vertical="center"/>
    </xf>
    <xf numFmtId="0" fontId="68" fillId="0" borderId="46" xfId="23" applyFont="1" applyBorder="1" applyAlignment="1">
      <alignment horizontal="left" vertical="center" wrapText="1"/>
    </xf>
    <xf numFmtId="3" fontId="68" fillId="0" borderId="47" xfId="23" applyNumberFormat="1" applyFont="1" applyBorder="1" applyAlignment="1">
      <alignment horizontal="center" vertical="center"/>
    </xf>
    <xf numFmtId="173" fontId="68" fillId="0" borderId="47" xfId="23" applyNumberFormat="1" applyFont="1" applyBorder="1" applyAlignment="1">
      <alignment horizontal="center" vertical="center"/>
    </xf>
    <xf numFmtId="173" fontId="68" fillId="0" borderId="48" xfId="23" applyNumberFormat="1" applyFont="1" applyBorder="1" applyAlignment="1">
      <alignment horizontal="center" vertical="center"/>
    </xf>
    <xf numFmtId="0" fontId="97" fillId="0" borderId="0" xfId="0" applyFont="1" applyAlignment="1">
      <alignment horizontal="left" vertical="center" wrapText="1"/>
    </xf>
    <xf numFmtId="0" fontId="0" fillId="0" borderId="0" xfId="0" applyAlignment="1">
      <alignment horizontal="center" wrapText="1"/>
    </xf>
    <xf numFmtId="0" fontId="158" fillId="0" borderId="13" xfId="0" applyFont="1" applyFill="1" applyBorder="1" applyAlignment="1">
      <alignment horizontal="center"/>
    </xf>
    <xf numFmtId="3" fontId="19" fillId="5" borderId="13" xfId="0" applyNumberFormat="1" applyFont="1" applyFill="1" applyBorder="1" applyAlignment="1">
      <alignment horizontal="left"/>
    </xf>
    <xf numFmtId="3" fontId="19" fillId="79" borderId="13" xfId="0" applyNumberFormat="1" applyFont="1" applyFill="1" applyBorder="1" applyAlignment="1">
      <alignment horizontal="left"/>
    </xf>
    <xf numFmtId="3" fontId="19" fillId="3" borderId="13" xfId="95" applyNumberFormat="1" applyFont="1" applyFill="1" applyBorder="1" applyAlignment="1">
      <alignment horizontal="left"/>
    </xf>
    <xf numFmtId="171" fontId="7" fillId="16" borderId="0" xfId="0" applyNumberFormat="1" applyFont="1" applyFill="1" applyBorder="1" applyAlignment="1">
      <alignment horizontal="left" vertical="center" wrapText="1"/>
    </xf>
    <xf numFmtId="171" fontId="30" fillId="73" borderId="29" xfId="0" applyNumberFormat="1" applyFont="1" applyFill="1" applyBorder="1" applyAlignment="1">
      <alignment horizontal="center" vertical="center"/>
    </xf>
    <xf numFmtId="171" fontId="30" fillId="73" borderId="30" xfId="0" applyNumberFormat="1" applyFont="1" applyFill="1" applyBorder="1" applyAlignment="1">
      <alignment horizontal="center" vertical="center"/>
    </xf>
    <xf numFmtId="171" fontId="63" fillId="3" borderId="0" xfId="0" applyNumberFormat="1" applyFont="1" applyFill="1" applyBorder="1" applyAlignment="1">
      <alignment horizontal="center" vertical="center" wrapText="1"/>
    </xf>
    <xf numFmtId="1" fontId="63" fillId="3" borderId="6" xfId="0" applyNumberFormat="1" applyFont="1" applyFill="1" applyBorder="1" applyAlignment="1">
      <alignment horizontal="center" vertical="center" wrapText="1"/>
    </xf>
    <xf numFmtId="171" fontId="30" fillId="16" borderId="0" xfId="0" applyNumberFormat="1" applyFont="1" applyFill="1" applyBorder="1" applyAlignment="1">
      <alignment horizontal="center" vertical="center" wrapText="1"/>
    </xf>
    <xf numFmtId="9" fontId="30" fillId="16" borderId="52" xfId="2" applyFont="1" applyFill="1" applyBorder="1" applyAlignment="1">
      <alignment horizontal="center" vertical="center"/>
    </xf>
    <xf numFmtId="9" fontId="30" fillId="16" borderId="11" xfId="2" applyFont="1" applyFill="1" applyBorder="1" applyAlignment="1">
      <alignment horizontal="center" vertical="center"/>
    </xf>
    <xf numFmtId="9" fontId="30" fillId="16" borderId="0" xfId="2" applyFont="1" applyFill="1" applyBorder="1" applyAlignment="1">
      <alignment horizontal="center" vertical="center"/>
    </xf>
    <xf numFmtId="171" fontId="30" fillId="14" borderId="42" xfId="0" applyNumberFormat="1" applyFont="1" applyFill="1" applyBorder="1" applyAlignment="1">
      <alignment horizontal="center"/>
    </xf>
    <xf numFmtId="171" fontId="152" fillId="14" borderId="42" xfId="0" applyNumberFormat="1" applyFont="1" applyFill="1" applyBorder="1" applyAlignment="1">
      <alignment horizontal="center"/>
    </xf>
    <xf numFmtId="171" fontId="63" fillId="14" borderId="42" xfId="0" applyNumberFormat="1" applyFont="1" applyFill="1" applyBorder="1" applyAlignment="1">
      <alignment horizontal="center"/>
    </xf>
    <xf numFmtId="171" fontId="30" fillId="14" borderId="43" xfId="0" applyNumberFormat="1" applyFont="1" applyFill="1" applyBorder="1" applyAlignment="1">
      <alignment horizontal="center"/>
    </xf>
    <xf numFmtId="171" fontId="61" fillId="14" borderId="13" xfId="0" applyNumberFormat="1" applyFont="1" applyFill="1" applyBorder="1" applyAlignment="1">
      <alignment horizontal="center"/>
    </xf>
    <xf numFmtId="171" fontId="61" fillId="14" borderId="45" xfId="0" applyNumberFormat="1" applyFont="1" applyFill="1" applyBorder="1" applyAlignment="1">
      <alignment horizontal="center"/>
    </xf>
    <xf numFmtId="171" fontId="61" fillId="14" borderId="47" xfId="0" applyNumberFormat="1" applyFont="1" applyFill="1" applyBorder="1" applyAlignment="1">
      <alignment horizontal="center"/>
    </xf>
    <xf numFmtId="171" fontId="61" fillId="14" borderId="48" xfId="0" applyNumberFormat="1" applyFont="1" applyFill="1" applyBorder="1" applyAlignment="1">
      <alignment horizontal="center"/>
    </xf>
    <xf numFmtId="171" fontId="30" fillId="16" borderId="0" xfId="0" applyNumberFormat="1" applyFont="1" applyFill="1" applyBorder="1" applyAlignment="1">
      <alignment horizontal="center"/>
    </xf>
    <xf numFmtId="9" fontId="159" fillId="16" borderId="52" xfId="2" applyFont="1" applyFill="1" applyBorder="1" applyAlignment="1">
      <alignment horizontal="center" vertical="center"/>
    </xf>
    <xf numFmtId="9" fontId="159" fillId="16" borderId="11" xfId="2" applyFont="1" applyFill="1" applyBorder="1" applyAlignment="1">
      <alignment horizontal="center" vertical="center"/>
    </xf>
    <xf numFmtId="171" fontId="30" fillId="70" borderId="259" xfId="0" applyNumberFormat="1" applyFont="1" applyFill="1" applyBorder="1" applyAlignment="1">
      <alignment horizontal="center"/>
    </xf>
    <xf numFmtId="171" fontId="30" fillId="70" borderId="234" xfId="0" applyNumberFormat="1" applyFont="1" applyFill="1" applyBorder="1" applyAlignment="1">
      <alignment horizontal="center"/>
    </xf>
    <xf numFmtId="171" fontId="30" fillId="70" borderId="234" xfId="22" applyNumberFormat="1" applyFont="1" applyFill="1" applyBorder="1" applyAlignment="1">
      <alignment horizontal="center"/>
    </xf>
    <xf numFmtId="171" fontId="152" fillId="70" borderId="234" xfId="22" applyNumberFormat="1" applyFont="1" applyFill="1" applyBorder="1" applyAlignment="1">
      <alignment horizontal="center"/>
    </xf>
    <xf numFmtId="171" fontId="30" fillId="70" borderId="84" xfId="0" applyNumberFormat="1" applyFont="1" applyFill="1" applyBorder="1" applyAlignment="1">
      <alignment horizontal="center"/>
    </xf>
    <xf numFmtId="171" fontId="30" fillId="70" borderId="73" xfId="0" applyNumberFormat="1" applyFont="1" applyFill="1" applyBorder="1" applyAlignment="1">
      <alignment horizontal="center"/>
    </xf>
    <xf numFmtId="171" fontId="30" fillId="70" borderId="73" xfId="22" applyNumberFormat="1" applyFont="1" applyFill="1" applyBorder="1" applyAlignment="1">
      <alignment horizontal="center"/>
    </xf>
    <xf numFmtId="171" fontId="30" fillId="70" borderId="88" xfId="22" applyNumberFormat="1" applyFont="1" applyFill="1" applyBorder="1" applyAlignment="1">
      <alignment horizontal="center"/>
    </xf>
    <xf numFmtId="171" fontId="30" fillId="70" borderId="85" xfId="0" applyNumberFormat="1" applyFont="1" applyFill="1" applyBorder="1" applyAlignment="1">
      <alignment horizontal="center"/>
    </xf>
    <xf numFmtId="171" fontId="30" fillId="70" borderId="86" xfId="0" applyNumberFormat="1" applyFont="1" applyFill="1" applyBorder="1" applyAlignment="1">
      <alignment horizontal="center"/>
    </xf>
    <xf numFmtId="171" fontId="30" fillId="70" borderId="86" xfId="22" applyNumberFormat="1" applyFont="1" applyFill="1" applyBorder="1" applyAlignment="1">
      <alignment horizontal="center"/>
    </xf>
    <xf numFmtId="171" fontId="30" fillId="70" borderId="260" xfId="22" applyNumberFormat="1" applyFont="1" applyFill="1" applyBorder="1" applyAlignment="1">
      <alignment horizontal="center"/>
    </xf>
    <xf numFmtId="171" fontId="61" fillId="16" borderId="0" xfId="0" applyNumberFormat="1" applyFont="1" applyFill="1" applyBorder="1" applyAlignment="1">
      <alignment horizontal="center"/>
    </xf>
    <xf numFmtId="171" fontId="163" fillId="16" borderId="0" xfId="0" applyNumberFormat="1" applyFont="1" applyFill="1" applyBorder="1" applyAlignment="1">
      <alignment horizontal="center"/>
    </xf>
    <xf numFmtId="171" fontId="30" fillId="15" borderId="96" xfId="22" applyNumberFormat="1" applyFont="1" applyFill="1" applyBorder="1" applyAlignment="1">
      <alignment horizontal="center"/>
    </xf>
    <xf numFmtId="171" fontId="30" fillId="15" borderId="97" xfId="22" applyNumberFormat="1" applyFont="1" applyFill="1" applyBorder="1" applyAlignment="1">
      <alignment horizontal="center"/>
    </xf>
    <xf numFmtId="171" fontId="30" fillId="15" borderId="98" xfId="22" applyNumberFormat="1" applyFont="1" applyFill="1" applyBorder="1" applyAlignment="1">
      <alignment horizontal="center"/>
    </xf>
    <xf numFmtId="171" fontId="30" fillId="15" borderId="94" xfId="22" applyNumberFormat="1" applyFont="1" applyFill="1" applyBorder="1" applyAlignment="1">
      <alignment horizontal="center"/>
    </xf>
    <xf numFmtId="171" fontId="30" fillId="15" borderId="92" xfId="22" applyNumberFormat="1" applyFont="1" applyFill="1" applyBorder="1" applyAlignment="1">
      <alignment horizontal="center"/>
    </xf>
    <xf numFmtId="171" fontId="30" fillId="15" borderId="95" xfId="22" applyNumberFormat="1" applyFont="1" applyFill="1" applyBorder="1" applyAlignment="1">
      <alignment horizontal="center"/>
    </xf>
    <xf numFmtId="171" fontId="30" fillId="15" borderId="84" xfId="22" applyNumberFormat="1" applyFont="1" applyFill="1" applyBorder="1" applyAlignment="1">
      <alignment horizontal="center"/>
    </xf>
    <xf numFmtId="171" fontId="30" fillId="15" borderId="73" xfId="22" applyNumberFormat="1" applyFont="1" applyFill="1" applyBorder="1" applyAlignment="1">
      <alignment horizontal="center"/>
    </xf>
    <xf numFmtId="171" fontId="30" fillId="15" borderId="91" xfId="22" applyNumberFormat="1" applyFont="1" applyFill="1" applyBorder="1" applyAlignment="1">
      <alignment horizontal="center"/>
    </xf>
    <xf numFmtId="171" fontId="30" fillId="15" borderId="85" xfId="22" applyNumberFormat="1" applyFont="1" applyFill="1" applyBorder="1" applyAlignment="1">
      <alignment horizontal="center"/>
    </xf>
    <xf numFmtId="171" fontId="30" fillId="15" borderId="86" xfId="22" applyNumberFormat="1" applyFont="1" applyFill="1" applyBorder="1" applyAlignment="1">
      <alignment horizontal="center"/>
    </xf>
    <xf numFmtId="171" fontId="30" fillId="15" borderId="90" xfId="22" applyNumberFormat="1" applyFont="1" applyFill="1" applyBorder="1" applyAlignment="1">
      <alignment horizontal="center"/>
    </xf>
    <xf numFmtId="171" fontId="30" fillId="16" borderId="0" xfId="22" applyNumberFormat="1" applyFont="1" applyFill="1" applyBorder="1" applyAlignment="1">
      <alignment horizontal="center"/>
    </xf>
    <xf numFmtId="171" fontId="164" fillId="16" borderId="0" xfId="22" applyNumberFormat="1" applyFont="1" applyFill="1" applyBorder="1" applyAlignment="1">
      <alignment horizontal="center"/>
    </xf>
    <xf numFmtId="171" fontId="30" fillId="29" borderId="52" xfId="0" applyNumberFormat="1" applyFont="1" applyFill="1" applyBorder="1" applyAlignment="1">
      <alignment horizontal="center"/>
    </xf>
    <xf numFmtId="171" fontId="30" fillId="29" borderId="97" xfId="22" applyNumberFormat="1" applyFont="1" applyFill="1" applyBorder="1" applyAlignment="1">
      <alignment horizontal="center"/>
    </xf>
    <xf numFmtId="171" fontId="30" fillId="29" borderId="98" xfId="22" applyNumberFormat="1" applyFont="1" applyFill="1" applyBorder="1" applyAlignment="1">
      <alignment horizontal="center"/>
    </xf>
    <xf numFmtId="171" fontId="30" fillId="29" borderId="94" xfId="22" applyNumberFormat="1" applyFont="1" applyFill="1" applyBorder="1" applyAlignment="1">
      <alignment horizontal="center"/>
    </xf>
    <xf numFmtId="171" fontId="30" fillId="29" borderId="92" xfId="22" applyNumberFormat="1" applyFont="1" applyFill="1" applyBorder="1" applyAlignment="1">
      <alignment horizontal="center"/>
    </xf>
    <xf numFmtId="171" fontId="30" fillId="29" borderId="95" xfId="22" applyNumberFormat="1" applyFont="1" applyFill="1" applyBorder="1" applyAlignment="1">
      <alignment horizontal="center"/>
    </xf>
    <xf numFmtId="171" fontId="30" fillId="29" borderId="84" xfId="22" applyNumberFormat="1" applyFont="1" applyFill="1" applyBorder="1" applyAlignment="1">
      <alignment horizontal="center"/>
    </xf>
    <xf numFmtId="171" fontId="30" fillId="29" borderId="73" xfId="22" applyNumberFormat="1" applyFont="1" applyFill="1" applyBorder="1" applyAlignment="1">
      <alignment horizontal="center"/>
    </xf>
    <xf numFmtId="171" fontId="30" fillId="29" borderId="91" xfId="22" applyNumberFormat="1" applyFont="1" applyFill="1" applyBorder="1" applyAlignment="1">
      <alignment horizontal="center"/>
    </xf>
    <xf numFmtId="171" fontId="30" fillId="29" borderId="85" xfId="22" applyNumberFormat="1" applyFont="1" applyFill="1" applyBorder="1" applyAlignment="1">
      <alignment horizontal="center"/>
    </xf>
    <xf numFmtId="171" fontId="30" fillId="29" borderId="86" xfId="22" applyNumberFormat="1" applyFont="1" applyFill="1" applyBorder="1" applyAlignment="1">
      <alignment horizontal="center"/>
    </xf>
    <xf numFmtId="171" fontId="30" fillId="29" borderId="90" xfId="22" applyNumberFormat="1" applyFont="1" applyFill="1" applyBorder="1" applyAlignment="1">
      <alignment horizontal="center"/>
    </xf>
    <xf numFmtId="171" fontId="63" fillId="16" borderId="0" xfId="22" applyNumberFormat="1" applyFont="1" applyFill="1" applyBorder="1" applyAlignment="1">
      <alignment horizontal="center"/>
    </xf>
    <xf numFmtId="1" fontId="58" fillId="98" borderId="35" xfId="0" applyNumberFormat="1" applyFont="1" applyFill="1" applyBorder="1" applyAlignment="1"/>
    <xf numFmtId="1" fontId="58" fillId="98" borderId="29" xfId="0" applyNumberFormat="1" applyFont="1" applyFill="1" applyBorder="1" applyAlignment="1"/>
    <xf numFmtId="1" fontId="58" fillId="98" borderId="29" xfId="0" applyNumberFormat="1" applyFont="1" applyFill="1" applyBorder="1" applyAlignment="1">
      <alignment horizontal="center"/>
    </xf>
    <xf numFmtId="1" fontId="58" fillId="98" borderId="30" xfId="0" applyNumberFormat="1" applyFont="1" applyFill="1" applyBorder="1" applyAlignment="1"/>
    <xf numFmtId="171" fontId="58" fillId="0" borderId="37" xfId="0" applyNumberFormat="1" applyFont="1" applyFill="1" applyBorder="1" applyAlignment="1">
      <alignment horizontal="center"/>
    </xf>
    <xf numFmtId="171" fontId="58" fillId="0" borderId="0" xfId="0" applyNumberFormat="1" applyFont="1" applyFill="1" applyBorder="1" applyAlignment="1">
      <alignment horizontal="center"/>
    </xf>
    <xf numFmtId="171" fontId="58" fillId="0" borderId="7" xfId="0" applyNumberFormat="1" applyFont="1" applyFill="1" applyBorder="1" applyAlignment="1">
      <alignment horizontal="center"/>
    </xf>
    <xf numFmtId="171" fontId="58" fillId="98" borderId="274" xfId="0" applyNumberFormat="1" applyFont="1" applyFill="1" applyBorder="1" applyAlignment="1">
      <alignment horizontal="center"/>
    </xf>
    <xf numFmtId="171" fontId="58" fillId="98" borderId="27" xfId="0" applyNumberFormat="1" applyFont="1" applyFill="1" applyBorder="1" applyAlignment="1">
      <alignment horizontal="center"/>
    </xf>
    <xf numFmtId="171" fontId="58" fillId="98" borderId="264" xfId="0" applyNumberFormat="1" applyFont="1" applyFill="1" applyBorder="1" applyAlignment="1">
      <alignment horizontal="center"/>
    </xf>
    <xf numFmtId="171" fontId="165" fillId="98" borderId="37" xfId="0" applyNumberFormat="1" applyFont="1" applyFill="1" applyBorder="1" applyAlignment="1">
      <alignment horizontal="center"/>
    </xf>
    <xf numFmtId="171" fontId="165" fillId="98" borderId="0" xfId="0" applyNumberFormat="1" applyFont="1" applyFill="1" applyBorder="1" applyAlignment="1">
      <alignment horizontal="center"/>
    </xf>
    <xf numFmtId="171" fontId="165" fillId="98" borderId="7" xfId="0" applyNumberFormat="1" applyFont="1" applyFill="1" applyBorder="1" applyAlignment="1">
      <alignment horizontal="center"/>
    </xf>
    <xf numFmtId="1" fontId="166" fillId="88" borderId="35" xfId="0" applyNumberFormat="1" applyFont="1" applyFill="1" applyBorder="1" applyAlignment="1"/>
    <xf numFmtId="1" fontId="166" fillId="88" borderId="29" xfId="0" applyNumberFormat="1" applyFont="1" applyFill="1" applyBorder="1" applyAlignment="1"/>
    <xf numFmtId="171" fontId="166" fillId="88" borderId="291" xfId="0" applyNumberFormat="1" applyFont="1" applyFill="1" applyBorder="1" applyAlignment="1">
      <alignment horizontal="center"/>
    </xf>
    <xf numFmtId="171" fontId="166" fillId="88" borderId="292" xfId="0" applyNumberFormat="1" applyFont="1" applyFill="1" applyBorder="1" applyAlignment="1">
      <alignment horizontal="center"/>
    </xf>
    <xf numFmtId="171" fontId="166" fillId="88" borderId="293" xfId="0" applyNumberFormat="1" applyFont="1" applyFill="1" applyBorder="1" applyAlignment="1">
      <alignment horizontal="center"/>
    </xf>
    <xf numFmtId="171" fontId="59" fillId="22" borderId="0" xfId="0" applyNumberFormat="1" applyFont="1" applyFill="1" applyBorder="1" applyAlignment="1">
      <alignment horizontal="center"/>
    </xf>
    <xf numFmtId="171" fontId="167" fillId="22" borderId="291" xfId="0" applyNumberFormat="1" applyFont="1" applyFill="1" applyBorder="1" applyAlignment="1">
      <alignment horizontal="center"/>
    </xf>
    <xf numFmtId="171" fontId="167" fillId="22" borderId="292" xfId="0" applyNumberFormat="1" applyFont="1" applyFill="1" applyBorder="1" applyAlignment="1">
      <alignment horizontal="center"/>
    </xf>
    <xf numFmtId="171" fontId="167" fillId="22" borderId="293" xfId="0" applyNumberFormat="1" applyFont="1" applyFill="1" applyBorder="1" applyAlignment="1">
      <alignment horizontal="center"/>
    </xf>
    <xf numFmtId="1" fontId="59" fillId="22" borderId="35" xfId="0" applyNumberFormat="1" applyFont="1" applyFill="1" applyBorder="1" applyAlignment="1"/>
    <xf numFmtId="1" fontId="59" fillId="22" borderId="29" xfId="0" applyNumberFormat="1" applyFont="1" applyFill="1" applyBorder="1" applyAlignment="1"/>
    <xf numFmtId="1" fontId="59" fillId="22" borderId="30" xfId="0" applyNumberFormat="1" applyFont="1" applyFill="1" applyBorder="1" applyAlignment="1"/>
    <xf numFmtId="171" fontId="59" fillId="22" borderId="37" xfId="0" applyNumberFormat="1" applyFont="1" applyFill="1" applyBorder="1" applyAlignment="1">
      <alignment horizontal="center"/>
    </xf>
    <xf numFmtId="171" fontId="59" fillId="22" borderId="7" xfId="0" applyNumberFormat="1" applyFont="1" applyFill="1" applyBorder="1" applyAlignment="1">
      <alignment horizontal="center"/>
    </xf>
    <xf numFmtId="171" fontId="59" fillId="4" borderId="37" xfId="0" applyNumberFormat="1" applyFont="1" applyFill="1" applyBorder="1" applyAlignment="1">
      <alignment horizontal="center"/>
    </xf>
    <xf numFmtId="171" fontId="59" fillId="4" borderId="0" xfId="0" applyNumberFormat="1" applyFont="1" applyFill="1" applyBorder="1" applyAlignment="1">
      <alignment horizontal="center"/>
    </xf>
    <xf numFmtId="171" fontId="59" fillId="4" borderId="7" xfId="0" applyNumberFormat="1" applyFont="1" applyFill="1" applyBorder="1" applyAlignment="1">
      <alignment horizontal="center"/>
    </xf>
    <xf numFmtId="171" fontId="168" fillId="4" borderId="37" xfId="0" applyNumberFormat="1" applyFont="1" applyFill="1" applyBorder="1" applyAlignment="1">
      <alignment horizontal="center"/>
    </xf>
    <xf numFmtId="171" fontId="168" fillId="4" borderId="0" xfId="0" applyNumberFormat="1" applyFont="1" applyFill="1" applyBorder="1" applyAlignment="1">
      <alignment horizontal="center"/>
    </xf>
    <xf numFmtId="171" fontId="168" fillId="4" borderId="7" xfId="0" applyNumberFormat="1" applyFont="1" applyFill="1" applyBorder="1" applyAlignment="1">
      <alignment horizontal="center"/>
    </xf>
    <xf numFmtId="1" fontId="161" fillId="15" borderId="35" xfId="0" applyNumberFormat="1" applyFont="1" applyFill="1" applyBorder="1" applyAlignment="1"/>
    <xf numFmtId="1" fontId="161" fillId="15" borderId="29" xfId="0" applyNumberFormat="1" applyFont="1" applyFill="1" applyBorder="1" applyAlignment="1"/>
    <xf numFmtId="1" fontId="161" fillId="15" borderId="30" xfId="0" applyNumberFormat="1" applyFont="1" applyFill="1" applyBorder="1" applyAlignment="1"/>
    <xf numFmtId="171" fontId="62" fillId="0" borderId="37" xfId="0" applyNumberFormat="1" applyFont="1" applyFill="1" applyBorder="1" applyAlignment="1">
      <alignment horizontal="center"/>
    </xf>
    <xf numFmtId="171" fontId="62" fillId="0" borderId="0" xfId="0" applyNumberFormat="1" applyFont="1" applyFill="1" applyBorder="1" applyAlignment="1">
      <alignment horizontal="center"/>
    </xf>
    <xf numFmtId="171" fontId="62" fillId="0" borderId="7" xfId="0" applyNumberFormat="1" applyFont="1" applyFill="1" applyBorder="1" applyAlignment="1">
      <alignment horizontal="center"/>
    </xf>
    <xf numFmtId="171" fontId="63" fillId="15" borderId="37" xfId="0" applyNumberFormat="1" applyFont="1" applyFill="1" applyBorder="1" applyAlignment="1">
      <alignment horizontal="center"/>
    </xf>
    <xf numFmtId="171" fontId="63" fillId="15" borderId="0" xfId="0" applyNumberFormat="1" applyFont="1" applyFill="1" applyBorder="1" applyAlignment="1">
      <alignment horizontal="center"/>
    </xf>
    <xf numFmtId="171" fontId="63" fillId="15" borderId="7" xfId="0" applyNumberFormat="1" applyFont="1" applyFill="1" applyBorder="1" applyAlignment="1">
      <alignment horizontal="center"/>
    </xf>
    <xf numFmtId="171" fontId="161" fillId="15" borderId="37" xfId="0" applyNumberFormat="1" applyFont="1" applyFill="1" applyBorder="1" applyAlignment="1">
      <alignment horizontal="center"/>
    </xf>
    <xf numFmtId="171" fontId="161" fillId="15" borderId="0" xfId="0" applyNumberFormat="1" applyFont="1" applyFill="1" applyBorder="1" applyAlignment="1">
      <alignment horizontal="center"/>
    </xf>
    <xf numFmtId="171" fontId="161" fillId="15" borderId="7" xfId="0" applyNumberFormat="1" applyFont="1" applyFill="1" applyBorder="1" applyAlignment="1">
      <alignment horizontal="center"/>
    </xf>
    <xf numFmtId="1" fontId="30" fillId="4" borderId="35" xfId="0" applyNumberFormat="1" applyFont="1" applyFill="1" applyBorder="1" applyAlignment="1">
      <alignment horizontal="center"/>
    </xf>
    <xf numFmtId="1" fontId="97" fillId="4" borderId="29" xfId="0" applyNumberFormat="1" applyFont="1" applyFill="1" applyBorder="1" applyAlignment="1">
      <alignment horizontal="center"/>
    </xf>
    <xf numFmtId="171" fontId="30" fillId="4" borderId="29" xfId="0" applyNumberFormat="1" applyFont="1" applyFill="1" applyBorder="1" applyAlignment="1">
      <alignment horizontal="right"/>
    </xf>
    <xf numFmtId="171" fontId="30" fillId="4" borderId="37" xfId="0" applyNumberFormat="1" applyFont="1" applyFill="1" applyBorder="1" applyAlignment="1">
      <alignment horizontal="center"/>
    </xf>
    <xf numFmtId="171" fontId="30" fillId="4" borderId="0" xfId="0" applyNumberFormat="1" applyFont="1" applyFill="1" applyBorder="1" applyAlignment="1">
      <alignment horizontal="center"/>
    </xf>
    <xf numFmtId="171" fontId="97" fillId="4" borderId="37" xfId="0" applyNumberFormat="1" applyFont="1" applyFill="1" applyBorder="1" applyAlignment="1">
      <alignment horizontal="center"/>
    </xf>
    <xf numFmtId="171" fontId="97" fillId="4" borderId="0" xfId="0" applyNumberFormat="1" applyFont="1" applyFill="1" applyBorder="1" applyAlignment="1">
      <alignment horizontal="center"/>
    </xf>
    <xf numFmtId="171" fontId="30" fillId="15" borderId="35" xfId="0" applyNumberFormat="1" applyFont="1" applyFill="1" applyBorder="1" applyAlignment="1">
      <alignment horizontal="center"/>
    </xf>
    <xf numFmtId="171" fontId="30" fillId="15" borderId="29" xfId="0" applyNumberFormat="1" applyFont="1" applyFill="1" applyBorder="1" applyAlignment="1">
      <alignment horizontal="center"/>
    </xf>
    <xf numFmtId="0" fontId="30" fillId="15" borderId="29" xfId="0" applyNumberFormat="1" applyFont="1" applyFill="1" applyBorder="1" applyAlignment="1">
      <alignment horizontal="center"/>
    </xf>
    <xf numFmtId="1" fontId="30" fillId="15" borderId="29" xfId="0" applyNumberFormat="1" applyFont="1" applyFill="1" applyBorder="1" applyAlignment="1">
      <alignment horizontal="center"/>
    </xf>
    <xf numFmtId="171" fontId="30" fillId="15" borderId="30" xfId="0" applyNumberFormat="1" applyFont="1" applyFill="1" applyBorder="1" applyAlignment="1">
      <alignment horizontal="center"/>
    </xf>
    <xf numFmtId="171" fontId="30" fillId="0" borderId="37" xfId="0" applyNumberFormat="1" applyFont="1" applyFill="1" applyBorder="1" applyAlignment="1">
      <alignment horizontal="center"/>
    </xf>
    <xf numFmtId="171" fontId="30" fillId="15" borderId="37" xfId="0" applyNumberFormat="1" applyFont="1" applyFill="1" applyBorder="1" applyAlignment="1">
      <alignment horizontal="center"/>
    </xf>
    <xf numFmtId="171" fontId="30" fillId="15" borderId="0" xfId="0" applyNumberFormat="1" applyFont="1" applyFill="1" applyBorder="1" applyAlignment="1">
      <alignment horizontal="center"/>
    </xf>
    <xf numFmtId="171" fontId="30" fillId="15" borderId="7" xfId="0" applyNumberFormat="1" applyFont="1" applyFill="1" applyBorder="1" applyAlignment="1">
      <alignment horizontal="center"/>
    </xf>
    <xf numFmtId="171" fontId="97" fillId="15" borderId="37" xfId="0" applyNumberFormat="1" applyFont="1" applyFill="1" applyBorder="1" applyAlignment="1">
      <alignment horizontal="center"/>
    </xf>
    <xf numFmtId="171" fontId="97" fillId="15" borderId="0" xfId="0" applyNumberFormat="1" applyFont="1" applyFill="1" applyBorder="1" applyAlignment="1">
      <alignment horizontal="center"/>
    </xf>
    <xf numFmtId="171" fontId="97" fillId="15" borderId="7" xfId="0" applyNumberFormat="1" applyFont="1" applyFill="1" applyBorder="1" applyAlignment="1">
      <alignment horizontal="center"/>
    </xf>
    <xf numFmtId="0" fontId="30" fillId="4" borderId="29" xfId="0" applyNumberFormat="1" applyFont="1" applyFill="1" applyBorder="1" applyAlignment="1">
      <alignment horizontal="center"/>
    </xf>
    <xf numFmtId="171" fontId="30" fillId="4" borderId="30" xfId="0" applyNumberFormat="1" applyFont="1" applyFill="1" applyBorder="1" applyAlignment="1">
      <alignment horizontal="center"/>
    </xf>
    <xf numFmtId="171" fontId="30" fillId="4" borderId="7" xfId="0" applyNumberFormat="1" applyFont="1" applyFill="1" applyBorder="1" applyAlignment="1">
      <alignment horizontal="center"/>
    </xf>
    <xf numFmtId="171" fontId="97" fillId="4" borderId="7" xfId="0" applyNumberFormat="1" applyFont="1" applyFill="1" applyBorder="1" applyAlignment="1">
      <alignment horizontal="center"/>
    </xf>
    <xf numFmtId="171" fontId="169" fillId="0" borderId="0" xfId="4" applyNumberFormat="1" applyFont="1" applyFill="1" applyBorder="1" applyAlignment="1" applyProtection="1">
      <alignment horizontal="center" vertical="distributed" shrinkToFit="1"/>
    </xf>
    <xf numFmtId="0" fontId="5" fillId="0" borderId="0" xfId="0" applyFont="1" applyFill="1" applyBorder="1"/>
    <xf numFmtId="2" fontId="14" fillId="0" borderId="0" xfId="0" applyNumberFormat="1" applyFont="1" applyFill="1" applyBorder="1" applyAlignment="1">
      <alignment horizontal="center"/>
    </xf>
    <xf numFmtId="0" fontId="6" fillId="0" borderId="0" xfId="0" applyFont="1" applyFill="1" applyBorder="1" applyAlignment="1">
      <alignment horizontal="left" vertical="center"/>
    </xf>
    <xf numFmtId="0" fontId="170" fillId="0" borderId="0" xfId="0" applyFont="1" applyFill="1" applyBorder="1" applyAlignment="1">
      <alignment horizontal="center"/>
    </xf>
    <xf numFmtId="171" fontId="5" fillId="0" borderId="0" xfId="0" applyNumberFormat="1" applyFont="1" applyFill="1" applyBorder="1" applyAlignment="1">
      <alignment horizontal="center"/>
    </xf>
    <xf numFmtId="0" fontId="171" fillId="24" borderId="127" xfId="0" applyFont="1" applyFill="1" applyBorder="1" applyAlignment="1">
      <alignment horizontal="left" vertical="center"/>
    </xf>
    <xf numFmtId="2" fontId="17" fillId="23" borderId="42" xfId="0" applyNumberFormat="1" applyFont="1" applyFill="1" applyBorder="1" applyAlignment="1">
      <alignment horizontal="center"/>
    </xf>
    <xf numFmtId="0" fontId="5" fillId="0" borderId="44" xfId="0" applyFont="1" applyBorder="1"/>
    <xf numFmtId="0" fontId="5" fillId="0" borderId="46" xfId="0" applyFont="1" applyBorder="1"/>
    <xf numFmtId="0" fontId="172" fillId="0" borderId="0" xfId="4" applyFont="1" applyAlignment="1" applyProtection="1"/>
    <xf numFmtId="0" fontId="21" fillId="16" borderId="0" xfId="4" applyFill="1" applyBorder="1" applyAlignment="1" applyProtection="1">
      <alignment vertical="center"/>
    </xf>
    <xf numFmtId="0" fontId="173" fillId="16" borderId="0" xfId="0" applyFont="1" applyFill="1" applyBorder="1" applyAlignment="1">
      <alignment vertical="center"/>
    </xf>
    <xf numFmtId="171" fontId="174" fillId="16" borderId="0" xfId="0" applyNumberFormat="1" applyFont="1" applyFill="1" applyBorder="1" applyAlignment="1">
      <alignment horizontal="center" vertical="center"/>
    </xf>
    <xf numFmtId="15" fontId="0" fillId="0" borderId="0" xfId="0" applyNumberFormat="1" applyFont="1"/>
    <xf numFmtId="2" fontId="7" fillId="0" borderId="13" xfId="0" applyNumberFormat="1" applyFont="1" applyFill="1" applyBorder="1" applyAlignment="1">
      <alignment horizontal="left"/>
    </xf>
    <xf numFmtId="2" fontId="5" fillId="0" borderId="13" xfId="0" applyNumberFormat="1" applyFont="1" applyBorder="1"/>
    <xf numFmtId="2" fontId="5" fillId="0" borderId="47" xfId="0" applyNumberFormat="1" applyFont="1" applyBorder="1"/>
    <xf numFmtId="2" fontId="5" fillId="0" borderId="24" xfId="0" applyNumberFormat="1" applyFont="1" applyBorder="1"/>
    <xf numFmtId="2" fontId="5" fillId="0" borderId="317" xfId="0" applyNumberFormat="1" applyFont="1" applyBorder="1"/>
    <xf numFmtId="0" fontId="133" fillId="3" borderId="7" xfId="0" applyFont="1" applyFill="1" applyBorder="1" applyAlignment="1">
      <alignment horizontal="center"/>
    </xf>
    <xf numFmtId="0" fontId="20" fillId="0" borderId="0" xfId="0" applyFont="1"/>
    <xf numFmtId="2" fontId="17" fillId="23" borderId="263" xfId="0" applyNumberFormat="1" applyFont="1" applyFill="1" applyBorder="1" applyAlignment="1">
      <alignment horizontal="center"/>
    </xf>
    <xf numFmtId="2" fontId="17" fillId="71" borderId="71" xfId="0" applyNumberFormat="1" applyFont="1" applyFill="1" applyBorder="1" applyAlignment="1">
      <alignment horizontal="center"/>
    </xf>
    <xf numFmtId="0" fontId="5" fillId="0" borderId="23" xfId="0" applyFont="1" applyBorder="1"/>
    <xf numFmtId="0" fontId="5" fillId="0" borderId="0" xfId="0" applyFont="1" applyBorder="1"/>
    <xf numFmtId="0" fontId="7" fillId="0" borderId="0" xfId="0" applyFont="1" applyFill="1" applyAlignment="1">
      <alignment vertical="center" wrapText="1"/>
    </xf>
    <xf numFmtId="0" fontId="175" fillId="0" borderId="0" xfId="0" applyFont="1" applyAlignment="1">
      <alignment horizontal="center"/>
    </xf>
    <xf numFmtId="171" fontId="108" fillId="13" borderId="0" xfId="0" applyNumberFormat="1" applyFont="1" applyFill="1" applyBorder="1" applyAlignment="1">
      <alignment horizontal="center" vertical="center" wrapText="1"/>
    </xf>
    <xf numFmtId="9" fontId="13" fillId="0" borderId="0" xfId="2" applyFont="1"/>
    <xf numFmtId="0" fontId="158" fillId="0" borderId="0" xfId="0" applyFont="1" applyFill="1" applyBorder="1" applyAlignment="1">
      <alignment horizontal="center"/>
    </xf>
    <xf numFmtId="3" fontId="19" fillId="5" borderId="0" xfId="0" applyNumberFormat="1" applyFont="1" applyFill="1" applyBorder="1" applyAlignment="1">
      <alignment horizontal="left"/>
    </xf>
    <xf numFmtId="3" fontId="19" fillId="79" borderId="0" xfId="0" applyNumberFormat="1" applyFont="1" applyFill="1" applyBorder="1" applyAlignment="1">
      <alignment horizontal="left"/>
    </xf>
    <xf numFmtId="3" fontId="19" fillId="3" borderId="0" xfId="95" applyNumberFormat="1" applyFont="1" applyFill="1" applyBorder="1" applyAlignment="1">
      <alignment horizontal="left"/>
    </xf>
    <xf numFmtId="0" fontId="97" fillId="16" borderId="0" xfId="0" applyFont="1" applyFill="1" applyAlignment="1">
      <alignment horizontal="left" vertical="center" wrapText="1"/>
    </xf>
    <xf numFmtId="0" fontId="123" fillId="16" borderId="37" xfId="0" applyFont="1" applyFill="1" applyBorder="1" applyAlignment="1">
      <alignment horizontal="center" vertical="center" wrapText="1"/>
    </xf>
    <xf numFmtId="3" fontId="96" fillId="16" borderId="6" xfId="67" applyNumberFormat="1" applyFont="1" applyFill="1" applyBorder="1" applyAlignment="1">
      <alignment horizontal="right"/>
    </xf>
    <xf numFmtId="3" fontId="129" fillId="16" borderId="5" xfId="67" applyNumberFormat="1" applyFont="1" applyFill="1" applyBorder="1" applyAlignment="1">
      <alignment horizontal="right"/>
    </xf>
    <xf numFmtId="0" fontId="46" fillId="16" borderId="0" xfId="0" applyFont="1" applyFill="1" applyBorder="1" applyAlignment="1">
      <alignment horizontal="center" vertical="center"/>
    </xf>
    <xf numFmtId="167" fontId="49" fillId="16" borderId="0" xfId="2" applyNumberFormat="1" applyFont="1" applyFill="1" applyBorder="1" applyAlignment="1">
      <alignment horizontal="center"/>
    </xf>
    <xf numFmtId="167" fontId="48" fillId="16" borderId="0" xfId="2" applyNumberFormat="1" applyFont="1" applyFill="1" applyAlignment="1">
      <alignment horizontal="center"/>
    </xf>
    <xf numFmtId="10" fontId="139" fillId="16" borderId="0" xfId="2" applyNumberFormat="1" applyFont="1" applyFill="1" applyBorder="1" applyAlignment="1">
      <alignment horizontal="center"/>
    </xf>
    <xf numFmtId="0" fontId="7" fillId="16" borderId="0" xfId="0" applyFont="1" applyFill="1" applyBorder="1" applyAlignment="1">
      <alignment horizontal="center" vertical="center" wrapText="1"/>
    </xf>
    <xf numFmtId="168" fontId="126" fillId="16" borderId="0" xfId="1" applyNumberFormat="1" applyFont="1" applyFill="1" applyBorder="1" applyAlignment="1">
      <alignment horizontal="center" vertical="center"/>
    </xf>
    <xf numFmtId="0" fontId="5" fillId="16" borderId="0" xfId="0" applyFont="1" applyFill="1"/>
    <xf numFmtId="0" fontId="131" fillId="0" borderId="0" xfId="0" applyFont="1" applyFill="1" applyAlignment="1">
      <alignment horizontal="center"/>
    </xf>
    <xf numFmtId="0" fontId="131" fillId="0" borderId="0" xfId="0" applyFont="1" applyFill="1" applyBorder="1" applyAlignment="1">
      <alignment horizontal="center" vertical="center" wrapText="1"/>
    </xf>
    <xf numFmtId="10" fontId="105" fillId="0" borderId="0" xfId="2" applyNumberFormat="1" applyFont="1" applyFill="1" applyBorder="1" applyAlignment="1">
      <alignment horizontal="center"/>
    </xf>
    <xf numFmtId="10" fontId="131" fillId="0" borderId="0" xfId="2" applyNumberFormat="1" applyFont="1" applyFill="1" applyBorder="1" applyAlignment="1">
      <alignment horizontal="center"/>
    </xf>
    <xf numFmtId="0" fontId="105" fillId="0" borderId="0" xfId="0" applyFont="1" applyFill="1"/>
    <xf numFmtId="0" fontId="180" fillId="5" borderId="273" xfId="0" applyFont="1" applyFill="1" applyBorder="1" applyAlignment="1">
      <alignment horizontal="center" vertical="center" wrapText="1"/>
    </xf>
    <xf numFmtId="0" fontId="131" fillId="31" borderId="314" xfId="0" applyFont="1" applyFill="1" applyBorder="1" applyAlignment="1">
      <alignment horizontal="center" vertical="center" wrapText="1"/>
    </xf>
    <xf numFmtId="3" fontId="19" fillId="31" borderId="127" xfId="67" applyNumberFormat="1" applyFont="1" applyFill="1" applyBorder="1" applyAlignment="1">
      <alignment horizontal="right"/>
    </xf>
    <xf numFmtId="3" fontId="179" fillId="31" borderId="42" xfId="67" applyNumberFormat="1" applyFont="1" applyFill="1" applyBorder="1" applyAlignment="1">
      <alignment horizontal="right"/>
    </xf>
    <xf numFmtId="3" fontId="181" fillId="5" borderId="128" xfId="0" applyNumberFormat="1" applyFont="1" applyFill="1" applyBorder="1"/>
    <xf numFmtId="3" fontId="96" fillId="31" borderId="19" xfId="0" applyNumberFormat="1" applyFont="1" applyFill="1" applyBorder="1"/>
    <xf numFmtId="0" fontId="128" fillId="31" borderId="89" xfId="0" applyFont="1" applyFill="1" applyBorder="1"/>
    <xf numFmtId="3" fontId="182" fillId="14" borderId="50" xfId="0" applyNumberFormat="1" applyFont="1" applyFill="1" applyBorder="1"/>
    <xf numFmtId="3" fontId="182" fillId="14" borderId="51" xfId="0" applyNumberFormat="1" applyFont="1" applyFill="1" applyBorder="1"/>
    <xf numFmtId="3" fontId="123" fillId="31" borderId="19" xfId="0" applyNumberFormat="1" applyFont="1" applyFill="1" applyBorder="1"/>
    <xf numFmtId="0" fontId="5" fillId="0" borderId="41" xfId="0" applyFont="1" applyBorder="1" applyAlignment="1">
      <alignment horizontal="center"/>
    </xf>
    <xf numFmtId="0" fontId="5" fillId="0" borderId="6" xfId="0" applyFont="1" applyBorder="1" applyAlignment="1">
      <alignment horizontal="center"/>
    </xf>
    <xf numFmtId="165" fontId="5" fillId="0" borderId="6" xfId="3" applyFont="1" applyBorder="1" applyAlignment="1">
      <alignment horizontal="left"/>
    </xf>
    <xf numFmtId="0" fontId="5" fillId="0" borderId="6" xfId="0" applyFont="1" applyBorder="1" applyAlignment="1">
      <alignment horizontal="left"/>
    </xf>
    <xf numFmtId="168" fontId="5" fillId="0" borderId="5" xfId="0" applyNumberFormat="1" applyFont="1" applyBorder="1"/>
    <xf numFmtId="168" fontId="5" fillId="0" borderId="6" xfId="1" applyNumberFormat="1" applyFont="1" applyBorder="1" applyAlignment="1">
      <alignment horizontal="left"/>
    </xf>
    <xf numFmtId="165" fontId="5" fillId="0" borderId="5" xfId="3" applyFont="1" applyBorder="1"/>
    <xf numFmtId="9" fontId="5" fillId="0" borderId="0" xfId="2" applyFont="1" applyAlignment="1">
      <alignment horizontal="left"/>
    </xf>
    <xf numFmtId="0" fontId="5" fillId="13" borderId="35" xfId="0" applyFont="1" applyFill="1" applyBorder="1"/>
    <xf numFmtId="165" fontId="5" fillId="13" borderId="41" xfId="3" applyFont="1" applyFill="1" applyBorder="1" applyAlignment="1">
      <alignment horizontal="left"/>
    </xf>
    <xf numFmtId="165" fontId="5" fillId="27" borderId="70" xfId="3" applyFont="1" applyFill="1" applyBorder="1" applyAlignment="1">
      <alignment horizontal="left"/>
    </xf>
    <xf numFmtId="0" fontId="5" fillId="0" borderId="35" xfId="0" applyFont="1" applyBorder="1" applyAlignment="1">
      <alignment horizontal="center"/>
    </xf>
    <xf numFmtId="0" fontId="5" fillId="0" borderId="5" xfId="0" applyFont="1" applyBorder="1" applyAlignment="1">
      <alignment horizontal="center"/>
    </xf>
    <xf numFmtId="0" fontId="5" fillId="27" borderId="312" xfId="0" applyFont="1" applyFill="1" applyBorder="1"/>
    <xf numFmtId="0" fontId="7" fillId="0" borderId="37" xfId="0" applyFont="1" applyFill="1" applyBorder="1" applyAlignment="1">
      <alignment horizontal="left"/>
    </xf>
    <xf numFmtId="0" fontId="117" fillId="0" borderId="37" xfId="0" applyFont="1" applyBorder="1" applyAlignment="1">
      <alignment horizontal="center"/>
    </xf>
    <xf numFmtId="168" fontId="117" fillId="0" borderId="37" xfId="1" applyNumberFormat="1" applyFont="1" applyBorder="1" applyAlignment="1">
      <alignment horizontal="left"/>
    </xf>
    <xf numFmtId="0" fontId="5" fillId="0" borderId="40" xfId="0" applyFont="1" applyBorder="1"/>
    <xf numFmtId="0" fontId="0" fillId="0" borderId="0" xfId="0" applyBorder="1" applyAlignment="1">
      <alignment horizontal="center" wrapText="1"/>
    </xf>
    <xf numFmtId="0" fontId="5" fillId="0" borderId="0" xfId="0" applyFont="1" applyAlignment="1">
      <alignment horizontal="left" vertical="center" wrapText="1"/>
    </xf>
    <xf numFmtId="0" fontId="32" fillId="0" borderId="0" xfId="0" applyFont="1" applyBorder="1"/>
    <xf numFmtId="0" fontId="32" fillId="0" borderId="0" xfId="0" applyFont="1" applyBorder="1" applyAlignment="1">
      <alignment horizontal="left"/>
    </xf>
    <xf numFmtId="0" fontId="141" fillId="0" borderId="0" xfId="0" applyFont="1" applyFill="1" applyBorder="1" applyAlignment="1">
      <alignment horizontal="left"/>
    </xf>
    <xf numFmtId="0" fontId="5" fillId="0" borderId="0" xfId="0" applyFont="1" applyBorder="1" applyAlignment="1">
      <alignment horizontal="left"/>
    </xf>
    <xf numFmtId="0" fontId="142" fillId="0" borderId="0" xfId="0" applyFont="1" applyFill="1" applyBorder="1" applyAlignment="1">
      <alignment horizontal="left"/>
    </xf>
    <xf numFmtId="0" fontId="5" fillId="0" borderId="66" xfId="0" applyFont="1" applyBorder="1"/>
    <xf numFmtId="9" fontId="5" fillId="0" borderId="108" xfId="2" applyFont="1" applyBorder="1"/>
    <xf numFmtId="168" fontId="5" fillId="0" borderId="50" xfId="0" applyNumberFormat="1" applyFont="1" applyFill="1" applyBorder="1" applyAlignment="1">
      <alignment horizontal="center" vertical="center"/>
    </xf>
    <xf numFmtId="0" fontId="46" fillId="0" borderId="0" xfId="0" applyFont="1" applyAlignment="1">
      <alignment horizontal="center"/>
    </xf>
    <xf numFmtId="0" fontId="0" fillId="0" borderId="0" xfId="0" applyNumberFormat="1" applyAlignment="1">
      <alignment horizontal="center"/>
    </xf>
    <xf numFmtId="0" fontId="23" fillId="0" borderId="256" xfId="0" applyFont="1" applyBorder="1" applyAlignment="1">
      <alignment horizontal="left"/>
    </xf>
    <xf numFmtId="0" fontId="23" fillId="0" borderId="256" xfId="0" applyNumberFormat="1" applyFont="1" applyBorder="1" applyAlignment="1">
      <alignment horizontal="center"/>
    </xf>
    <xf numFmtId="0" fontId="183" fillId="0" borderId="0" xfId="0" applyFont="1"/>
    <xf numFmtId="0" fontId="128" fillId="0" borderId="0" xfId="0" applyFont="1"/>
    <xf numFmtId="171" fontId="7" fillId="16" borderId="0" xfId="0" applyNumberFormat="1" applyFont="1" applyFill="1" applyBorder="1" applyAlignment="1">
      <alignment horizontal="left" vertical="center" wrapText="1"/>
    </xf>
    <xf numFmtId="1" fontId="101" fillId="109" borderId="37" xfId="0" applyNumberFormat="1" applyFont="1" applyFill="1" applyBorder="1" applyAlignment="1">
      <alignment horizontal="center" vertical="center"/>
    </xf>
    <xf numFmtId="2" fontId="101" fillId="109" borderId="37" xfId="0" applyNumberFormat="1" applyFont="1" applyFill="1" applyBorder="1" applyAlignment="1">
      <alignment horizontal="center" vertical="center"/>
    </xf>
    <xf numFmtId="3" fontId="101" fillId="109" borderId="37" xfId="0" applyNumberFormat="1" applyFont="1" applyFill="1" applyBorder="1" applyAlignment="1">
      <alignment horizontal="center" vertical="center"/>
    </xf>
    <xf numFmtId="1" fontId="101" fillId="109" borderId="6" xfId="0" applyNumberFormat="1" applyFont="1" applyFill="1" applyBorder="1" applyAlignment="1">
      <alignment horizontal="center" vertical="center"/>
    </xf>
    <xf numFmtId="2" fontId="101" fillId="109" borderId="6" xfId="0" applyNumberFormat="1" applyFont="1" applyFill="1" applyBorder="1" applyAlignment="1">
      <alignment horizontal="center" vertical="center"/>
    </xf>
    <xf numFmtId="3" fontId="101" fillId="109" borderId="6" xfId="0" applyNumberFormat="1" applyFont="1" applyFill="1" applyBorder="1" applyAlignment="1">
      <alignment horizontal="center" vertical="center"/>
    </xf>
    <xf numFmtId="0" fontId="0" fillId="0" borderId="0" xfId="0" applyFont="1" applyBorder="1"/>
    <xf numFmtId="166" fontId="0" fillId="0" borderId="0" xfId="1" applyFont="1" applyAlignment="1">
      <alignment horizontal="left"/>
    </xf>
    <xf numFmtId="171" fontId="102" fillId="29" borderId="7" xfId="0" applyNumberFormat="1" applyFont="1" applyFill="1" applyBorder="1" applyAlignment="1">
      <alignment horizontal="center" vertical="center"/>
    </xf>
    <xf numFmtId="171" fontId="30" fillId="73" borderId="34" xfId="0" applyNumberFormat="1" applyFont="1" applyFill="1" applyBorder="1" applyAlignment="1">
      <alignment horizontal="center" vertical="center" wrapText="1"/>
    </xf>
    <xf numFmtId="171" fontId="30" fillId="73" borderId="67" xfId="0" applyNumberFormat="1" applyFont="1" applyFill="1" applyBorder="1" applyAlignment="1">
      <alignment horizontal="center" vertical="center" wrapText="1"/>
    </xf>
    <xf numFmtId="171" fontId="63" fillId="13" borderId="30" xfId="0" applyNumberFormat="1" applyFont="1" applyFill="1" applyBorder="1" applyAlignment="1">
      <alignment horizontal="center" vertical="center" wrapText="1"/>
    </xf>
    <xf numFmtId="0" fontId="0" fillId="0" borderId="0" xfId="0" applyFont="1" applyAlignment="1">
      <alignment horizontal="center" vertical="center" wrapText="1"/>
    </xf>
    <xf numFmtId="0" fontId="0" fillId="0" borderId="29" xfId="0" applyFont="1" applyBorder="1" applyAlignment="1">
      <alignment horizontal="center" vertical="center" wrapText="1"/>
    </xf>
    <xf numFmtId="0" fontId="30" fillId="11" borderId="35" xfId="0" applyFont="1" applyFill="1" applyBorder="1" applyAlignment="1">
      <alignment horizontal="center" vertical="center" wrapText="1"/>
    </xf>
    <xf numFmtId="0" fontId="0" fillId="0" borderId="0" xfId="0" applyFont="1" applyFill="1" applyBorder="1" applyAlignment="1">
      <alignment horizontal="center" vertical="center" wrapText="1"/>
    </xf>
    <xf numFmtId="171" fontId="0" fillId="0" borderId="93" xfId="0" applyNumberFormat="1" applyFont="1" applyBorder="1" applyAlignment="1">
      <alignment horizontal="center" vertical="center" wrapText="1"/>
    </xf>
    <xf numFmtId="0" fontId="30" fillId="110" borderId="5" xfId="0" applyFont="1" applyFill="1" applyBorder="1" applyAlignment="1">
      <alignment vertical="center"/>
    </xf>
    <xf numFmtId="0" fontId="30" fillId="82" borderId="6" xfId="0" applyFont="1" applyFill="1" applyBorder="1" applyAlignment="1">
      <alignment vertical="center"/>
    </xf>
    <xf numFmtId="0" fontId="30" fillId="37" borderId="6" xfId="0" applyFont="1" applyFill="1" applyBorder="1" applyAlignment="1">
      <alignment vertical="center"/>
    </xf>
    <xf numFmtId="2" fontId="96" fillId="29" borderId="58" xfId="0" applyNumberFormat="1" applyFont="1" applyFill="1" applyBorder="1" applyAlignment="1">
      <alignment horizontal="center" vertical="center"/>
    </xf>
    <xf numFmtId="2" fontId="96" fillId="29" borderId="13" xfId="0" applyNumberFormat="1" applyFont="1" applyFill="1" applyBorder="1" applyAlignment="1">
      <alignment horizontal="center" vertical="center"/>
    </xf>
    <xf numFmtId="0" fontId="11" fillId="37" borderId="6" xfId="0" applyFont="1" applyFill="1" applyBorder="1" applyAlignment="1">
      <alignment horizontal="right" vertical="center"/>
    </xf>
    <xf numFmtId="2" fontId="19" fillId="27" borderId="58" xfId="0" applyNumberFormat="1" applyFont="1" applyFill="1" applyBorder="1" applyAlignment="1">
      <alignment horizontal="center" vertical="center"/>
    </xf>
    <xf numFmtId="9" fontId="19" fillId="27" borderId="58" xfId="2" applyFont="1" applyFill="1" applyBorder="1" applyAlignment="1">
      <alignment horizontal="center" vertical="center"/>
    </xf>
    <xf numFmtId="0" fontId="55" fillId="9" borderId="0" xfId="0" applyFont="1" applyFill="1" applyBorder="1" applyAlignment="1">
      <alignment horizontal="center" vertical="center"/>
    </xf>
    <xf numFmtId="0" fontId="30" fillId="37" borderId="6" xfId="0" applyFont="1" applyFill="1" applyBorder="1" applyAlignment="1">
      <alignment vertical="center" wrapText="1"/>
    </xf>
    <xf numFmtId="171" fontId="162" fillId="29" borderId="58" xfId="0" applyNumberFormat="1" applyFont="1" applyFill="1" applyBorder="1" applyAlignment="1">
      <alignment horizontal="center" vertical="center"/>
    </xf>
    <xf numFmtId="166" fontId="30" fillId="16" borderId="0" xfId="1" applyFont="1" applyFill="1" applyBorder="1" applyAlignment="1">
      <alignment horizontal="center" vertical="center"/>
    </xf>
    <xf numFmtId="166" fontId="30" fillId="16" borderId="0" xfId="2" applyNumberFormat="1" applyFont="1" applyFill="1" applyBorder="1" applyAlignment="1">
      <alignment horizontal="center" vertical="center"/>
    </xf>
    <xf numFmtId="2" fontId="160" fillId="31" borderId="20" xfId="0" applyNumberFormat="1" applyFont="1" applyFill="1" applyBorder="1" applyAlignment="1">
      <alignment horizontal="center" vertical="center"/>
    </xf>
    <xf numFmtId="2" fontId="97" fillId="34" borderId="50" xfId="0" applyNumberFormat="1" applyFont="1" applyFill="1" applyBorder="1" applyAlignment="1">
      <alignment horizontal="center" vertical="center"/>
    </xf>
    <xf numFmtId="171" fontId="30" fillId="31" borderId="27" xfId="0" applyNumberFormat="1" applyFont="1" applyFill="1" applyBorder="1" applyAlignment="1">
      <alignment vertical="center"/>
    </xf>
    <xf numFmtId="171" fontId="30" fillId="3" borderId="27" xfId="0" applyNumberFormat="1" applyFont="1" applyFill="1" applyBorder="1" applyAlignment="1">
      <alignment horizontal="center" vertical="center"/>
    </xf>
    <xf numFmtId="2" fontId="160" fillId="3" borderId="20" xfId="0" applyNumberFormat="1" applyFont="1" applyFill="1" applyBorder="1" applyAlignment="1">
      <alignment horizontal="center" vertical="center"/>
    </xf>
    <xf numFmtId="2" fontId="97" fillId="3" borderId="50" xfId="0" applyNumberFormat="1" applyFont="1" applyFill="1" applyBorder="1" applyAlignment="1">
      <alignment horizontal="center" vertical="center"/>
    </xf>
    <xf numFmtId="2" fontId="97" fillId="3" borderId="51" xfId="0" applyNumberFormat="1" applyFont="1" applyFill="1" applyBorder="1" applyAlignment="1">
      <alignment horizontal="center" vertical="center"/>
    </xf>
    <xf numFmtId="0" fontId="11" fillId="102" borderId="6" xfId="0" applyFont="1" applyFill="1" applyBorder="1" applyAlignment="1">
      <alignment vertical="center"/>
    </xf>
    <xf numFmtId="2" fontId="11" fillId="16" borderId="19" xfId="0" applyNumberFormat="1" applyFont="1" applyFill="1" applyBorder="1" applyAlignment="1">
      <alignment horizontal="center" vertical="center"/>
    </xf>
    <xf numFmtId="0" fontId="138" fillId="3" borderId="13" xfId="0" applyFont="1" applyFill="1" applyBorder="1" applyAlignment="1">
      <alignment horizontal="center" vertical="center"/>
    </xf>
    <xf numFmtId="0" fontId="138" fillId="3" borderId="13" xfId="0" applyFont="1" applyFill="1" applyBorder="1" applyAlignment="1">
      <alignment vertical="center"/>
    </xf>
    <xf numFmtId="168" fontId="138" fillId="3" borderId="44" xfId="1" applyNumberFormat="1" applyFont="1" applyFill="1" applyBorder="1"/>
    <xf numFmtId="168" fontId="138" fillId="3" borderId="13" xfId="1" applyNumberFormat="1" applyFont="1" applyFill="1" applyBorder="1"/>
    <xf numFmtId="168" fontId="138" fillId="3" borderId="24" xfId="1" applyNumberFormat="1" applyFont="1" applyFill="1" applyBorder="1"/>
    <xf numFmtId="10" fontId="46" fillId="3" borderId="45" xfId="2" applyNumberFormat="1" applyFont="1" applyFill="1" applyBorder="1" applyAlignment="1">
      <alignment vertical="center"/>
    </xf>
    <xf numFmtId="0" fontId="0" fillId="3" borderId="0" xfId="0" applyFont="1" applyFill="1" applyAlignment="1">
      <alignment vertical="center"/>
    </xf>
    <xf numFmtId="0" fontId="157" fillId="0" borderId="13" xfId="0" applyFont="1" applyFill="1" applyBorder="1" applyAlignment="1">
      <alignment horizontal="center" vertical="center"/>
    </xf>
    <xf numFmtId="168" fontId="184" fillId="0" borderId="44" xfId="1" applyNumberFormat="1" applyFont="1" applyBorder="1"/>
    <xf numFmtId="168" fontId="184" fillId="0" borderId="13" xfId="1" applyNumberFormat="1" applyFont="1" applyBorder="1"/>
    <xf numFmtId="168" fontId="184" fillId="0" borderId="24" xfId="1" applyNumberFormat="1" applyFont="1" applyBorder="1"/>
    <xf numFmtId="168" fontId="157" fillId="0" borderId="70" xfId="1" applyNumberFormat="1" applyFont="1" applyBorder="1" applyAlignment="1">
      <alignment vertical="center"/>
    </xf>
    <xf numFmtId="168" fontId="0" fillId="3" borderId="13" xfId="1" applyNumberFormat="1" applyFont="1" applyFill="1" applyBorder="1" applyAlignment="1">
      <alignment vertical="center"/>
    </xf>
    <xf numFmtId="0" fontId="138" fillId="0" borderId="20" xfId="0" applyFont="1" applyFill="1" applyBorder="1" applyAlignment="1">
      <alignment vertical="center"/>
    </xf>
    <xf numFmtId="0" fontId="12" fillId="0" borderId="0" xfId="0" applyFont="1" applyAlignment="1">
      <alignment horizontal="center" vertical="center"/>
    </xf>
    <xf numFmtId="168" fontId="46" fillId="3" borderId="45" xfId="1" applyNumberFormat="1" applyFont="1" applyFill="1" applyBorder="1"/>
    <xf numFmtId="0" fontId="185" fillId="0" borderId="0" xfId="0" applyFont="1" applyAlignment="1">
      <alignment horizontal="center" vertical="center"/>
    </xf>
    <xf numFmtId="0" fontId="186" fillId="0" borderId="0" xfId="0" applyFont="1" applyAlignment="1">
      <alignment horizontal="justify" vertical="center"/>
    </xf>
    <xf numFmtId="0" fontId="98" fillId="0" borderId="0" xfId="0" applyFont="1" applyAlignment="1">
      <alignment horizontal="justify" vertical="center"/>
    </xf>
    <xf numFmtId="0" fontId="21" fillId="0" borderId="0" xfId="4" applyAlignment="1" applyProtection="1">
      <alignment horizontal="justify" vertical="center"/>
    </xf>
    <xf numFmtId="0" fontId="98" fillId="0" borderId="0" xfId="0" applyFont="1" applyAlignment="1">
      <alignment vertical="center"/>
    </xf>
    <xf numFmtId="0" fontId="186" fillId="5" borderId="0" xfId="0" applyFont="1" applyFill="1" applyAlignment="1">
      <alignment horizontal="justify" vertical="center"/>
    </xf>
    <xf numFmtId="0" fontId="12" fillId="0" borderId="13" xfId="0" applyFont="1" applyFill="1" applyBorder="1" applyAlignment="1">
      <alignment vertical="center"/>
    </xf>
    <xf numFmtId="171" fontId="7" fillId="16" borderId="0" xfId="0" applyNumberFormat="1" applyFont="1" applyFill="1" applyBorder="1" applyAlignment="1">
      <alignment horizontal="left" vertical="center" wrapText="1"/>
    </xf>
    <xf numFmtId="9" fontId="30" fillId="16" borderId="40" xfId="2" applyFont="1" applyFill="1" applyBorder="1" applyAlignment="1">
      <alignment horizontal="center" vertical="center"/>
    </xf>
    <xf numFmtId="9" fontId="30" fillId="16" borderId="33" xfId="2" applyFont="1" applyFill="1" applyBorder="1" applyAlignment="1">
      <alignment horizontal="center" vertical="center"/>
    </xf>
    <xf numFmtId="0" fontId="11" fillId="102" borderId="41" xfId="0" applyFont="1" applyFill="1" applyBorder="1" applyAlignment="1">
      <alignment vertical="center"/>
    </xf>
    <xf numFmtId="2" fontId="11" fillId="16" borderId="313" xfId="0" applyNumberFormat="1" applyFont="1" applyFill="1" applyBorder="1" applyAlignment="1">
      <alignment horizontal="center" vertical="center"/>
    </xf>
    <xf numFmtId="2" fontId="11" fillId="16" borderId="314" xfId="0" applyNumberFormat="1" applyFont="1" applyFill="1" applyBorder="1" applyAlignment="1">
      <alignment horizontal="center" vertical="center"/>
    </xf>
    <xf numFmtId="9" fontId="19" fillId="27" borderId="363" xfId="2" applyFont="1" applyFill="1" applyBorder="1" applyAlignment="1">
      <alignment horizontal="center" vertical="center"/>
    </xf>
    <xf numFmtId="0" fontId="30" fillId="82" borderId="6" xfId="0" applyFont="1" applyFill="1" applyBorder="1" applyAlignment="1">
      <alignment horizontal="right" vertical="center"/>
    </xf>
    <xf numFmtId="2" fontId="97" fillId="3" borderId="17" xfId="0" applyNumberFormat="1" applyFont="1" applyFill="1" applyBorder="1" applyAlignment="1">
      <alignment horizontal="center" vertical="center"/>
    </xf>
    <xf numFmtId="0" fontId="46" fillId="82" borderId="6" xfId="0" applyFont="1" applyFill="1" applyBorder="1" applyAlignment="1">
      <alignment vertical="center"/>
    </xf>
    <xf numFmtId="2" fontId="178" fillId="31" borderId="13" xfId="0" applyNumberFormat="1" applyFont="1" applyFill="1" applyBorder="1" applyAlignment="1">
      <alignment horizontal="center" vertical="center"/>
    </xf>
    <xf numFmtId="2" fontId="178" fillId="3" borderId="13" xfId="0" applyNumberFormat="1" applyFont="1" applyFill="1" applyBorder="1" applyAlignment="1">
      <alignment horizontal="center" vertical="center"/>
    </xf>
    <xf numFmtId="0" fontId="46" fillId="110" borderId="5" xfId="0" applyFont="1" applyFill="1" applyBorder="1" applyAlignment="1">
      <alignment vertical="center"/>
    </xf>
    <xf numFmtId="2" fontId="178" fillId="34" borderId="50" xfId="0" applyNumberFormat="1" applyFont="1" applyFill="1" applyBorder="1" applyAlignment="1">
      <alignment horizontal="center" vertical="center"/>
    </xf>
    <xf numFmtId="2" fontId="178" fillId="3" borderId="50" xfId="0" applyNumberFormat="1" applyFont="1" applyFill="1" applyBorder="1" applyAlignment="1">
      <alignment horizontal="center" vertical="center"/>
    </xf>
    <xf numFmtId="2" fontId="178" fillId="3" borderId="51" xfId="0" applyNumberFormat="1" applyFont="1" applyFill="1" applyBorder="1" applyAlignment="1">
      <alignment horizontal="center" vertical="center"/>
    </xf>
    <xf numFmtId="2" fontId="97" fillId="3" borderId="47" xfId="0" applyNumberFormat="1" applyFont="1" applyFill="1" applyBorder="1" applyAlignment="1">
      <alignment horizontal="center" vertical="center"/>
    </xf>
    <xf numFmtId="171" fontId="96" fillId="13" borderId="58" xfId="0" applyNumberFormat="1" applyFont="1" applyFill="1" applyBorder="1" applyAlignment="1">
      <alignment horizontal="center" vertical="center"/>
    </xf>
    <xf numFmtId="171" fontId="96" fillId="13" borderId="13" xfId="0" applyNumberFormat="1" applyFont="1" applyFill="1" applyBorder="1" applyAlignment="1">
      <alignment horizontal="center" vertical="center"/>
    </xf>
    <xf numFmtId="0" fontId="25" fillId="70" borderId="41" xfId="0" applyFont="1" applyFill="1" applyBorder="1" applyAlignment="1">
      <alignment horizontal="center" vertical="center" wrapText="1"/>
    </xf>
    <xf numFmtId="0" fontId="189" fillId="16" borderId="0" xfId="0" applyFont="1" applyFill="1" applyBorder="1" applyAlignment="1">
      <alignment horizontal="center" vertical="center" wrapText="1"/>
    </xf>
    <xf numFmtId="1" fontId="46" fillId="16" borderId="37" xfId="0" applyNumberFormat="1" applyFont="1" applyFill="1" applyBorder="1" applyAlignment="1">
      <alignment horizontal="center" vertical="center" wrapText="1"/>
    </xf>
    <xf numFmtId="171" fontId="189" fillId="16" borderId="52" xfId="0" applyNumberFormat="1" applyFont="1" applyFill="1" applyBorder="1" applyAlignment="1">
      <alignment horizontal="center"/>
    </xf>
    <xf numFmtId="171" fontId="189" fillId="16" borderId="37" xfId="0" applyNumberFormat="1" applyFont="1" applyFill="1" applyBorder="1" applyAlignment="1">
      <alignment horizontal="center"/>
    </xf>
    <xf numFmtId="171" fontId="189" fillId="16" borderId="40" xfId="0" applyNumberFormat="1" applyFont="1" applyFill="1" applyBorder="1" applyAlignment="1">
      <alignment horizontal="center"/>
    </xf>
    <xf numFmtId="17" fontId="46" fillId="16" borderId="7" xfId="0" applyNumberFormat="1" applyFont="1" applyFill="1" applyBorder="1" applyAlignment="1">
      <alignment horizontal="center" vertical="center" wrapText="1"/>
    </xf>
    <xf numFmtId="17" fontId="46" fillId="16" borderId="83" xfId="0" applyNumberFormat="1" applyFont="1" applyFill="1" applyBorder="1" applyAlignment="1">
      <alignment horizontal="center" vertical="center" wrapText="1"/>
    </xf>
    <xf numFmtId="171" fontId="46" fillId="16" borderId="0" xfId="0" applyNumberFormat="1" applyFont="1" applyFill="1" applyAlignment="1">
      <alignment horizontal="center"/>
    </xf>
    <xf numFmtId="171" fontId="46" fillId="16" borderId="30" xfId="0" applyNumberFormat="1" applyFont="1" applyFill="1" applyBorder="1" applyAlignment="1">
      <alignment horizontal="center" vertical="center" wrapText="1"/>
    </xf>
    <xf numFmtId="2" fontId="190" fillId="16" borderId="83" xfId="0" applyNumberFormat="1" applyFont="1" applyFill="1" applyBorder="1" applyAlignment="1">
      <alignment horizontal="center" vertical="center"/>
    </xf>
    <xf numFmtId="171" fontId="190" fillId="16" borderId="7" xfId="0" applyNumberFormat="1" applyFont="1" applyFill="1" applyBorder="1" applyAlignment="1">
      <alignment horizontal="center" vertical="center"/>
    </xf>
    <xf numFmtId="171" fontId="190" fillId="16" borderId="9" xfId="0" applyNumberFormat="1" applyFont="1" applyFill="1" applyBorder="1" applyAlignment="1">
      <alignment horizontal="center" vertical="center"/>
    </xf>
    <xf numFmtId="171" fontId="46" fillId="16" borderId="0" xfId="0" applyNumberFormat="1" applyFont="1" applyFill="1" applyBorder="1" applyAlignment="1">
      <alignment horizontal="center" vertical="center" wrapText="1"/>
    </xf>
    <xf numFmtId="0" fontId="61" fillId="0" borderId="0" xfId="0" applyFont="1" applyFill="1" applyAlignment="1">
      <alignment horizontal="left" vertical="center" wrapText="1"/>
    </xf>
    <xf numFmtId="0" fontId="61" fillId="0" borderId="0" xfId="0" applyFont="1" applyFill="1" applyAlignment="1">
      <alignment horizontal="left" vertical="center"/>
    </xf>
    <xf numFmtId="0" fontId="61" fillId="0" borderId="0" xfId="0" applyFont="1" applyAlignment="1">
      <alignment vertical="center"/>
    </xf>
    <xf numFmtId="3" fontId="61" fillId="0" borderId="25" xfId="0" applyNumberFormat="1" applyFont="1" applyFill="1" applyBorder="1" applyAlignment="1">
      <alignment horizontal="center" vertical="center"/>
    </xf>
    <xf numFmtId="3" fontId="61" fillId="15" borderId="25" xfId="0" applyNumberFormat="1" applyFont="1" applyFill="1" applyBorder="1" applyAlignment="1">
      <alignment horizontal="center" vertical="center"/>
    </xf>
    <xf numFmtId="3" fontId="61" fillId="12" borderId="25" xfId="0" applyNumberFormat="1" applyFont="1" applyFill="1" applyBorder="1" applyAlignment="1">
      <alignment horizontal="center" vertical="center"/>
    </xf>
    <xf numFmtId="3" fontId="61" fillId="83" borderId="25" xfId="0" applyNumberFormat="1" applyFont="1" applyFill="1" applyBorder="1" applyAlignment="1">
      <alignment horizontal="center" vertical="center"/>
    </xf>
    <xf numFmtId="3" fontId="61" fillId="84" borderId="25" xfId="0" applyNumberFormat="1" applyFont="1" applyFill="1" applyBorder="1" applyAlignment="1">
      <alignment horizontal="center" vertical="center"/>
    </xf>
    <xf numFmtId="0" fontId="11" fillId="0" borderId="0" xfId="0" applyFont="1" applyFill="1" applyAlignment="1">
      <alignment vertical="center"/>
    </xf>
    <xf numFmtId="0" fontId="11" fillId="0" borderId="13" xfId="0" applyFont="1" applyFill="1" applyBorder="1" applyAlignment="1">
      <alignment vertical="center" wrapText="1"/>
    </xf>
    <xf numFmtId="0" fontId="11" fillId="0" borderId="13" xfId="0" applyFont="1" applyFill="1" applyBorder="1" applyAlignment="1">
      <alignment vertical="center"/>
    </xf>
    <xf numFmtId="0" fontId="159" fillId="0" borderId="13" xfId="0" applyFont="1" applyFill="1" applyBorder="1" applyAlignment="1">
      <alignment vertical="center"/>
    </xf>
    <xf numFmtId="0" fontId="61" fillId="0" borderId="25" xfId="0" applyFont="1" applyBorder="1" applyAlignment="1">
      <alignment horizontal="left" vertical="center" wrapText="1"/>
    </xf>
    <xf numFmtId="3" fontId="61" fillId="16" borderId="25" xfId="0" applyNumberFormat="1" applyFont="1" applyFill="1" applyBorder="1" applyAlignment="1">
      <alignment horizontal="center" vertical="center"/>
    </xf>
    <xf numFmtId="9" fontId="61" fillId="0" borderId="25" xfId="2" applyFont="1" applyFill="1" applyBorder="1" applyAlignment="1">
      <alignment horizontal="center" vertical="center"/>
    </xf>
    <xf numFmtId="9" fontId="61" fillId="15" borderId="25" xfId="2" applyFont="1" applyFill="1" applyBorder="1" applyAlignment="1">
      <alignment horizontal="center" vertical="center"/>
    </xf>
    <xf numFmtId="10" fontId="61" fillId="12" borderId="25" xfId="2" applyNumberFormat="1" applyFont="1" applyFill="1" applyBorder="1" applyAlignment="1">
      <alignment horizontal="center" vertical="center"/>
    </xf>
    <xf numFmtId="9" fontId="61" fillId="83" borderId="25" xfId="2" applyFont="1" applyFill="1" applyBorder="1" applyAlignment="1">
      <alignment horizontal="center" vertical="center"/>
    </xf>
    <xf numFmtId="9" fontId="61" fillId="84" borderId="25" xfId="2" applyFont="1" applyFill="1" applyBorder="1" applyAlignment="1">
      <alignment horizontal="center" vertical="center"/>
    </xf>
    <xf numFmtId="167" fontId="61" fillId="16" borderId="25" xfId="2" applyNumberFormat="1" applyFont="1" applyFill="1" applyBorder="1" applyAlignment="1">
      <alignment horizontal="center" vertical="center"/>
    </xf>
    <xf numFmtId="167" fontId="61" fillId="15" borderId="25" xfId="2" applyNumberFormat="1" applyFont="1" applyFill="1" applyBorder="1" applyAlignment="1">
      <alignment horizontal="center" vertical="center"/>
    </xf>
    <xf numFmtId="0" fontId="61" fillId="0" borderId="34" xfId="0" applyFont="1" applyBorder="1" applyAlignment="1">
      <alignment horizontal="left" vertical="center" wrapText="1"/>
    </xf>
    <xf numFmtId="0" fontId="61" fillId="0" borderId="0" xfId="0" applyFont="1" applyBorder="1" applyAlignment="1">
      <alignment horizontal="left" vertical="center" wrapText="1"/>
    </xf>
    <xf numFmtId="0" fontId="61" fillId="16" borderId="0" xfId="0" applyFont="1" applyFill="1" applyBorder="1" applyAlignment="1">
      <alignment horizontal="left" vertical="center"/>
    </xf>
    <xf numFmtId="0" fontId="61" fillId="0" borderId="0" xfId="0" applyFont="1" applyFill="1" applyBorder="1" applyAlignment="1">
      <alignment horizontal="center" vertical="center"/>
    </xf>
    <xf numFmtId="0" fontId="61" fillId="0" borderId="0" xfId="0" applyFont="1" applyFill="1" applyBorder="1" applyAlignment="1">
      <alignment horizontal="left" vertical="center" wrapText="1"/>
    </xf>
    <xf numFmtId="0" fontId="61" fillId="0" borderId="0" xfId="0" applyFont="1" applyFill="1" applyBorder="1" applyAlignment="1">
      <alignment horizontal="left" vertical="center"/>
    </xf>
    <xf numFmtId="166" fontId="61" fillId="0" borderId="25" xfId="1" applyFont="1" applyFill="1" applyBorder="1" applyAlignment="1">
      <alignment horizontal="center" vertical="center"/>
    </xf>
    <xf numFmtId="166" fontId="61" fillId="15" borderId="25" xfId="1" applyFont="1" applyFill="1" applyBorder="1" applyAlignment="1">
      <alignment horizontal="center" vertical="center"/>
    </xf>
    <xf numFmtId="166" fontId="61" fillId="12" borderId="25" xfId="1" applyFont="1" applyFill="1" applyBorder="1" applyAlignment="1">
      <alignment horizontal="center" vertical="center"/>
    </xf>
    <xf numFmtId="166" fontId="61" fillId="83" borderId="25" xfId="1" applyFont="1" applyFill="1" applyBorder="1" applyAlignment="1">
      <alignment horizontal="center" vertical="center"/>
    </xf>
    <xf numFmtId="166" fontId="61" fillId="84" borderId="25" xfId="1" applyFont="1" applyFill="1" applyBorder="1" applyAlignment="1">
      <alignment horizontal="center" vertical="center"/>
    </xf>
    <xf numFmtId="166" fontId="61" fillId="16" borderId="25" xfId="1" applyFont="1" applyFill="1" applyBorder="1" applyAlignment="1">
      <alignment horizontal="center" vertical="center"/>
    </xf>
    <xf numFmtId="166" fontId="61" fillId="0" borderId="0" xfId="1" applyFont="1" applyFill="1" applyBorder="1" applyAlignment="1">
      <alignment horizontal="center" vertical="center"/>
    </xf>
    <xf numFmtId="0" fontId="11" fillId="0" borderId="0" xfId="0" applyFont="1" applyAlignment="1">
      <alignment horizontal="center" vertical="center"/>
    </xf>
    <xf numFmtId="0" fontId="61" fillId="0" borderId="262" xfId="0" applyFont="1" applyBorder="1" applyAlignment="1">
      <alignment horizontal="left" vertical="center" wrapText="1"/>
    </xf>
    <xf numFmtId="2" fontId="61" fillId="0" borderId="0" xfId="0" applyNumberFormat="1" applyFont="1" applyFill="1" applyBorder="1" applyAlignment="1">
      <alignment horizontal="center" vertical="center"/>
    </xf>
    <xf numFmtId="2" fontId="61" fillId="15" borderId="0" xfId="0" applyNumberFormat="1" applyFont="1" applyFill="1" applyBorder="1" applyAlignment="1">
      <alignment horizontal="center" vertical="center"/>
    </xf>
    <xf numFmtId="2" fontId="61" fillId="12" borderId="0" xfId="0" applyNumberFormat="1" applyFont="1" applyFill="1" applyBorder="1" applyAlignment="1">
      <alignment horizontal="center" vertical="center"/>
    </xf>
    <xf numFmtId="2" fontId="61" fillId="0" borderId="25" xfId="0" applyNumberFormat="1" applyFont="1" applyFill="1" applyBorder="1" applyAlignment="1">
      <alignment horizontal="center" vertical="center"/>
    </xf>
    <xf numFmtId="2" fontId="61" fillId="15" borderId="25" xfId="0" applyNumberFormat="1" applyFont="1" applyFill="1" applyBorder="1" applyAlignment="1">
      <alignment horizontal="center" vertical="center"/>
    </xf>
    <xf numFmtId="2" fontId="61" fillId="12" borderId="25" xfId="0" applyNumberFormat="1" applyFont="1" applyFill="1" applyBorder="1" applyAlignment="1">
      <alignment horizontal="center" vertical="center"/>
    </xf>
    <xf numFmtId="2" fontId="61" fillId="83" borderId="25" xfId="0" applyNumberFormat="1" applyFont="1" applyFill="1" applyBorder="1" applyAlignment="1">
      <alignment horizontal="center" vertical="center"/>
    </xf>
    <xf numFmtId="2" fontId="61" fillId="84" borderId="25" xfId="0" applyNumberFormat="1" applyFont="1" applyFill="1" applyBorder="1" applyAlignment="1">
      <alignment horizontal="center" vertical="center"/>
    </xf>
    <xf numFmtId="2" fontId="61" fillId="0" borderId="34" xfId="0" applyNumberFormat="1" applyFont="1" applyFill="1" applyBorder="1" applyAlignment="1">
      <alignment horizontal="center" vertical="center"/>
    </xf>
    <xf numFmtId="2" fontId="61" fillId="15" borderId="34" xfId="0" applyNumberFormat="1" applyFont="1" applyFill="1" applyBorder="1" applyAlignment="1">
      <alignment horizontal="center" vertical="center"/>
    </xf>
    <xf numFmtId="2" fontId="61" fillId="12" borderId="34" xfId="0" applyNumberFormat="1" applyFont="1" applyFill="1" applyBorder="1" applyAlignment="1">
      <alignment horizontal="center" vertical="center"/>
    </xf>
    <xf numFmtId="2" fontId="61" fillId="83" borderId="34" xfId="0" applyNumberFormat="1" applyFont="1" applyFill="1" applyBorder="1" applyAlignment="1">
      <alignment horizontal="center" vertical="center"/>
    </xf>
    <xf numFmtId="2" fontId="61" fillId="84" borderId="34" xfId="0" applyNumberFormat="1" applyFont="1" applyFill="1" applyBorder="1" applyAlignment="1">
      <alignment horizontal="center" vertical="center"/>
    </xf>
    <xf numFmtId="166" fontId="61" fillId="16" borderId="34" xfId="1" applyFont="1" applyFill="1" applyBorder="1" applyAlignment="1">
      <alignment horizontal="center" vertical="center"/>
    </xf>
    <xf numFmtId="0" fontId="61" fillId="16" borderId="0" xfId="0" applyFont="1" applyFill="1" applyAlignment="1">
      <alignment horizontal="center" vertical="center"/>
    </xf>
    <xf numFmtId="168" fontId="61" fillId="15" borderId="25" xfId="1" applyNumberFormat="1" applyFont="1" applyFill="1" applyBorder="1" applyAlignment="1">
      <alignment horizontal="center" vertical="center"/>
    </xf>
    <xf numFmtId="168" fontId="61" fillId="12" borderId="25" xfId="1" applyNumberFormat="1" applyFont="1" applyFill="1" applyBorder="1" applyAlignment="1">
      <alignment horizontal="center" vertical="center"/>
    </xf>
    <xf numFmtId="168" fontId="61" fillId="83" borderId="25" xfId="1" applyNumberFormat="1" applyFont="1" applyFill="1" applyBorder="1" applyAlignment="1">
      <alignment horizontal="center" vertical="center"/>
    </xf>
    <xf numFmtId="168" fontId="61" fillId="84" borderId="25" xfId="1" applyNumberFormat="1" applyFont="1" applyFill="1" applyBorder="1" applyAlignment="1">
      <alignment horizontal="center" vertical="center"/>
    </xf>
    <xf numFmtId="168" fontId="61" fillId="16" borderId="25" xfId="1" applyNumberFormat="1" applyFont="1" applyFill="1" applyBorder="1" applyAlignment="1">
      <alignment horizontal="center" vertical="center"/>
    </xf>
    <xf numFmtId="0" fontId="7" fillId="0" borderId="0" xfId="0" applyFont="1" applyAlignment="1">
      <alignment vertical="center"/>
    </xf>
    <xf numFmtId="0" fontId="19" fillId="0" borderId="0" xfId="0" applyFont="1" applyAlignment="1">
      <alignment vertical="center"/>
    </xf>
    <xf numFmtId="0" fontId="11" fillId="0" borderId="0" xfId="0" applyFont="1" applyFill="1" applyBorder="1" applyAlignment="1">
      <alignment horizontal="left" vertical="center" wrapText="1"/>
    </xf>
    <xf numFmtId="168" fontId="61" fillId="15" borderId="0" xfId="1" applyNumberFormat="1" applyFont="1" applyFill="1" applyBorder="1" applyAlignment="1">
      <alignment horizontal="center" vertical="center"/>
    </xf>
    <xf numFmtId="168" fontId="61" fillId="12" borderId="0" xfId="1" applyNumberFormat="1" applyFont="1" applyFill="1" applyBorder="1" applyAlignment="1">
      <alignment horizontal="center" vertical="center"/>
    </xf>
    <xf numFmtId="0" fontId="61" fillId="0" borderId="45" xfId="0" applyFont="1" applyFill="1" applyBorder="1" applyAlignment="1">
      <alignment horizontal="center" vertical="center"/>
    </xf>
    <xf numFmtId="0" fontId="61" fillId="0" borderId="264" xfId="0" applyFont="1" applyFill="1" applyBorder="1" applyAlignment="1">
      <alignment horizontal="center" vertical="center"/>
    </xf>
    <xf numFmtId="0" fontId="61" fillId="0" borderId="55" xfId="0" applyFont="1" applyFill="1" applyBorder="1" applyAlignment="1">
      <alignment horizontal="center" vertical="center"/>
    </xf>
    <xf numFmtId="0" fontId="61" fillId="0" borderId="37" xfId="0" applyFont="1" applyBorder="1" applyAlignment="1">
      <alignment horizontal="center" vertical="center"/>
    </xf>
    <xf numFmtId="0" fontId="61" fillId="0" borderId="312" xfId="0" applyFont="1" applyBorder="1" applyAlignment="1">
      <alignment horizontal="center" vertical="center"/>
    </xf>
    <xf numFmtId="0" fontId="61" fillId="16" borderId="7" xfId="0" applyFont="1" applyFill="1" applyBorder="1" applyAlignment="1">
      <alignment horizontal="left" vertical="center"/>
    </xf>
    <xf numFmtId="0" fontId="61" fillId="0" borderId="37" xfId="0" applyFont="1" applyFill="1" applyBorder="1" applyAlignment="1">
      <alignment horizontal="center" vertical="center"/>
    </xf>
    <xf numFmtId="166" fontId="61" fillId="0" borderId="7" xfId="1" applyFont="1" applyFill="1" applyBorder="1" applyAlignment="1">
      <alignment horizontal="center" vertical="center"/>
    </xf>
    <xf numFmtId="0" fontId="61" fillId="0" borderId="0" xfId="0" applyFont="1" applyBorder="1" applyAlignment="1">
      <alignment horizontal="right" vertical="center" wrapText="1"/>
    </xf>
    <xf numFmtId="0" fontId="61" fillId="0" borderId="312" xfId="0" applyFont="1" applyBorder="1" applyAlignment="1">
      <alignment horizontal="center" vertical="center" wrapText="1"/>
    </xf>
    <xf numFmtId="0" fontId="61" fillId="0" borderId="274" xfId="0" applyFont="1" applyBorder="1" applyAlignment="1">
      <alignment horizontal="center" vertical="center" wrapText="1"/>
    </xf>
    <xf numFmtId="0" fontId="61" fillId="0" borderId="364" xfId="0" applyFont="1" applyBorder="1" applyAlignment="1">
      <alignment horizontal="center" vertical="center" wrapText="1"/>
    </xf>
    <xf numFmtId="0" fontId="61" fillId="0" borderId="365" xfId="0" applyFont="1" applyFill="1" applyBorder="1" applyAlignment="1">
      <alignment horizontal="center" vertical="center"/>
    </xf>
    <xf numFmtId="0" fontId="61" fillId="0" borderId="66" xfId="0" applyFont="1" applyBorder="1" applyAlignment="1">
      <alignment horizontal="center" vertical="center" wrapText="1"/>
    </xf>
    <xf numFmtId="0" fontId="61" fillId="16" borderId="0" xfId="0" applyFont="1" applyFill="1" applyBorder="1" applyAlignment="1">
      <alignment horizontal="center" vertical="center"/>
    </xf>
    <xf numFmtId="0" fontId="61" fillId="0" borderId="7" xfId="0" applyFont="1" applyFill="1" applyBorder="1" applyAlignment="1">
      <alignment horizontal="left" vertical="center"/>
    </xf>
    <xf numFmtId="168" fontId="61" fillId="0" borderId="0" xfId="1" applyNumberFormat="1" applyFont="1" applyFill="1" applyBorder="1" applyAlignment="1">
      <alignment horizontal="center" vertical="center"/>
    </xf>
    <xf numFmtId="168" fontId="61" fillId="16" borderId="57" xfId="1" applyNumberFormat="1" applyFont="1" applyFill="1" applyBorder="1" applyAlignment="1">
      <alignment horizontal="center" vertical="center"/>
    </xf>
    <xf numFmtId="0" fontId="61" fillId="0" borderId="48" xfId="0" applyFont="1" applyFill="1" applyBorder="1" applyAlignment="1">
      <alignment horizontal="center" vertical="center"/>
    </xf>
    <xf numFmtId="0" fontId="30" fillId="0" borderId="37" xfId="0" applyFont="1" applyBorder="1" applyAlignment="1">
      <alignment horizontal="center" vertical="top"/>
    </xf>
    <xf numFmtId="0" fontId="61" fillId="0" borderId="53" xfId="0" applyFont="1" applyBorder="1" applyAlignment="1">
      <alignment horizontal="center" vertical="center"/>
    </xf>
    <xf numFmtId="0" fontId="30" fillId="71" borderId="54" xfId="0" applyFont="1" applyFill="1" applyBorder="1" applyAlignment="1">
      <alignment horizontal="left" vertical="center" wrapText="1"/>
    </xf>
    <xf numFmtId="0" fontId="30" fillId="0" borderId="54" xfId="0" applyFont="1" applyFill="1" applyBorder="1" applyAlignment="1">
      <alignment horizontal="center" vertical="center"/>
    </xf>
    <xf numFmtId="0" fontId="30" fillId="15" borderId="54" xfId="0" applyFont="1" applyFill="1" applyBorder="1" applyAlignment="1">
      <alignment horizontal="center" vertical="center"/>
    </xf>
    <xf numFmtId="0" fontId="30" fillId="12" borderId="54" xfId="0" applyFont="1" applyFill="1" applyBorder="1" applyAlignment="1">
      <alignment horizontal="center" vertical="center"/>
    </xf>
    <xf numFmtId="0" fontId="30" fillId="83" borderId="54" xfId="0" applyFont="1" applyFill="1" applyBorder="1" applyAlignment="1">
      <alignment horizontal="center" vertical="center"/>
    </xf>
    <xf numFmtId="0" fontId="30" fillId="84" borderId="54" xfId="0" applyFont="1" applyFill="1" applyBorder="1" applyAlignment="1">
      <alignment horizontal="center" vertical="center"/>
    </xf>
    <xf numFmtId="0" fontId="30" fillId="16" borderId="54" xfId="0" applyFont="1" applyFill="1" applyBorder="1" applyAlignment="1">
      <alignment horizontal="center" vertical="center"/>
    </xf>
    <xf numFmtId="0" fontId="30" fillId="105" borderId="43" xfId="0" applyFont="1" applyFill="1" applyBorder="1" applyAlignment="1">
      <alignment horizontal="center" vertical="center"/>
    </xf>
    <xf numFmtId="0" fontId="30" fillId="70" borderId="87" xfId="0" applyFont="1" applyFill="1" applyBorder="1" applyAlignment="1">
      <alignment horizontal="center" vertical="center"/>
    </xf>
    <xf numFmtId="3" fontId="61" fillId="70" borderId="24" xfId="0" applyNumberFormat="1" applyFont="1" applyFill="1" applyBorder="1" applyAlignment="1">
      <alignment horizontal="center" vertical="center"/>
    </xf>
    <xf numFmtId="0" fontId="61" fillId="0" borderId="13" xfId="0" applyFont="1" applyBorder="1" applyAlignment="1">
      <alignment horizontal="left" vertical="center" wrapText="1"/>
    </xf>
    <xf numFmtId="3" fontId="61" fillId="28" borderId="13" xfId="0" applyNumberFormat="1" applyFont="1" applyFill="1" applyBorder="1" applyAlignment="1">
      <alignment horizontal="right" vertical="center"/>
    </xf>
    <xf numFmtId="3" fontId="30" fillId="28" borderId="13" xfId="0" applyNumberFormat="1" applyFont="1" applyFill="1" applyBorder="1" applyAlignment="1">
      <alignment horizontal="right" vertical="center"/>
    </xf>
    <xf numFmtId="10" fontId="61" fillId="28" borderId="13" xfId="2" applyNumberFormat="1" applyFont="1" applyFill="1" applyBorder="1" applyAlignment="1">
      <alignment horizontal="center" vertical="center"/>
    </xf>
    <xf numFmtId="3" fontId="30" fillId="28" borderId="13" xfId="0" applyNumberFormat="1" applyFont="1" applyFill="1" applyBorder="1" applyAlignment="1">
      <alignment horizontal="center" vertical="center"/>
    </xf>
    <xf numFmtId="0" fontId="12" fillId="0" borderId="0" xfId="0" applyFont="1" applyFill="1" applyBorder="1" applyAlignment="1">
      <alignment horizontal="center" vertical="center" wrapText="1"/>
    </xf>
    <xf numFmtId="0" fontId="12" fillId="0" borderId="0" xfId="0" applyFont="1" applyFill="1" applyBorder="1" applyAlignment="1">
      <alignment vertical="center"/>
    </xf>
    <xf numFmtId="0" fontId="172" fillId="0" borderId="0" xfId="4" applyFont="1" applyFill="1" applyBorder="1" applyAlignment="1" applyProtection="1">
      <alignment horizontal="center" vertical="center" wrapText="1"/>
    </xf>
    <xf numFmtId="0" fontId="20" fillId="0" borderId="0" xfId="0" applyFont="1" applyAlignment="1">
      <alignment horizontal="center" vertical="center"/>
    </xf>
    <xf numFmtId="0" fontId="20" fillId="0" borderId="0" xfId="0" applyFont="1" applyAlignment="1">
      <alignment vertical="center"/>
    </xf>
    <xf numFmtId="167" fontId="20" fillId="0" borderId="0" xfId="2" applyNumberFormat="1" applyFont="1" applyAlignment="1">
      <alignment horizontal="center" vertical="center"/>
    </xf>
    <xf numFmtId="0" fontId="47" fillId="0" borderId="362" xfId="0" applyFont="1" applyBorder="1" applyAlignment="1">
      <alignment horizontal="center" vertical="center" wrapText="1"/>
    </xf>
    <xf numFmtId="0" fontId="47" fillId="0" borderId="316" xfId="0" applyFont="1" applyBorder="1" applyAlignment="1">
      <alignment horizontal="center" vertical="center" wrapText="1"/>
    </xf>
    <xf numFmtId="0" fontId="47" fillId="3" borderId="316" xfId="0" applyFont="1" applyFill="1" applyBorder="1" applyAlignment="1">
      <alignment horizontal="center" vertical="center" wrapText="1"/>
    </xf>
    <xf numFmtId="0" fontId="47" fillId="0" borderId="253" xfId="0" applyFont="1" applyBorder="1" applyAlignment="1">
      <alignment horizontal="center" vertical="center" wrapText="1"/>
    </xf>
    <xf numFmtId="0" fontId="0" fillId="3" borderId="0" xfId="0" applyFont="1" applyFill="1" applyAlignment="1">
      <alignment horizontal="center" vertical="center"/>
    </xf>
    <xf numFmtId="166" fontId="0" fillId="3" borderId="0" xfId="1" applyFont="1" applyFill="1" applyAlignment="1">
      <alignment vertical="center"/>
    </xf>
    <xf numFmtId="10" fontId="0" fillId="3" borderId="13" xfId="0" applyNumberFormat="1" applyFont="1" applyFill="1" applyBorder="1" applyAlignment="1">
      <alignment vertical="center"/>
    </xf>
    <xf numFmtId="0" fontId="0" fillId="3" borderId="20" xfId="0" applyFont="1" applyFill="1" applyBorder="1" applyAlignment="1">
      <alignment horizontal="center" vertical="center"/>
    </xf>
    <xf numFmtId="0" fontId="0" fillId="31" borderId="20" xfId="0" applyFont="1" applyFill="1" applyBorder="1" applyAlignment="1">
      <alignment horizontal="center" vertical="center"/>
    </xf>
    <xf numFmtId="43" fontId="0" fillId="31" borderId="20" xfId="0" applyNumberFormat="1" applyFont="1" applyFill="1" applyBorder="1" applyAlignment="1">
      <alignment vertical="center"/>
    </xf>
    <xf numFmtId="0" fontId="0" fillId="31" borderId="20" xfId="0" applyFont="1" applyFill="1" applyBorder="1" applyAlignment="1">
      <alignment vertical="center"/>
    </xf>
    <xf numFmtId="10" fontId="0" fillId="31" borderId="20" xfId="2" applyNumberFormat="1" applyFont="1" applyFill="1" applyBorder="1" applyAlignment="1">
      <alignment vertical="center"/>
    </xf>
    <xf numFmtId="178" fontId="108" fillId="71" borderId="42" xfId="2" applyNumberFormat="1" applyFont="1" applyFill="1" applyBorder="1" applyAlignment="1">
      <alignment horizontal="center" vertical="center"/>
    </xf>
    <xf numFmtId="0" fontId="1" fillId="0" borderId="0" xfId="0" applyFont="1" applyAlignment="1">
      <alignment vertical="center"/>
    </xf>
    <xf numFmtId="166" fontId="73" fillId="71" borderId="13" xfId="1" applyFont="1" applyFill="1" applyBorder="1" applyAlignment="1">
      <alignment vertical="center"/>
    </xf>
    <xf numFmtId="10" fontId="73" fillId="71" borderId="13" xfId="2" applyNumberFormat="1" applyFont="1" applyFill="1" applyBorder="1" applyAlignment="1">
      <alignment vertical="center"/>
    </xf>
    <xf numFmtId="178" fontId="73" fillId="71" borderId="13" xfId="2" applyNumberFormat="1" applyFont="1" applyFill="1" applyBorder="1" applyAlignment="1">
      <alignment horizontal="center" vertical="center"/>
    </xf>
    <xf numFmtId="10" fontId="5" fillId="31" borderId="17" xfId="0" applyNumberFormat="1" applyFont="1" applyFill="1" applyBorder="1" applyAlignment="1">
      <alignment horizontal="center" vertical="center"/>
    </xf>
    <xf numFmtId="0" fontId="5" fillId="31" borderId="17" xfId="0" applyFont="1" applyFill="1" applyBorder="1" applyAlignment="1">
      <alignment horizontal="center" vertical="center" wrapText="1"/>
    </xf>
    <xf numFmtId="178" fontId="108" fillId="71" borderId="42" xfId="2" applyNumberFormat="1" applyFont="1" applyFill="1" applyBorder="1" applyAlignment="1">
      <alignment horizontal="center" vertical="center" wrapText="1"/>
    </xf>
    <xf numFmtId="0" fontId="61" fillId="0" borderId="0" xfId="0" applyFont="1" applyFill="1" applyBorder="1"/>
    <xf numFmtId="0" fontId="30" fillId="0" borderId="0" xfId="0" applyFont="1" applyFill="1" applyBorder="1" applyAlignment="1">
      <alignment vertical="center"/>
    </xf>
    <xf numFmtId="0" fontId="159" fillId="0" borderId="0" xfId="0" applyFont="1" applyFill="1" applyBorder="1" applyAlignment="1">
      <alignment vertical="center"/>
    </xf>
    <xf numFmtId="0" fontId="138" fillId="0" borderId="44" xfId="0" applyFont="1" applyFill="1" applyBorder="1" applyAlignment="1">
      <alignment horizontal="center" vertical="center"/>
    </xf>
    <xf numFmtId="0" fontId="0" fillId="0" borderId="0" xfId="0" applyFont="1" applyAlignment="1">
      <alignment horizontal="left" vertical="center"/>
    </xf>
    <xf numFmtId="0" fontId="0" fillId="0" borderId="0" xfId="0" applyFont="1" applyFill="1" applyAlignment="1">
      <alignment horizontal="center" vertical="center"/>
    </xf>
    <xf numFmtId="10" fontId="26" fillId="0" borderId="51" xfId="0" applyNumberFormat="1" applyFont="1" applyFill="1" applyBorder="1" applyAlignment="1">
      <alignment horizontal="center" vertical="center"/>
    </xf>
    <xf numFmtId="166" fontId="0" fillId="0" borderId="0" xfId="1" applyFont="1" applyFill="1" applyAlignment="1">
      <alignment vertical="center"/>
    </xf>
    <xf numFmtId="168" fontId="0" fillId="0" borderId="20" xfId="1" applyNumberFormat="1" applyFont="1" applyFill="1" applyBorder="1" applyAlignment="1">
      <alignment vertical="center"/>
    </xf>
    <xf numFmtId="168" fontId="138" fillId="0" borderId="20" xfId="1" applyNumberFormat="1" applyFont="1" applyFill="1" applyBorder="1" applyAlignment="1">
      <alignment vertical="center"/>
    </xf>
    <xf numFmtId="10" fontId="0" fillId="0" borderId="20" xfId="0" applyNumberFormat="1" applyFont="1" applyFill="1" applyBorder="1" applyAlignment="1">
      <alignment vertical="center"/>
    </xf>
    <xf numFmtId="168" fontId="0" fillId="0" borderId="13" xfId="1" applyNumberFormat="1" applyFont="1" applyFill="1" applyBorder="1" applyAlignment="1">
      <alignment vertical="center"/>
    </xf>
    <xf numFmtId="168" fontId="138" fillId="0" borderId="13" xfId="1" applyNumberFormat="1" applyFont="1" applyFill="1" applyBorder="1" applyAlignment="1">
      <alignment vertical="center"/>
    </xf>
    <xf numFmtId="10" fontId="0" fillId="0" borderId="13" xfId="0" applyNumberFormat="1" applyFont="1" applyFill="1" applyBorder="1" applyAlignment="1">
      <alignment vertical="center"/>
    </xf>
    <xf numFmtId="168" fontId="138" fillId="0" borderId="13" xfId="1" applyNumberFormat="1" applyFont="1" applyFill="1" applyBorder="1"/>
    <xf numFmtId="9" fontId="10" fillId="0" borderId="13" xfId="2" applyFont="1" applyFill="1" applyBorder="1" applyAlignment="1">
      <alignment horizontal="center" vertical="center"/>
    </xf>
    <xf numFmtId="0" fontId="26" fillId="0" borderId="69" xfId="0" applyFont="1" applyFill="1" applyBorder="1" applyAlignment="1">
      <alignment horizontal="center" vertical="center" wrapText="1"/>
    </xf>
    <xf numFmtId="0" fontId="0" fillId="0" borderId="24" xfId="0" applyFont="1" applyFill="1" applyBorder="1" applyAlignment="1">
      <alignment horizontal="center" vertical="center"/>
    </xf>
    <xf numFmtId="0" fontId="0" fillId="0" borderId="25" xfId="0" applyFont="1" applyFill="1" applyBorder="1" applyAlignment="1">
      <alignment horizontal="center" vertical="center"/>
    </xf>
    <xf numFmtId="9" fontId="10" fillId="0" borderId="25" xfId="2" applyFont="1" applyFill="1" applyBorder="1" applyAlignment="1">
      <alignment horizontal="center" vertical="center"/>
    </xf>
    <xf numFmtId="9" fontId="10" fillId="0" borderId="58" xfId="2" applyFont="1" applyFill="1" applyBorder="1" applyAlignment="1">
      <alignment horizontal="center" vertical="center"/>
    </xf>
    <xf numFmtId="0" fontId="21" fillId="0" borderId="0" xfId="4" applyAlignment="1" applyProtection="1">
      <alignment vertical="center"/>
    </xf>
    <xf numFmtId="0" fontId="0" fillId="3" borderId="13" xfId="0" applyFont="1" applyFill="1" applyBorder="1" applyAlignment="1">
      <alignment horizontal="center" vertical="center"/>
    </xf>
    <xf numFmtId="178" fontId="73" fillId="3" borderId="13" xfId="2" applyNumberFormat="1" applyFont="1" applyFill="1" applyBorder="1" applyAlignment="1">
      <alignment horizontal="center" vertical="center"/>
    </xf>
    <xf numFmtId="10" fontId="61" fillId="3" borderId="45" xfId="2" applyNumberFormat="1" applyFont="1" applyFill="1" applyBorder="1" applyAlignment="1">
      <alignment vertical="center"/>
    </xf>
    <xf numFmtId="10" fontId="6" fillId="2" borderId="5" xfId="2" applyNumberFormat="1" applyFont="1" applyFill="1" applyBorder="1" applyAlignment="1">
      <alignment horizontal="center" vertical="center" wrapText="1"/>
    </xf>
    <xf numFmtId="10" fontId="61" fillId="2" borderId="45" xfId="2" applyNumberFormat="1" applyFont="1" applyFill="1" applyBorder="1" applyAlignment="1">
      <alignment vertical="center"/>
    </xf>
    <xf numFmtId="9" fontId="10" fillId="0" borderId="13" xfId="2" applyFont="1" applyBorder="1" applyAlignment="1">
      <alignment horizontal="center" vertical="center"/>
    </xf>
    <xf numFmtId="9" fontId="10" fillId="3" borderId="13" xfId="2" applyFont="1" applyFill="1" applyBorder="1" applyAlignment="1">
      <alignment horizontal="center" vertical="center"/>
    </xf>
    <xf numFmtId="9" fontId="10" fillId="104" borderId="13" xfId="2" applyFont="1" applyFill="1" applyBorder="1" applyAlignment="1">
      <alignment horizontal="center" vertical="center"/>
    </xf>
    <xf numFmtId="0" fontId="97" fillId="7" borderId="87" xfId="0" applyFont="1" applyFill="1" applyBorder="1" applyAlignment="1">
      <alignment horizontal="center" vertical="center" wrapText="1"/>
    </xf>
    <xf numFmtId="3" fontId="98" fillId="0" borderId="6" xfId="0" applyNumberFormat="1" applyFont="1" applyBorder="1"/>
    <xf numFmtId="171" fontId="7" fillId="16" borderId="0" xfId="0" applyNumberFormat="1" applyFont="1" applyFill="1" applyBorder="1" applyAlignment="1">
      <alignment horizontal="left" vertical="center" wrapText="1"/>
    </xf>
    <xf numFmtId="168" fontId="61" fillId="31" borderId="366" xfId="1" applyNumberFormat="1" applyFont="1" applyFill="1" applyBorder="1"/>
    <xf numFmtId="168" fontId="61" fillId="31" borderId="368" xfId="1" applyNumberFormat="1" applyFont="1" applyFill="1" applyBorder="1"/>
    <xf numFmtId="168" fontId="61" fillId="10" borderId="368" xfId="1" applyNumberFormat="1" applyFont="1" applyFill="1" applyBorder="1"/>
    <xf numFmtId="168" fontId="61" fillId="5" borderId="368" xfId="1" applyNumberFormat="1" applyFont="1" applyFill="1" applyBorder="1"/>
    <xf numFmtId="168" fontId="61" fillId="0" borderId="368" xfId="1" applyNumberFormat="1" applyFont="1" applyFill="1" applyBorder="1"/>
    <xf numFmtId="168" fontId="61" fillId="0" borderId="37" xfId="1" applyNumberFormat="1" applyFont="1" applyFill="1" applyBorder="1"/>
    <xf numFmtId="168" fontId="61" fillId="0" borderId="369" xfId="1" applyNumberFormat="1" applyFont="1" applyFill="1" applyBorder="1"/>
    <xf numFmtId="168" fontId="61" fillId="0" borderId="370" xfId="1" applyNumberFormat="1" applyFont="1" applyFill="1" applyBorder="1"/>
    <xf numFmtId="2" fontId="96" fillId="29" borderId="45" xfId="0" applyNumberFormat="1" applyFont="1" applyFill="1" applyBorder="1" applyAlignment="1">
      <alignment horizontal="center" vertical="center"/>
    </xf>
    <xf numFmtId="171" fontId="30" fillId="38" borderId="29" xfId="0" applyNumberFormat="1" applyFont="1" applyFill="1" applyBorder="1" applyAlignment="1">
      <alignment horizontal="center" vertical="center"/>
    </xf>
    <xf numFmtId="171" fontId="30" fillId="38" borderId="30" xfId="0" applyNumberFormat="1" applyFont="1" applyFill="1" applyBorder="1" applyAlignment="1">
      <alignment horizontal="center" vertical="center"/>
    </xf>
    <xf numFmtId="171" fontId="30" fillId="38" borderId="34" xfId="0" applyNumberFormat="1" applyFont="1" applyFill="1" applyBorder="1" applyAlignment="1">
      <alignment horizontal="center" vertical="center" wrapText="1"/>
    </xf>
    <xf numFmtId="171" fontId="30" fillId="38" borderId="67" xfId="0" applyNumberFormat="1" applyFont="1" applyFill="1" applyBorder="1" applyAlignment="1">
      <alignment horizontal="center" vertical="center" wrapText="1"/>
    </xf>
    <xf numFmtId="2" fontId="96" fillId="3" borderId="58" xfId="0" applyNumberFormat="1" applyFont="1" applyFill="1" applyBorder="1" applyAlignment="1">
      <alignment horizontal="center" vertical="center"/>
    </xf>
    <xf numFmtId="2" fontId="11" fillId="3" borderId="313" xfId="0" applyNumberFormat="1" applyFont="1" applyFill="1" applyBorder="1" applyAlignment="1">
      <alignment horizontal="center" vertical="center"/>
    </xf>
    <xf numFmtId="9" fontId="19" fillId="3" borderId="58" xfId="2" applyFont="1" applyFill="1" applyBorder="1" applyAlignment="1">
      <alignment horizontal="center" vertical="center"/>
    </xf>
    <xf numFmtId="0" fontId="30" fillId="81" borderId="5" xfId="0" applyFont="1" applyFill="1" applyBorder="1" applyAlignment="1">
      <alignment vertical="center"/>
    </xf>
    <xf numFmtId="0" fontId="46" fillId="81" borderId="5" xfId="0" applyFont="1" applyFill="1" applyBorder="1" applyAlignment="1">
      <alignment vertical="center"/>
    </xf>
    <xf numFmtId="2" fontId="160" fillId="31" borderId="55" xfId="0" applyNumberFormat="1" applyFont="1" applyFill="1" applyBorder="1" applyAlignment="1">
      <alignment horizontal="center" vertical="center"/>
    </xf>
    <xf numFmtId="2" fontId="178" fillId="31" borderId="45" xfId="0" applyNumberFormat="1" applyFont="1" applyFill="1" applyBorder="1" applyAlignment="1">
      <alignment horizontal="center" vertical="center"/>
    </xf>
    <xf numFmtId="2" fontId="97" fillId="3" borderId="49" xfId="0" applyNumberFormat="1" applyFont="1" applyFill="1" applyBorder="1" applyAlignment="1">
      <alignment horizontal="center" vertical="center"/>
    </xf>
    <xf numFmtId="2" fontId="178" fillId="3" borderId="49" xfId="0" applyNumberFormat="1" applyFont="1" applyFill="1" applyBorder="1" applyAlignment="1">
      <alignment horizontal="center" vertical="center"/>
    </xf>
    <xf numFmtId="2" fontId="11" fillId="3" borderId="273" xfId="0" applyNumberFormat="1" applyFont="1" applyFill="1" applyBorder="1" applyAlignment="1">
      <alignment horizontal="center" vertical="center"/>
    </xf>
    <xf numFmtId="2" fontId="160" fillId="3" borderId="269" xfId="0" applyNumberFormat="1" applyFont="1" applyFill="1" applyBorder="1" applyAlignment="1">
      <alignment horizontal="center" vertical="center"/>
    </xf>
    <xf numFmtId="2" fontId="96" fillId="29" borderId="44" xfId="0" applyNumberFormat="1" applyFont="1" applyFill="1" applyBorder="1" applyAlignment="1">
      <alignment horizontal="center" vertical="center"/>
    </xf>
    <xf numFmtId="2" fontId="19" fillId="27" borderId="44" xfId="0" applyNumberFormat="1" applyFont="1" applyFill="1" applyBorder="1" applyAlignment="1">
      <alignment horizontal="center" vertical="center"/>
    </xf>
    <xf numFmtId="2" fontId="178" fillId="3" borderId="44" xfId="0" applyNumberFormat="1" applyFont="1" applyFill="1" applyBorder="1" applyAlignment="1">
      <alignment horizontal="center" vertical="center"/>
    </xf>
    <xf numFmtId="2" fontId="97" fillId="3" borderId="318" xfId="0" applyNumberFormat="1" applyFont="1" applyFill="1" applyBorder="1" applyAlignment="1">
      <alignment horizontal="center" vertical="center"/>
    </xf>
    <xf numFmtId="2" fontId="97" fillId="3" borderId="46" xfId="0" applyNumberFormat="1" applyFont="1" applyFill="1" applyBorder="1" applyAlignment="1">
      <alignment horizontal="center" vertical="center"/>
    </xf>
    <xf numFmtId="1" fontId="30" fillId="38" borderId="35" xfId="0" applyNumberFormat="1" applyFont="1" applyFill="1" applyBorder="1" applyAlignment="1">
      <alignment horizontal="left" vertical="center"/>
    </xf>
    <xf numFmtId="171" fontId="30" fillId="38" borderId="66" xfId="0" applyNumberFormat="1" applyFont="1" applyFill="1" applyBorder="1" applyAlignment="1">
      <alignment horizontal="center" vertical="center" wrapText="1"/>
    </xf>
    <xf numFmtId="171" fontId="30" fillId="3" borderId="274" xfId="0" applyNumberFormat="1" applyFont="1" applyFill="1" applyBorder="1" applyAlignment="1">
      <alignment horizontal="center" vertical="center"/>
    </xf>
    <xf numFmtId="171" fontId="30" fillId="3" borderId="264" xfId="0" applyNumberFormat="1" applyFont="1" applyFill="1" applyBorder="1" applyAlignment="1">
      <alignment horizontal="center" vertical="center"/>
    </xf>
    <xf numFmtId="1" fontId="30" fillId="3" borderId="6" xfId="0" applyNumberFormat="1" applyFont="1" applyFill="1" applyBorder="1" applyAlignment="1">
      <alignment horizontal="center" vertical="center" wrapText="1"/>
    </xf>
    <xf numFmtId="171" fontId="24" fillId="3" borderId="5" xfId="0" applyNumberFormat="1" applyFont="1" applyFill="1" applyBorder="1" applyAlignment="1">
      <alignment horizontal="center"/>
    </xf>
    <xf numFmtId="171" fontId="24" fillId="3" borderId="6" xfId="0" applyNumberFormat="1" applyFont="1" applyFill="1" applyBorder="1" applyAlignment="1">
      <alignment horizontal="center"/>
    </xf>
    <xf numFmtId="171" fontId="24" fillId="3" borderId="8" xfId="0" applyNumberFormat="1" applyFont="1" applyFill="1" applyBorder="1" applyAlignment="1">
      <alignment horizontal="center"/>
    </xf>
    <xf numFmtId="2" fontId="96" fillId="3" borderId="17" xfId="0" applyNumberFormat="1" applyFont="1" applyFill="1" applyBorder="1" applyAlignment="1">
      <alignment horizontal="center" vertical="center"/>
    </xf>
    <xf numFmtId="2" fontId="96" fillId="3" borderId="319" xfId="0" applyNumberFormat="1" applyFont="1" applyFill="1" applyBorder="1" applyAlignment="1">
      <alignment horizontal="center" vertical="center"/>
    </xf>
    <xf numFmtId="0" fontId="30" fillId="82" borderId="8" xfId="0" applyFont="1" applyFill="1" applyBorder="1" applyAlignment="1">
      <alignment horizontal="right" vertical="center"/>
    </xf>
    <xf numFmtId="0" fontId="30" fillId="37" borderId="6" xfId="0" applyFont="1" applyFill="1" applyBorder="1" applyAlignment="1">
      <alignment horizontal="left" vertical="center"/>
    </xf>
    <xf numFmtId="9" fontId="19" fillId="27" borderId="44" xfId="2" applyNumberFormat="1" applyFont="1" applyFill="1" applyBorder="1" applyAlignment="1">
      <alignment horizontal="center" vertical="center"/>
    </xf>
    <xf numFmtId="2" fontId="96" fillId="3" borderId="47" xfId="0" applyNumberFormat="1" applyFont="1" applyFill="1" applyBorder="1" applyAlignment="1">
      <alignment horizontal="center" vertical="center"/>
    </xf>
    <xf numFmtId="2" fontId="96" fillId="3" borderId="48" xfId="0" applyNumberFormat="1" applyFont="1" applyFill="1" applyBorder="1" applyAlignment="1">
      <alignment horizontal="center" vertical="center"/>
    </xf>
    <xf numFmtId="2" fontId="97" fillId="3" borderId="13" xfId="0" applyNumberFormat="1" applyFont="1" applyFill="1" applyBorder="1" applyAlignment="1">
      <alignment horizontal="center" vertical="center"/>
    </xf>
    <xf numFmtId="2" fontId="97" fillId="34" borderId="49" xfId="0" applyNumberFormat="1" applyFont="1" applyFill="1" applyBorder="1" applyAlignment="1">
      <alignment horizontal="center" vertical="center"/>
    </xf>
    <xf numFmtId="2" fontId="97" fillId="34" borderId="51" xfId="0" applyNumberFormat="1" applyFont="1" applyFill="1" applyBorder="1" applyAlignment="1">
      <alignment horizontal="center" vertical="center"/>
    </xf>
    <xf numFmtId="2" fontId="11" fillId="16" borderId="128" xfId="0" applyNumberFormat="1" applyFont="1" applyFill="1" applyBorder="1" applyAlignment="1">
      <alignment horizontal="center" vertical="center"/>
    </xf>
    <xf numFmtId="2" fontId="11" fillId="16" borderId="89" xfId="0" applyNumberFormat="1" applyFont="1" applyFill="1" applyBorder="1" applyAlignment="1">
      <alignment horizontal="center" vertical="center"/>
    </xf>
    <xf numFmtId="2" fontId="160" fillId="31" borderId="269" xfId="0" applyNumberFormat="1" applyFont="1" applyFill="1" applyBorder="1" applyAlignment="1">
      <alignment horizontal="center" vertical="center"/>
    </xf>
    <xf numFmtId="171" fontId="162" fillId="29" borderId="44" xfId="0" applyNumberFormat="1" applyFont="1" applyFill="1" applyBorder="1" applyAlignment="1">
      <alignment horizontal="center" vertical="center"/>
    </xf>
    <xf numFmtId="2" fontId="178" fillId="31" borderId="44" xfId="0" applyNumberFormat="1" applyFont="1" applyFill="1" applyBorder="1" applyAlignment="1">
      <alignment horizontal="center" vertical="center"/>
    </xf>
    <xf numFmtId="171" fontId="96" fillId="13" borderId="44" xfId="0" applyNumberFormat="1" applyFont="1" applyFill="1" applyBorder="1" applyAlignment="1">
      <alignment horizontal="center" vertical="center"/>
    </xf>
    <xf numFmtId="2" fontId="97" fillId="3" borderId="45" xfId="0" applyNumberFormat="1" applyFont="1" applyFill="1" applyBorder="1" applyAlignment="1">
      <alignment horizontal="center" vertical="center"/>
    </xf>
    <xf numFmtId="171" fontId="96" fillId="14" borderId="46" xfId="0" applyNumberFormat="1" applyFont="1" applyFill="1" applyBorder="1" applyAlignment="1">
      <alignment horizontal="center"/>
    </xf>
    <xf numFmtId="171" fontId="96" fillId="14" borderId="371" xfId="0" applyNumberFormat="1" applyFont="1" applyFill="1" applyBorder="1" applyAlignment="1">
      <alignment horizontal="center"/>
    </xf>
    <xf numFmtId="171" fontId="96" fillId="3" borderId="47" xfId="0" applyNumberFormat="1" applyFont="1" applyFill="1" applyBorder="1" applyAlignment="1">
      <alignment horizontal="center"/>
    </xf>
    <xf numFmtId="171" fontId="96" fillId="3" borderId="48" xfId="0" applyNumberFormat="1" applyFont="1" applyFill="1" applyBorder="1" applyAlignment="1">
      <alignment horizontal="center"/>
    </xf>
    <xf numFmtId="1" fontId="30" fillId="73" borderId="35" xfId="0" applyNumberFormat="1" applyFont="1" applyFill="1" applyBorder="1" applyAlignment="1">
      <alignment horizontal="left" vertical="center"/>
    </xf>
    <xf numFmtId="171" fontId="30" fillId="73" borderId="66" xfId="0" applyNumberFormat="1" applyFont="1" applyFill="1" applyBorder="1" applyAlignment="1">
      <alignment horizontal="center" vertical="center" wrapText="1"/>
    </xf>
    <xf numFmtId="171" fontId="61" fillId="31" borderId="274" xfId="0" applyNumberFormat="1" applyFont="1" applyFill="1" applyBorder="1" applyAlignment="1">
      <alignment vertical="center"/>
    </xf>
    <xf numFmtId="0" fontId="0" fillId="31" borderId="0" xfId="0" applyFont="1" applyFill="1" applyBorder="1" applyAlignment="1">
      <alignment horizontal="center" vertical="center"/>
    </xf>
    <xf numFmtId="2" fontId="178" fillId="34" borderId="49" xfId="0" applyNumberFormat="1" applyFont="1" applyFill="1" applyBorder="1" applyAlignment="1">
      <alignment horizontal="center" vertical="center"/>
    </xf>
    <xf numFmtId="0" fontId="61" fillId="16" borderId="0" xfId="0" applyFont="1" applyFill="1" applyBorder="1" applyAlignment="1">
      <alignment vertical="center"/>
    </xf>
    <xf numFmtId="0" fontId="0" fillId="0" borderId="0" xfId="0" applyFont="1" applyFill="1" applyBorder="1"/>
    <xf numFmtId="2" fontId="195" fillId="0" borderId="0" xfId="0" applyNumberFormat="1" applyFont="1" applyFill="1" applyBorder="1"/>
    <xf numFmtId="2" fontId="196" fillId="0" borderId="0" xfId="0" applyNumberFormat="1" applyFont="1" applyFill="1" applyBorder="1" applyAlignment="1">
      <alignment horizontal="center"/>
    </xf>
    <xf numFmtId="0" fontId="97" fillId="0" borderId="0" xfId="0" applyFont="1" applyFill="1" applyBorder="1" applyAlignment="1">
      <alignment horizontal="left" vertical="center"/>
    </xf>
    <xf numFmtId="0" fontId="195" fillId="0" borderId="0" xfId="0" applyFont="1" applyFill="1" applyBorder="1"/>
    <xf numFmtId="0" fontId="197" fillId="0" borderId="0" xfId="0" applyFont="1" applyFill="1" applyBorder="1" applyAlignment="1">
      <alignment horizontal="center"/>
    </xf>
    <xf numFmtId="171" fontId="0" fillId="0" borderId="0" xfId="0" applyNumberFormat="1" applyFont="1" applyFill="1" applyBorder="1" applyAlignment="1">
      <alignment horizontal="center"/>
    </xf>
    <xf numFmtId="0" fontId="30" fillId="0" borderId="35" xfId="0" applyFont="1" applyFill="1" applyBorder="1"/>
    <xf numFmtId="0" fontId="62" fillId="0" borderId="29" xfId="0" applyFont="1" applyFill="1" applyBorder="1" applyAlignment="1">
      <alignment horizontal="right"/>
    </xf>
    <xf numFmtId="171" fontId="26" fillId="0" borderId="263" xfId="0" applyNumberFormat="1" applyFont="1" applyFill="1" applyBorder="1" applyAlignment="1">
      <alignment horizontal="left"/>
    </xf>
    <xf numFmtId="171" fontId="26" fillId="0" borderId="54" xfId="0" applyNumberFormat="1" applyFont="1" applyFill="1" applyBorder="1" applyAlignment="1">
      <alignment horizontal="center"/>
    </xf>
    <xf numFmtId="0" fontId="0" fillId="0" borderId="29" xfId="0" applyFont="1" applyFill="1" applyBorder="1"/>
    <xf numFmtId="171" fontId="198" fillId="0" borderId="29" xfId="0" applyNumberFormat="1" applyFont="1" applyFill="1" applyBorder="1" applyAlignment="1">
      <alignment horizontal="center"/>
    </xf>
    <xf numFmtId="0" fontId="30" fillId="4" borderId="37" xfId="0" applyFont="1" applyFill="1" applyBorder="1"/>
    <xf numFmtId="0" fontId="62" fillId="21" borderId="0" xfId="0" applyFont="1" applyFill="1" applyBorder="1" applyAlignment="1">
      <alignment horizontal="right"/>
    </xf>
    <xf numFmtId="1" fontId="17" fillId="23" borderId="36" xfId="0" applyNumberFormat="1" applyFont="1" applyFill="1" applyBorder="1" applyAlignment="1">
      <alignment horizontal="center"/>
    </xf>
    <xf numFmtId="0" fontId="17" fillId="23" borderId="27" xfId="0" applyFont="1" applyFill="1" applyBorder="1" applyAlignment="1">
      <alignment horizontal="center"/>
    </xf>
    <xf numFmtId="0" fontId="17" fillId="0" borderId="264" xfId="0" applyFont="1" applyFill="1" applyBorder="1" applyAlignment="1">
      <alignment horizontal="center"/>
    </xf>
    <xf numFmtId="0" fontId="17" fillId="3" borderId="264" xfId="0" applyFont="1" applyFill="1" applyBorder="1" applyAlignment="1">
      <alignment horizontal="center"/>
    </xf>
    <xf numFmtId="0" fontId="199" fillId="4" borderId="37" xfId="0" applyFont="1" applyFill="1" applyBorder="1" applyAlignment="1">
      <alignment horizontal="left" vertical="center"/>
    </xf>
    <xf numFmtId="2" fontId="17" fillId="23" borderId="23" xfId="0" applyNumberFormat="1" applyFont="1" applyFill="1" applyBorder="1" applyAlignment="1">
      <alignment horizontal="center"/>
    </xf>
    <xf numFmtId="3" fontId="17" fillId="23" borderId="0" xfId="0" applyNumberFormat="1" applyFont="1" applyFill="1" applyBorder="1" applyAlignment="1">
      <alignment horizontal="center"/>
    </xf>
    <xf numFmtId="3" fontId="17" fillId="0" borderId="7" xfId="0" applyNumberFormat="1" applyFont="1" applyFill="1" applyBorder="1" applyAlignment="1">
      <alignment horizontal="center"/>
    </xf>
    <xf numFmtId="3" fontId="17" fillId="3" borderId="7" xfId="0" applyNumberFormat="1" applyFont="1" applyFill="1" applyBorder="1" applyAlignment="1">
      <alignment horizontal="center"/>
    </xf>
    <xf numFmtId="0" fontId="60" fillId="4" borderId="37" xfId="0" applyFont="1" applyFill="1" applyBorder="1" applyAlignment="1">
      <alignment horizontal="left" vertical="center"/>
    </xf>
    <xf numFmtId="2" fontId="17" fillId="23" borderId="0" xfId="0" applyNumberFormat="1" applyFont="1" applyFill="1" applyBorder="1" applyAlignment="1">
      <alignment horizontal="center"/>
    </xf>
    <xf numFmtId="2" fontId="17" fillId="0" borderId="7" xfId="0" applyNumberFormat="1" applyFont="1" applyFill="1" applyBorder="1" applyAlignment="1">
      <alignment horizontal="center"/>
    </xf>
    <xf numFmtId="2" fontId="17" fillId="3" borderId="7" xfId="0" applyNumberFormat="1" applyFont="1" applyFill="1" applyBorder="1" applyAlignment="1">
      <alignment horizontal="center"/>
    </xf>
    <xf numFmtId="0" fontId="30" fillId="4" borderId="37" xfId="0" applyFont="1" applyFill="1" applyBorder="1" applyAlignment="1">
      <alignment horizontal="left" vertical="center"/>
    </xf>
    <xf numFmtId="171" fontId="17" fillId="16" borderId="23" xfId="0" applyNumberFormat="1" applyFont="1" applyFill="1" applyBorder="1" applyAlignment="1">
      <alignment horizontal="center"/>
    </xf>
    <xf numFmtId="0" fontId="17" fillId="23" borderId="0" xfId="0" applyFont="1" applyFill="1" applyBorder="1" applyAlignment="1">
      <alignment horizontal="center"/>
    </xf>
    <xf numFmtId="0" fontId="17" fillId="16" borderId="0" xfId="0" applyFont="1" applyFill="1" applyBorder="1" applyAlignment="1">
      <alignment horizontal="center"/>
    </xf>
    <xf numFmtId="0" fontId="17" fillId="0" borderId="7" xfId="0" applyFont="1" applyFill="1" applyBorder="1" applyAlignment="1">
      <alignment horizontal="center"/>
    </xf>
    <xf numFmtId="0" fontId="17" fillId="3" borderId="7" xfId="0" applyFont="1" applyFill="1" applyBorder="1" applyAlignment="1">
      <alignment horizontal="center"/>
    </xf>
    <xf numFmtId="171" fontId="12" fillId="16" borderId="23" xfId="0" applyNumberFormat="1" applyFont="1" applyFill="1" applyBorder="1" applyAlignment="1">
      <alignment horizontal="center"/>
    </xf>
    <xf numFmtId="171" fontId="17" fillId="16" borderId="0" xfId="0" applyNumberFormat="1" applyFont="1" applyFill="1" applyBorder="1" applyAlignment="1">
      <alignment horizontal="center"/>
    </xf>
    <xf numFmtId="0" fontId="151" fillId="24" borderId="37" xfId="0" applyFont="1" applyFill="1" applyBorder="1" applyAlignment="1">
      <alignment horizontal="left" vertical="center"/>
    </xf>
    <xf numFmtId="0" fontId="200" fillId="25" borderId="0" xfId="0" applyFont="1" applyFill="1" applyBorder="1" applyAlignment="1">
      <alignment horizontal="right"/>
    </xf>
    <xf numFmtId="2" fontId="0" fillId="23" borderId="266" xfId="0" applyNumberFormat="1" applyFont="1" applyFill="1" applyBorder="1" applyAlignment="1">
      <alignment horizontal="center"/>
    </xf>
    <xf numFmtId="2" fontId="0" fillId="23" borderId="2" xfId="0" applyNumberFormat="1" applyFont="1" applyFill="1" applyBorder="1" applyAlignment="1">
      <alignment horizontal="center"/>
    </xf>
    <xf numFmtId="2" fontId="0" fillId="0" borderId="106" xfId="0" applyNumberFormat="1" applyFont="1" applyFill="1" applyBorder="1" applyAlignment="1">
      <alignment horizontal="center"/>
    </xf>
    <xf numFmtId="2" fontId="0" fillId="3" borderId="106" xfId="0" applyNumberFormat="1" applyFont="1" applyFill="1" applyBorder="1" applyAlignment="1">
      <alignment horizontal="center"/>
    </xf>
    <xf numFmtId="0" fontId="60" fillId="106" borderId="52" xfId="0" applyFont="1" applyFill="1" applyBorder="1" applyAlignment="1">
      <alignment horizontal="left" vertical="center"/>
    </xf>
    <xf numFmtId="0" fontId="62" fillId="106" borderId="11" xfId="0" applyFont="1" applyFill="1" applyBorder="1" applyAlignment="1">
      <alignment horizontal="right"/>
    </xf>
    <xf numFmtId="2" fontId="26" fillId="71" borderId="267" xfId="0" applyNumberFormat="1" applyFont="1" applyFill="1" applyBorder="1" applyAlignment="1">
      <alignment horizontal="center"/>
    </xf>
    <xf numFmtId="2" fontId="26" fillId="71" borderId="99" xfId="0" applyNumberFormat="1" applyFont="1" applyFill="1" applyBorder="1" applyAlignment="1">
      <alignment horizontal="center"/>
    </xf>
    <xf numFmtId="2" fontId="26" fillId="71" borderId="265" xfId="0" applyNumberFormat="1" applyFont="1" applyFill="1" applyBorder="1" applyAlignment="1">
      <alignment horizontal="center"/>
    </xf>
    <xf numFmtId="0" fontId="60" fillId="106" borderId="0" xfId="0" applyFont="1" applyFill="1" applyBorder="1" applyAlignment="1">
      <alignment horizontal="left" vertical="center"/>
    </xf>
    <xf numFmtId="0" fontId="62" fillId="106" borderId="0" xfId="0" applyFont="1" applyFill="1" applyBorder="1" applyAlignment="1">
      <alignment horizontal="right"/>
    </xf>
    <xf numFmtId="2" fontId="26" fillId="3" borderId="265" xfId="0" applyNumberFormat="1" applyFont="1" applyFill="1" applyBorder="1" applyAlignment="1">
      <alignment horizontal="center"/>
    </xf>
    <xf numFmtId="2" fontId="17" fillId="3" borderId="108" xfId="0" applyNumberFormat="1" applyFont="1" applyFill="1" applyBorder="1" applyAlignment="1">
      <alignment horizontal="center"/>
    </xf>
    <xf numFmtId="0" fontId="6" fillId="71" borderId="0" xfId="0" applyFont="1" applyFill="1" applyBorder="1" applyAlignment="1">
      <alignment horizontal="left" vertical="center" wrapText="1"/>
    </xf>
    <xf numFmtId="0" fontId="202" fillId="16" borderId="0" xfId="0" applyFont="1" applyFill="1" applyBorder="1"/>
    <xf numFmtId="171" fontId="170" fillId="16" borderId="0" xfId="0" applyNumberFormat="1" applyFont="1" applyFill="1" applyBorder="1" applyAlignment="1">
      <alignment horizontal="center"/>
    </xf>
    <xf numFmtId="0" fontId="5" fillId="16" borderId="0" xfId="0" applyFont="1" applyFill="1" applyBorder="1"/>
    <xf numFmtId="0" fontId="5" fillId="16" borderId="0" xfId="0" applyFont="1" applyFill="1" applyBorder="1" applyAlignment="1">
      <alignment horizontal="center"/>
    </xf>
    <xf numFmtId="171" fontId="5" fillId="16" borderId="0" xfId="0" applyNumberFormat="1" applyFont="1" applyFill="1" applyBorder="1" applyAlignment="1">
      <alignment horizontal="center"/>
    </xf>
    <xf numFmtId="171" fontId="15" fillId="20" borderId="0" xfId="0" applyNumberFormat="1" applyFont="1" applyFill="1" applyBorder="1" applyAlignment="1">
      <alignment horizontal="center"/>
    </xf>
    <xf numFmtId="0" fontId="5" fillId="17" borderId="0" xfId="0" applyFont="1" applyFill="1" applyBorder="1"/>
    <xf numFmtId="0" fontId="6" fillId="16" borderId="36" xfId="0" applyFont="1" applyFill="1" applyBorder="1" applyAlignment="1">
      <alignment horizontal="left" vertical="center"/>
    </xf>
    <xf numFmtId="0" fontId="6" fillId="16" borderId="27" xfId="0" applyFont="1" applyFill="1" applyBorder="1"/>
    <xf numFmtId="0" fontId="7" fillId="16" borderId="27" xfId="0" applyFont="1" applyFill="1" applyBorder="1" applyAlignment="1">
      <alignment horizontal="center"/>
    </xf>
    <xf numFmtId="0" fontId="6" fillId="16" borderId="27" xfId="0" applyFont="1" applyFill="1" applyBorder="1" applyAlignment="1">
      <alignment horizontal="left" vertical="center"/>
    </xf>
    <xf numFmtId="0" fontId="205" fillId="16" borderId="27" xfId="0" applyFont="1" applyFill="1" applyBorder="1" applyAlignment="1">
      <alignment horizontal="center"/>
    </xf>
    <xf numFmtId="0" fontId="170" fillId="16" borderId="27" xfId="0" applyFont="1" applyFill="1" applyBorder="1" applyAlignment="1">
      <alignment horizontal="center"/>
    </xf>
    <xf numFmtId="0" fontId="170" fillId="16" borderId="27" xfId="0" applyFont="1" applyFill="1" applyBorder="1" applyAlignment="1">
      <alignment horizontal="right"/>
    </xf>
    <xf numFmtId="0" fontId="170" fillId="16" borderId="57" xfId="0" applyFont="1" applyFill="1" applyBorder="1" applyAlignment="1">
      <alignment horizontal="center"/>
    </xf>
    <xf numFmtId="0" fontId="170" fillId="16" borderId="58" xfId="0" applyFont="1" applyFill="1" applyBorder="1" applyAlignment="1">
      <alignment horizontal="center"/>
    </xf>
    <xf numFmtId="0" fontId="6" fillId="16" borderId="24" xfId="0" applyFont="1" applyFill="1" applyBorder="1" applyAlignment="1">
      <alignment horizontal="center"/>
    </xf>
    <xf numFmtId="0" fontId="6" fillId="16" borderId="25" xfId="0" applyFont="1" applyFill="1" applyBorder="1" applyAlignment="1">
      <alignment horizontal="center"/>
    </xf>
    <xf numFmtId="0" fontId="5" fillId="16" borderId="25" xfId="0" applyFont="1" applyFill="1" applyBorder="1"/>
    <xf numFmtId="171" fontId="7" fillId="0" borderId="0" xfId="0" applyNumberFormat="1" applyFont="1" applyFill="1" applyBorder="1"/>
    <xf numFmtId="171" fontId="7" fillId="0" borderId="0" xfId="0" applyNumberFormat="1" applyFont="1" applyFill="1" applyBorder="1" applyAlignment="1">
      <alignment horizontal="left"/>
    </xf>
    <xf numFmtId="0" fontId="7" fillId="0" borderId="0" xfId="0" applyFont="1" applyFill="1" applyBorder="1"/>
    <xf numFmtId="171" fontId="7" fillId="0" borderId="0" xfId="0" applyNumberFormat="1" applyFont="1" applyFill="1" applyBorder="1" applyAlignment="1">
      <alignment horizontal="center"/>
    </xf>
    <xf numFmtId="1" fontId="6" fillId="4" borderId="29" xfId="0" applyNumberFormat="1" applyFont="1" applyFill="1" applyBorder="1" applyAlignment="1">
      <alignment horizontal="center"/>
    </xf>
    <xf numFmtId="171" fontId="6" fillId="4" borderId="29" xfId="0" applyNumberFormat="1" applyFont="1" applyFill="1" applyBorder="1" applyAlignment="1">
      <alignment horizontal="center"/>
    </xf>
    <xf numFmtId="0" fontId="6" fillId="4" borderId="0" xfId="0" applyFont="1" applyFill="1" applyBorder="1"/>
    <xf numFmtId="0" fontId="195" fillId="15" borderId="0" xfId="0" applyFont="1" applyFill="1" applyBorder="1" applyAlignment="1">
      <alignment horizontal="right"/>
    </xf>
    <xf numFmtId="171" fontId="6" fillId="4" borderId="0" xfId="0" applyNumberFormat="1" applyFont="1" applyFill="1" applyBorder="1" applyAlignment="1">
      <alignment horizontal="center"/>
    </xf>
    <xf numFmtId="171" fontId="203" fillId="15" borderId="0" xfId="0" applyNumberFormat="1" applyFont="1" applyFill="1" applyBorder="1" applyAlignment="1">
      <alignment horizontal="center"/>
    </xf>
    <xf numFmtId="171" fontId="15" fillId="4" borderId="0" xfId="0" applyNumberFormat="1" applyFont="1" applyFill="1" applyBorder="1" applyAlignment="1">
      <alignment horizontal="center"/>
    </xf>
    <xf numFmtId="171" fontId="6" fillId="0" borderId="0" xfId="0" applyNumberFormat="1" applyFont="1" applyFill="1" applyBorder="1" applyAlignment="1">
      <alignment horizontal="center"/>
    </xf>
    <xf numFmtId="171" fontId="6" fillId="15" borderId="0" xfId="0" applyNumberFormat="1" applyFont="1" applyFill="1" applyBorder="1" applyAlignment="1">
      <alignment horizontal="center"/>
    </xf>
    <xf numFmtId="171" fontId="153" fillId="0" borderId="0" xfId="0" applyNumberFormat="1" applyFont="1" applyFill="1" applyBorder="1" applyAlignment="1">
      <alignment horizontal="center"/>
    </xf>
    <xf numFmtId="171" fontId="204" fillId="15" borderId="0" xfId="0" applyNumberFormat="1" applyFont="1" applyFill="1" applyBorder="1" applyAlignment="1">
      <alignment horizontal="center"/>
    </xf>
    <xf numFmtId="3" fontId="15" fillId="0" borderId="0" xfId="0" applyNumberFormat="1" applyFont="1" applyFill="1" applyBorder="1" applyAlignment="1">
      <alignment horizontal="center"/>
    </xf>
    <xf numFmtId="0" fontId="207" fillId="4" borderId="0" xfId="0" applyFont="1" applyFill="1" applyBorder="1"/>
    <xf numFmtId="1" fontId="6" fillId="0" borderId="0" xfId="0" applyNumberFormat="1" applyFont="1" applyFill="1" applyBorder="1" applyAlignment="1">
      <alignment horizontal="center"/>
    </xf>
    <xf numFmtId="1" fontId="203" fillId="15" borderId="0" xfId="0" applyNumberFormat="1" applyFont="1" applyFill="1" applyBorder="1" applyAlignment="1">
      <alignment horizontal="center"/>
    </xf>
    <xf numFmtId="1" fontId="6" fillId="15" borderId="0" xfId="0" applyNumberFormat="1" applyFont="1" applyFill="1" applyBorder="1" applyAlignment="1">
      <alignment horizontal="center"/>
    </xf>
    <xf numFmtId="1" fontId="153" fillId="0" borderId="0" xfId="0" applyNumberFormat="1" applyFont="1" applyFill="1" applyBorder="1" applyAlignment="1">
      <alignment horizontal="center"/>
    </xf>
    <xf numFmtId="1" fontId="7" fillId="0" borderId="0" xfId="0" applyNumberFormat="1" applyFont="1" applyFill="1" applyBorder="1" applyAlignment="1">
      <alignment horizontal="center"/>
    </xf>
    <xf numFmtId="0" fontId="6" fillId="4" borderId="23" xfId="0" applyFont="1" applyFill="1" applyBorder="1"/>
    <xf numFmtId="171" fontId="7" fillId="4" borderId="37" xfId="0" applyNumberFormat="1" applyFont="1" applyFill="1" applyBorder="1" applyAlignment="1">
      <alignment horizontal="center"/>
    </xf>
    <xf numFmtId="171" fontId="7" fillId="4" borderId="0" xfId="0" applyNumberFormat="1" applyFont="1" applyFill="1" applyBorder="1" applyAlignment="1">
      <alignment horizontal="center"/>
    </xf>
    <xf numFmtId="171" fontId="7" fillId="4" borderId="7" xfId="0" applyNumberFormat="1" applyFont="1" applyFill="1" applyBorder="1" applyAlignment="1">
      <alignment horizontal="center"/>
    </xf>
    <xf numFmtId="171" fontId="208" fillId="2" borderId="37" xfId="0" applyNumberFormat="1" applyFont="1" applyFill="1" applyBorder="1" applyAlignment="1">
      <alignment horizontal="center"/>
    </xf>
    <xf numFmtId="171" fontId="208" fillId="2" borderId="0" xfId="0" applyNumberFormat="1" applyFont="1" applyFill="1" applyBorder="1" applyAlignment="1">
      <alignment horizontal="center"/>
    </xf>
    <xf numFmtId="171" fontId="208" fillId="2" borderId="7" xfId="0" applyNumberFormat="1" applyFont="1" applyFill="1" applyBorder="1" applyAlignment="1">
      <alignment horizontal="center"/>
    </xf>
    <xf numFmtId="171" fontId="209" fillId="4" borderId="37" xfId="0" applyNumberFormat="1" applyFont="1" applyFill="1" applyBorder="1" applyAlignment="1">
      <alignment horizontal="center"/>
    </xf>
    <xf numFmtId="171" fontId="209" fillId="4" borderId="0" xfId="0" applyNumberFormat="1" applyFont="1" applyFill="1" applyBorder="1" applyAlignment="1">
      <alignment horizontal="center"/>
    </xf>
    <xf numFmtId="171" fontId="209" fillId="4" borderId="7" xfId="0" applyNumberFormat="1" applyFont="1" applyFill="1" applyBorder="1" applyAlignment="1">
      <alignment horizontal="center"/>
    </xf>
    <xf numFmtId="171" fontId="7" fillId="15" borderId="37" xfId="0" applyNumberFormat="1" applyFont="1" applyFill="1" applyBorder="1" applyAlignment="1">
      <alignment horizontal="center"/>
    </xf>
    <xf numFmtId="171" fontId="7" fillId="15" borderId="0" xfId="0" applyNumberFormat="1" applyFont="1" applyFill="1" applyBorder="1" applyAlignment="1">
      <alignment horizontal="center"/>
    </xf>
    <xf numFmtId="171" fontId="7" fillId="15" borderId="7" xfId="0" applyNumberFormat="1" applyFont="1" applyFill="1" applyBorder="1" applyAlignment="1">
      <alignment horizontal="center"/>
    </xf>
    <xf numFmtId="171" fontId="210" fillId="2" borderId="37" xfId="0" applyNumberFormat="1" applyFont="1" applyFill="1" applyBorder="1" applyAlignment="1">
      <alignment horizontal="center"/>
    </xf>
    <xf numFmtId="171" fontId="210" fillId="2" borderId="0" xfId="0" applyNumberFormat="1" applyFont="1" applyFill="1" applyBorder="1" applyAlignment="1">
      <alignment horizontal="center"/>
    </xf>
    <xf numFmtId="171" fontId="205" fillId="4" borderId="60" xfId="0" applyNumberFormat="1" applyFont="1" applyFill="1" applyBorder="1" applyAlignment="1">
      <alignment horizontal="center"/>
    </xf>
    <xf numFmtId="171" fontId="205" fillId="4" borderId="61" xfId="0" applyNumberFormat="1" applyFont="1" applyFill="1" applyBorder="1" applyAlignment="1">
      <alignment horizontal="center"/>
    </xf>
    <xf numFmtId="171" fontId="205" fillId="4" borderId="62" xfId="0" applyNumberFormat="1" applyFont="1" applyFill="1" applyBorder="1" applyAlignment="1">
      <alignment horizontal="center"/>
    </xf>
    <xf numFmtId="171" fontId="7" fillId="18" borderId="37" xfId="0" applyNumberFormat="1" applyFont="1" applyFill="1" applyBorder="1" applyAlignment="1">
      <alignment horizontal="center"/>
    </xf>
    <xf numFmtId="171" fontId="7" fillId="18" borderId="0" xfId="0" applyNumberFormat="1" applyFont="1" applyFill="1" applyBorder="1" applyAlignment="1">
      <alignment horizontal="center"/>
    </xf>
    <xf numFmtId="171" fontId="7" fillId="19" borderId="0" xfId="0" applyNumberFormat="1" applyFont="1" applyFill="1" applyBorder="1" applyAlignment="1">
      <alignment horizontal="center"/>
    </xf>
    <xf numFmtId="171" fontId="7" fillId="19" borderId="7" xfId="0" applyNumberFormat="1" applyFont="1" applyFill="1" applyBorder="1" applyAlignment="1">
      <alignment horizontal="center"/>
    </xf>
    <xf numFmtId="171" fontId="209" fillId="28" borderId="77" xfId="0" applyNumberFormat="1" applyFont="1" applyFill="1" applyBorder="1" applyAlignment="1">
      <alignment horizontal="center"/>
    </xf>
    <xf numFmtId="171" fontId="209" fillId="28" borderId="100" xfId="0" applyNumberFormat="1" applyFont="1" applyFill="1" applyBorder="1" applyAlignment="1">
      <alignment horizontal="center"/>
    </xf>
    <xf numFmtId="171" fontId="211" fillId="70" borderId="82" xfId="0" applyNumberFormat="1" applyFont="1" applyFill="1" applyBorder="1" applyAlignment="1">
      <alignment horizontal="center"/>
    </xf>
    <xf numFmtId="0" fontId="171" fillId="24" borderId="37" xfId="0" applyFont="1" applyFill="1" applyBorder="1" applyAlignment="1">
      <alignment horizontal="left" vertical="center"/>
    </xf>
    <xf numFmtId="171" fontId="6" fillId="4" borderId="37" xfId="0" applyNumberFormat="1" applyFont="1" applyFill="1" applyBorder="1" applyAlignment="1">
      <alignment horizontal="center"/>
    </xf>
    <xf numFmtId="171" fontId="6" fillId="4" borderId="7" xfId="0" applyNumberFormat="1" applyFont="1" applyFill="1" applyBorder="1" applyAlignment="1">
      <alignment horizontal="center"/>
    </xf>
    <xf numFmtId="171" fontId="212" fillId="2" borderId="37" xfId="0" applyNumberFormat="1" applyFont="1" applyFill="1" applyBorder="1" applyAlignment="1">
      <alignment horizontal="center"/>
    </xf>
    <xf numFmtId="171" fontId="212" fillId="2" borderId="0" xfId="0" applyNumberFormat="1" applyFont="1" applyFill="1" applyBorder="1" applyAlignment="1">
      <alignment horizontal="center"/>
    </xf>
    <xf numFmtId="171" fontId="212" fillId="2" borderId="7" xfId="0" applyNumberFormat="1" applyFont="1" applyFill="1" applyBorder="1" applyAlignment="1">
      <alignment horizontal="center"/>
    </xf>
    <xf numFmtId="171" fontId="15" fillId="4" borderId="37" xfId="0" applyNumberFormat="1" applyFont="1" applyFill="1" applyBorder="1" applyAlignment="1">
      <alignment horizontal="center"/>
    </xf>
    <xf numFmtId="171" fontId="15" fillId="4" borderId="7" xfId="0" applyNumberFormat="1" applyFont="1" applyFill="1" applyBorder="1" applyAlignment="1">
      <alignment horizontal="center"/>
    </xf>
    <xf numFmtId="171" fontId="6" fillId="15" borderId="37" xfId="0" applyNumberFormat="1" applyFont="1" applyFill="1" applyBorder="1" applyAlignment="1">
      <alignment horizontal="center"/>
    </xf>
    <xf numFmtId="171" fontId="6" fillId="15" borderId="7" xfId="0" applyNumberFormat="1" applyFont="1" applyFill="1" applyBorder="1" applyAlignment="1">
      <alignment horizontal="center"/>
    </xf>
    <xf numFmtId="171" fontId="56" fillId="2" borderId="37" xfId="0" applyNumberFormat="1" applyFont="1" applyFill="1" applyBorder="1" applyAlignment="1">
      <alignment horizontal="center"/>
    </xf>
    <xf numFmtId="171" fontId="56" fillId="2" borderId="0" xfId="0" applyNumberFormat="1" applyFont="1" applyFill="1" applyBorder="1" applyAlignment="1">
      <alignment horizontal="center"/>
    </xf>
    <xf numFmtId="171" fontId="14" fillId="4" borderId="64" xfId="0" applyNumberFormat="1" applyFont="1" applyFill="1" applyBorder="1" applyAlignment="1">
      <alignment horizontal="center"/>
    </xf>
    <xf numFmtId="171" fontId="14" fillId="4" borderId="65" xfId="0" applyNumberFormat="1" applyFont="1" applyFill="1" applyBorder="1" applyAlignment="1">
      <alignment horizontal="center"/>
    </xf>
    <xf numFmtId="171" fontId="6" fillId="18" borderId="37" xfId="0" applyNumberFormat="1" applyFont="1" applyFill="1" applyBorder="1" applyAlignment="1">
      <alignment horizontal="center"/>
    </xf>
    <xf numFmtId="171" fontId="6" fillId="18" borderId="0" xfId="0" applyNumberFormat="1" applyFont="1" applyFill="1" applyBorder="1" applyAlignment="1">
      <alignment horizontal="center"/>
    </xf>
    <xf numFmtId="171" fontId="6" fillId="19" borderId="0" xfId="0" applyNumberFormat="1" applyFont="1" applyFill="1" applyBorder="1" applyAlignment="1">
      <alignment horizontal="center"/>
    </xf>
    <xf numFmtId="171" fontId="6" fillId="19" borderId="7" xfId="0" applyNumberFormat="1" applyFont="1" applyFill="1" applyBorder="1" applyAlignment="1">
      <alignment horizontal="center"/>
    </xf>
    <xf numFmtId="171" fontId="15" fillId="20" borderId="23" xfId="0" applyNumberFormat="1" applyFont="1" applyFill="1" applyBorder="1" applyAlignment="1">
      <alignment horizontal="center"/>
    </xf>
    <xf numFmtId="0" fontId="5" fillId="0" borderId="7" xfId="0" applyFont="1" applyBorder="1"/>
    <xf numFmtId="171" fontId="209" fillId="28" borderId="182" xfId="0" applyNumberFormat="1" applyFont="1" applyFill="1" applyBorder="1" applyAlignment="1">
      <alignment horizontal="center"/>
    </xf>
    <xf numFmtId="171" fontId="6" fillId="15" borderId="23" xfId="0" applyNumberFormat="1" applyFont="1" applyFill="1" applyBorder="1" applyAlignment="1">
      <alignment horizontal="center"/>
    </xf>
    <xf numFmtId="1" fontId="6" fillId="15" borderId="23" xfId="0" applyNumberFormat="1" applyFont="1" applyFill="1" applyBorder="1" applyAlignment="1">
      <alignment horizontal="center"/>
    </xf>
    <xf numFmtId="171" fontId="211" fillId="70" borderId="181" xfId="0" applyNumberFormat="1" applyFont="1" applyFill="1" applyBorder="1" applyAlignment="1">
      <alignment horizontal="center"/>
    </xf>
    <xf numFmtId="171" fontId="211" fillId="70" borderId="100" xfId="0" applyNumberFormat="1" applyFont="1" applyFill="1" applyBorder="1" applyAlignment="1">
      <alignment horizontal="center"/>
    </xf>
    <xf numFmtId="171" fontId="153" fillId="0" borderId="23" xfId="0" applyNumberFormat="1" applyFont="1" applyFill="1" applyBorder="1" applyAlignment="1">
      <alignment horizontal="center"/>
    </xf>
    <xf numFmtId="1" fontId="153" fillId="0" borderId="23" xfId="0" applyNumberFormat="1" applyFont="1" applyFill="1" applyBorder="1" applyAlignment="1">
      <alignment horizontal="center"/>
    </xf>
    <xf numFmtId="0" fontId="7" fillId="0" borderId="23" xfId="0" applyFont="1" applyFill="1" applyBorder="1"/>
    <xf numFmtId="171" fontId="7" fillId="0" borderId="23" xfId="0" applyNumberFormat="1" applyFont="1" applyFill="1" applyBorder="1"/>
    <xf numFmtId="171" fontId="204" fillId="15" borderId="23" xfId="0" applyNumberFormat="1" applyFont="1" applyFill="1" applyBorder="1" applyAlignment="1">
      <alignment horizontal="center"/>
    </xf>
    <xf numFmtId="0" fontId="153" fillId="4" borderId="23" xfId="0" applyFont="1" applyFill="1" applyBorder="1"/>
    <xf numFmtId="171" fontId="153" fillId="15" borderId="0" xfId="0" applyNumberFormat="1" applyFont="1" applyFill="1" applyBorder="1" applyAlignment="1">
      <alignment horizontal="right"/>
    </xf>
    <xf numFmtId="0" fontId="153" fillId="17" borderId="0" xfId="0" applyFont="1" applyFill="1" applyBorder="1"/>
    <xf numFmtId="171" fontId="153" fillId="4" borderId="37" xfId="0" applyNumberFormat="1" applyFont="1" applyFill="1" applyBorder="1" applyAlignment="1">
      <alignment horizontal="center"/>
    </xf>
    <xf numFmtId="171" fontId="153" fillId="4" borderId="0" xfId="0" applyNumberFormat="1" applyFont="1" applyFill="1" applyBorder="1" applyAlignment="1">
      <alignment horizontal="center"/>
    </xf>
    <xf numFmtId="171" fontId="153" fillId="4" borderId="7" xfId="0" applyNumberFormat="1" applyFont="1" applyFill="1" applyBorder="1" applyAlignment="1">
      <alignment horizontal="center"/>
    </xf>
    <xf numFmtId="171" fontId="153" fillId="2" borderId="37" xfId="0" applyNumberFormat="1" applyFont="1" applyFill="1" applyBorder="1" applyAlignment="1">
      <alignment horizontal="center"/>
    </xf>
    <xf numFmtId="171" fontId="153" fillId="2" borderId="0" xfId="0" applyNumberFormat="1" applyFont="1" applyFill="1" applyBorder="1" applyAlignment="1">
      <alignment horizontal="center"/>
    </xf>
    <xf numFmtId="171" fontId="153" fillId="2" borderId="7" xfId="0" applyNumberFormat="1" applyFont="1" applyFill="1" applyBorder="1" applyAlignment="1">
      <alignment horizontal="center"/>
    </xf>
    <xf numFmtId="171" fontId="153" fillId="15" borderId="37" xfId="0" applyNumberFormat="1" applyFont="1" applyFill="1" applyBorder="1" applyAlignment="1">
      <alignment horizontal="center"/>
    </xf>
    <xf numFmtId="171" fontId="153" fillId="15" borderId="0" xfId="0" applyNumberFormat="1" applyFont="1" applyFill="1" applyBorder="1" applyAlignment="1">
      <alignment horizontal="center"/>
    </xf>
    <xf numFmtId="171" fontId="153" fillId="15" borderId="7" xfId="0" applyNumberFormat="1" applyFont="1" applyFill="1" applyBorder="1" applyAlignment="1">
      <alignment horizontal="center"/>
    </xf>
    <xf numFmtId="171" fontId="153" fillId="4" borderId="60" xfId="0" applyNumberFormat="1" applyFont="1" applyFill="1" applyBorder="1" applyAlignment="1">
      <alignment horizontal="center"/>
    </xf>
    <xf numFmtId="171" fontId="153" fillId="4" borderId="61" xfId="0" applyNumberFormat="1" applyFont="1" applyFill="1" applyBorder="1" applyAlignment="1">
      <alignment horizontal="center"/>
    </xf>
    <xf numFmtId="171" fontId="153" fillId="4" borderId="62" xfId="0" applyNumberFormat="1" applyFont="1" applyFill="1" applyBorder="1" applyAlignment="1">
      <alignment horizontal="center"/>
    </xf>
    <xf numFmtId="171" fontId="153" fillId="18" borderId="37" xfId="0" applyNumberFormat="1" applyFont="1" applyFill="1" applyBorder="1" applyAlignment="1">
      <alignment horizontal="center"/>
    </xf>
    <xf numFmtId="171" fontId="153" fillId="18" borderId="0" xfId="0" applyNumberFormat="1" applyFont="1" applyFill="1" applyBorder="1" applyAlignment="1">
      <alignment horizontal="center"/>
    </xf>
    <xf numFmtId="171" fontId="153" fillId="19" borderId="0" xfId="0" applyNumberFormat="1" applyFont="1" applyFill="1" applyBorder="1" applyAlignment="1">
      <alignment horizontal="center"/>
    </xf>
    <xf numFmtId="171" fontId="153" fillId="19" borderId="7" xfId="0" applyNumberFormat="1" applyFont="1" applyFill="1" applyBorder="1" applyAlignment="1">
      <alignment horizontal="center"/>
    </xf>
    <xf numFmtId="171" fontId="153" fillId="28" borderId="77" xfId="0" applyNumberFormat="1" applyFont="1" applyFill="1" applyBorder="1" applyAlignment="1">
      <alignment horizontal="center"/>
    </xf>
    <xf numFmtId="171" fontId="153" fillId="28" borderId="100" xfId="0" applyNumberFormat="1" applyFont="1" applyFill="1" applyBorder="1" applyAlignment="1">
      <alignment horizontal="center"/>
    </xf>
    <xf numFmtId="171" fontId="153" fillId="28" borderId="182" xfId="0" applyNumberFormat="1" applyFont="1" applyFill="1" applyBorder="1" applyAlignment="1">
      <alignment horizontal="center"/>
    </xf>
    <xf numFmtId="171" fontId="153" fillId="70" borderId="181" xfId="0" applyNumberFormat="1" applyFont="1" applyFill="1" applyBorder="1" applyAlignment="1">
      <alignment horizontal="center"/>
    </xf>
    <xf numFmtId="171" fontId="153" fillId="70" borderId="82" xfId="0" applyNumberFormat="1" applyFont="1" applyFill="1" applyBorder="1" applyAlignment="1">
      <alignment horizontal="center"/>
    </xf>
    <xf numFmtId="171" fontId="153" fillId="70" borderId="100" xfId="0" applyNumberFormat="1" applyFont="1" applyFill="1" applyBorder="1" applyAlignment="1">
      <alignment horizontal="center"/>
    </xf>
    <xf numFmtId="171" fontId="153" fillId="0" borderId="23" xfId="0" applyNumberFormat="1" applyFont="1" applyFill="1" applyBorder="1"/>
    <xf numFmtId="171" fontId="153" fillId="0" borderId="0" xfId="0" applyNumberFormat="1" applyFont="1" applyFill="1" applyBorder="1"/>
    <xf numFmtId="0" fontId="153" fillId="0" borderId="0" xfId="0" applyFont="1"/>
    <xf numFmtId="0" fontId="63" fillId="0" borderId="0" xfId="0" applyFont="1" applyBorder="1" applyAlignment="1">
      <alignment horizontal="left" vertical="center" wrapText="1"/>
    </xf>
    <xf numFmtId="165" fontId="63" fillId="15" borderId="0" xfId="3" applyFont="1" applyFill="1" applyBorder="1" applyAlignment="1">
      <alignment horizontal="center" vertical="center"/>
    </xf>
    <xf numFmtId="0" fontId="63" fillId="0" borderId="89" xfId="0" applyFont="1" applyFill="1" applyBorder="1" applyAlignment="1">
      <alignment horizontal="center" vertical="center"/>
    </xf>
    <xf numFmtId="0" fontId="63" fillId="0" borderId="0" xfId="0" applyFont="1" applyAlignment="1">
      <alignment vertical="center"/>
    </xf>
    <xf numFmtId="180" fontId="61" fillId="15" borderId="25" xfId="3" applyNumberFormat="1" applyFont="1" applyFill="1" applyBorder="1" applyAlignment="1">
      <alignment horizontal="center" vertical="center"/>
    </xf>
    <xf numFmtId="180" fontId="61" fillId="15" borderId="262" xfId="3" applyNumberFormat="1" applyFont="1" applyFill="1" applyBorder="1" applyAlignment="1">
      <alignment horizontal="center" vertical="center"/>
    </xf>
    <xf numFmtId="3" fontId="15" fillId="3" borderId="0" xfId="0" applyNumberFormat="1" applyFont="1" applyFill="1" applyBorder="1" applyAlignment="1">
      <alignment horizontal="center" wrapText="1"/>
    </xf>
    <xf numFmtId="1" fontId="7" fillId="3" borderId="0" xfId="0" applyNumberFormat="1" applyFont="1" applyFill="1" applyBorder="1" applyAlignment="1">
      <alignment horizontal="center"/>
    </xf>
    <xf numFmtId="171" fontId="153" fillId="3" borderId="0" xfId="0" applyNumberFormat="1" applyFont="1" applyFill="1" applyBorder="1"/>
    <xf numFmtId="171" fontId="7" fillId="3" borderId="0" xfId="0" applyNumberFormat="1" applyFont="1" applyFill="1" applyBorder="1" applyAlignment="1">
      <alignment horizontal="center" vertical="center"/>
    </xf>
    <xf numFmtId="171" fontId="7" fillId="0" borderId="0" xfId="0" applyNumberFormat="1" applyFont="1" applyFill="1" applyBorder="1" applyAlignment="1">
      <alignment vertical="center"/>
    </xf>
    <xf numFmtId="0" fontId="7" fillId="0" borderId="0" xfId="0" applyFont="1" applyFill="1" applyBorder="1" applyAlignment="1">
      <alignment vertical="center"/>
    </xf>
    <xf numFmtId="0" fontId="5" fillId="17" borderId="0" xfId="0" applyFont="1" applyFill="1" applyBorder="1" applyAlignment="1">
      <alignment horizontal="center" vertical="center" wrapText="1"/>
    </xf>
    <xf numFmtId="0" fontId="6" fillId="4" borderId="29" xfId="0" applyFont="1" applyFill="1" applyBorder="1" applyAlignment="1">
      <alignment horizontal="center" vertical="center" wrapText="1"/>
    </xf>
    <xf numFmtId="0" fontId="195" fillId="15" borderId="29" xfId="0" applyFont="1" applyFill="1" applyBorder="1" applyAlignment="1">
      <alignment horizontal="center" vertical="center" wrapText="1"/>
    </xf>
    <xf numFmtId="1" fontId="6" fillId="4" borderId="29" xfId="0" applyNumberFormat="1" applyFont="1" applyFill="1" applyBorder="1" applyAlignment="1">
      <alignment horizontal="center" vertical="center" wrapText="1"/>
    </xf>
    <xf numFmtId="171" fontId="6" fillId="4" borderId="29" xfId="0" applyNumberFormat="1" applyFont="1" applyFill="1" applyBorder="1" applyAlignment="1">
      <alignment horizontal="center" vertical="center" wrapText="1"/>
    </xf>
    <xf numFmtId="0" fontId="6" fillId="4" borderId="29" xfId="0" applyNumberFormat="1" applyFont="1" applyFill="1" applyBorder="1" applyAlignment="1">
      <alignment horizontal="center" vertical="center" wrapText="1"/>
    </xf>
    <xf numFmtId="1" fontId="203" fillId="15" borderId="29" xfId="0" applyNumberFormat="1" applyFont="1" applyFill="1" applyBorder="1" applyAlignment="1">
      <alignment horizontal="center" vertical="center" wrapText="1"/>
    </xf>
    <xf numFmtId="171" fontId="203" fillId="15" borderId="29" xfId="0" applyNumberFormat="1" applyFont="1" applyFill="1" applyBorder="1" applyAlignment="1">
      <alignment horizontal="center" vertical="center" wrapText="1"/>
    </xf>
    <xf numFmtId="0" fontId="206" fillId="15" borderId="29" xfId="0" applyFont="1" applyFill="1" applyBorder="1" applyAlignment="1">
      <alignment horizontal="center" vertical="center" wrapText="1"/>
    </xf>
    <xf numFmtId="0" fontId="203" fillId="15" borderId="29" xfId="0" applyNumberFormat="1" applyFont="1" applyFill="1" applyBorder="1" applyAlignment="1">
      <alignment horizontal="center" vertical="center" wrapText="1"/>
    </xf>
    <xf numFmtId="0" fontId="15" fillId="4" borderId="29" xfId="0" applyFont="1" applyFill="1" applyBorder="1" applyAlignment="1">
      <alignment horizontal="center" vertical="center" wrapText="1"/>
    </xf>
    <xf numFmtId="1" fontId="15" fillId="4" borderId="29" xfId="0" applyNumberFormat="1" applyFont="1" applyFill="1" applyBorder="1" applyAlignment="1">
      <alignment horizontal="center" vertical="center" wrapText="1"/>
    </xf>
    <xf numFmtId="0" fontId="6" fillId="0" borderId="29" xfId="0" applyFont="1" applyFill="1" applyBorder="1" applyAlignment="1">
      <alignment horizontal="center" vertical="center" wrapText="1"/>
    </xf>
    <xf numFmtId="0" fontId="203" fillId="15" borderId="29" xfId="0" applyFont="1" applyFill="1" applyBorder="1" applyAlignment="1">
      <alignment horizontal="center" vertical="center" wrapText="1"/>
    </xf>
    <xf numFmtId="0" fontId="6" fillId="15" borderId="29" xfId="0" applyFont="1" applyFill="1" applyBorder="1" applyAlignment="1">
      <alignment horizontal="center" vertical="center" wrapText="1"/>
    </xf>
    <xf numFmtId="0" fontId="6" fillId="15" borderId="93" xfId="0" applyFont="1" applyFill="1" applyBorder="1" applyAlignment="1">
      <alignment horizontal="center" vertical="center" wrapText="1"/>
    </xf>
    <xf numFmtId="0" fontId="153" fillId="0" borderId="93" xfId="0" applyFont="1" applyFill="1" applyBorder="1" applyAlignment="1">
      <alignment horizontal="center" vertical="center" wrapText="1"/>
    </xf>
    <xf numFmtId="0" fontId="153" fillId="0" borderId="29" xfId="0" applyFont="1" applyFill="1" applyBorder="1" applyAlignment="1">
      <alignment horizontal="center" vertical="center" wrapText="1"/>
    </xf>
    <xf numFmtId="0" fontId="204" fillId="15" borderId="93" xfId="0" applyFont="1" applyFill="1" applyBorder="1" applyAlignment="1">
      <alignment horizontal="center" vertical="center" wrapText="1"/>
    </xf>
    <xf numFmtId="0" fontId="204" fillId="15" borderId="29" xfId="0" applyFont="1" applyFill="1" applyBorder="1" applyAlignment="1">
      <alignment horizontal="center" vertical="center" wrapText="1"/>
    </xf>
    <xf numFmtId="0" fontId="203" fillId="0" borderId="29" xfId="0" applyFont="1" applyFill="1" applyBorder="1" applyAlignment="1">
      <alignment horizontal="center" vertical="center" wrapText="1"/>
    </xf>
    <xf numFmtId="0" fontId="203" fillId="3" borderId="29" xfId="0" applyFont="1" applyFill="1" applyBorder="1" applyAlignment="1">
      <alignment horizontal="center" vertical="center" wrapText="1"/>
    </xf>
    <xf numFmtId="171" fontId="7" fillId="0" borderId="0" xfId="0" applyNumberFormat="1" applyFont="1" applyFill="1" applyBorder="1" applyAlignment="1">
      <alignment horizontal="center" vertical="center" wrapText="1"/>
    </xf>
    <xf numFmtId="0" fontId="7" fillId="0" borderId="0" xfId="0" applyFont="1" applyFill="1" applyBorder="1" applyAlignment="1">
      <alignment horizontal="center" vertical="center" wrapText="1"/>
    </xf>
    <xf numFmtId="2" fontId="63" fillId="0" borderId="0" xfId="0" applyNumberFormat="1" applyFont="1" applyFill="1" applyBorder="1" applyAlignment="1">
      <alignment horizontal="center" vertical="center"/>
    </xf>
    <xf numFmtId="2" fontId="63" fillId="15" borderId="0" xfId="0" applyNumberFormat="1" applyFont="1" applyFill="1" applyBorder="1" applyAlignment="1">
      <alignment horizontal="center" vertical="center"/>
    </xf>
    <xf numFmtId="2" fontId="63" fillId="12" borderId="0" xfId="0" applyNumberFormat="1" applyFont="1" applyFill="1" applyBorder="1" applyAlignment="1">
      <alignment horizontal="center" vertical="center"/>
    </xf>
    <xf numFmtId="2" fontId="63" fillId="83" borderId="0" xfId="0" applyNumberFormat="1" applyFont="1" applyFill="1" applyBorder="1" applyAlignment="1">
      <alignment horizontal="center" vertical="center"/>
    </xf>
    <xf numFmtId="2" fontId="63" fillId="84" borderId="0" xfId="0" applyNumberFormat="1" applyFont="1" applyFill="1" applyBorder="1" applyAlignment="1">
      <alignment horizontal="center" vertical="center"/>
    </xf>
    <xf numFmtId="166" fontId="30" fillId="84" borderId="25" xfId="1" applyFont="1" applyFill="1" applyBorder="1" applyAlignment="1">
      <alignment horizontal="center" vertical="center"/>
    </xf>
    <xf numFmtId="0" fontId="30" fillId="0" borderId="54" xfId="0" applyFont="1" applyFill="1" applyBorder="1" applyAlignment="1">
      <alignment horizontal="center" vertical="center" wrapText="1"/>
    </xf>
    <xf numFmtId="0" fontId="30" fillId="15" borderId="54" xfId="0" applyFont="1" applyFill="1" applyBorder="1" applyAlignment="1">
      <alignment horizontal="center" vertical="center" wrapText="1"/>
    </xf>
    <xf numFmtId="0" fontId="30" fillId="12" borderId="54" xfId="0" applyFont="1" applyFill="1" applyBorder="1" applyAlignment="1">
      <alignment horizontal="center" vertical="center" wrapText="1"/>
    </xf>
    <xf numFmtId="0" fontId="30" fillId="83" borderId="54" xfId="0" applyFont="1" applyFill="1" applyBorder="1" applyAlignment="1">
      <alignment horizontal="center" vertical="center" wrapText="1"/>
    </xf>
    <xf numFmtId="0" fontId="30" fillId="84" borderId="54" xfId="0" applyFont="1" applyFill="1" applyBorder="1" applyAlignment="1">
      <alignment horizontal="center" vertical="center" wrapText="1"/>
    </xf>
    <xf numFmtId="0" fontId="30" fillId="71" borderId="54" xfId="0" applyFont="1" applyFill="1" applyBorder="1" applyAlignment="1">
      <alignment horizontal="center" vertical="center"/>
    </xf>
    <xf numFmtId="166" fontId="61" fillId="71" borderId="25" xfId="1" applyFont="1" applyFill="1" applyBorder="1" applyAlignment="1">
      <alignment horizontal="center" vertical="center"/>
    </xf>
    <xf numFmtId="165" fontId="63" fillId="71" borderId="0" xfId="3" applyFont="1" applyFill="1" applyBorder="1" applyAlignment="1">
      <alignment horizontal="center" vertical="center"/>
    </xf>
    <xf numFmtId="180" fontId="61" fillId="71" borderId="25" xfId="3" applyNumberFormat="1" applyFont="1" applyFill="1" applyBorder="1" applyAlignment="1">
      <alignment horizontal="center" vertical="center"/>
    </xf>
    <xf numFmtId="180" fontId="61" fillId="71" borderId="262" xfId="3" applyNumberFormat="1" applyFont="1" applyFill="1" applyBorder="1" applyAlignment="1">
      <alignment horizontal="center" vertical="center"/>
    </xf>
    <xf numFmtId="2" fontId="63" fillId="71" borderId="0" xfId="0" applyNumberFormat="1" applyFont="1" applyFill="1" applyBorder="1" applyAlignment="1">
      <alignment horizontal="center" vertical="center"/>
    </xf>
    <xf numFmtId="2" fontId="61" fillId="71" borderId="25" xfId="0" applyNumberFormat="1" applyFont="1" applyFill="1" applyBorder="1" applyAlignment="1">
      <alignment horizontal="center" vertical="center"/>
    </xf>
    <xf numFmtId="2" fontId="61" fillId="71" borderId="34" xfId="0" applyNumberFormat="1" applyFont="1" applyFill="1" applyBorder="1" applyAlignment="1">
      <alignment horizontal="center" vertical="center"/>
    </xf>
    <xf numFmtId="168" fontId="61" fillId="71" borderId="25" xfId="1" applyNumberFormat="1" applyFont="1" applyFill="1" applyBorder="1" applyAlignment="1">
      <alignment horizontal="center" vertical="center"/>
    </xf>
    <xf numFmtId="168" fontId="61" fillId="71" borderId="57" xfId="1" applyNumberFormat="1" applyFont="1" applyFill="1" applyBorder="1" applyAlignment="1">
      <alignment horizontal="center" vertical="center"/>
    </xf>
    <xf numFmtId="168" fontId="61" fillId="0" borderId="25" xfId="1" applyNumberFormat="1" applyFont="1" applyFill="1" applyBorder="1" applyAlignment="1">
      <alignment horizontal="center" vertical="center"/>
    </xf>
    <xf numFmtId="168" fontId="61" fillId="0" borderId="25" xfId="1" applyNumberFormat="1" applyFont="1" applyBorder="1" applyAlignment="1">
      <alignment horizontal="center" vertical="center" wrapText="1"/>
    </xf>
    <xf numFmtId="168" fontId="61" fillId="0" borderId="57" xfId="1" applyNumberFormat="1" applyFont="1" applyBorder="1" applyAlignment="1">
      <alignment horizontal="center" vertical="center" wrapText="1"/>
    </xf>
    <xf numFmtId="0" fontId="73" fillId="0" borderId="312" xfId="0" applyFont="1" applyBorder="1" applyAlignment="1">
      <alignment horizontal="center" vertical="center"/>
    </xf>
    <xf numFmtId="0" fontId="73" fillId="0" borderId="0" xfId="0" applyFont="1" applyFill="1" applyBorder="1" applyAlignment="1">
      <alignment horizontal="center" vertical="center"/>
    </xf>
    <xf numFmtId="168" fontId="73" fillId="16" borderId="25" xfId="1" applyNumberFormat="1" applyFont="1" applyFill="1" applyBorder="1" applyAlignment="1">
      <alignment horizontal="center" vertical="center"/>
    </xf>
    <xf numFmtId="0" fontId="73" fillId="0" borderId="45" xfId="0" applyFont="1" applyFill="1" applyBorder="1" applyAlignment="1">
      <alignment horizontal="center" vertical="center"/>
    </xf>
    <xf numFmtId="0" fontId="73" fillId="0" borderId="0" xfId="0" applyFont="1" applyFill="1" applyAlignment="1">
      <alignment vertical="center"/>
    </xf>
    <xf numFmtId="166" fontId="61" fillId="71" borderId="34" xfId="1" applyFont="1" applyFill="1" applyBorder="1" applyAlignment="1">
      <alignment horizontal="center" vertical="center"/>
    </xf>
    <xf numFmtId="0" fontId="61" fillId="0" borderId="27" xfId="0" applyFont="1" applyBorder="1" applyAlignment="1">
      <alignment vertical="center"/>
    </xf>
    <xf numFmtId="0" fontId="61" fillId="0" borderId="34" xfId="0" applyFont="1" applyBorder="1" applyAlignment="1">
      <alignment horizontal="right" vertical="center" wrapText="1"/>
    </xf>
    <xf numFmtId="171" fontId="213" fillId="0" borderId="0" xfId="0" applyNumberFormat="1" applyFont="1" applyFill="1" applyBorder="1" applyAlignment="1">
      <alignment horizontal="center"/>
    </xf>
    <xf numFmtId="171" fontId="7" fillId="28" borderId="0" xfId="0" applyNumberFormat="1" applyFont="1" applyFill="1" applyBorder="1"/>
    <xf numFmtId="0" fontId="11" fillId="28" borderId="0" xfId="0" applyFont="1" applyFill="1" applyBorder="1" applyAlignment="1">
      <alignment horizontal="center" vertical="center" wrapText="1"/>
    </xf>
    <xf numFmtId="171" fontId="7" fillId="28" borderId="23" xfId="0" applyNumberFormat="1" applyFont="1" applyFill="1" applyBorder="1"/>
    <xf numFmtId="171" fontId="153" fillId="28" borderId="0" xfId="0" applyNumberFormat="1" applyFont="1" applyFill="1" applyBorder="1"/>
    <xf numFmtId="0" fontId="203" fillId="0" borderId="93" xfId="0" applyFont="1" applyFill="1" applyBorder="1" applyAlignment="1">
      <alignment horizontal="center" vertical="center" wrapText="1"/>
    </xf>
    <xf numFmtId="3" fontId="15" fillId="0" borderId="23" xfId="0" applyNumberFormat="1" applyFont="1" applyFill="1" applyBorder="1" applyAlignment="1">
      <alignment horizontal="center"/>
    </xf>
    <xf numFmtId="1" fontId="7" fillId="0" borderId="23" xfId="0" applyNumberFormat="1" applyFont="1" applyFill="1" applyBorder="1" applyAlignment="1">
      <alignment horizontal="center"/>
    </xf>
    <xf numFmtId="9" fontId="144" fillId="3" borderId="0" xfId="2" applyFont="1" applyFill="1" applyAlignment="1">
      <alignment wrapText="1"/>
    </xf>
    <xf numFmtId="0" fontId="0" fillId="3" borderId="0" xfId="0" applyFont="1" applyFill="1"/>
    <xf numFmtId="0" fontId="10" fillId="3" borderId="0" xfId="0" applyFont="1" applyFill="1" applyAlignment="1">
      <alignment horizontal="center"/>
    </xf>
    <xf numFmtId="179" fontId="0" fillId="0" borderId="0" xfId="0" applyNumberFormat="1" applyFont="1"/>
    <xf numFmtId="179" fontId="61" fillId="3" borderId="0" xfId="0" applyNumberFormat="1" applyFont="1" applyFill="1"/>
    <xf numFmtId="179" fontId="0" fillId="12" borderId="0" xfId="0" applyNumberFormat="1" applyFont="1" applyFill="1"/>
    <xf numFmtId="3" fontId="15" fillId="3" borderId="33" xfId="0" applyNumberFormat="1" applyFont="1" applyFill="1" applyBorder="1" applyAlignment="1">
      <alignment horizontal="center" vertical="center"/>
    </xf>
    <xf numFmtId="0" fontId="7" fillId="4" borderId="35" xfId="0" applyFont="1" applyFill="1" applyBorder="1"/>
    <xf numFmtId="0" fontId="56" fillId="4" borderId="35" xfId="0" applyFont="1" applyFill="1" applyBorder="1" applyAlignment="1">
      <alignment horizontal="center"/>
    </xf>
    <xf numFmtId="0" fontId="56" fillId="4" borderId="29" xfId="0" applyFont="1" applyFill="1" applyBorder="1" applyAlignment="1">
      <alignment horizontal="center"/>
    </xf>
    <xf numFmtId="0" fontId="56" fillId="4" borderId="30" xfId="0" applyFont="1" applyFill="1" applyBorder="1" applyAlignment="1">
      <alignment horizontal="center"/>
    </xf>
    <xf numFmtId="0" fontId="14" fillId="4" borderId="102" xfId="0" applyFont="1" applyFill="1" applyBorder="1" applyAlignment="1">
      <alignment horizontal="center"/>
    </xf>
    <xf numFmtId="0" fontId="14" fillId="4" borderId="103" xfId="0" applyFont="1" applyFill="1" applyBorder="1" applyAlignment="1">
      <alignment horizontal="center"/>
    </xf>
    <xf numFmtId="0" fontId="14" fillId="4" borderId="29" xfId="0" applyFont="1" applyFill="1" applyBorder="1" applyAlignment="1">
      <alignment horizontal="center"/>
    </xf>
    <xf numFmtId="0" fontId="57" fillId="15" borderId="35" xfId="0" applyFont="1" applyFill="1" applyBorder="1" applyAlignment="1"/>
    <xf numFmtId="0" fontId="57" fillId="15" borderId="29" xfId="0" applyFont="1" applyFill="1" applyBorder="1" applyAlignment="1"/>
    <xf numFmtId="0" fontId="57" fillId="15" borderId="30" xfId="0" applyFont="1" applyFill="1" applyBorder="1" applyAlignment="1"/>
    <xf numFmtId="0" fontId="57" fillId="22" borderId="35" xfId="0" applyFont="1" applyFill="1" applyBorder="1" applyAlignment="1">
      <alignment horizontal="center"/>
    </xf>
    <xf numFmtId="0" fontId="57" fillId="22" borderId="29" xfId="0" applyFont="1" applyFill="1" applyBorder="1" applyAlignment="1">
      <alignment horizontal="center"/>
    </xf>
    <xf numFmtId="0" fontId="57" fillId="22" borderId="30" xfId="0" applyFont="1" applyFill="1" applyBorder="1" applyAlignment="1">
      <alignment horizontal="center"/>
    </xf>
    <xf numFmtId="0" fontId="6" fillId="16" borderId="0" xfId="0" applyFont="1" applyFill="1" applyBorder="1" applyAlignment="1">
      <alignment horizontal="left" vertical="center"/>
    </xf>
    <xf numFmtId="0" fontId="6" fillId="21" borderId="0" xfId="0" applyFont="1" applyFill="1" applyBorder="1"/>
    <xf numFmtId="0" fontId="7" fillId="21" borderId="0" xfId="0" applyFont="1" applyFill="1" applyBorder="1" applyAlignment="1">
      <alignment horizontal="center"/>
    </xf>
    <xf numFmtId="0" fontId="205" fillId="21" borderId="0" xfId="0" applyFont="1" applyFill="1" applyBorder="1" applyAlignment="1">
      <alignment horizontal="center"/>
    </xf>
    <xf numFmtId="0" fontId="170" fillId="21" borderId="0" xfId="0" applyFont="1" applyFill="1" applyBorder="1" applyAlignment="1">
      <alignment horizontal="center"/>
    </xf>
    <xf numFmtId="0" fontId="170" fillId="21" borderId="0" xfId="0" applyFont="1" applyFill="1" applyBorder="1" applyAlignment="1">
      <alignment horizontal="right"/>
    </xf>
    <xf numFmtId="0" fontId="170" fillId="21" borderId="101" xfId="0" applyFont="1" applyFill="1" applyBorder="1" applyAlignment="1">
      <alignment horizontal="center"/>
    </xf>
    <xf numFmtId="0" fontId="6" fillId="4" borderId="35" xfId="0" applyFont="1" applyFill="1" applyBorder="1" applyAlignment="1">
      <alignment horizontal="left"/>
    </xf>
    <xf numFmtId="0" fontId="6" fillId="21" borderId="29" xfId="0" applyFont="1" applyFill="1" applyBorder="1"/>
    <xf numFmtId="0" fontId="6" fillId="4" borderId="29" xfId="0" applyFont="1" applyFill="1" applyBorder="1" applyAlignment="1">
      <alignment horizontal="center"/>
    </xf>
    <xf numFmtId="0" fontId="6" fillId="4" borderId="30" xfId="0" applyFont="1" applyFill="1" applyBorder="1" applyAlignment="1">
      <alignment horizontal="center"/>
    </xf>
    <xf numFmtId="0" fontId="6" fillId="21" borderId="35" xfId="0" applyFont="1" applyFill="1" applyBorder="1" applyAlignment="1">
      <alignment horizontal="center"/>
    </xf>
    <xf numFmtId="0" fontId="6" fillId="21" borderId="29" xfId="0" applyFont="1" applyFill="1" applyBorder="1" applyAlignment="1">
      <alignment horizontal="center"/>
    </xf>
    <xf numFmtId="171" fontId="6" fillId="21" borderId="29" xfId="0" applyNumberFormat="1" applyFont="1" applyFill="1" applyBorder="1" applyAlignment="1">
      <alignment horizontal="center"/>
    </xf>
    <xf numFmtId="0" fontId="5" fillId="21" borderId="29" xfId="0" applyFont="1" applyFill="1" applyBorder="1"/>
    <xf numFmtId="1" fontId="6" fillId="21" borderId="29" xfId="0" applyNumberFormat="1" applyFont="1" applyFill="1" applyBorder="1" applyAlignment="1">
      <alignment horizontal="center"/>
    </xf>
    <xf numFmtId="1" fontId="6" fillId="21" borderId="30" xfId="0" applyNumberFormat="1" applyFont="1" applyFill="1" applyBorder="1" applyAlignment="1">
      <alignment horizontal="center"/>
    </xf>
    <xf numFmtId="1" fontId="6" fillId="4" borderId="30" xfId="0" applyNumberFormat="1" applyFont="1" applyFill="1" applyBorder="1" applyAlignment="1">
      <alignment horizontal="center"/>
    </xf>
    <xf numFmtId="1" fontId="14" fillId="21" borderId="35" xfId="0" applyNumberFormat="1" applyFont="1" applyFill="1" applyBorder="1" applyAlignment="1">
      <alignment horizontal="center"/>
    </xf>
    <xf numFmtId="1" fontId="14" fillId="21" borderId="29" xfId="0" applyNumberFormat="1" applyFont="1" applyFill="1" applyBorder="1" applyAlignment="1">
      <alignment horizontal="center"/>
    </xf>
    <xf numFmtId="1" fontId="6" fillId="0" borderId="35" xfId="0" applyNumberFormat="1" applyFont="1" applyFill="1" applyBorder="1" applyAlignment="1">
      <alignment horizontal="center"/>
    </xf>
    <xf numFmtId="0" fontId="6" fillId="16" borderId="376" xfId="0" applyFont="1" applyFill="1" applyBorder="1" applyAlignment="1">
      <alignment horizontal="center"/>
    </xf>
    <xf numFmtId="0" fontId="6" fillId="16" borderId="104" xfId="0" applyFont="1" applyFill="1" applyBorder="1" applyAlignment="1">
      <alignment horizontal="center"/>
    </xf>
    <xf numFmtId="0" fontId="6" fillId="16" borderId="29" xfId="0" applyFont="1" applyFill="1" applyBorder="1" applyAlignment="1">
      <alignment horizontal="center"/>
    </xf>
    <xf numFmtId="0" fontId="6" fillId="16" borderId="377" xfId="0" applyFont="1" applyFill="1" applyBorder="1" applyAlignment="1">
      <alignment horizontal="center"/>
    </xf>
    <xf numFmtId="1" fontId="6" fillId="111" borderId="93" xfId="0" applyNumberFormat="1" applyFont="1" applyFill="1" applyBorder="1" applyAlignment="1">
      <alignment horizontal="center"/>
    </xf>
    <xf numFmtId="171" fontId="6" fillId="111" borderId="29" xfId="0" applyNumberFormat="1" applyFont="1" applyFill="1" applyBorder="1" applyAlignment="1">
      <alignment horizontal="center"/>
    </xf>
    <xf numFmtId="171" fontId="6" fillId="111" borderId="377" xfId="0" applyNumberFormat="1" applyFont="1" applyFill="1" applyBorder="1" applyAlignment="1">
      <alignment horizontal="center"/>
    </xf>
    <xf numFmtId="1" fontId="6" fillId="112" borderId="93" xfId="0" applyNumberFormat="1" applyFont="1" applyFill="1" applyBorder="1" applyAlignment="1">
      <alignment horizontal="center"/>
    </xf>
    <xf numFmtId="171" fontId="6" fillId="112" borderId="29" xfId="0" applyNumberFormat="1" applyFont="1" applyFill="1" applyBorder="1" applyAlignment="1">
      <alignment horizontal="center"/>
    </xf>
    <xf numFmtId="1" fontId="6" fillId="113" borderId="29" xfId="0" applyNumberFormat="1" applyFont="1" applyFill="1" applyBorder="1" applyAlignment="1">
      <alignment horizontal="center"/>
    </xf>
    <xf numFmtId="171" fontId="6" fillId="14" borderId="29" xfId="0" applyNumberFormat="1" applyFont="1" applyFill="1" applyBorder="1" applyAlignment="1">
      <alignment horizontal="center"/>
    </xf>
    <xf numFmtId="171" fontId="6" fillId="0" borderId="29" xfId="0" applyNumberFormat="1" applyFont="1" applyFill="1" applyBorder="1" applyAlignment="1">
      <alignment horizontal="center"/>
    </xf>
    <xf numFmtId="0" fontId="15" fillId="39" borderId="29" xfId="0" applyFont="1" applyFill="1" applyBorder="1" applyAlignment="1">
      <alignment horizontal="center"/>
    </xf>
    <xf numFmtId="0" fontId="15" fillId="0" borderId="29" xfId="0" applyFont="1" applyFill="1" applyBorder="1" applyAlignment="1">
      <alignment horizontal="center"/>
    </xf>
    <xf numFmtId="0" fontId="15" fillId="3" borderId="29" xfId="0" applyFont="1" applyFill="1" applyBorder="1" applyAlignment="1">
      <alignment horizontal="center"/>
    </xf>
    <xf numFmtId="2" fontId="6" fillId="4" borderId="0" xfId="0" applyNumberFormat="1" applyFont="1" applyFill="1" applyBorder="1" applyAlignment="1">
      <alignment horizontal="center"/>
    </xf>
    <xf numFmtId="3" fontId="6" fillId="4" borderId="0" xfId="0" applyNumberFormat="1" applyFont="1" applyFill="1" applyBorder="1" applyAlignment="1">
      <alignment horizontal="center"/>
    </xf>
    <xf numFmtId="3" fontId="6" fillId="4" borderId="7" xfId="0" applyNumberFormat="1" applyFont="1" applyFill="1" applyBorder="1" applyAlignment="1">
      <alignment horizontal="center"/>
    </xf>
    <xf numFmtId="3" fontId="6" fillId="21" borderId="37" xfId="0" applyNumberFormat="1" applyFont="1" applyFill="1" applyBorder="1" applyAlignment="1">
      <alignment horizontal="center"/>
    </xf>
    <xf numFmtId="3" fontId="6" fillId="21" borderId="0" xfId="0" applyNumberFormat="1" applyFont="1" applyFill="1" applyBorder="1" applyAlignment="1">
      <alignment horizontal="center"/>
    </xf>
    <xf numFmtId="3" fontId="6" fillId="21" borderId="7" xfId="0" applyNumberFormat="1" applyFont="1" applyFill="1" applyBorder="1" applyAlignment="1">
      <alignment horizontal="center"/>
    </xf>
    <xf numFmtId="3" fontId="6" fillId="4" borderId="37" xfId="0" applyNumberFormat="1" applyFont="1" applyFill="1" applyBorder="1" applyAlignment="1">
      <alignment horizontal="center"/>
    </xf>
    <xf numFmtId="3" fontId="14" fillId="21" borderId="0" xfId="0" applyNumberFormat="1" applyFont="1" applyFill="1" applyBorder="1" applyAlignment="1">
      <alignment horizontal="center"/>
    </xf>
    <xf numFmtId="3" fontId="56" fillId="4" borderId="37" xfId="0" applyNumberFormat="1" applyFont="1" applyFill="1" applyBorder="1" applyAlignment="1">
      <alignment horizontal="center"/>
    </xf>
    <xf numFmtId="3" fontId="56" fillId="4" borderId="0" xfId="0" applyNumberFormat="1" applyFont="1" applyFill="1" applyBorder="1" applyAlignment="1">
      <alignment horizontal="center"/>
    </xf>
    <xf numFmtId="3" fontId="56" fillId="4" borderId="7" xfId="0" applyNumberFormat="1" applyFont="1" applyFill="1" applyBorder="1" applyAlignment="1">
      <alignment horizontal="center"/>
    </xf>
    <xf numFmtId="3" fontId="14" fillId="4" borderId="74" xfId="0" applyNumberFormat="1" applyFont="1" applyFill="1" applyBorder="1" applyAlignment="1">
      <alignment horizontal="center"/>
    </xf>
    <xf numFmtId="3" fontId="14" fillId="4" borderId="61" xfId="0" applyNumberFormat="1" applyFont="1" applyFill="1" applyBorder="1" applyAlignment="1">
      <alignment horizontal="center"/>
    </xf>
    <xf numFmtId="3" fontId="14" fillId="4" borderId="62" xfId="0" applyNumberFormat="1" applyFont="1" applyFill="1" applyBorder="1" applyAlignment="1">
      <alignment horizontal="center"/>
    </xf>
    <xf numFmtId="3" fontId="57" fillId="4" borderId="37" xfId="0" applyNumberFormat="1" applyFont="1" applyFill="1" applyBorder="1" applyAlignment="1">
      <alignment horizontal="center"/>
    </xf>
    <xf numFmtId="3" fontId="57" fillId="4" borderId="0" xfId="0" applyNumberFormat="1" applyFont="1" applyFill="1" applyBorder="1" applyAlignment="1">
      <alignment horizontal="center"/>
    </xf>
    <xf numFmtId="3" fontId="57" fillId="4" borderId="7" xfId="0" applyNumberFormat="1" applyFont="1" applyFill="1" applyBorder="1" applyAlignment="1">
      <alignment horizontal="center"/>
    </xf>
    <xf numFmtId="3" fontId="57" fillId="22" borderId="37" xfId="0" applyNumberFormat="1" applyFont="1" applyFill="1" applyBorder="1" applyAlignment="1">
      <alignment horizontal="center"/>
    </xf>
    <xf numFmtId="3" fontId="57" fillId="22" borderId="0" xfId="0" applyNumberFormat="1" applyFont="1" applyFill="1" applyBorder="1" applyAlignment="1">
      <alignment horizontal="center"/>
    </xf>
    <xf numFmtId="3" fontId="57" fillId="22" borderId="7" xfId="0" applyNumberFormat="1" applyFont="1" applyFill="1" applyBorder="1" applyAlignment="1">
      <alignment horizontal="center"/>
    </xf>
    <xf numFmtId="171" fontId="6" fillId="0" borderId="105" xfId="0" applyNumberFormat="1" applyFont="1" applyFill="1" applyBorder="1" applyAlignment="1">
      <alignment horizontal="center"/>
    </xf>
    <xf numFmtId="171" fontId="6" fillId="0" borderId="372" xfId="0" applyNumberFormat="1" applyFont="1" applyFill="1" applyBorder="1" applyAlignment="1">
      <alignment horizontal="center"/>
    </xf>
    <xf numFmtId="171" fontId="6" fillId="0" borderId="73" xfId="0" applyNumberFormat="1" applyFont="1" applyFill="1" applyBorder="1" applyAlignment="1">
      <alignment horizontal="center"/>
    </xf>
    <xf numFmtId="171" fontId="6" fillId="0" borderId="304" xfId="0" applyNumberFormat="1" applyFont="1" applyFill="1" applyBorder="1" applyAlignment="1">
      <alignment horizontal="center"/>
    </xf>
    <xf numFmtId="1" fontId="6" fillId="16" borderId="373" xfId="0" applyNumberFormat="1" applyFont="1" applyFill="1" applyBorder="1" applyAlignment="1">
      <alignment horizontal="center"/>
    </xf>
    <xf numFmtId="1" fontId="6" fillId="16" borderId="374" xfId="0" applyNumberFormat="1" applyFont="1" applyFill="1" applyBorder="1" applyAlignment="1">
      <alignment horizontal="center"/>
    </xf>
    <xf numFmtId="1" fontId="6" fillId="16" borderId="0" xfId="0" applyNumberFormat="1" applyFont="1" applyFill="1" applyBorder="1" applyAlignment="1">
      <alignment horizontal="center"/>
    </xf>
    <xf numFmtId="1" fontId="6" fillId="16" borderId="63" xfId="0" applyNumberFormat="1" applyFont="1" applyFill="1" applyBorder="1" applyAlignment="1">
      <alignment horizontal="center"/>
    </xf>
    <xf numFmtId="0" fontId="7" fillId="17" borderId="0" xfId="0" applyFont="1" applyFill="1" applyBorder="1" applyAlignment="1">
      <alignment vertical="center"/>
    </xf>
    <xf numFmtId="0" fontId="6" fillId="4" borderId="0" xfId="0" applyFont="1" applyFill="1" applyBorder="1" applyAlignment="1">
      <alignment horizontal="left" vertical="center"/>
    </xf>
    <xf numFmtId="171" fontId="195" fillId="21" borderId="40" xfId="0" applyNumberFormat="1" applyFont="1" applyFill="1" applyBorder="1" applyAlignment="1">
      <alignment horizontal="right" vertical="center"/>
    </xf>
    <xf numFmtId="171" fontId="6" fillId="71" borderId="0" xfId="0" applyNumberFormat="1" applyFont="1" applyFill="1" applyBorder="1" applyAlignment="1">
      <alignment horizontal="center"/>
    </xf>
    <xf numFmtId="171" fontId="6" fillId="71" borderId="7" xfId="0" applyNumberFormat="1" applyFont="1" applyFill="1" applyBorder="1" applyAlignment="1">
      <alignment horizontal="center"/>
    </xf>
    <xf numFmtId="171" fontId="6" fillId="71" borderId="37" xfId="0" applyNumberFormat="1" applyFont="1" applyFill="1" applyBorder="1" applyAlignment="1">
      <alignment horizontal="center"/>
    </xf>
    <xf numFmtId="171" fontId="14" fillId="71" borderId="0" xfId="0" applyNumberFormat="1" applyFont="1" applyFill="1" applyBorder="1" applyAlignment="1">
      <alignment horizontal="center"/>
    </xf>
    <xf numFmtId="171" fontId="56" fillId="71" borderId="37" xfId="0" applyNumberFormat="1" applyFont="1" applyFill="1" applyBorder="1" applyAlignment="1">
      <alignment horizontal="center"/>
    </xf>
    <xf numFmtId="171" fontId="56" fillId="71" borderId="0" xfId="0" applyNumberFormat="1" applyFont="1" applyFill="1" applyBorder="1" applyAlignment="1">
      <alignment horizontal="center"/>
    </xf>
    <xf numFmtId="171" fontId="56" fillId="71" borderId="7" xfId="0" applyNumberFormat="1" applyFont="1" applyFill="1" applyBorder="1" applyAlignment="1">
      <alignment horizontal="center"/>
    </xf>
    <xf numFmtId="171" fontId="14" fillId="71" borderId="74" xfId="0" applyNumberFormat="1" applyFont="1" applyFill="1" applyBorder="1" applyAlignment="1">
      <alignment horizontal="center"/>
    </xf>
    <xf numFmtId="171" fontId="14" fillId="71" borderId="61" xfId="0" applyNumberFormat="1" applyFont="1" applyFill="1" applyBorder="1" applyAlignment="1">
      <alignment horizontal="center"/>
    </xf>
    <xf numFmtId="171" fontId="14" fillId="71" borderId="62" xfId="0" applyNumberFormat="1" applyFont="1" applyFill="1" applyBorder="1" applyAlignment="1">
      <alignment horizontal="center"/>
    </xf>
    <xf numFmtId="171" fontId="57" fillId="71" borderId="105" xfId="0" applyNumberFormat="1" applyFont="1" applyFill="1" applyBorder="1" applyAlignment="1">
      <alignment horizontal="center"/>
    </xf>
    <xf numFmtId="171" fontId="57" fillId="71" borderId="2" xfId="0" applyNumberFormat="1" applyFont="1" applyFill="1" applyBorder="1" applyAlignment="1">
      <alignment horizontal="center"/>
    </xf>
    <xf numFmtId="171" fontId="57" fillId="71" borderId="106" xfId="0" applyNumberFormat="1" applyFont="1" applyFill="1" applyBorder="1" applyAlignment="1">
      <alignment horizontal="center"/>
    </xf>
    <xf numFmtId="171" fontId="6" fillId="71" borderId="105" xfId="0" applyNumberFormat="1" applyFont="1" applyFill="1" applyBorder="1" applyAlignment="1">
      <alignment horizontal="center"/>
    </xf>
    <xf numFmtId="171" fontId="6" fillId="71" borderId="2" xfId="0" applyNumberFormat="1" applyFont="1" applyFill="1" applyBorder="1" applyAlignment="1">
      <alignment horizontal="center"/>
    </xf>
    <xf numFmtId="171" fontId="6" fillId="71" borderId="375" xfId="0" applyNumberFormat="1" applyFont="1" applyFill="1" applyBorder="1" applyAlignment="1">
      <alignment horizontal="center"/>
    </xf>
    <xf numFmtId="171" fontId="6" fillId="71" borderId="23" xfId="0" applyNumberFormat="1" applyFont="1" applyFill="1" applyBorder="1" applyAlignment="1">
      <alignment horizontal="center"/>
    </xf>
    <xf numFmtId="171" fontId="6" fillId="71" borderId="63" xfId="0" applyNumberFormat="1" applyFont="1" applyFill="1" applyBorder="1" applyAlignment="1">
      <alignment horizontal="center"/>
    </xf>
    <xf numFmtId="171" fontId="6" fillId="14" borderId="33" xfId="0" applyNumberFormat="1" applyFont="1" applyFill="1" applyBorder="1" applyAlignment="1">
      <alignment horizontal="center"/>
    </xf>
    <xf numFmtId="171" fontId="15" fillId="39" borderId="261" xfId="0" applyNumberFormat="1" applyFont="1" applyFill="1" applyBorder="1" applyAlignment="1">
      <alignment horizontal="center"/>
    </xf>
    <xf numFmtId="171" fontId="15" fillId="0" borderId="261" xfId="0" applyNumberFormat="1" applyFont="1" applyFill="1" applyBorder="1" applyAlignment="1">
      <alignment horizontal="center"/>
    </xf>
    <xf numFmtId="171" fontId="15" fillId="3" borderId="0" xfId="0" applyNumberFormat="1" applyFont="1" applyFill="1" applyBorder="1" applyAlignment="1">
      <alignment horizontal="center"/>
    </xf>
    <xf numFmtId="171" fontId="5" fillId="0" borderId="0" xfId="0" applyNumberFormat="1" applyFont="1" applyFill="1" applyBorder="1" applyAlignment="1">
      <alignment vertical="center"/>
    </xf>
    <xf numFmtId="0" fontId="5" fillId="0" borderId="0" xfId="0" applyFont="1" applyFill="1" applyBorder="1" applyAlignment="1">
      <alignment vertical="center"/>
    </xf>
    <xf numFmtId="0" fontId="108" fillId="3" borderId="0" xfId="0" applyFont="1" applyFill="1" applyBorder="1" applyAlignment="1">
      <alignment horizontal="center"/>
    </xf>
    <xf numFmtId="1" fontId="214" fillId="16" borderId="33" xfId="0" applyNumberFormat="1" applyFont="1" applyFill="1" applyBorder="1" applyAlignment="1">
      <alignment horizontal="center" vertical="center"/>
    </xf>
    <xf numFmtId="1" fontId="214" fillId="16" borderId="0" xfId="0" applyNumberFormat="1" applyFont="1" applyFill="1" applyBorder="1" applyAlignment="1">
      <alignment horizontal="center"/>
    </xf>
    <xf numFmtId="1" fontId="214" fillId="16" borderId="253" xfId="0" applyNumberFormat="1" applyFont="1" applyFill="1" applyBorder="1" applyAlignment="1">
      <alignment horizontal="center" vertical="center"/>
    </xf>
    <xf numFmtId="1" fontId="214" fillId="16" borderId="23" xfId="0" applyNumberFormat="1" applyFont="1" applyFill="1" applyBorder="1" applyAlignment="1">
      <alignment horizontal="center"/>
    </xf>
    <xf numFmtId="1" fontId="6" fillId="26" borderId="93" xfId="0" applyNumberFormat="1" applyFont="1" applyFill="1" applyBorder="1" applyAlignment="1">
      <alignment horizontal="center"/>
    </xf>
    <xf numFmtId="171" fontId="6" fillId="26" borderId="253" xfId="0" applyNumberFormat="1" applyFont="1" applyFill="1" applyBorder="1" applyAlignment="1">
      <alignment horizontal="center"/>
    </xf>
    <xf numFmtId="1" fontId="6" fillId="70" borderId="93" xfId="0" applyNumberFormat="1" applyFont="1" applyFill="1" applyBorder="1" applyAlignment="1">
      <alignment horizontal="center"/>
    </xf>
    <xf numFmtId="171" fontId="6" fillId="70" borderId="253" xfId="0" applyNumberFormat="1" applyFont="1" applyFill="1" applyBorder="1" applyAlignment="1">
      <alignment horizontal="center"/>
    </xf>
    <xf numFmtId="0" fontId="215" fillId="21" borderId="0" xfId="0" applyFont="1" applyFill="1" applyBorder="1" applyAlignment="1">
      <alignment vertical="center"/>
    </xf>
    <xf numFmtId="171" fontId="7" fillId="4" borderId="0" xfId="0" applyNumberFormat="1" applyFont="1" applyFill="1" applyBorder="1" applyAlignment="1">
      <alignment horizontal="center" vertical="center"/>
    </xf>
    <xf numFmtId="171" fontId="7" fillId="4" borderId="7" xfId="0" applyNumberFormat="1" applyFont="1" applyFill="1" applyBorder="1" applyAlignment="1">
      <alignment horizontal="center" vertical="center"/>
    </xf>
    <xf numFmtId="171" fontId="7" fillId="21" borderId="37" xfId="0" applyNumberFormat="1" applyFont="1" applyFill="1" applyBorder="1" applyAlignment="1">
      <alignment horizontal="center" vertical="center"/>
    </xf>
    <xf numFmtId="171" fontId="7" fillId="21" borderId="0" xfId="0" applyNumberFormat="1" applyFont="1" applyFill="1" applyBorder="1" applyAlignment="1">
      <alignment horizontal="center" vertical="center"/>
    </xf>
    <xf numFmtId="171" fontId="7" fillId="21" borderId="7" xfId="0" applyNumberFormat="1" applyFont="1" applyFill="1" applyBorder="1" applyAlignment="1">
      <alignment horizontal="center" vertical="center"/>
    </xf>
    <xf numFmtId="171" fontId="7" fillId="4" borderId="37" xfId="0" applyNumberFormat="1" applyFont="1" applyFill="1" applyBorder="1" applyAlignment="1">
      <alignment horizontal="center" vertical="center"/>
    </xf>
    <xf numFmtId="171" fontId="205" fillId="21" borderId="0" xfId="0" applyNumberFormat="1" applyFont="1" applyFill="1" applyBorder="1" applyAlignment="1">
      <alignment horizontal="center" vertical="center"/>
    </xf>
    <xf numFmtId="171" fontId="210" fillId="4" borderId="37" xfId="0" applyNumberFormat="1" applyFont="1" applyFill="1" applyBorder="1" applyAlignment="1">
      <alignment horizontal="center" vertical="center"/>
    </xf>
    <xf numFmtId="171" fontId="210" fillId="4" borderId="0" xfId="0" applyNumberFormat="1" applyFont="1" applyFill="1" applyBorder="1" applyAlignment="1">
      <alignment horizontal="center" vertical="center"/>
    </xf>
    <xf numFmtId="171" fontId="210" fillId="4" borderId="7" xfId="0" applyNumberFormat="1" applyFont="1" applyFill="1" applyBorder="1" applyAlignment="1">
      <alignment horizontal="center" vertical="center"/>
    </xf>
    <xf numFmtId="171" fontId="205" fillId="4" borderId="74" xfId="0" applyNumberFormat="1" applyFont="1" applyFill="1" applyBorder="1" applyAlignment="1">
      <alignment horizontal="center" vertical="center"/>
    </xf>
    <xf numFmtId="171" fontId="205" fillId="4" borderId="61" xfId="0" applyNumberFormat="1" applyFont="1" applyFill="1" applyBorder="1" applyAlignment="1">
      <alignment horizontal="center" vertical="center"/>
    </xf>
    <xf numFmtId="171" fontId="205" fillId="4" borderId="62" xfId="0" applyNumberFormat="1" applyFont="1" applyFill="1" applyBorder="1" applyAlignment="1">
      <alignment horizontal="center" vertical="center"/>
    </xf>
    <xf numFmtId="171" fontId="216" fillId="4" borderId="105" xfId="0" applyNumberFormat="1" applyFont="1" applyFill="1" applyBorder="1" applyAlignment="1">
      <alignment horizontal="center" vertical="center"/>
    </xf>
    <xf numFmtId="171" fontId="216" fillId="4" borderId="2" xfId="0" applyNumberFormat="1" applyFont="1" applyFill="1" applyBorder="1" applyAlignment="1">
      <alignment horizontal="center" vertical="center"/>
    </xf>
    <xf numFmtId="171" fontId="216" fillId="4" borderId="106" xfId="0" applyNumberFormat="1" applyFont="1" applyFill="1" applyBorder="1" applyAlignment="1">
      <alignment horizontal="center" vertical="center"/>
    </xf>
    <xf numFmtId="171" fontId="216" fillId="22" borderId="105" xfId="0" applyNumberFormat="1" applyFont="1" applyFill="1" applyBorder="1" applyAlignment="1">
      <alignment horizontal="center" vertical="center"/>
    </xf>
    <xf numFmtId="171" fontId="216" fillId="22" borderId="2" xfId="0" applyNumberFormat="1" applyFont="1" applyFill="1" applyBorder="1" applyAlignment="1">
      <alignment horizontal="center" vertical="center"/>
    </xf>
    <xf numFmtId="171" fontId="216" fillId="22" borderId="106" xfId="0" applyNumberFormat="1" applyFont="1" applyFill="1" applyBorder="1" applyAlignment="1">
      <alignment horizontal="center" vertical="center"/>
    </xf>
    <xf numFmtId="171" fontId="7" fillId="0" borderId="105" xfId="0" applyNumberFormat="1" applyFont="1" applyFill="1" applyBorder="1" applyAlignment="1">
      <alignment horizontal="center"/>
    </xf>
    <xf numFmtId="171" fontId="7" fillId="0" borderId="2" xfId="0" applyNumberFormat="1" applyFont="1" applyFill="1" applyBorder="1" applyAlignment="1">
      <alignment horizontal="center"/>
    </xf>
    <xf numFmtId="171" fontId="7" fillId="0" borderId="375" xfId="0" applyNumberFormat="1" applyFont="1" applyFill="1" applyBorder="1" applyAlignment="1">
      <alignment horizontal="center"/>
    </xf>
    <xf numFmtId="171" fontId="7" fillId="111" borderId="23" xfId="0" applyNumberFormat="1" applyFont="1" applyFill="1" applyBorder="1" applyAlignment="1">
      <alignment horizontal="center"/>
    </xf>
    <xf numFmtId="171" fontId="7" fillId="111" borderId="0" xfId="0" applyNumberFormat="1" applyFont="1" applyFill="1" applyBorder="1" applyAlignment="1">
      <alignment horizontal="center"/>
    </xf>
    <xf numFmtId="171" fontId="7" fillId="111" borderId="63" xfId="0" applyNumberFormat="1" applyFont="1" applyFill="1" applyBorder="1" applyAlignment="1">
      <alignment horizontal="center"/>
    </xf>
    <xf numFmtId="171" fontId="7" fillId="112" borderId="23" xfId="0" applyNumberFormat="1" applyFont="1" applyFill="1" applyBorder="1" applyAlignment="1">
      <alignment horizontal="center"/>
    </xf>
    <xf numFmtId="171" fontId="7" fillId="112" borderId="0" xfId="0" applyNumberFormat="1" applyFont="1" applyFill="1" applyBorder="1" applyAlignment="1">
      <alignment horizontal="center"/>
    </xf>
    <xf numFmtId="171" fontId="7" fillId="113" borderId="0" xfId="0" applyNumberFormat="1" applyFont="1" applyFill="1" applyBorder="1" applyAlignment="1">
      <alignment horizontal="center"/>
    </xf>
    <xf numFmtId="171" fontId="7" fillId="14" borderId="0" xfId="0" applyNumberFormat="1" applyFont="1" applyFill="1" applyBorder="1" applyAlignment="1">
      <alignment horizontal="center"/>
    </xf>
    <xf numFmtId="171" fontId="7" fillId="70" borderId="23" xfId="0" applyNumberFormat="1" applyFont="1" applyFill="1" applyBorder="1" applyAlignment="1">
      <alignment horizontal="center"/>
    </xf>
    <xf numFmtId="171" fontId="216" fillId="16" borderId="0" xfId="0" applyNumberFormat="1" applyFont="1" applyFill="1" applyBorder="1" applyAlignment="1">
      <alignment horizontal="center" vertical="center"/>
    </xf>
    <xf numFmtId="171" fontId="209" fillId="39" borderId="107" xfId="0" applyNumberFormat="1" applyFont="1" applyFill="1" applyBorder="1" applyAlignment="1">
      <alignment horizontal="center"/>
    </xf>
    <xf numFmtId="171" fontId="209" fillId="39" borderId="107" xfId="0" applyNumberFormat="1" applyFont="1" applyFill="1" applyBorder="1" applyAlignment="1">
      <alignment horizontal="center" vertical="center"/>
    </xf>
    <xf numFmtId="171" fontId="209" fillId="0" borderId="107" xfId="0" applyNumberFormat="1" applyFont="1" applyFill="1" applyBorder="1" applyAlignment="1">
      <alignment horizontal="center"/>
    </xf>
    <xf numFmtId="171" fontId="209" fillId="3" borderId="0" xfId="0" applyNumberFormat="1" applyFont="1" applyFill="1" applyBorder="1" applyAlignment="1">
      <alignment horizontal="center"/>
    </xf>
    <xf numFmtId="171" fontId="209" fillId="39" borderId="2" xfId="0" applyNumberFormat="1" applyFont="1" applyFill="1" applyBorder="1" applyAlignment="1">
      <alignment horizontal="center"/>
    </xf>
    <xf numFmtId="171" fontId="209" fillId="39" borderId="2" xfId="0" applyNumberFormat="1" applyFont="1" applyFill="1" applyBorder="1" applyAlignment="1">
      <alignment horizontal="center" vertical="center"/>
    </xf>
    <xf numFmtId="171" fontId="209" fillId="0" borderId="2" xfId="0" applyNumberFormat="1" applyFont="1" applyFill="1" applyBorder="1" applyAlignment="1">
      <alignment horizontal="center"/>
    </xf>
    <xf numFmtId="171" fontId="7" fillId="12" borderId="0" xfId="0" applyNumberFormat="1" applyFont="1" applyFill="1" applyBorder="1" applyAlignment="1">
      <alignment horizontal="center"/>
    </xf>
    <xf numFmtId="0" fontId="5" fillId="12" borderId="0" xfId="0" applyFont="1" applyFill="1" applyAlignment="1">
      <alignment horizontal="center" wrapText="1"/>
    </xf>
    <xf numFmtId="171" fontId="7" fillId="12" borderId="23" xfId="0" applyNumberFormat="1" applyFont="1" applyFill="1" applyBorder="1" applyAlignment="1">
      <alignment horizontal="center"/>
    </xf>
    <xf numFmtId="0" fontId="5" fillId="12" borderId="23" xfId="0" applyFont="1" applyFill="1" applyBorder="1" applyAlignment="1">
      <alignment horizontal="center" wrapText="1"/>
    </xf>
    <xf numFmtId="171" fontId="6" fillId="26" borderId="29" xfId="0" applyNumberFormat="1" applyFont="1" applyFill="1" applyBorder="1" applyAlignment="1">
      <alignment horizontal="center"/>
    </xf>
    <xf numFmtId="171" fontId="6" fillId="26" borderId="33" xfId="0" applyNumberFormat="1" applyFont="1" applyFill="1" applyBorder="1" applyAlignment="1">
      <alignment horizontal="center"/>
    </xf>
    <xf numFmtId="171" fontId="7" fillId="26" borderId="23" xfId="0" applyNumberFormat="1" applyFont="1" applyFill="1" applyBorder="1" applyAlignment="1">
      <alignment horizontal="center"/>
    </xf>
    <xf numFmtId="171" fontId="7" fillId="26" borderId="0" xfId="0" applyNumberFormat="1" applyFont="1" applyFill="1" applyBorder="1" applyAlignment="1">
      <alignment horizontal="center"/>
    </xf>
    <xf numFmtId="1" fontId="6" fillId="113" borderId="93" xfId="0" applyNumberFormat="1" applyFont="1" applyFill="1" applyBorder="1" applyAlignment="1">
      <alignment horizontal="center"/>
    </xf>
    <xf numFmtId="1" fontId="6" fillId="16" borderId="23" xfId="0" applyNumberFormat="1" applyFont="1" applyFill="1" applyBorder="1" applyAlignment="1">
      <alignment horizontal="center"/>
    </xf>
    <xf numFmtId="171" fontId="7" fillId="113" borderId="23" xfId="0" applyNumberFormat="1" applyFont="1" applyFill="1" applyBorder="1" applyAlignment="1">
      <alignment horizontal="center"/>
    </xf>
    <xf numFmtId="0" fontId="145" fillId="3" borderId="0" xfId="0" applyFont="1" applyFill="1" applyAlignment="1">
      <alignment horizontal="center" vertical="top" wrapText="1"/>
    </xf>
    <xf numFmtId="3" fontId="155" fillId="5" borderId="42" xfId="67" applyNumberFormat="1" applyFont="1" applyFill="1" applyBorder="1" applyAlignment="1">
      <alignment horizontal="right"/>
    </xf>
    <xf numFmtId="167" fontId="13" fillId="0" borderId="0" xfId="0" applyNumberFormat="1" applyFont="1" applyFill="1"/>
    <xf numFmtId="10" fontId="121" fillId="27" borderId="7" xfId="0" applyNumberFormat="1" applyFont="1" applyFill="1" applyBorder="1"/>
    <xf numFmtId="10" fontId="121" fillId="27" borderId="7" xfId="15" applyNumberFormat="1" applyFont="1" applyFill="1" applyBorder="1"/>
    <xf numFmtId="0" fontId="61" fillId="3" borderId="0" xfId="0" applyFont="1" applyFill="1" applyBorder="1" applyAlignment="1">
      <alignment horizontal="center" vertical="center"/>
    </xf>
    <xf numFmtId="0" fontId="217" fillId="0" borderId="0" xfId="83" applyFont="1" applyAlignment="1">
      <alignment vertical="center" wrapText="1"/>
    </xf>
    <xf numFmtId="0" fontId="89" fillId="0" borderId="0" xfId="83" applyFont="1" applyAlignment="1">
      <alignment vertical="center" wrapText="1"/>
    </xf>
    <xf numFmtId="0" fontId="26" fillId="0" borderId="0" xfId="0" applyFont="1" applyBorder="1" applyAlignment="1">
      <alignment vertical="center"/>
    </xf>
    <xf numFmtId="0" fontId="0" fillId="0" borderId="0" xfId="0" applyFont="1" applyAlignment="1">
      <alignment vertical="center" wrapText="1"/>
    </xf>
    <xf numFmtId="0" fontId="0" fillId="0" borderId="0" xfId="0" applyFont="1" applyBorder="1" applyAlignment="1">
      <alignment horizontal="center" vertical="center" wrapText="1"/>
    </xf>
    <xf numFmtId="0" fontId="157" fillId="26" borderId="127" xfId="0" applyFont="1" applyFill="1" applyBorder="1" applyAlignment="1">
      <alignment horizontal="center" vertical="center" wrapText="1"/>
    </xf>
    <xf numFmtId="0" fontId="157" fillId="26" borderId="43" xfId="0" applyFont="1" applyFill="1" applyBorder="1" applyAlignment="1">
      <alignment horizontal="center" vertical="center" wrapText="1"/>
    </xf>
    <xf numFmtId="0" fontId="138" fillId="0" borderId="53" xfId="0" applyFont="1" applyFill="1" applyBorder="1" applyAlignment="1">
      <alignment vertical="center" wrapText="1"/>
    </xf>
    <xf numFmtId="0" fontId="138" fillId="0" borderId="127" xfId="0" applyFont="1" applyFill="1" applyBorder="1" applyAlignment="1">
      <alignment horizontal="center" vertical="center" wrapText="1"/>
    </xf>
    <xf numFmtId="0" fontId="138" fillId="0" borderId="43" xfId="0" applyFont="1" applyFill="1" applyBorder="1" applyAlignment="1">
      <alignment horizontal="center" vertical="center" wrapText="1"/>
    </xf>
    <xf numFmtId="0" fontId="138" fillId="0" borderId="312" xfId="0" applyFont="1" applyFill="1" applyBorder="1" applyAlignment="1">
      <alignment vertical="center" wrapText="1"/>
    </xf>
    <xf numFmtId="0" fontId="138" fillId="0" borderId="44" xfId="0" applyFont="1" applyFill="1" applyBorder="1" applyAlignment="1">
      <alignment horizontal="center" vertical="center" wrapText="1"/>
    </xf>
    <xf numFmtId="0" fontId="138" fillId="0" borderId="45" xfId="0" applyFont="1" applyFill="1" applyBorder="1" applyAlignment="1">
      <alignment horizontal="center" vertical="center" wrapText="1"/>
    </xf>
    <xf numFmtId="0" fontId="26" fillId="28" borderId="312" xfId="0" applyFont="1" applyFill="1" applyBorder="1" applyAlignment="1">
      <alignment vertical="center" wrapText="1"/>
    </xf>
    <xf numFmtId="0" fontId="0" fillId="28" borderId="44" xfId="0" applyFont="1" applyFill="1" applyBorder="1" applyAlignment="1">
      <alignment horizontal="center" vertical="center" wrapText="1"/>
    </xf>
    <xf numFmtId="0" fontId="0" fillId="28" borderId="45" xfId="0" applyFont="1" applyFill="1" applyBorder="1" applyAlignment="1">
      <alignment horizontal="center" vertical="center" wrapText="1"/>
    </xf>
    <xf numFmtId="0" fontId="157" fillId="28" borderId="44" xfId="0" applyFont="1" applyFill="1" applyBorder="1" applyAlignment="1">
      <alignment horizontal="center" vertical="center" wrapText="1"/>
    </xf>
    <xf numFmtId="0" fontId="157" fillId="28" borderId="45" xfId="0" applyFont="1" applyFill="1" applyBorder="1" applyAlignment="1">
      <alignment horizontal="center" vertical="center" wrapText="1"/>
    </xf>
    <xf numFmtId="0" fontId="0" fillId="0" borderId="44" xfId="0" applyFont="1" applyFill="1" applyBorder="1" applyAlignment="1">
      <alignment horizontal="center" vertical="center" wrapText="1"/>
    </xf>
    <xf numFmtId="0" fontId="0" fillId="0" borderId="45" xfId="0" applyFont="1" applyFill="1" applyBorder="1" applyAlignment="1">
      <alignment horizontal="center" vertical="center" wrapText="1"/>
    </xf>
    <xf numFmtId="0" fontId="138" fillId="0" borderId="56" xfId="0" applyFont="1" applyFill="1" applyBorder="1" applyAlignment="1">
      <alignment vertical="center" wrapText="1"/>
    </xf>
    <xf numFmtId="0" fontId="138" fillId="0" borderId="46" xfId="0" applyFont="1" applyFill="1" applyBorder="1" applyAlignment="1">
      <alignment horizontal="center" vertical="center" wrapText="1"/>
    </xf>
    <xf numFmtId="0" fontId="10" fillId="0" borderId="46" xfId="0" applyFont="1" applyFill="1" applyBorder="1" applyAlignment="1">
      <alignment horizontal="center" vertical="center" wrapText="1"/>
    </xf>
    <xf numFmtId="0" fontId="10" fillId="0" borderId="48" xfId="0" applyFont="1" applyFill="1" applyBorder="1" applyAlignment="1">
      <alignment horizontal="center" vertical="center" wrapText="1"/>
    </xf>
    <xf numFmtId="0" fontId="26" fillId="0" borderId="0" xfId="0" applyFont="1" applyAlignment="1">
      <alignment vertical="center"/>
    </xf>
    <xf numFmtId="0" fontId="10" fillId="0" borderId="44" xfId="0" applyFont="1" applyFill="1" applyBorder="1" applyAlignment="1">
      <alignment horizontal="center" vertical="center" wrapText="1"/>
    </xf>
    <xf numFmtId="0" fontId="10" fillId="0" borderId="45" xfId="0" applyFont="1" applyFill="1" applyBorder="1" applyAlignment="1">
      <alignment horizontal="center" vertical="center" wrapText="1"/>
    </xf>
    <xf numFmtId="0" fontId="61" fillId="0" borderId="108" xfId="0" applyFont="1" applyFill="1" applyBorder="1" applyAlignment="1">
      <alignment vertical="center" wrapText="1"/>
    </xf>
    <xf numFmtId="0" fontId="61" fillId="0" borderId="70" xfId="0" applyFont="1" applyFill="1" applyBorder="1" applyAlignment="1">
      <alignment vertical="center" wrapText="1"/>
    </xf>
    <xf numFmtId="0" fontId="30" fillId="28" borderId="70" xfId="0" applyFont="1" applyFill="1" applyBorder="1" applyAlignment="1">
      <alignment vertical="center" wrapText="1"/>
    </xf>
    <xf numFmtId="0" fontId="0" fillId="0" borderId="70" xfId="0" applyFont="1" applyFill="1" applyBorder="1" applyAlignment="1">
      <alignment vertical="center" wrapText="1"/>
    </xf>
    <xf numFmtId="0" fontId="61" fillId="0" borderId="71" xfId="0" applyFont="1" applyFill="1" applyBorder="1" applyAlignment="1">
      <alignment vertical="center" wrapText="1"/>
    </xf>
    <xf numFmtId="9" fontId="13" fillId="0" borderId="0" xfId="2" applyFont="1" applyFill="1"/>
    <xf numFmtId="167" fontId="13" fillId="0" borderId="0" xfId="2" applyNumberFormat="1" applyFont="1" applyFill="1"/>
    <xf numFmtId="0" fontId="61" fillId="0" borderId="45" xfId="0" applyFont="1" applyFill="1" applyBorder="1" applyAlignment="1">
      <alignment horizontal="center" vertical="center"/>
    </xf>
    <xf numFmtId="0" fontId="61" fillId="38" borderId="25" xfId="0" applyFont="1" applyFill="1" applyBorder="1" applyAlignment="1">
      <alignment horizontal="left" vertical="center" wrapText="1"/>
    </xf>
    <xf numFmtId="0" fontId="30" fillId="0" borderId="312" xfId="0" applyFont="1" applyBorder="1" applyAlignment="1">
      <alignment horizontal="center" vertical="center"/>
    </xf>
    <xf numFmtId="0" fontId="30" fillId="0" borderId="66" xfId="0" applyFont="1" applyBorder="1" applyAlignment="1">
      <alignment horizontal="center" vertical="center"/>
    </xf>
    <xf numFmtId="168" fontId="61" fillId="0" borderId="319" xfId="1" applyNumberFormat="1" applyFont="1" applyFill="1" applyBorder="1" applyAlignment="1">
      <alignment horizontal="center" vertical="center" wrapText="1"/>
    </xf>
    <xf numFmtId="0" fontId="61" fillId="38" borderId="57" xfId="0" applyFont="1" applyFill="1" applyBorder="1" applyAlignment="1">
      <alignment horizontal="left" vertical="center" wrapText="1"/>
    </xf>
    <xf numFmtId="9" fontId="61" fillId="0" borderId="57" xfId="2" applyFont="1" applyFill="1" applyBorder="1" applyAlignment="1">
      <alignment horizontal="center" vertical="center"/>
    </xf>
    <xf numFmtId="9" fontId="61" fillId="15" borderId="57" xfId="2" applyFont="1" applyFill="1" applyBorder="1" applyAlignment="1">
      <alignment horizontal="center" vertical="center"/>
    </xf>
    <xf numFmtId="9" fontId="61" fillId="12" borderId="57" xfId="2" applyNumberFormat="1" applyFont="1" applyFill="1" applyBorder="1" applyAlignment="1">
      <alignment horizontal="center" vertical="center"/>
    </xf>
    <xf numFmtId="9" fontId="61" fillId="83" borderId="57" xfId="2" applyFont="1" applyFill="1" applyBorder="1" applyAlignment="1">
      <alignment horizontal="center" vertical="center"/>
    </xf>
    <xf numFmtId="9" fontId="61" fillId="84" borderId="57" xfId="2" applyFont="1" applyFill="1" applyBorder="1" applyAlignment="1">
      <alignment horizontal="center" vertical="center"/>
    </xf>
    <xf numFmtId="167" fontId="61" fillId="16" borderId="57" xfId="2" applyNumberFormat="1" applyFont="1" applyFill="1" applyBorder="1" applyAlignment="1">
      <alignment horizontal="center" vertical="center"/>
    </xf>
    <xf numFmtId="167" fontId="61" fillId="15" borderId="57" xfId="2" applyNumberFormat="1" applyFont="1" applyFill="1" applyBorder="1" applyAlignment="1">
      <alignment horizontal="center" vertical="center"/>
    </xf>
    <xf numFmtId="0" fontId="30" fillId="0" borderId="34" xfId="0" applyFont="1" applyFill="1" applyBorder="1" applyAlignment="1">
      <alignment horizontal="center" vertical="center"/>
    </xf>
    <xf numFmtId="0" fontId="30" fillId="15" borderId="34" xfId="0" applyFont="1" applyFill="1" applyBorder="1" applyAlignment="1">
      <alignment horizontal="center" vertical="center"/>
    </xf>
    <xf numFmtId="0" fontId="30" fillId="12" borderId="34" xfId="0" applyFont="1" applyFill="1" applyBorder="1" applyAlignment="1">
      <alignment horizontal="center" vertical="center"/>
    </xf>
    <xf numFmtId="0" fontId="30" fillId="83" borderId="34" xfId="0" applyFont="1" applyFill="1" applyBorder="1" applyAlignment="1">
      <alignment horizontal="center" vertical="center"/>
    </xf>
    <xf numFmtId="0" fontId="30" fillId="84" borderId="34" xfId="0" applyFont="1" applyFill="1" applyBorder="1" applyAlignment="1">
      <alignment horizontal="center" vertical="center"/>
    </xf>
    <xf numFmtId="0" fontId="30" fillId="16" borderId="34" xfId="0" applyFont="1" applyFill="1" applyBorder="1" applyAlignment="1">
      <alignment horizontal="center" vertical="center"/>
    </xf>
    <xf numFmtId="0" fontId="194" fillId="0" borderId="27" xfId="0" applyFont="1" applyFill="1" applyBorder="1" applyAlignment="1">
      <alignment vertical="center" wrapText="1"/>
    </xf>
    <xf numFmtId="0" fontId="194" fillId="0" borderId="0" xfId="0" applyFont="1" applyFill="1" applyBorder="1" applyAlignment="1">
      <alignment vertical="center" wrapText="1"/>
    </xf>
    <xf numFmtId="0" fontId="30" fillId="0" borderId="25" xfId="0" applyFont="1" applyBorder="1" applyAlignment="1">
      <alignment horizontal="left" vertical="center" wrapText="1"/>
    </xf>
    <xf numFmtId="168" fontId="99" fillId="16" borderId="25" xfId="1" applyNumberFormat="1" applyFont="1" applyFill="1" applyBorder="1" applyAlignment="1">
      <alignment horizontal="center" vertical="center"/>
    </xf>
    <xf numFmtId="0" fontId="61" fillId="0" borderId="9" xfId="0" applyFont="1" applyFill="1" applyBorder="1" applyAlignment="1">
      <alignment horizontal="left" vertical="center"/>
    </xf>
    <xf numFmtId="0" fontId="61" fillId="0" borderId="264" xfId="0" applyFont="1" applyFill="1" applyBorder="1" applyAlignment="1">
      <alignment horizontal="left" vertical="center"/>
    </xf>
    <xf numFmtId="165" fontId="63" fillId="83" borderId="0" xfId="3" applyFont="1" applyFill="1" applyBorder="1" applyAlignment="1">
      <alignment horizontal="center" vertical="center"/>
    </xf>
    <xf numFmtId="180" fontId="61" fillId="83" borderId="25" xfId="3" applyNumberFormat="1" applyFont="1" applyFill="1" applyBorder="1" applyAlignment="1">
      <alignment horizontal="center" vertical="center"/>
    </xf>
    <xf numFmtId="180" fontId="61" fillId="83" borderId="262" xfId="3" applyNumberFormat="1" applyFont="1" applyFill="1" applyBorder="1" applyAlignment="1">
      <alignment horizontal="center" vertical="center"/>
    </xf>
    <xf numFmtId="165" fontId="63" fillId="84" borderId="0" xfId="3" applyFont="1" applyFill="1" applyBorder="1" applyAlignment="1">
      <alignment horizontal="center" vertical="center"/>
    </xf>
    <xf numFmtId="180" fontId="61" fillId="84" borderId="25" xfId="3" applyNumberFormat="1" applyFont="1" applyFill="1" applyBorder="1" applyAlignment="1">
      <alignment horizontal="center" vertical="center"/>
    </xf>
    <xf numFmtId="180" fontId="61" fillId="84" borderId="262" xfId="3" applyNumberFormat="1" applyFont="1" applyFill="1" applyBorder="1" applyAlignment="1">
      <alignment horizontal="center" vertical="center"/>
    </xf>
    <xf numFmtId="9" fontId="0" fillId="0" borderId="0" xfId="2" applyFont="1" applyAlignment="1">
      <alignment vertical="center"/>
    </xf>
    <xf numFmtId="9" fontId="0" fillId="0" borderId="13" xfId="2" applyFont="1" applyBorder="1" applyAlignment="1">
      <alignment horizontal="center" vertical="center" wrapText="1"/>
    </xf>
    <xf numFmtId="168" fontId="61" fillId="83" borderId="57" xfId="1" applyNumberFormat="1" applyFont="1" applyFill="1" applyBorder="1" applyAlignment="1">
      <alignment horizontal="center" vertical="center"/>
    </xf>
    <xf numFmtId="168" fontId="61" fillId="84" borderId="57" xfId="1" applyNumberFormat="1" applyFont="1" applyFill="1" applyBorder="1" applyAlignment="1">
      <alignment horizontal="center" vertical="center"/>
    </xf>
    <xf numFmtId="166" fontId="134" fillId="0" borderId="0" xfId="1" applyFont="1" applyFill="1" applyBorder="1" applyAlignment="1">
      <alignment horizontal="center"/>
    </xf>
    <xf numFmtId="0" fontId="0" fillId="0" borderId="33" xfId="0" applyFont="1" applyBorder="1"/>
    <xf numFmtId="0" fontId="61" fillId="0" borderId="45" xfId="0" applyFont="1" applyFill="1" applyBorder="1" applyAlignment="1">
      <alignment horizontal="center" vertical="center" wrapText="1"/>
    </xf>
    <xf numFmtId="0" fontId="61" fillId="0" borderId="36" xfId="0" applyFont="1" applyBorder="1" applyAlignment="1">
      <alignment horizontal="left" vertical="center" wrapText="1"/>
    </xf>
    <xf numFmtId="0" fontId="30" fillId="71" borderId="34" xfId="0" applyFont="1" applyFill="1" applyBorder="1" applyAlignment="1">
      <alignment horizontal="center" vertical="center"/>
    </xf>
    <xf numFmtId="0" fontId="30" fillId="105" borderId="55" xfId="0" applyFont="1" applyFill="1" applyBorder="1" applyAlignment="1">
      <alignment horizontal="center" vertical="center"/>
    </xf>
    <xf numFmtId="166" fontId="0" fillId="0" borderId="0" xfId="1" applyFont="1" applyAlignment="1">
      <alignment horizontal="left" vertical="center" wrapText="1"/>
    </xf>
    <xf numFmtId="10" fontId="11" fillId="0" borderId="0" xfId="2" applyNumberFormat="1" applyFont="1" applyFill="1" applyBorder="1" applyAlignment="1">
      <alignment horizontal="left" vertical="center" wrapText="1"/>
    </xf>
    <xf numFmtId="168" fontId="61" fillId="0" borderId="0" xfId="1" applyNumberFormat="1" applyFont="1" applyBorder="1" applyAlignment="1">
      <alignment horizontal="center" vertical="center" wrapText="1"/>
    </xf>
    <xf numFmtId="168" fontId="61" fillId="83" borderId="0" xfId="1" applyNumberFormat="1" applyFont="1" applyFill="1" applyBorder="1" applyAlignment="1">
      <alignment horizontal="center" vertical="center"/>
    </xf>
    <xf numFmtId="168" fontId="61" fillId="84" borderId="0" xfId="1" applyNumberFormat="1" applyFont="1" applyFill="1" applyBorder="1" applyAlignment="1">
      <alignment horizontal="center" vertical="center"/>
    </xf>
    <xf numFmtId="0" fontId="61" fillId="0" borderId="7" xfId="0" applyFont="1" applyFill="1" applyBorder="1" applyAlignment="1">
      <alignment horizontal="center" vertical="center"/>
    </xf>
    <xf numFmtId="9" fontId="61" fillId="16" borderId="0" xfId="2" applyFont="1" applyFill="1" applyBorder="1" applyAlignment="1">
      <alignment horizontal="center" vertical="center"/>
    </xf>
    <xf numFmtId="9" fontId="61" fillId="71" borderId="0" xfId="2" applyFont="1" applyFill="1" applyBorder="1" applyAlignment="1">
      <alignment horizontal="center" vertical="center"/>
    </xf>
    <xf numFmtId="0" fontId="61" fillId="0" borderId="24" xfId="0" applyFont="1" applyFill="1" applyBorder="1" applyAlignment="1">
      <alignment horizontal="center" vertical="center"/>
    </xf>
    <xf numFmtId="0" fontId="7" fillId="0" borderId="0" xfId="0" applyFont="1" applyFill="1" applyBorder="1" applyAlignment="1">
      <alignment horizontal="left" vertical="center" wrapText="1"/>
    </xf>
    <xf numFmtId="0" fontId="6" fillId="28" borderId="50" xfId="0" applyFont="1" applyFill="1" applyBorder="1" applyAlignment="1">
      <alignment horizontal="center" vertical="center" wrapText="1"/>
    </xf>
    <xf numFmtId="3" fontId="7" fillId="28" borderId="13" xfId="0" applyNumberFormat="1" applyFont="1" applyFill="1" applyBorder="1" applyAlignment="1">
      <alignment horizontal="center" vertical="center" wrapText="1"/>
    </xf>
    <xf numFmtId="0" fontId="7" fillId="0" borderId="13" xfId="0" applyFont="1" applyBorder="1" applyAlignment="1">
      <alignment horizontal="left" vertical="center" wrapText="1"/>
    </xf>
    <xf numFmtId="0" fontId="7" fillId="0" borderId="20" xfId="0" applyFont="1" applyBorder="1" applyAlignment="1">
      <alignment horizontal="left" vertical="center" wrapText="1"/>
    </xf>
    <xf numFmtId="0" fontId="7" fillId="0" borderId="0" xfId="0" applyFont="1" applyFill="1" applyAlignment="1">
      <alignment horizontal="left" vertical="center" wrapText="1"/>
    </xf>
    <xf numFmtId="4" fontId="7" fillId="28" borderId="20" xfId="0" applyNumberFormat="1" applyFont="1" applyFill="1" applyBorder="1" applyAlignment="1">
      <alignment horizontal="center" vertical="center" wrapText="1"/>
    </xf>
    <xf numFmtId="3" fontId="7" fillId="28" borderId="13" xfId="0" applyNumberFormat="1" applyFont="1" applyFill="1" applyBorder="1" applyAlignment="1">
      <alignment horizontal="right" vertical="center" wrapText="1"/>
    </xf>
    <xf numFmtId="10" fontId="7" fillId="28" borderId="13" xfId="2" applyNumberFormat="1" applyFont="1" applyFill="1" applyBorder="1" applyAlignment="1">
      <alignment horizontal="center" vertical="center" wrapText="1"/>
    </xf>
    <xf numFmtId="3" fontId="7" fillId="15" borderId="25" xfId="0" applyNumberFormat="1" applyFont="1" applyFill="1" applyBorder="1" applyAlignment="1">
      <alignment horizontal="center" vertical="center" wrapText="1"/>
    </xf>
    <xf numFmtId="167" fontId="7" fillId="15" borderId="57" xfId="2" applyNumberFormat="1" applyFont="1" applyFill="1" applyBorder="1" applyAlignment="1">
      <alignment horizontal="center" vertical="center" wrapText="1"/>
    </xf>
    <xf numFmtId="0" fontId="7" fillId="16" borderId="0" xfId="0" applyFont="1" applyFill="1" applyBorder="1" applyAlignment="1">
      <alignment horizontal="left" vertical="center" wrapText="1"/>
    </xf>
    <xf numFmtId="166" fontId="7" fillId="71" borderId="25" xfId="1" applyFont="1" applyFill="1" applyBorder="1" applyAlignment="1">
      <alignment horizontal="center" vertical="center" wrapText="1"/>
    </xf>
    <xf numFmtId="166" fontId="7" fillId="0" borderId="0" xfId="1" applyFont="1" applyFill="1" applyBorder="1" applyAlignment="1">
      <alignment horizontal="center" vertical="center" wrapText="1"/>
    </xf>
    <xf numFmtId="180" fontId="7" fillId="71" borderId="25" xfId="3" applyNumberFormat="1" applyFont="1" applyFill="1" applyBorder="1" applyAlignment="1">
      <alignment horizontal="center" vertical="center" wrapText="1"/>
    </xf>
    <xf numFmtId="180" fontId="7" fillId="71" borderId="262" xfId="3" applyNumberFormat="1" applyFont="1" applyFill="1" applyBorder="1" applyAlignment="1">
      <alignment horizontal="center" vertical="center" wrapText="1"/>
    </xf>
    <xf numFmtId="2" fontId="7" fillId="71" borderId="25" xfId="0" applyNumberFormat="1" applyFont="1" applyFill="1" applyBorder="1" applyAlignment="1">
      <alignment horizontal="center" vertical="center" wrapText="1"/>
    </xf>
    <xf numFmtId="2" fontId="7" fillId="71" borderId="34" xfId="0" applyNumberFormat="1" applyFont="1" applyFill="1" applyBorder="1" applyAlignment="1">
      <alignment horizontal="center" vertical="center" wrapText="1"/>
    </xf>
    <xf numFmtId="2" fontId="7" fillId="0" borderId="0" xfId="0" applyNumberFormat="1" applyFont="1" applyFill="1" applyBorder="1" applyAlignment="1">
      <alignment horizontal="center" vertical="center" wrapText="1"/>
    </xf>
    <xf numFmtId="168" fontId="108" fillId="16" borderId="25" xfId="1" applyNumberFormat="1" applyFont="1" applyFill="1" applyBorder="1" applyAlignment="1">
      <alignment horizontal="center" vertical="center" wrapText="1"/>
    </xf>
    <xf numFmtId="168" fontId="7" fillId="71" borderId="57" xfId="1" applyNumberFormat="1" applyFont="1" applyFill="1" applyBorder="1" applyAlignment="1">
      <alignment horizontal="center" vertical="center" wrapText="1"/>
    </xf>
    <xf numFmtId="9" fontId="7" fillId="71" borderId="0" xfId="2" applyFont="1" applyFill="1" applyBorder="1" applyAlignment="1">
      <alignment horizontal="center" vertical="center" wrapText="1"/>
    </xf>
    <xf numFmtId="0" fontId="7" fillId="16" borderId="0" xfId="0" applyFont="1" applyFill="1" applyAlignment="1">
      <alignment horizontal="center" vertical="center" wrapText="1"/>
    </xf>
    <xf numFmtId="10" fontId="61" fillId="0" borderId="13" xfId="0" applyNumberFormat="1" applyFont="1" applyBorder="1" applyAlignment="1">
      <alignment horizontal="center" vertical="center" wrapText="1"/>
    </xf>
    <xf numFmtId="10" fontId="61" fillId="0" borderId="20" xfId="0" applyNumberFormat="1" applyFont="1" applyBorder="1" applyAlignment="1">
      <alignment horizontal="center" vertical="center" wrapText="1"/>
    </xf>
    <xf numFmtId="0" fontId="7" fillId="0" borderId="24" xfId="0" applyFont="1" applyBorder="1" applyAlignment="1">
      <alignment horizontal="center" vertical="center" wrapText="1"/>
    </xf>
    <xf numFmtId="0" fontId="7" fillId="0" borderId="0" xfId="0" applyFont="1" applyFill="1" applyAlignment="1">
      <alignment horizontal="center" vertical="center" wrapText="1"/>
    </xf>
    <xf numFmtId="0" fontId="7" fillId="0" borderId="0" xfId="0" applyFont="1" applyAlignment="1">
      <alignment horizontal="center" vertical="center" wrapText="1"/>
    </xf>
    <xf numFmtId="0" fontId="7" fillId="0" borderId="34" xfId="0" applyFont="1" applyBorder="1" applyAlignment="1">
      <alignment horizontal="center" vertical="center" wrapText="1"/>
    </xf>
    <xf numFmtId="0" fontId="7" fillId="0" borderId="0" xfId="0" applyFont="1" applyBorder="1" applyAlignment="1">
      <alignment horizontal="center" vertical="center" wrapText="1"/>
    </xf>
    <xf numFmtId="0" fontId="7" fillId="38" borderId="25" xfId="0" applyFont="1" applyFill="1" applyBorder="1" applyAlignment="1">
      <alignment horizontal="center" vertical="center" wrapText="1"/>
    </xf>
    <xf numFmtId="0" fontId="7" fillId="38" borderId="57" xfId="0" applyFont="1" applyFill="1" applyBorder="1" applyAlignment="1">
      <alignment horizontal="center" vertical="center" wrapText="1"/>
    </xf>
    <xf numFmtId="0" fontId="7" fillId="0" borderId="25" xfId="0" applyFont="1" applyBorder="1" applyAlignment="1">
      <alignment horizontal="center" vertical="center" wrapText="1"/>
    </xf>
    <xf numFmtId="0" fontId="7" fillId="0" borderId="262" xfId="0" applyFont="1" applyBorder="1" applyAlignment="1">
      <alignment horizontal="center" vertical="center" wrapText="1"/>
    </xf>
    <xf numFmtId="0" fontId="108" fillId="0" borderId="25" xfId="0" applyFont="1" applyBorder="1" applyAlignment="1">
      <alignment horizontal="center" vertical="center" wrapText="1"/>
    </xf>
    <xf numFmtId="0" fontId="7" fillId="0" borderId="57" xfId="0" applyFont="1" applyBorder="1" applyAlignment="1">
      <alignment horizontal="center" vertical="center" wrapText="1"/>
    </xf>
    <xf numFmtId="3" fontId="7" fillId="28" borderId="13" xfId="0" applyNumberFormat="1" applyFont="1" applyFill="1" applyBorder="1" applyAlignment="1">
      <alignment horizontal="left" vertical="center" wrapText="1"/>
    </xf>
    <xf numFmtId="0" fontId="7" fillId="0" borderId="0" xfId="0" applyFont="1" applyFill="1" applyBorder="1" applyAlignment="1">
      <alignment vertical="center" wrapText="1"/>
    </xf>
    <xf numFmtId="0" fontId="7" fillId="15" borderId="34" xfId="0" applyFont="1" applyFill="1" applyBorder="1" applyAlignment="1">
      <alignment horizontal="center" vertical="center" wrapText="1"/>
    </xf>
    <xf numFmtId="0" fontId="7" fillId="71" borderId="54" xfId="0" applyFont="1" applyFill="1" applyBorder="1" applyAlignment="1">
      <alignment horizontal="center" vertical="center" wrapText="1"/>
    </xf>
    <xf numFmtId="0" fontId="7" fillId="15" borderId="54" xfId="0" applyFont="1" applyFill="1" applyBorder="1" applyAlignment="1">
      <alignment horizontal="center" vertical="center" wrapText="1"/>
    </xf>
    <xf numFmtId="0" fontId="108" fillId="0" borderId="0" xfId="0" applyFont="1" applyBorder="1" applyAlignment="1">
      <alignment horizontal="center" vertical="center" wrapText="1"/>
    </xf>
    <xf numFmtId="165" fontId="108" fillId="71" borderId="0" xfId="3" applyFont="1" applyFill="1" applyBorder="1" applyAlignment="1">
      <alignment horizontal="center" vertical="center" wrapText="1"/>
    </xf>
    <xf numFmtId="2" fontId="108" fillId="71" borderId="0" xfId="0" applyNumberFormat="1" applyFont="1" applyFill="1" applyBorder="1" applyAlignment="1">
      <alignment horizontal="center" vertical="center" wrapText="1"/>
    </xf>
    <xf numFmtId="0" fontId="7" fillId="71" borderId="34" xfId="0" applyFont="1" applyFill="1" applyBorder="1" applyAlignment="1">
      <alignment horizontal="center" vertical="center" wrapText="1"/>
    </xf>
    <xf numFmtId="4" fontId="7" fillId="28" borderId="20" xfId="0" applyNumberFormat="1" applyFont="1" applyFill="1" applyBorder="1" applyAlignment="1">
      <alignment horizontal="left" vertical="center" wrapText="1"/>
    </xf>
    <xf numFmtId="0" fontId="7" fillId="15" borderId="34" xfId="0" applyFont="1" applyFill="1" applyBorder="1" applyAlignment="1">
      <alignment horizontal="left" vertical="center" wrapText="1"/>
    </xf>
    <xf numFmtId="3" fontId="7" fillId="15" borderId="25" xfId="0" applyNumberFormat="1" applyFont="1" applyFill="1" applyBorder="1" applyAlignment="1">
      <alignment horizontal="left" vertical="center" wrapText="1"/>
    </xf>
    <xf numFmtId="167" fontId="7" fillId="15" borderId="57" xfId="2" applyNumberFormat="1" applyFont="1" applyFill="1" applyBorder="1" applyAlignment="1">
      <alignment horizontal="left" vertical="center" wrapText="1"/>
    </xf>
    <xf numFmtId="0" fontId="7" fillId="15" borderId="54" xfId="0" applyFont="1" applyFill="1" applyBorder="1" applyAlignment="1">
      <alignment horizontal="left" vertical="center" wrapText="1"/>
    </xf>
    <xf numFmtId="0" fontId="7" fillId="0" borderId="0" xfId="0" applyFont="1" applyAlignment="1">
      <alignment horizontal="left" vertical="center" wrapText="1"/>
    </xf>
    <xf numFmtId="0" fontId="7" fillId="71" borderId="54" xfId="0" applyFont="1" applyFill="1" applyBorder="1" applyAlignment="1">
      <alignment horizontal="left" vertical="center" wrapText="1"/>
    </xf>
    <xf numFmtId="166" fontId="7" fillId="71" borderId="25" xfId="1" applyFont="1" applyFill="1" applyBorder="1" applyAlignment="1">
      <alignment horizontal="left" vertical="center" wrapText="1"/>
    </xf>
    <xf numFmtId="166" fontId="7" fillId="0" borderId="0" xfId="1" applyFont="1" applyFill="1" applyBorder="1" applyAlignment="1">
      <alignment horizontal="left" vertical="center" wrapText="1"/>
    </xf>
    <xf numFmtId="2" fontId="7" fillId="0" borderId="0" xfId="0" applyNumberFormat="1" applyFont="1" applyFill="1" applyBorder="1" applyAlignment="1">
      <alignment horizontal="left" vertical="center" wrapText="1"/>
    </xf>
    <xf numFmtId="0" fontId="7" fillId="71" borderId="34" xfId="0" applyFont="1" applyFill="1" applyBorder="1" applyAlignment="1">
      <alignment horizontal="left" vertical="center" wrapText="1"/>
    </xf>
    <xf numFmtId="9" fontId="7" fillId="71" borderId="0" xfId="2" applyFont="1" applyFill="1" applyBorder="1" applyAlignment="1">
      <alignment horizontal="left" vertical="center" wrapText="1"/>
    </xf>
    <xf numFmtId="0" fontId="7" fillId="16" borderId="0" xfId="0" applyFont="1" applyFill="1" applyAlignment="1">
      <alignment horizontal="left" vertical="center" wrapText="1"/>
    </xf>
    <xf numFmtId="0" fontId="61" fillId="0" borderId="24" xfId="0" applyFont="1" applyFill="1" applyBorder="1" applyAlignment="1">
      <alignment horizontal="center" vertical="center" wrapText="1"/>
    </xf>
    <xf numFmtId="0" fontId="7" fillId="70" borderId="13" xfId="1" applyNumberFormat="1" applyFont="1" applyFill="1" applyBorder="1" applyAlignment="1">
      <alignment horizontal="center" vertical="top" wrapText="1"/>
    </xf>
    <xf numFmtId="0" fontId="7" fillId="0" borderId="13" xfId="0" applyFont="1" applyFill="1" applyBorder="1" applyAlignment="1">
      <alignment horizontal="left" vertical="center" wrapText="1"/>
    </xf>
    <xf numFmtId="0" fontId="7" fillId="0" borderId="13" xfId="0" applyFont="1" applyFill="1" applyBorder="1" applyAlignment="1">
      <alignment horizontal="center" vertical="center" wrapText="1"/>
    </xf>
    <xf numFmtId="168" fontId="7" fillId="28" borderId="13" xfId="1" applyNumberFormat="1" applyFont="1" applyFill="1" applyBorder="1" applyAlignment="1">
      <alignment horizontal="center" vertical="top" wrapText="1"/>
    </xf>
    <xf numFmtId="0" fontId="7" fillId="0" borderId="13" xfId="0" applyFont="1" applyBorder="1" applyAlignment="1">
      <alignment horizontal="center" vertical="center" wrapText="1"/>
    </xf>
    <xf numFmtId="0" fontId="7" fillId="28" borderId="13" xfId="1" applyNumberFormat="1" applyFont="1" applyFill="1" applyBorder="1" applyAlignment="1">
      <alignment horizontal="left" vertical="center" wrapText="1"/>
    </xf>
    <xf numFmtId="0" fontId="7" fillId="28" borderId="13" xfId="1" applyNumberFormat="1" applyFont="1" applyFill="1" applyBorder="1" applyAlignment="1">
      <alignment horizontal="center" vertical="center" wrapText="1"/>
    </xf>
    <xf numFmtId="3" fontId="7" fillId="15" borderId="13" xfId="0" applyNumberFormat="1" applyFont="1" applyFill="1" applyBorder="1" applyAlignment="1">
      <alignment horizontal="left" vertical="center" wrapText="1"/>
    </xf>
    <xf numFmtId="3" fontId="7" fillId="15" borderId="13" xfId="0" applyNumberFormat="1" applyFont="1" applyFill="1" applyBorder="1" applyAlignment="1">
      <alignment horizontal="center" vertical="center" wrapText="1"/>
    </xf>
    <xf numFmtId="167" fontId="7" fillId="15" borderId="13" xfId="2" applyNumberFormat="1" applyFont="1" applyFill="1" applyBorder="1" applyAlignment="1">
      <alignment horizontal="left" vertical="center" wrapText="1"/>
    </xf>
    <xf numFmtId="167" fontId="7" fillId="15" borderId="13" xfId="2" applyNumberFormat="1" applyFont="1" applyFill="1" applyBorder="1" applyAlignment="1">
      <alignment horizontal="center" vertical="center" wrapText="1"/>
    </xf>
    <xf numFmtId="168" fontId="7" fillId="71" borderId="13" xfId="1" applyNumberFormat="1" applyFont="1" applyFill="1" applyBorder="1" applyAlignment="1">
      <alignment horizontal="center" vertical="center" wrapText="1"/>
    </xf>
    <xf numFmtId="0" fontId="7" fillId="71" borderId="13" xfId="0" applyFont="1" applyFill="1" applyBorder="1" applyAlignment="1">
      <alignment horizontal="center" vertical="center" wrapText="1"/>
    </xf>
    <xf numFmtId="0" fontId="6" fillId="0" borderId="49" xfId="0" applyFont="1" applyBorder="1" applyAlignment="1">
      <alignment horizontal="center" vertical="center" wrapText="1"/>
    </xf>
    <xf numFmtId="0" fontId="7" fillId="0" borderId="13" xfId="0" applyFont="1" applyFill="1" applyBorder="1" applyAlignment="1">
      <alignment vertical="center" wrapText="1"/>
    </xf>
    <xf numFmtId="0" fontId="7" fillId="16" borderId="13" xfId="0" applyFont="1" applyFill="1" applyBorder="1" applyAlignment="1">
      <alignment horizontal="left" vertical="center" wrapText="1"/>
    </xf>
    <xf numFmtId="0" fontId="7" fillId="16" borderId="13" xfId="0" applyFont="1" applyFill="1" applyBorder="1" applyAlignment="1">
      <alignment horizontal="center" vertical="center" wrapText="1"/>
    </xf>
    <xf numFmtId="0" fontId="7" fillId="71" borderId="13" xfId="0" applyFont="1" applyFill="1" applyBorder="1" applyAlignment="1">
      <alignment horizontal="left" vertical="center" wrapText="1"/>
    </xf>
    <xf numFmtId="166" fontId="7" fillId="71" borderId="13" xfId="1" applyFont="1" applyFill="1" applyBorder="1" applyAlignment="1">
      <alignment horizontal="left" vertical="center" wrapText="1"/>
    </xf>
    <xf numFmtId="166" fontId="7" fillId="71" borderId="13" xfId="1" applyFont="1" applyFill="1" applyBorder="1" applyAlignment="1">
      <alignment horizontal="center" vertical="center" wrapText="1"/>
    </xf>
    <xf numFmtId="168" fontId="108" fillId="16" borderId="13" xfId="1" applyNumberFormat="1" applyFont="1" applyFill="1" applyBorder="1" applyAlignment="1">
      <alignment horizontal="center" vertical="center" wrapText="1"/>
    </xf>
    <xf numFmtId="168" fontId="108" fillId="71" borderId="13" xfId="1" applyNumberFormat="1" applyFont="1" applyFill="1" applyBorder="1" applyAlignment="1">
      <alignment horizontal="left" vertical="center" wrapText="1"/>
    </xf>
    <xf numFmtId="168" fontId="108" fillId="71" borderId="13" xfId="1" applyNumberFormat="1" applyFont="1" applyFill="1" applyBorder="1" applyAlignment="1">
      <alignment horizontal="center" vertical="center" wrapText="1"/>
    </xf>
    <xf numFmtId="168" fontId="7" fillId="71" borderId="13" xfId="1" applyNumberFormat="1" applyFont="1" applyFill="1" applyBorder="1" applyAlignment="1">
      <alignment horizontal="left" vertical="center" wrapText="1"/>
    </xf>
    <xf numFmtId="168" fontId="7" fillId="16" borderId="13" xfId="1" applyNumberFormat="1" applyFont="1" applyFill="1" applyBorder="1" applyAlignment="1">
      <alignment horizontal="center" vertical="center" wrapText="1"/>
    </xf>
    <xf numFmtId="166" fontId="7" fillId="16" borderId="13" xfId="1" applyFont="1" applyFill="1" applyBorder="1" applyAlignment="1">
      <alignment horizontal="center" vertical="center" wrapText="1"/>
    </xf>
    <xf numFmtId="165" fontId="108" fillId="16" borderId="13" xfId="3" applyFont="1" applyFill="1" applyBorder="1" applyAlignment="1">
      <alignment horizontal="center" vertical="center" wrapText="1"/>
    </xf>
    <xf numFmtId="180" fontId="7" fillId="16" borderId="13" xfId="3" applyNumberFormat="1" applyFont="1" applyFill="1" applyBorder="1" applyAlignment="1">
      <alignment horizontal="center" vertical="center" wrapText="1"/>
    </xf>
    <xf numFmtId="2" fontId="108" fillId="16" borderId="13" xfId="0" applyNumberFormat="1" applyFont="1" applyFill="1" applyBorder="1" applyAlignment="1">
      <alignment horizontal="center" vertical="center" wrapText="1"/>
    </xf>
    <xf numFmtId="2" fontId="7" fillId="16" borderId="13" xfId="0" applyNumberFormat="1" applyFont="1" applyFill="1" applyBorder="1" applyAlignment="1">
      <alignment horizontal="center" vertical="center" wrapText="1"/>
    </xf>
    <xf numFmtId="166" fontId="7" fillId="114" borderId="13" xfId="1" applyFont="1" applyFill="1" applyBorder="1" applyAlignment="1">
      <alignment horizontal="center" vertical="center" wrapText="1"/>
    </xf>
    <xf numFmtId="0" fontId="7" fillId="114" borderId="13" xfId="0" applyFont="1" applyFill="1" applyBorder="1" applyAlignment="1">
      <alignment horizontal="center" vertical="center" wrapText="1"/>
    </xf>
    <xf numFmtId="168" fontId="108" fillId="0" borderId="13" xfId="1" applyNumberFormat="1" applyFont="1" applyFill="1" applyBorder="1" applyAlignment="1">
      <alignment horizontal="left" vertical="center" wrapText="1"/>
    </xf>
    <xf numFmtId="168" fontId="108" fillId="0" borderId="13" xfId="1" applyNumberFormat="1" applyFont="1" applyFill="1" applyBorder="1" applyAlignment="1">
      <alignment horizontal="center" vertical="center" wrapText="1"/>
    </xf>
    <xf numFmtId="168" fontId="7" fillId="0" borderId="13" xfId="1" applyNumberFormat="1" applyFont="1" applyFill="1" applyBorder="1" applyAlignment="1">
      <alignment horizontal="left" vertical="center" wrapText="1"/>
    </xf>
    <xf numFmtId="168" fontId="7" fillId="0" borderId="13" xfId="1" applyNumberFormat="1" applyFont="1" applyFill="1" applyBorder="1" applyAlignment="1">
      <alignment horizontal="center" vertical="center" wrapText="1"/>
    </xf>
    <xf numFmtId="3" fontId="7" fillId="0" borderId="13" xfId="0" applyNumberFormat="1" applyFont="1" applyFill="1" applyBorder="1" applyAlignment="1">
      <alignment horizontal="left" vertical="center" wrapText="1"/>
    </xf>
    <xf numFmtId="3" fontId="7" fillId="0" borderId="13" xfId="0" applyNumberFormat="1" applyFont="1" applyFill="1" applyBorder="1" applyAlignment="1">
      <alignment horizontal="center" vertical="center" wrapText="1"/>
    </xf>
    <xf numFmtId="10" fontId="7" fillId="0" borderId="13" xfId="2" applyNumberFormat="1" applyFont="1" applyFill="1" applyBorder="1" applyAlignment="1">
      <alignment horizontal="center" vertical="center" wrapText="1"/>
    </xf>
    <xf numFmtId="4" fontId="7" fillId="0" borderId="20" xfId="0" applyNumberFormat="1" applyFont="1" applyFill="1" applyBorder="1" applyAlignment="1">
      <alignment horizontal="left" vertical="center" wrapText="1"/>
    </xf>
    <xf numFmtId="4" fontId="7" fillId="0" borderId="20" xfId="0" applyNumberFormat="1" applyFont="1" applyFill="1" applyBorder="1" applyAlignment="1">
      <alignment horizontal="center" vertical="center" wrapText="1"/>
    </xf>
    <xf numFmtId="0" fontId="7" fillId="0" borderId="13" xfId="1" applyNumberFormat="1" applyFont="1" applyFill="1" applyBorder="1" applyAlignment="1">
      <alignment horizontal="left" vertical="center" wrapText="1"/>
    </xf>
    <xf numFmtId="0" fontId="7" fillId="0" borderId="13" xfId="1" applyNumberFormat="1" applyFont="1" applyFill="1" applyBorder="1" applyAlignment="1">
      <alignment horizontal="center" vertical="center" wrapText="1"/>
    </xf>
    <xf numFmtId="0" fontId="61" fillId="0" borderId="13" xfId="0" applyFont="1" applyFill="1" applyBorder="1" applyAlignment="1">
      <alignment horizontal="left" vertical="center"/>
    </xf>
    <xf numFmtId="0" fontId="61" fillId="0" borderId="13" xfId="0" applyFont="1" applyFill="1" applyBorder="1" applyAlignment="1">
      <alignment horizontal="left" vertical="center" wrapText="1"/>
    </xf>
    <xf numFmtId="166" fontId="7" fillId="16" borderId="13" xfId="1" applyFont="1" applyFill="1" applyBorder="1" applyAlignment="1">
      <alignment horizontal="left" vertical="center" wrapText="1"/>
    </xf>
    <xf numFmtId="165" fontId="108" fillId="16" borderId="13" xfId="3" applyFont="1" applyFill="1" applyBorder="1" applyAlignment="1">
      <alignment horizontal="left" vertical="center" wrapText="1"/>
    </xf>
    <xf numFmtId="180" fontId="7" fillId="16" borderId="13" xfId="3" applyNumberFormat="1" applyFont="1" applyFill="1" applyBorder="1" applyAlignment="1">
      <alignment horizontal="left" vertical="center" wrapText="1"/>
    </xf>
    <xf numFmtId="2" fontId="108" fillId="16" borderId="13" xfId="0" applyNumberFormat="1" applyFont="1" applyFill="1" applyBorder="1" applyAlignment="1">
      <alignment horizontal="left" vertical="center" wrapText="1"/>
    </xf>
    <xf numFmtId="2" fontId="7" fillId="16" borderId="13" xfId="0" applyNumberFormat="1" applyFont="1" applyFill="1" applyBorder="1" applyAlignment="1">
      <alignment horizontal="left" vertical="center" wrapText="1"/>
    </xf>
    <xf numFmtId="0" fontId="108" fillId="16" borderId="13" xfId="0" applyFont="1" applyFill="1" applyBorder="1" applyAlignment="1">
      <alignment horizontal="left" vertical="center" wrapText="1"/>
    </xf>
    <xf numFmtId="0" fontId="7" fillId="14" borderId="13" xfId="0" applyFont="1" applyFill="1" applyBorder="1" applyAlignment="1">
      <alignment horizontal="center" vertical="center" wrapText="1"/>
    </xf>
    <xf numFmtId="3" fontId="7" fillId="70" borderId="13" xfId="0" applyNumberFormat="1" applyFont="1" applyFill="1" applyBorder="1" applyAlignment="1">
      <alignment horizontal="left" vertical="center" wrapText="1"/>
    </xf>
    <xf numFmtId="3" fontId="7" fillId="70" borderId="13" xfId="0" applyNumberFormat="1" applyFont="1" applyFill="1" applyBorder="1" applyAlignment="1">
      <alignment horizontal="center" vertical="center" wrapText="1"/>
    </xf>
    <xf numFmtId="167" fontId="7" fillId="70" borderId="13" xfId="2" applyNumberFormat="1" applyFont="1" applyFill="1" applyBorder="1" applyAlignment="1">
      <alignment horizontal="left" vertical="center" wrapText="1"/>
    </xf>
    <xf numFmtId="167" fontId="7" fillId="70" borderId="13" xfId="2" applyNumberFormat="1" applyFont="1" applyFill="1" applyBorder="1" applyAlignment="1">
      <alignment horizontal="center" vertical="center" wrapText="1"/>
    </xf>
    <xf numFmtId="0" fontId="7" fillId="70" borderId="13" xfId="0" applyFont="1" applyFill="1" applyBorder="1" applyAlignment="1">
      <alignment horizontal="left" vertical="center" wrapText="1"/>
    </xf>
    <xf numFmtId="0" fontId="7" fillId="70" borderId="13" xfId="0" applyFont="1" applyFill="1" applyBorder="1" applyAlignment="1">
      <alignment horizontal="center" vertical="center" wrapText="1"/>
    </xf>
    <xf numFmtId="0" fontId="6" fillId="28" borderId="87" xfId="0" applyFont="1" applyFill="1" applyBorder="1" applyAlignment="1">
      <alignment horizontal="center" vertical="center" wrapText="1"/>
    </xf>
    <xf numFmtId="168" fontId="7" fillId="26" borderId="13" xfId="1" applyNumberFormat="1" applyFont="1" applyFill="1" applyBorder="1" applyAlignment="1">
      <alignment horizontal="left" vertical="center" wrapText="1"/>
    </xf>
    <xf numFmtId="168" fontId="7" fillId="26" borderId="13" xfId="1" applyNumberFormat="1" applyFont="1" applyFill="1" applyBorder="1" applyAlignment="1">
      <alignment horizontal="center" vertical="center" wrapText="1"/>
    </xf>
    <xf numFmtId="166" fontId="7" fillId="26" borderId="13" xfId="1" applyFont="1" applyFill="1" applyBorder="1" applyAlignment="1">
      <alignment horizontal="center" vertical="center" wrapText="1"/>
    </xf>
    <xf numFmtId="0" fontId="7" fillId="114" borderId="13" xfId="0" applyFont="1" applyFill="1" applyBorder="1" applyAlignment="1">
      <alignment horizontal="left" vertical="center" wrapText="1"/>
    </xf>
    <xf numFmtId="181" fontId="6" fillId="28" borderId="87" xfId="0" applyNumberFormat="1" applyFont="1" applyFill="1" applyBorder="1" applyAlignment="1">
      <alignment horizontal="center" vertical="center" wrapText="1"/>
    </xf>
    <xf numFmtId="181" fontId="6" fillId="28" borderId="51" xfId="0" applyNumberFormat="1" applyFont="1" applyFill="1" applyBorder="1" applyAlignment="1">
      <alignment horizontal="center" vertical="center" wrapText="1"/>
    </xf>
    <xf numFmtId="4" fontId="109" fillId="0" borderId="20" xfId="0" applyNumberFormat="1" applyFont="1" applyFill="1" applyBorder="1" applyAlignment="1">
      <alignment horizontal="center" vertical="center" wrapText="1"/>
    </xf>
    <xf numFmtId="3" fontId="109" fillId="0" borderId="13" xfId="0" applyNumberFormat="1" applyFont="1" applyFill="1" applyBorder="1" applyAlignment="1">
      <alignment horizontal="center" vertical="center" wrapText="1"/>
    </xf>
    <xf numFmtId="3" fontId="109" fillId="28" borderId="13" xfId="0" applyNumberFormat="1" applyFont="1" applyFill="1" applyBorder="1" applyAlignment="1">
      <alignment horizontal="center" vertical="center" wrapText="1"/>
    </xf>
    <xf numFmtId="0" fontId="109" fillId="0" borderId="13" xfId="0" applyFont="1" applyFill="1" applyBorder="1" applyAlignment="1">
      <alignment horizontal="center" vertical="center" wrapText="1"/>
    </xf>
    <xf numFmtId="0" fontId="109" fillId="0" borderId="13" xfId="1" applyNumberFormat="1" applyFont="1" applyFill="1" applyBorder="1" applyAlignment="1">
      <alignment horizontal="center" vertical="center" wrapText="1"/>
    </xf>
    <xf numFmtId="3" fontId="109" fillId="70" borderId="13" xfId="0" applyNumberFormat="1" applyFont="1" applyFill="1" applyBorder="1" applyAlignment="1">
      <alignment horizontal="center" vertical="center" wrapText="1"/>
    </xf>
    <xf numFmtId="167" fontId="109" fillId="70" borderId="13" xfId="2" applyNumberFormat="1" applyFont="1" applyFill="1" applyBorder="1" applyAlignment="1">
      <alignment horizontal="center" vertical="center" wrapText="1"/>
    </xf>
    <xf numFmtId="0" fontId="109" fillId="70" borderId="13" xfId="0" applyFont="1" applyFill="1" applyBorder="1" applyAlignment="1">
      <alignment horizontal="center" vertical="center" wrapText="1"/>
    </xf>
    <xf numFmtId="0" fontId="109" fillId="71" borderId="13" xfId="0" applyFont="1" applyFill="1" applyBorder="1" applyAlignment="1">
      <alignment horizontal="center" vertical="center" wrapText="1"/>
    </xf>
    <xf numFmtId="166" fontId="109" fillId="16" borderId="13" xfId="1" applyFont="1" applyFill="1" applyBorder="1" applyAlignment="1">
      <alignment horizontal="center" vertical="center" wrapText="1"/>
    </xf>
    <xf numFmtId="165" fontId="109" fillId="16" borderId="13" xfId="3" applyFont="1" applyFill="1" applyBorder="1" applyAlignment="1">
      <alignment horizontal="center" vertical="center" wrapText="1"/>
    </xf>
    <xf numFmtId="180" fontId="109" fillId="16" borderId="13" xfId="3" applyNumberFormat="1" applyFont="1" applyFill="1" applyBorder="1" applyAlignment="1">
      <alignment horizontal="center" vertical="center" wrapText="1"/>
    </xf>
    <xf numFmtId="2" fontId="109" fillId="16" borderId="13" xfId="0" applyNumberFormat="1" applyFont="1" applyFill="1" applyBorder="1" applyAlignment="1">
      <alignment horizontal="center" vertical="center" wrapText="1"/>
    </xf>
    <xf numFmtId="168" fontId="109" fillId="71" borderId="13" xfId="1" applyNumberFormat="1" applyFont="1" applyFill="1" applyBorder="1" applyAlignment="1">
      <alignment horizontal="center" vertical="center" wrapText="1"/>
    </xf>
    <xf numFmtId="168" fontId="109" fillId="26" borderId="13" xfId="1" applyNumberFormat="1" applyFont="1" applyFill="1" applyBorder="1" applyAlignment="1">
      <alignment horizontal="center" vertical="center" wrapText="1"/>
    </xf>
    <xf numFmtId="0" fontId="109" fillId="114" borderId="13" xfId="0" applyFont="1" applyFill="1" applyBorder="1" applyAlignment="1">
      <alignment horizontal="center" vertical="center" wrapText="1"/>
    </xf>
    <xf numFmtId="168" fontId="109" fillId="16" borderId="13" xfId="1" applyNumberFormat="1" applyFont="1" applyFill="1" applyBorder="1" applyAlignment="1">
      <alignment horizontal="center" vertical="center" wrapText="1"/>
    </xf>
    <xf numFmtId="168" fontId="109" fillId="0" borderId="13" xfId="1" applyNumberFormat="1" applyFont="1" applyFill="1" applyBorder="1" applyAlignment="1">
      <alignment horizontal="center" vertical="center" wrapText="1"/>
    </xf>
    <xf numFmtId="0" fontId="109" fillId="16" borderId="13" xfId="0" applyFont="1" applyFill="1" applyBorder="1" applyAlignment="1">
      <alignment horizontal="center" vertical="center" wrapText="1"/>
    </xf>
    <xf numFmtId="0" fontId="109" fillId="16" borderId="0" xfId="0" applyFont="1" applyFill="1" applyAlignment="1">
      <alignment horizontal="center" vertical="center" wrapText="1"/>
    </xf>
    <xf numFmtId="0" fontId="7" fillId="16" borderId="17" xfId="0" applyFont="1" applyFill="1" applyBorder="1" applyAlignment="1">
      <alignment horizontal="left" vertical="center" wrapText="1"/>
    </xf>
    <xf numFmtId="0" fontId="7" fillId="16" borderId="17" xfId="0" applyFont="1" applyFill="1" applyBorder="1" applyAlignment="1">
      <alignment horizontal="center" vertical="center" wrapText="1"/>
    </xf>
    <xf numFmtId="180" fontId="7" fillId="16" borderId="17" xfId="3" applyNumberFormat="1" applyFont="1" applyFill="1" applyBorder="1" applyAlignment="1">
      <alignment horizontal="center" vertical="center" wrapText="1"/>
    </xf>
    <xf numFmtId="0" fontId="109" fillId="16" borderId="17" xfId="0" applyFont="1" applyFill="1" applyBorder="1" applyAlignment="1">
      <alignment horizontal="center" vertical="center" wrapText="1"/>
    </xf>
    <xf numFmtId="0" fontId="7" fillId="14" borderId="13" xfId="0" applyFont="1" applyFill="1" applyBorder="1" applyAlignment="1">
      <alignment horizontal="left" vertical="top" wrapText="1"/>
    </xf>
    <xf numFmtId="182" fontId="7" fillId="14" borderId="13" xfId="0" applyNumberFormat="1" applyFont="1" applyFill="1" applyBorder="1" applyAlignment="1">
      <alignment horizontal="center" vertical="top" wrapText="1"/>
    </xf>
    <xf numFmtId="180" fontId="7" fillId="14" borderId="17" xfId="3" applyNumberFormat="1" applyFont="1" applyFill="1" applyBorder="1" applyAlignment="1">
      <alignment horizontal="center" vertical="center" wrapText="1"/>
    </xf>
    <xf numFmtId="0" fontId="109" fillId="14" borderId="17" xfId="0" applyFont="1" applyFill="1" applyBorder="1" applyAlignment="1">
      <alignment horizontal="center" vertical="center" wrapText="1"/>
    </xf>
    <xf numFmtId="0" fontId="7" fillId="14" borderId="13" xfId="0" applyFont="1" applyFill="1" applyBorder="1" applyAlignment="1">
      <alignment horizontal="center" vertical="top" wrapText="1"/>
    </xf>
    <xf numFmtId="182" fontId="7" fillId="14" borderId="13" xfId="89" applyNumberFormat="1" applyFont="1" applyFill="1" applyBorder="1" applyAlignment="1">
      <alignment horizontal="center" vertical="top" wrapText="1"/>
    </xf>
    <xf numFmtId="0" fontId="5" fillId="0" borderId="0" xfId="0" applyFont="1" applyFill="1" applyAlignment="1">
      <alignment horizontal="left" vertical="center"/>
    </xf>
    <xf numFmtId="0" fontId="7" fillId="14" borderId="17" xfId="0" applyFont="1" applyFill="1" applyBorder="1" applyAlignment="1">
      <alignment horizontal="left" vertical="top" wrapText="1"/>
    </xf>
    <xf numFmtId="0" fontId="7" fillId="14" borderId="17" xfId="0" applyFont="1" applyFill="1" applyBorder="1" applyAlignment="1">
      <alignment horizontal="center" vertical="top" wrapText="1"/>
    </xf>
    <xf numFmtId="182" fontId="7" fillId="14" borderId="17" xfId="89" applyNumberFormat="1" applyFont="1" applyFill="1" applyBorder="1" applyAlignment="1">
      <alignment horizontal="center" vertical="top" wrapText="1"/>
    </xf>
    <xf numFmtId="0" fontId="7" fillId="14" borderId="17" xfId="0" applyFont="1" applyFill="1" applyBorder="1" applyAlignment="1">
      <alignment horizontal="center" vertical="center" wrapText="1"/>
    </xf>
    <xf numFmtId="0" fontId="218" fillId="0" borderId="13" xfId="0" applyFont="1" applyFill="1" applyBorder="1" applyAlignment="1">
      <alignment horizontal="left" vertical="center" wrapText="1"/>
    </xf>
    <xf numFmtId="0" fontId="218" fillId="16" borderId="13" xfId="0" applyFont="1" applyFill="1" applyBorder="1" applyAlignment="1">
      <alignment horizontal="center" vertical="center" wrapText="1"/>
    </xf>
    <xf numFmtId="0" fontId="219" fillId="0" borderId="0" xfId="0" applyFont="1" applyFill="1"/>
    <xf numFmtId="0" fontId="17" fillId="0" borderId="0" xfId="0" applyFont="1" applyFill="1" applyAlignment="1">
      <alignment horizontal="center" vertical="center"/>
    </xf>
    <xf numFmtId="0" fontId="0" fillId="0" borderId="13" xfId="0" applyBorder="1" applyAlignment="1">
      <alignment wrapText="1"/>
    </xf>
    <xf numFmtId="0" fontId="5" fillId="29" borderId="13" xfId="0" applyFont="1" applyFill="1" applyBorder="1" applyAlignment="1">
      <alignment horizontal="left" vertical="center"/>
    </xf>
    <xf numFmtId="0" fontId="5" fillId="115" borderId="13" xfId="0" applyFont="1" applyFill="1" applyBorder="1" applyAlignment="1">
      <alignment horizontal="left" vertical="center"/>
    </xf>
    <xf numFmtId="0" fontId="5" fillId="78" borderId="13" xfId="0" applyFont="1" applyFill="1" applyBorder="1" applyAlignment="1">
      <alignment horizontal="left" vertical="center"/>
    </xf>
    <xf numFmtId="0" fontId="5" fillId="14" borderId="13" xfId="0" applyFont="1" applyFill="1" applyBorder="1" applyAlignment="1">
      <alignment horizontal="left" vertical="center"/>
    </xf>
    <xf numFmtId="0" fontId="5" fillId="10" borderId="0" xfId="0" applyFont="1" applyFill="1" applyAlignment="1">
      <alignment horizontal="left" vertical="center"/>
    </xf>
    <xf numFmtId="0" fontId="5" fillId="10" borderId="13" xfId="0" applyFont="1" applyFill="1" applyBorder="1" applyAlignment="1">
      <alignment horizontal="left" vertical="center"/>
    </xf>
    <xf numFmtId="0" fontId="5" fillId="31" borderId="13" xfId="0" applyFont="1" applyFill="1" applyBorder="1" applyAlignment="1">
      <alignment horizontal="left" vertical="center"/>
    </xf>
    <xf numFmtId="0" fontId="5" fillId="28" borderId="63" xfId="0" applyFont="1" applyFill="1" applyBorder="1" applyAlignment="1">
      <alignment horizontal="left" vertical="center" wrapText="1"/>
    </xf>
    <xf numFmtId="0" fontId="5" fillId="80" borderId="63" xfId="0" applyFont="1" applyFill="1" applyBorder="1" applyAlignment="1">
      <alignment horizontal="left" vertical="center" wrapText="1"/>
    </xf>
    <xf numFmtId="0" fontId="5" fillId="107" borderId="63" xfId="0" applyFont="1" applyFill="1" applyBorder="1" applyAlignment="1">
      <alignment horizontal="left" vertical="center" wrapText="1"/>
    </xf>
    <xf numFmtId="0" fontId="5" fillId="107" borderId="0" xfId="0" applyFont="1" applyFill="1" applyAlignment="1">
      <alignment horizontal="left" vertical="center" wrapText="1"/>
    </xf>
    <xf numFmtId="0" fontId="5" fillId="26" borderId="63" xfId="0" applyFont="1" applyFill="1" applyBorder="1" applyAlignment="1">
      <alignment horizontal="left" vertical="center" wrapText="1"/>
    </xf>
    <xf numFmtId="0" fontId="5" fillId="26" borderId="0" xfId="0" applyFont="1" applyFill="1" applyAlignment="1">
      <alignment horizontal="left" vertical="center"/>
    </xf>
    <xf numFmtId="0" fontId="5" fillId="105" borderId="0" xfId="0" applyFont="1" applyFill="1" applyAlignment="1">
      <alignment horizontal="left" vertical="center"/>
    </xf>
    <xf numFmtId="0" fontId="7" fillId="28" borderId="13" xfId="0" applyFont="1" applyFill="1" applyBorder="1" applyAlignment="1">
      <alignment vertical="center" wrapText="1"/>
    </xf>
    <xf numFmtId="0" fontId="7" fillId="0" borderId="17" xfId="0" applyFont="1" applyFill="1" applyBorder="1" applyAlignment="1">
      <alignment vertical="center" wrapText="1"/>
    </xf>
    <xf numFmtId="0" fontId="218" fillId="0" borderId="13" xfId="0" applyFont="1" applyFill="1" applyBorder="1" applyAlignment="1">
      <alignment vertical="center" wrapText="1"/>
    </xf>
    <xf numFmtId="0" fontId="0" fillId="0" borderId="13" xfId="0" applyFont="1" applyBorder="1" applyAlignment="1">
      <alignment vertical="center" wrapText="1"/>
    </xf>
    <xf numFmtId="10" fontId="105" fillId="31" borderId="43" xfId="2" applyNumberFormat="1" applyFont="1" applyFill="1" applyBorder="1" applyAlignment="1">
      <alignment horizontal="left"/>
    </xf>
    <xf numFmtId="168" fontId="5" fillId="26" borderId="0" xfId="1" applyNumberFormat="1" applyFont="1" applyFill="1"/>
    <xf numFmtId="168" fontId="5" fillId="26" borderId="13" xfId="1" applyNumberFormat="1" applyFont="1" applyFill="1" applyBorder="1"/>
    <xf numFmtId="168" fontId="17" fillId="26" borderId="13" xfId="1" applyNumberFormat="1" applyFont="1" applyFill="1" applyBorder="1"/>
    <xf numFmtId="0" fontId="17" fillId="116" borderId="13" xfId="0" applyFont="1" applyFill="1" applyBorder="1" applyAlignment="1">
      <alignment horizontal="center" vertical="center" wrapText="1"/>
    </xf>
    <xf numFmtId="0" fontId="17" fillId="116" borderId="13" xfId="0" applyNumberFormat="1" applyFont="1" applyFill="1" applyBorder="1" applyAlignment="1">
      <alignment horizontal="center" vertical="center" wrapText="1"/>
    </xf>
    <xf numFmtId="0" fontId="17" fillId="0" borderId="87" xfId="0" applyFont="1" applyFill="1" applyBorder="1" applyAlignment="1">
      <alignment horizontal="center" vertical="center"/>
    </xf>
    <xf numFmtId="0" fontId="10" fillId="0" borderId="24" xfId="0" applyFont="1" applyFill="1" applyBorder="1" applyAlignment="1">
      <alignment horizontal="center" vertical="top"/>
    </xf>
    <xf numFmtId="1" fontId="28" fillId="13" borderId="87" xfId="0" applyNumberFormat="1" applyFont="1" applyFill="1" applyBorder="1" applyAlignment="1">
      <alignment horizontal="center" vertical="center"/>
    </xf>
    <xf numFmtId="168" fontId="99" fillId="71" borderId="25" xfId="1" applyNumberFormat="1" applyFont="1" applyFill="1" applyBorder="1" applyAlignment="1">
      <alignment horizontal="center" vertical="center"/>
    </xf>
    <xf numFmtId="0" fontId="26" fillId="0" borderId="39" xfId="0" applyFont="1" applyFill="1" applyBorder="1" applyAlignment="1">
      <alignment horizontal="center" vertical="center" wrapText="1"/>
    </xf>
    <xf numFmtId="0" fontId="26" fillId="0" borderId="20" xfId="0" applyFont="1" applyFill="1" applyBorder="1" applyAlignment="1">
      <alignment horizontal="center" vertical="center" wrapText="1"/>
    </xf>
    <xf numFmtId="0" fontId="26" fillId="0" borderId="38" xfId="0" applyFont="1" applyFill="1" applyBorder="1" applyAlignment="1">
      <alignment horizontal="center" vertical="center" wrapText="1"/>
    </xf>
    <xf numFmtId="0" fontId="0" fillId="0" borderId="58" xfId="0" applyFill="1" applyBorder="1" applyAlignment="1">
      <alignment wrapText="1"/>
    </xf>
    <xf numFmtId="3" fontId="0" fillId="0" borderId="17" xfId="0" applyNumberFormat="1" applyFill="1" applyBorder="1" applyAlignment="1">
      <alignment wrapText="1"/>
    </xf>
    <xf numFmtId="3" fontId="0" fillId="0" borderId="36" xfId="0" applyNumberFormat="1" applyFill="1" applyBorder="1" applyAlignment="1">
      <alignment wrapText="1"/>
    </xf>
    <xf numFmtId="0" fontId="220" fillId="0" borderId="59" xfId="0" applyFont="1" applyFill="1" applyBorder="1" applyAlignment="1">
      <alignment wrapText="1"/>
    </xf>
    <xf numFmtId="3" fontId="131" fillId="0" borderId="0" xfId="0" applyNumberFormat="1" applyFont="1" applyAlignment="1">
      <alignment horizontal="center"/>
    </xf>
    <xf numFmtId="0" fontId="0" fillId="29" borderId="127" xfId="0" applyFont="1" applyFill="1" applyBorder="1" applyAlignment="1">
      <alignment vertical="center"/>
    </xf>
    <xf numFmtId="0" fontId="30" fillId="37" borderId="42" xfId="0" applyFont="1" applyFill="1" applyBorder="1" applyAlignment="1">
      <alignment vertical="center"/>
    </xf>
    <xf numFmtId="2" fontId="96" fillId="29" borderId="42" xfId="0" applyNumberFormat="1" applyFont="1" applyFill="1" applyBorder="1" applyAlignment="1">
      <alignment horizontal="center" vertical="center"/>
    </xf>
    <xf numFmtId="2" fontId="96" fillId="3" borderId="42" xfId="0" applyNumberFormat="1" applyFont="1" applyFill="1" applyBorder="1" applyAlignment="1">
      <alignment horizontal="center" vertical="center"/>
    </xf>
    <xf numFmtId="2" fontId="96" fillId="3" borderId="43" xfId="0" applyNumberFormat="1" applyFont="1" applyFill="1" applyBorder="1" applyAlignment="1">
      <alignment horizontal="center" vertical="center"/>
    </xf>
    <xf numFmtId="0" fontId="0" fillId="29" borderId="46" xfId="0" applyFont="1" applyFill="1" applyBorder="1" applyAlignment="1"/>
    <xf numFmtId="0" fontId="30" fillId="37" borderId="47" xfId="0" applyFont="1" applyFill="1" applyBorder="1" applyAlignment="1">
      <alignment vertical="center"/>
    </xf>
    <xf numFmtId="2" fontId="96" fillId="29" borderId="47" xfId="0" applyNumberFormat="1" applyFont="1" applyFill="1" applyBorder="1" applyAlignment="1">
      <alignment horizontal="center" vertical="center"/>
    </xf>
    <xf numFmtId="2" fontId="96" fillId="29" borderId="48" xfId="0" applyNumberFormat="1" applyFont="1" applyFill="1" applyBorder="1" applyAlignment="1">
      <alignment horizontal="center" vertical="center"/>
    </xf>
    <xf numFmtId="2" fontId="96" fillId="29" borderId="316" xfId="0" applyNumberFormat="1" applyFont="1" applyFill="1" applyBorder="1" applyAlignment="1">
      <alignment horizontal="center" vertical="center"/>
    </xf>
    <xf numFmtId="2" fontId="96" fillId="3" borderId="20" xfId="0" applyNumberFormat="1" applyFont="1" applyFill="1" applyBorder="1" applyAlignment="1">
      <alignment horizontal="center" vertical="center"/>
    </xf>
    <xf numFmtId="171" fontId="30" fillId="38" borderId="44" xfId="0" applyNumberFormat="1" applyFont="1" applyFill="1" applyBorder="1" applyAlignment="1">
      <alignment horizontal="center" vertical="center" wrapText="1"/>
    </xf>
    <xf numFmtId="167" fontId="0" fillId="0" borderId="45" xfId="2" applyNumberFormat="1" applyFont="1" applyBorder="1"/>
    <xf numFmtId="171" fontId="30" fillId="38" borderId="46" xfId="0" applyNumberFormat="1" applyFont="1" applyFill="1" applyBorder="1" applyAlignment="1">
      <alignment horizontal="center" vertical="center" wrapText="1"/>
    </xf>
    <xf numFmtId="167" fontId="0" fillId="0" borderId="48" xfId="2" applyNumberFormat="1" applyFont="1" applyBorder="1"/>
    <xf numFmtId="0" fontId="0" fillId="0" borderId="127" xfId="0" applyFont="1" applyBorder="1" applyAlignment="1">
      <alignment horizontal="center"/>
    </xf>
    <xf numFmtId="0" fontId="0" fillId="0" borderId="42" xfId="0" applyFont="1" applyBorder="1" applyAlignment="1">
      <alignment horizontal="center"/>
    </xf>
    <xf numFmtId="0" fontId="0" fillId="0" borderId="43" xfId="0" applyFont="1" applyBorder="1" applyAlignment="1">
      <alignment horizontal="center"/>
    </xf>
    <xf numFmtId="0" fontId="157" fillId="70" borderId="127" xfId="0" applyFont="1" applyFill="1" applyBorder="1" applyAlignment="1">
      <alignment horizontal="center" vertical="center" wrapText="1"/>
    </xf>
    <xf numFmtId="0" fontId="157" fillId="70" borderId="43" xfId="0" applyFont="1" applyFill="1" applyBorder="1" applyAlignment="1">
      <alignment horizontal="center" vertical="center" wrapText="1"/>
    </xf>
    <xf numFmtId="0" fontId="157" fillId="29" borderId="127" xfId="0" applyFont="1" applyFill="1" applyBorder="1" applyAlignment="1">
      <alignment horizontal="center" vertical="center" wrapText="1"/>
    </xf>
    <xf numFmtId="0" fontId="157" fillId="29" borderId="43" xfId="0" applyFont="1" applyFill="1" applyBorder="1" applyAlignment="1">
      <alignment horizontal="center" vertical="center" wrapText="1"/>
    </xf>
    <xf numFmtId="0" fontId="46" fillId="0" borderId="44" xfId="0" applyFont="1" applyFill="1" applyBorder="1" applyAlignment="1">
      <alignment horizontal="center" vertical="center" wrapText="1"/>
    </xf>
    <xf numFmtId="0" fontId="46" fillId="0" borderId="45" xfId="0" applyFont="1" applyFill="1" applyBorder="1" applyAlignment="1">
      <alignment horizontal="center" vertical="center" wrapText="1"/>
    </xf>
    <xf numFmtId="0" fontId="0" fillId="0" borderId="318" xfId="0" applyFont="1" applyFill="1" applyBorder="1" applyAlignment="1">
      <alignment horizontal="center" vertical="center" wrapText="1"/>
    </xf>
    <xf numFmtId="0" fontId="0" fillId="0" borderId="319" xfId="0" applyFont="1" applyFill="1" applyBorder="1" applyAlignment="1">
      <alignment horizontal="center" vertical="center" wrapText="1"/>
    </xf>
    <xf numFmtId="0" fontId="0" fillId="0" borderId="46" xfId="0" applyFont="1" applyFill="1" applyBorder="1" applyAlignment="1">
      <alignment horizontal="center" vertical="center" wrapText="1"/>
    </xf>
    <xf numFmtId="0" fontId="0" fillId="0" borderId="48" xfId="0" applyFont="1" applyFill="1" applyBorder="1" applyAlignment="1">
      <alignment horizontal="center" vertical="center" wrapText="1"/>
    </xf>
    <xf numFmtId="0" fontId="46" fillId="0" borderId="312" xfId="0" applyFont="1" applyFill="1" applyBorder="1" applyAlignment="1">
      <alignment vertical="center" wrapText="1"/>
    </xf>
    <xf numFmtId="0" fontId="138" fillId="0" borderId="274" xfId="0" applyFont="1" applyFill="1" applyBorder="1" applyAlignment="1">
      <alignment vertical="center" wrapText="1"/>
    </xf>
    <xf numFmtId="0" fontId="138" fillId="0" borderId="318" xfId="0" applyFont="1" applyFill="1" applyBorder="1" applyAlignment="1">
      <alignment horizontal="center" vertical="center" wrapText="1"/>
    </xf>
    <xf numFmtId="0" fontId="138" fillId="0" borderId="319" xfId="0" applyFont="1" applyFill="1" applyBorder="1" applyAlignment="1">
      <alignment horizontal="center" vertical="center" wrapText="1"/>
    </xf>
    <xf numFmtId="0" fontId="138" fillId="0" borderId="48" xfId="0" applyFont="1" applyFill="1" applyBorder="1" applyAlignment="1">
      <alignment horizontal="center" vertical="center" wrapText="1"/>
    </xf>
    <xf numFmtId="0" fontId="10" fillId="0" borderId="318" xfId="0" applyFont="1" applyFill="1" applyBorder="1" applyAlignment="1">
      <alignment horizontal="center" vertical="center" wrapText="1"/>
    </xf>
    <xf numFmtId="0" fontId="10" fillId="0" borderId="319" xfId="0" applyFont="1" applyFill="1" applyBorder="1" applyAlignment="1">
      <alignment horizontal="center" vertical="center" wrapText="1"/>
    </xf>
    <xf numFmtId="183" fontId="30" fillId="71" borderId="54" xfId="0" applyNumberFormat="1" applyFont="1" applyFill="1" applyBorder="1" applyAlignment="1">
      <alignment horizontal="center" vertical="center"/>
    </xf>
    <xf numFmtId="3" fontId="182" fillId="13" borderId="49" xfId="0" applyNumberFormat="1" applyFont="1" applyFill="1" applyBorder="1"/>
    <xf numFmtId="168" fontId="219" fillId="31" borderId="367" xfId="1" applyNumberFormat="1" applyFont="1" applyFill="1" applyBorder="1"/>
    <xf numFmtId="168" fontId="221" fillId="31" borderId="367" xfId="1" applyNumberFormat="1" applyFont="1" applyFill="1" applyBorder="1"/>
    <xf numFmtId="168" fontId="219" fillId="31" borderId="4" xfId="1" applyNumberFormat="1" applyFont="1" applyFill="1" applyBorder="1"/>
    <xf numFmtId="168" fontId="219" fillId="10" borderId="4" xfId="1" applyNumberFormat="1" applyFont="1" applyFill="1" applyBorder="1"/>
    <xf numFmtId="168" fontId="219" fillId="5" borderId="4" xfId="1" applyNumberFormat="1" applyFont="1" applyFill="1" applyBorder="1"/>
    <xf numFmtId="168" fontId="219" fillId="0" borderId="4" xfId="1" applyNumberFormat="1" applyFont="1" applyFill="1" applyBorder="1"/>
    <xf numFmtId="168" fontId="219" fillId="0" borderId="0" xfId="1" applyNumberFormat="1" applyFont="1" applyFill="1" applyBorder="1"/>
    <xf numFmtId="168" fontId="219" fillId="0" borderId="370" xfId="1" applyNumberFormat="1" applyFont="1" applyFill="1" applyBorder="1"/>
    <xf numFmtId="167" fontId="26" fillId="70" borderId="0" xfId="2" applyNumberFormat="1" applyFont="1" applyFill="1" applyAlignment="1">
      <alignment horizontal="center"/>
    </xf>
    <xf numFmtId="0" fontId="139" fillId="86" borderId="273" xfId="0" applyFont="1" applyFill="1" applyBorder="1" applyAlignment="1">
      <alignment horizontal="center" vertical="center" wrapText="1"/>
    </xf>
    <xf numFmtId="0" fontId="131" fillId="86" borderId="314" xfId="0" applyFont="1" applyFill="1" applyBorder="1" applyAlignment="1">
      <alignment horizontal="center" vertical="center" wrapText="1"/>
    </xf>
    <xf numFmtId="0" fontId="41" fillId="0" borderId="0" xfId="0" applyFont="1" applyFill="1" applyBorder="1" applyAlignment="1">
      <alignment horizontal="left"/>
    </xf>
    <xf numFmtId="3" fontId="41" fillId="0" borderId="0" xfId="0" applyNumberFormat="1" applyFont="1" applyBorder="1" applyAlignment="1">
      <alignment horizontal="right"/>
    </xf>
    <xf numFmtId="3" fontId="41" fillId="13" borderId="0" xfId="0" applyNumberFormat="1" applyFont="1" applyFill="1" applyBorder="1" applyAlignment="1">
      <alignment horizontal="right"/>
    </xf>
    <xf numFmtId="10" fontId="222" fillId="27" borderId="33" xfId="0" applyNumberFormat="1" applyFont="1" applyFill="1" applyBorder="1"/>
    <xf numFmtId="0" fontId="0" fillId="0" borderId="0" xfId="0" applyAlignment="1">
      <alignment horizontal="center"/>
    </xf>
    <xf numFmtId="0" fontId="7" fillId="0" borderId="13" xfId="0" applyFont="1" applyFill="1" applyBorder="1" applyAlignment="1">
      <alignment vertical="center" wrapText="1"/>
    </xf>
    <xf numFmtId="0" fontId="61" fillId="0" borderId="0" xfId="0" applyFont="1" applyFill="1" applyAlignment="1">
      <alignment horizontal="left"/>
    </xf>
    <xf numFmtId="0" fontId="0" fillId="0" borderId="0" xfId="0" applyAlignment="1">
      <alignment vertical="top" wrapText="1"/>
    </xf>
    <xf numFmtId="0" fontId="5" fillId="118" borderId="13" xfId="0" applyFont="1" applyFill="1" applyBorder="1" applyAlignment="1">
      <alignment horizontal="left" vertical="center"/>
    </xf>
    <xf numFmtId="0" fontId="7" fillId="118" borderId="13" xfId="0" applyFont="1" applyFill="1" applyBorder="1" applyAlignment="1">
      <alignment vertical="center" wrapText="1"/>
    </xf>
    <xf numFmtId="0" fontId="7" fillId="118" borderId="13" xfId="0" applyFont="1" applyFill="1" applyBorder="1" applyAlignment="1">
      <alignment horizontal="left" vertical="center" wrapText="1"/>
    </xf>
    <xf numFmtId="0" fontId="7" fillId="118" borderId="13" xfId="0" applyFont="1" applyFill="1" applyBorder="1" applyAlignment="1">
      <alignment horizontal="center" vertical="center" wrapText="1"/>
    </xf>
    <xf numFmtId="0" fontId="109" fillId="118" borderId="13" xfId="0" applyFont="1" applyFill="1" applyBorder="1" applyAlignment="1">
      <alignment horizontal="center" vertical="center" wrapText="1"/>
    </xf>
    <xf numFmtId="0" fontId="0" fillId="118" borderId="0" xfId="0" applyFill="1"/>
    <xf numFmtId="0" fontId="5" fillId="118" borderId="0" xfId="0" applyFont="1" applyFill="1" applyAlignment="1">
      <alignment horizontal="left" vertical="center"/>
    </xf>
    <xf numFmtId="0" fontId="138" fillId="118" borderId="13" xfId="0" applyFont="1" applyFill="1" applyBorder="1" applyAlignment="1">
      <alignment horizontal="left" vertical="center" wrapText="1"/>
    </xf>
    <xf numFmtId="0" fontId="16" fillId="118" borderId="13" xfId="0" applyFont="1" applyFill="1" applyBorder="1" applyAlignment="1">
      <alignment horizontal="center" vertical="center" wrapText="1"/>
    </xf>
    <xf numFmtId="0" fontId="131" fillId="0" borderId="0" xfId="0" applyFont="1" applyFill="1"/>
    <xf numFmtId="0" fontId="131" fillId="86" borderId="35" xfId="0" applyFont="1" applyFill="1" applyBorder="1" applyAlignment="1">
      <alignment horizontal="center" vertical="center" wrapText="1"/>
    </xf>
    <xf numFmtId="0" fontId="145" fillId="86" borderId="29" xfId="0" applyFont="1" applyFill="1" applyBorder="1" applyAlignment="1">
      <alignment horizontal="center" vertical="center" wrapText="1"/>
    </xf>
    <xf numFmtId="0" fontId="131" fillId="86" borderId="30" xfId="0" applyFont="1" applyFill="1" applyBorder="1" applyAlignment="1">
      <alignment horizontal="center" vertical="center" wrapText="1"/>
    </xf>
    <xf numFmtId="3" fontId="131" fillId="27" borderId="128" xfId="0" applyNumberFormat="1" applyFont="1" applyFill="1" applyBorder="1"/>
    <xf numFmtId="3" fontId="131" fillId="27" borderId="19" xfId="0" applyNumberFormat="1" applyFont="1" applyFill="1" applyBorder="1"/>
    <xf numFmtId="3" fontId="139" fillId="27" borderId="19" xfId="0" applyNumberFormat="1" applyFont="1" applyFill="1" applyBorder="1"/>
    <xf numFmtId="0" fontId="139" fillId="27" borderId="89" xfId="0" applyFont="1" applyFill="1" applyBorder="1"/>
    <xf numFmtId="3" fontId="132" fillId="70" borderId="11" xfId="0" applyNumberFormat="1" applyFont="1" applyFill="1" applyBorder="1"/>
    <xf numFmtId="3" fontId="132" fillId="0" borderId="11" xfId="0" applyNumberFormat="1" applyFont="1" applyFill="1" applyBorder="1"/>
    <xf numFmtId="3" fontId="131" fillId="27" borderId="52" xfId="0" applyNumberFormat="1" applyFont="1" applyFill="1" applyBorder="1"/>
    <xf numFmtId="167" fontId="131" fillId="27" borderId="11" xfId="2" applyNumberFormat="1" applyFont="1" applyFill="1" applyBorder="1"/>
    <xf numFmtId="167" fontId="131" fillId="27" borderId="83" xfId="2" applyNumberFormat="1" applyFont="1" applyFill="1" applyBorder="1"/>
    <xf numFmtId="3" fontId="131" fillId="27" borderId="49" xfId="0" applyNumberFormat="1" applyFont="1" applyFill="1" applyBorder="1"/>
    <xf numFmtId="3" fontId="131" fillId="27" borderId="50" xfId="0" applyNumberFormat="1" applyFont="1" applyFill="1" applyBorder="1"/>
    <xf numFmtId="3" fontId="131" fillId="27" borderId="51" xfId="0" applyNumberFormat="1" applyFont="1" applyFill="1" applyBorder="1"/>
    <xf numFmtId="171" fontId="131" fillId="16" borderId="0" xfId="0" applyNumberFormat="1" applyFont="1" applyFill="1" applyBorder="1" applyAlignment="1">
      <alignment horizontal="left" vertical="center"/>
    </xf>
    <xf numFmtId="0" fontId="224" fillId="0" borderId="0" xfId="0" applyFont="1" applyFill="1" applyAlignment="1">
      <alignment horizontal="center"/>
    </xf>
    <xf numFmtId="0" fontId="225" fillId="0" borderId="0" xfId="0" applyFont="1"/>
    <xf numFmtId="0" fontId="139" fillId="0" borderId="0" xfId="0" applyFont="1" applyFill="1"/>
    <xf numFmtId="168" fontId="226" fillId="0" borderId="0" xfId="1" applyNumberFormat="1" applyFont="1" applyFill="1" applyBorder="1" applyAlignment="1">
      <alignment horizontal="center" vertical="center"/>
    </xf>
    <xf numFmtId="3" fontId="131" fillId="0" borderId="127" xfId="67" applyNumberFormat="1" applyFont="1" applyFill="1" applyBorder="1" applyAlignment="1">
      <alignment horizontal="right"/>
    </xf>
    <xf numFmtId="3" fontId="131" fillId="0" borderId="42" xfId="67" applyNumberFormat="1" applyFont="1" applyFill="1" applyBorder="1" applyAlignment="1">
      <alignment horizontal="right"/>
    </xf>
    <xf numFmtId="10" fontId="223" fillId="0" borderId="43" xfId="4" applyNumberFormat="1" applyFont="1" applyFill="1" applyBorder="1" applyAlignment="1" applyProtection="1"/>
    <xf numFmtId="3" fontId="131" fillId="0" borderId="37" xfId="0" applyNumberFormat="1" applyFont="1" applyFill="1" applyBorder="1"/>
    <xf numFmtId="167" fontId="131" fillId="0" borderId="7" xfId="2" applyNumberFormat="1" applyFont="1" applyFill="1" applyBorder="1"/>
    <xf numFmtId="3" fontId="139" fillId="0" borderId="42" xfId="67" applyNumberFormat="1" applyFont="1" applyFill="1" applyBorder="1" applyAlignment="1">
      <alignment horizontal="right"/>
    </xf>
    <xf numFmtId="167" fontId="228" fillId="0" borderId="0" xfId="2" applyNumberFormat="1" applyFont="1" applyFill="1" applyBorder="1"/>
    <xf numFmtId="0" fontId="0" fillId="0" borderId="0" xfId="0" applyAlignment="1">
      <alignment horizontal="center" vertical="center" wrapText="1"/>
    </xf>
    <xf numFmtId="0" fontId="0" fillId="0" borderId="0" xfId="0" applyAlignment="1">
      <alignment horizontal="center"/>
    </xf>
    <xf numFmtId="0" fontId="17" fillId="0" borderId="0" xfId="0" applyFont="1" applyFill="1" applyBorder="1" applyAlignment="1">
      <alignment horizontal="center" vertical="center"/>
    </xf>
    <xf numFmtId="0" fontId="21" fillId="0" borderId="0" xfId="4" applyFill="1" applyAlignment="1" applyProtection="1"/>
    <xf numFmtId="0" fontId="17" fillId="10" borderId="51" xfId="0" applyFont="1" applyFill="1" applyBorder="1" applyAlignment="1">
      <alignment horizontal="center" vertical="center"/>
    </xf>
    <xf numFmtId="0" fontId="46" fillId="0" borderId="0" xfId="0" applyFont="1"/>
    <xf numFmtId="0" fontId="0" fillId="0" borderId="0" xfId="0" applyAlignment="1">
      <alignment horizontal="center" wrapText="1"/>
    </xf>
    <xf numFmtId="0" fontId="12" fillId="0" borderId="0" xfId="0" applyFont="1" applyFill="1" applyAlignment="1">
      <alignment horizontal="center" wrapText="1"/>
    </xf>
    <xf numFmtId="0" fontId="6" fillId="16" borderId="0" xfId="0" applyFont="1" applyFill="1" applyBorder="1" applyAlignment="1">
      <alignment horizontal="center" vertical="center"/>
    </xf>
    <xf numFmtId="168" fontId="0" fillId="0" borderId="58" xfId="1" applyNumberFormat="1" applyFont="1" applyFill="1" applyBorder="1" applyAlignment="1">
      <alignment wrapText="1"/>
    </xf>
    <xf numFmtId="168" fontId="220" fillId="0" borderId="59" xfId="1" applyNumberFormat="1" applyFont="1" applyFill="1" applyBorder="1" applyAlignment="1">
      <alignment wrapText="1"/>
    </xf>
    <xf numFmtId="0" fontId="0" fillId="14" borderId="0" xfId="0" applyFill="1"/>
    <xf numFmtId="17" fontId="26" fillId="14" borderId="0" xfId="0" applyNumberFormat="1" applyFont="1" applyFill="1" applyAlignment="1">
      <alignment vertical="center"/>
    </xf>
    <xf numFmtId="0" fontId="26" fillId="14" borderId="0" xfId="0" applyFont="1" applyFill="1" applyAlignment="1">
      <alignment horizontal="center" vertical="center"/>
    </xf>
    <xf numFmtId="167" fontId="11" fillId="29" borderId="8" xfId="2" applyNumberFormat="1" applyFont="1" applyFill="1" applyBorder="1"/>
    <xf numFmtId="0" fontId="7" fillId="29" borderId="44" xfId="0" applyFont="1" applyFill="1" applyBorder="1" applyAlignment="1">
      <alignment horizontal="left" vertical="center" indent="1"/>
    </xf>
    <xf numFmtId="0" fontId="7" fillId="27" borderId="44" xfId="0" applyFont="1" applyFill="1" applyBorder="1" applyAlignment="1">
      <alignment horizontal="left" vertical="center" indent="1"/>
    </xf>
    <xf numFmtId="167" fontId="11" fillId="31" borderId="8" xfId="2" applyNumberFormat="1" applyFont="1" applyFill="1" applyBorder="1" applyAlignment="1">
      <alignment horizontal="center"/>
    </xf>
    <xf numFmtId="0" fontId="159" fillId="27" borderId="0" xfId="0" applyFont="1" applyFill="1" applyAlignment="1">
      <alignment vertical="center"/>
    </xf>
    <xf numFmtId="167" fontId="159" fillId="27" borderId="0" xfId="0" applyNumberFormat="1" applyFont="1" applyFill="1" applyAlignment="1">
      <alignment vertical="center"/>
    </xf>
    <xf numFmtId="171" fontId="30" fillId="0" borderId="264" xfId="0" applyNumberFormat="1" applyFont="1" applyFill="1" applyBorder="1" applyAlignment="1">
      <alignment horizontal="center" vertical="center"/>
    </xf>
    <xf numFmtId="2" fontId="97" fillId="0" borderId="51" xfId="0" applyNumberFormat="1" applyFont="1" applyFill="1" applyBorder="1" applyAlignment="1">
      <alignment horizontal="center" vertical="center"/>
    </xf>
    <xf numFmtId="2" fontId="178" fillId="0" borderId="51" xfId="0" applyNumberFormat="1" applyFont="1" applyFill="1" applyBorder="1" applyAlignment="1">
      <alignment horizontal="center" vertical="center"/>
    </xf>
    <xf numFmtId="2" fontId="160" fillId="0" borderId="55" xfId="0" applyNumberFormat="1" applyFont="1" applyFill="1" applyBorder="1" applyAlignment="1">
      <alignment horizontal="center" vertical="center"/>
    </xf>
    <xf numFmtId="2" fontId="96" fillId="0" borderId="363" xfId="0" applyNumberFormat="1" applyFont="1" applyFill="1" applyBorder="1" applyAlignment="1">
      <alignment horizontal="center" vertical="center"/>
    </xf>
    <xf numFmtId="9" fontId="19" fillId="0" borderId="363" xfId="2" applyFont="1" applyFill="1" applyBorder="1" applyAlignment="1">
      <alignment horizontal="center" vertical="center"/>
    </xf>
    <xf numFmtId="2" fontId="178" fillId="0" borderId="45" xfId="0" applyNumberFormat="1" applyFont="1" applyFill="1" applyBorder="1" applyAlignment="1">
      <alignment horizontal="center" vertical="center"/>
    </xf>
    <xf numFmtId="2" fontId="97" fillId="0" borderId="319" xfId="0" applyNumberFormat="1" applyFont="1" applyFill="1" applyBorder="1" applyAlignment="1">
      <alignment horizontal="center" vertical="center"/>
    </xf>
    <xf numFmtId="2" fontId="97" fillId="0" borderId="48" xfId="0" applyNumberFormat="1" applyFont="1" applyFill="1" applyBorder="1" applyAlignment="1">
      <alignment horizontal="center" vertical="center"/>
    </xf>
    <xf numFmtId="9" fontId="30" fillId="0" borderId="33" xfId="2" applyFont="1" applyFill="1" applyBorder="1" applyAlignment="1">
      <alignment horizontal="center" vertical="center"/>
    </xf>
    <xf numFmtId="2" fontId="61" fillId="0" borderId="314" xfId="0" applyNumberFormat="1" applyFont="1" applyFill="1" applyBorder="1" applyAlignment="1">
      <alignment horizontal="center" vertical="center"/>
    </xf>
    <xf numFmtId="171" fontId="11" fillId="0" borderId="264" xfId="0" applyNumberFormat="1" applyFont="1" applyFill="1" applyBorder="1" applyAlignment="1">
      <alignment horizontal="center" vertical="center" wrapText="1"/>
    </xf>
    <xf numFmtId="0" fontId="61" fillId="0" borderId="33" xfId="0" applyFont="1" applyBorder="1"/>
    <xf numFmtId="0" fontId="61" fillId="0" borderId="0" xfId="0" applyFont="1" applyAlignment="1">
      <alignment horizontal="center"/>
    </xf>
    <xf numFmtId="0" fontId="61" fillId="0" borderId="0" xfId="0" applyFont="1" applyAlignment="1">
      <alignment horizontal="center" wrapText="1"/>
    </xf>
    <xf numFmtId="0" fontId="61" fillId="0" borderId="0" xfId="0" applyFont="1" applyFill="1" applyAlignment="1">
      <alignment wrapText="1"/>
    </xf>
    <xf numFmtId="0" fontId="61" fillId="0" borderId="0" xfId="0" applyFont="1" applyFill="1" applyAlignment="1">
      <alignment horizontal="center" vertical="center" wrapText="1"/>
    </xf>
    <xf numFmtId="0" fontId="61" fillId="0" borderId="33" xfId="0" applyFont="1" applyFill="1" applyBorder="1" applyAlignment="1">
      <alignment horizontal="right"/>
    </xf>
    <xf numFmtId="0" fontId="61" fillId="0" borderId="33" xfId="0" applyFont="1" applyFill="1" applyBorder="1"/>
    <xf numFmtId="0" fontId="61" fillId="0" borderId="0" xfId="0" applyFont="1" applyFill="1" applyAlignment="1">
      <alignment horizontal="right"/>
    </xf>
    <xf numFmtId="0" fontId="11" fillId="0" borderId="13" xfId="0" applyFont="1" applyBorder="1" applyAlignment="1">
      <alignment horizontal="center" wrapText="1"/>
    </xf>
    <xf numFmtId="0" fontId="61" fillId="0" borderId="0" xfId="0" applyFont="1" applyFill="1" applyAlignment="1">
      <alignment horizontal="center" wrapText="1"/>
    </xf>
    <xf numFmtId="0" fontId="61" fillId="0" borderId="0" xfId="0" applyFont="1" applyAlignment="1">
      <alignment wrapText="1"/>
    </xf>
    <xf numFmtId="10" fontId="13" fillId="70" borderId="0" xfId="0" applyNumberFormat="1" applyFont="1" applyFill="1" applyBorder="1"/>
    <xf numFmtId="10" fontId="222" fillId="27" borderId="0" xfId="0" applyNumberFormat="1" applyFont="1" applyFill="1" applyBorder="1"/>
    <xf numFmtId="10" fontId="13" fillId="13" borderId="33" xfId="0" applyNumberFormat="1" applyFont="1" applyFill="1" applyBorder="1"/>
    <xf numFmtId="0" fontId="13" fillId="0" borderId="30" xfId="0" applyFont="1" applyBorder="1"/>
    <xf numFmtId="0" fontId="41" fillId="0" borderId="37" xfId="0" applyFont="1" applyFill="1" applyBorder="1" applyAlignment="1">
      <alignment horizontal="left"/>
    </xf>
    <xf numFmtId="3" fontId="41" fillId="13" borderId="7" xfId="0" applyNumberFormat="1" applyFont="1" applyFill="1" applyBorder="1" applyAlignment="1">
      <alignment horizontal="right"/>
    </xf>
    <xf numFmtId="0" fontId="13" fillId="13" borderId="7" xfId="0" applyFont="1" applyFill="1" applyBorder="1"/>
    <xf numFmtId="0" fontId="13" fillId="0" borderId="0" xfId="0" applyFont="1" applyBorder="1" applyAlignment="1">
      <alignment horizontal="center"/>
    </xf>
    <xf numFmtId="0" fontId="13" fillId="0" borderId="0" xfId="0" applyFont="1" applyBorder="1"/>
    <xf numFmtId="0" fontId="13" fillId="0" borderId="7" xfId="0" applyFont="1" applyBorder="1"/>
    <xf numFmtId="167" fontId="122" fillId="0" borderId="0" xfId="2" applyNumberFormat="1" applyFont="1" applyFill="1"/>
    <xf numFmtId="166" fontId="122" fillId="0" borderId="0" xfId="1" applyFont="1" applyFill="1"/>
    <xf numFmtId="164" fontId="122" fillId="0" borderId="0" xfId="0" applyNumberFormat="1" applyFont="1" applyFill="1"/>
    <xf numFmtId="0" fontId="122" fillId="0" borderId="0" xfId="0" applyFont="1" applyFill="1"/>
    <xf numFmtId="166" fontId="96" fillId="0" borderId="0" xfId="1" applyFont="1" applyFill="1"/>
    <xf numFmtId="9" fontId="122" fillId="0" borderId="0" xfId="2" applyFont="1" applyFill="1"/>
    <xf numFmtId="43" fontId="96" fillId="0" borderId="0" xfId="0" applyNumberFormat="1" applyFont="1" applyFill="1"/>
    <xf numFmtId="9" fontId="96" fillId="0" borderId="0" xfId="2" applyFont="1" applyFill="1"/>
    <xf numFmtId="0" fontId="17" fillId="0" borderId="35" xfId="0" applyFont="1" applyBorder="1" applyAlignment="1">
      <alignment horizontal="center" vertical="center" wrapText="1"/>
    </xf>
    <xf numFmtId="0" fontId="229" fillId="14" borderId="0" xfId="0" applyFont="1" applyFill="1" applyAlignment="1">
      <alignment horizontal="center" vertical="center" wrapText="1"/>
    </xf>
    <xf numFmtId="171" fontId="7" fillId="16" borderId="0" xfId="0" applyNumberFormat="1" applyFont="1" applyFill="1" applyBorder="1" applyAlignment="1">
      <alignment horizontal="left" vertical="center" wrapText="1"/>
    </xf>
    <xf numFmtId="0" fontId="7" fillId="0" borderId="0" xfId="0" applyFont="1" applyBorder="1" applyAlignment="1">
      <alignment horizontal="center" vertical="center" wrapText="1"/>
    </xf>
    <xf numFmtId="0" fontId="128" fillId="7" borderId="34" xfId="0" applyFont="1" applyFill="1" applyBorder="1" applyAlignment="1">
      <alignment horizontal="left" vertical="center" wrapText="1"/>
    </xf>
    <xf numFmtId="166" fontId="61" fillId="0" borderId="25" xfId="1" applyFont="1" applyFill="1" applyBorder="1" applyAlignment="1">
      <alignment horizontal="center" vertical="center"/>
    </xf>
    <xf numFmtId="0" fontId="25" fillId="70" borderId="0" xfId="0" applyFont="1" applyFill="1" applyBorder="1" applyAlignment="1">
      <alignment horizontal="center" vertical="center" wrapText="1"/>
    </xf>
    <xf numFmtId="1" fontId="30" fillId="3" borderId="0" xfId="0" applyNumberFormat="1" applyFont="1" applyFill="1" applyBorder="1" applyAlignment="1">
      <alignment horizontal="center" vertical="center" wrapText="1"/>
    </xf>
    <xf numFmtId="1" fontId="63" fillId="3" borderId="0" xfId="0" applyNumberFormat="1" applyFont="1" applyFill="1" applyBorder="1" applyAlignment="1">
      <alignment horizontal="center" vertical="center" wrapText="1"/>
    </xf>
    <xf numFmtId="171" fontId="24" fillId="3" borderId="0" xfId="0" applyNumberFormat="1" applyFont="1" applyFill="1" applyBorder="1" applyAlignment="1">
      <alignment horizontal="center"/>
    </xf>
    <xf numFmtId="166" fontId="63" fillId="84" borderId="25" xfId="1" applyFont="1" applyFill="1" applyBorder="1" applyAlignment="1">
      <alignment horizontal="center" vertical="center"/>
    </xf>
    <xf numFmtId="0" fontId="63" fillId="0" borderId="27" xfId="0" applyFont="1" applyBorder="1" applyAlignment="1">
      <alignment horizontal="left" vertical="center" wrapText="1"/>
    </xf>
    <xf numFmtId="0" fontId="63" fillId="0" borderId="27" xfId="0" applyFont="1" applyBorder="1" applyAlignment="1">
      <alignment vertical="center"/>
    </xf>
    <xf numFmtId="166" fontId="63" fillId="16" borderId="27" xfId="1" applyFont="1" applyFill="1" applyBorder="1" applyAlignment="1">
      <alignment horizontal="center" vertical="center"/>
    </xf>
    <xf numFmtId="166" fontId="63" fillId="71" borderId="25" xfId="1" applyFont="1" applyFill="1" applyBorder="1" applyAlignment="1">
      <alignment horizontal="center" vertical="center"/>
    </xf>
    <xf numFmtId="0" fontId="63" fillId="0" borderId="66" xfId="0" applyFont="1" applyBorder="1" applyAlignment="1">
      <alignment horizontal="center" vertical="center" wrapText="1"/>
    </xf>
    <xf numFmtId="0" fontId="63" fillId="0" borderId="34" xfId="0" applyFont="1" applyBorder="1" applyAlignment="1">
      <alignment horizontal="right" vertical="center" wrapText="1"/>
    </xf>
    <xf numFmtId="166" fontId="63" fillId="0" borderId="25" xfId="1" applyFont="1" applyFill="1" applyBorder="1" applyAlignment="1">
      <alignment horizontal="center" vertical="center"/>
    </xf>
    <xf numFmtId="166" fontId="63" fillId="15" borderId="25" xfId="1" applyFont="1" applyFill="1" applyBorder="1" applyAlignment="1">
      <alignment horizontal="center" vertical="center"/>
    </xf>
    <xf numFmtId="166" fontId="63" fillId="12" borderId="25" xfId="1" applyFont="1" applyFill="1" applyBorder="1" applyAlignment="1">
      <alignment horizontal="center" vertical="center"/>
    </xf>
    <xf numFmtId="166" fontId="63" fillId="83" borderId="25" xfId="1" applyFont="1" applyFill="1" applyBorder="1" applyAlignment="1">
      <alignment horizontal="center" vertical="center"/>
    </xf>
    <xf numFmtId="0" fontId="61" fillId="0" borderId="83" xfId="0" applyFont="1" applyFill="1" applyBorder="1" applyAlignment="1">
      <alignment horizontal="center" vertical="center"/>
    </xf>
    <xf numFmtId="0" fontId="30" fillId="14" borderId="42" xfId="0" applyFont="1" applyFill="1" applyBorder="1" applyAlignment="1">
      <alignment horizontal="center" vertical="center"/>
    </xf>
    <xf numFmtId="3" fontId="61" fillId="14" borderId="13" xfId="0" applyNumberFormat="1" applyFont="1" applyFill="1" applyBorder="1" applyAlignment="1">
      <alignment horizontal="center" vertical="center"/>
    </xf>
    <xf numFmtId="167" fontId="61" fillId="14" borderId="13" xfId="2" applyNumberFormat="1" applyFont="1" applyFill="1" applyBorder="1" applyAlignment="1">
      <alignment horizontal="center" vertical="center"/>
    </xf>
    <xf numFmtId="168" fontId="61" fillId="14" borderId="25" xfId="1" applyNumberFormat="1" applyFont="1" applyFill="1" applyBorder="1" applyAlignment="1">
      <alignment horizontal="center" vertical="center"/>
    </xf>
    <xf numFmtId="166" fontId="61" fillId="14" borderId="13" xfId="1" applyFont="1" applyFill="1" applyBorder="1" applyAlignment="1">
      <alignment horizontal="center" vertical="center"/>
    </xf>
    <xf numFmtId="0" fontId="30" fillId="14" borderId="54" xfId="0" applyFont="1" applyFill="1" applyBorder="1" applyAlignment="1">
      <alignment horizontal="center" vertical="center"/>
    </xf>
    <xf numFmtId="165" fontId="63" fillId="14" borderId="0" xfId="3" applyFont="1" applyFill="1" applyBorder="1" applyAlignment="1">
      <alignment horizontal="center" vertical="center"/>
    </xf>
    <xf numFmtId="180" fontId="61" fillId="14" borderId="25" xfId="3" applyNumberFormat="1" applyFont="1" applyFill="1" applyBorder="1" applyAlignment="1">
      <alignment horizontal="center" vertical="center"/>
    </xf>
    <xf numFmtId="180" fontId="61" fillId="14" borderId="262" xfId="3" applyNumberFormat="1" applyFont="1" applyFill="1" applyBorder="1" applyAlignment="1">
      <alignment horizontal="center" vertical="center"/>
    </xf>
    <xf numFmtId="2" fontId="63" fillId="14" borderId="0" xfId="0" applyNumberFormat="1" applyFont="1" applyFill="1" applyBorder="1" applyAlignment="1">
      <alignment horizontal="center" vertical="center"/>
    </xf>
    <xf numFmtId="2" fontId="61" fillId="14" borderId="25" xfId="0" applyNumberFormat="1" applyFont="1" applyFill="1" applyBorder="1" applyAlignment="1">
      <alignment horizontal="center" vertical="center"/>
    </xf>
    <xf numFmtId="2" fontId="61" fillId="14" borderId="34" xfId="0" applyNumberFormat="1" applyFont="1" applyFill="1" applyBorder="1" applyAlignment="1">
      <alignment horizontal="center" vertical="center"/>
    </xf>
    <xf numFmtId="183" fontId="30" fillId="14" borderId="54" xfId="0" applyNumberFormat="1" applyFont="1" applyFill="1" applyBorder="1" applyAlignment="1">
      <alignment horizontal="center" vertical="center"/>
    </xf>
    <xf numFmtId="0" fontId="30" fillId="14" borderId="34" xfId="0" applyFont="1" applyFill="1" applyBorder="1" applyAlignment="1">
      <alignment horizontal="center" vertical="center"/>
    </xf>
    <xf numFmtId="168" fontId="99" fillId="14" borderId="25" xfId="1" applyNumberFormat="1" applyFont="1" applyFill="1" applyBorder="1" applyAlignment="1">
      <alignment horizontal="center" vertical="center"/>
    </xf>
    <xf numFmtId="168" fontId="73" fillId="14" borderId="25" xfId="1" applyNumberFormat="1" applyFont="1" applyFill="1" applyBorder="1" applyAlignment="1">
      <alignment horizontal="center" vertical="center"/>
    </xf>
    <xf numFmtId="168" fontId="61" fillId="14" borderId="57" xfId="1" applyNumberFormat="1" applyFont="1" applyFill="1" applyBorder="1" applyAlignment="1">
      <alignment horizontal="center" vertical="center"/>
    </xf>
    <xf numFmtId="9" fontId="61" fillId="14" borderId="0" xfId="2" applyFont="1" applyFill="1" applyBorder="1" applyAlignment="1">
      <alignment horizontal="center" vertical="center"/>
    </xf>
    <xf numFmtId="0" fontId="30" fillId="71" borderId="53" xfId="0" applyFont="1" applyFill="1" applyBorder="1" applyAlignment="1">
      <alignment horizontal="left" vertical="center" wrapText="1"/>
    </xf>
    <xf numFmtId="3" fontId="61" fillId="70" borderId="13" xfId="0" applyNumberFormat="1" applyFont="1" applyFill="1" applyBorder="1" applyAlignment="1">
      <alignment horizontal="right" vertical="center"/>
    </xf>
    <xf numFmtId="10" fontId="61" fillId="70" borderId="13" xfId="2" applyNumberFormat="1" applyFont="1" applyFill="1" applyBorder="1" applyAlignment="1">
      <alignment horizontal="center" vertical="center"/>
    </xf>
    <xf numFmtId="3" fontId="30" fillId="70" borderId="13" xfId="0" applyNumberFormat="1" applyFont="1" applyFill="1" applyBorder="1" applyAlignment="1">
      <alignment horizontal="center" vertical="center"/>
    </xf>
    <xf numFmtId="168" fontId="61" fillId="28" borderId="25" xfId="1" applyNumberFormat="1" applyFont="1" applyFill="1" applyBorder="1" applyAlignment="1">
      <alignment vertical="top" wrapText="1"/>
    </xf>
    <xf numFmtId="0" fontId="61" fillId="28" borderId="25" xfId="0" applyFont="1" applyFill="1" applyBorder="1" applyAlignment="1">
      <alignment horizontal="center" vertical="center"/>
    </xf>
    <xf numFmtId="10" fontId="30" fillId="28" borderId="27" xfId="2" applyNumberFormat="1" applyFont="1" applyFill="1" applyBorder="1" applyAlignment="1">
      <alignment horizontal="center" vertical="center"/>
    </xf>
    <xf numFmtId="0" fontId="30" fillId="28" borderId="0" xfId="0" applyFont="1" applyFill="1" applyAlignment="1">
      <alignment vertical="center"/>
    </xf>
    <xf numFmtId="3" fontId="61" fillId="14" borderId="27" xfId="0" applyNumberFormat="1" applyFont="1" applyFill="1" applyBorder="1" applyAlignment="1">
      <alignment horizontal="center" vertical="center"/>
    </xf>
    <xf numFmtId="167" fontId="61" fillId="14" borderId="57" xfId="2" applyNumberFormat="1" applyFont="1" applyFill="1" applyBorder="1" applyAlignment="1">
      <alignment horizontal="center" vertical="center"/>
    </xf>
    <xf numFmtId="17" fontId="0" fillId="108" borderId="0" xfId="0" applyNumberFormat="1" applyFill="1" applyAlignment="1">
      <alignment horizontal="center" vertical="center" wrapText="1"/>
    </xf>
    <xf numFmtId="0" fontId="0" fillId="27" borderId="13" xfId="0" applyFill="1" applyBorder="1" applyAlignment="1">
      <alignment horizontal="center" vertical="center" wrapText="1"/>
    </xf>
    <xf numFmtId="0" fontId="0" fillId="0" borderId="13" xfId="0" applyBorder="1" applyAlignment="1">
      <alignment horizontal="center" vertical="center" wrapText="1"/>
    </xf>
    <xf numFmtId="166" fontId="0" fillId="0" borderId="13" xfId="1" applyFont="1" applyBorder="1" applyAlignment="1">
      <alignment horizontal="center" vertical="center" wrapText="1"/>
    </xf>
    <xf numFmtId="165" fontId="0" fillId="0" borderId="13" xfId="3" applyFont="1" applyBorder="1" applyAlignment="1">
      <alignment horizontal="center" vertical="center" wrapText="1"/>
    </xf>
    <xf numFmtId="0" fontId="0" fillId="0" borderId="382" xfId="0" applyBorder="1" applyAlignment="1">
      <alignment horizontal="center" vertical="center" wrapText="1"/>
    </xf>
    <xf numFmtId="9" fontId="0" fillId="0" borderId="382" xfId="2" applyFont="1" applyBorder="1" applyAlignment="1">
      <alignment horizontal="center" vertical="center" wrapText="1"/>
    </xf>
    <xf numFmtId="166" fontId="0" fillId="0" borderId="382" xfId="1" applyFont="1" applyBorder="1" applyAlignment="1">
      <alignment horizontal="center" vertical="center" wrapText="1"/>
    </xf>
    <xf numFmtId="165" fontId="0" fillId="0" borderId="382" xfId="3" applyFont="1" applyBorder="1" applyAlignment="1">
      <alignment horizontal="center" vertical="center" wrapText="1"/>
    </xf>
    <xf numFmtId="0" fontId="26" fillId="0" borderId="20" xfId="0" applyFont="1" applyBorder="1" applyAlignment="1">
      <alignment horizontal="center" vertical="center" wrapText="1"/>
    </xf>
    <xf numFmtId="9" fontId="26" fillId="0" borderId="20" xfId="2" applyFont="1" applyBorder="1" applyAlignment="1">
      <alignment horizontal="center" vertical="center" wrapText="1"/>
    </xf>
    <xf numFmtId="166" fontId="26" fillId="0" borderId="20" xfId="1" applyFont="1" applyBorder="1" applyAlignment="1">
      <alignment horizontal="center" vertical="center" wrapText="1"/>
    </xf>
    <xf numFmtId="165" fontId="26" fillId="0" borderId="20" xfId="3" applyFont="1" applyBorder="1" applyAlignment="1">
      <alignment horizontal="center" vertical="center" wrapText="1"/>
    </xf>
    <xf numFmtId="168" fontId="61" fillId="31" borderId="367" xfId="1" applyNumberFormat="1" applyFont="1" applyFill="1" applyBorder="1"/>
    <xf numFmtId="168" fontId="61" fillId="0" borderId="4" xfId="1" applyNumberFormat="1" applyFont="1" applyFill="1" applyBorder="1"/>
    <xf numFmtId="168" fontId="61" fillId="27" borderId="4" xfId="1" applyNumberFormat="1" applyFont="1" applyFill="1" applyBorder="1"/>
    <xf numFmtId="168" fontId="61" fillId="27" borderId="0" xfId="1" applyNumberFormat="1" applyFont="1" applyFill="1" applyBorder="1"/>
    <xf numFmtId="168" fontId="61" fillId="117" borderId="0" xfId="1" applyNumberFormat="1" applyFont="1" applyFill="1" applyBorder="1"/>
    <xf numFmtId="0" fontId="143" fillId="3" borderId="0" xfId="0" applyFont="1" applyFill="1" applyBorder="1" applyAlignment="1">
      <alignment horizontal="center" vertical="center" wrapText="1"/>
    </xf>
    <xf numFmtId="2" fontId="38" fillId="3" borderId="0" xfId="0" applyNumberFormat="1" applyFont="1" applyFill="1" applyBorder="1" applyAlignment="1">
      <alignment wrapText="1"/>
    </xf>
    <xf numFmtId="0" fontId="0" fillId="0" borderId="0" xfId="0" applyAlignment="1">
      <alignment horizontal="center"/>
    </xf>
    <xf numFmtId="0" fontId="5" fillId="0" borderId="0" xfId="0" applyFont="1" applyAlignment="1">
      <alignment horizontal="left" vertical="center" wrapText="1"/>
    </xf>
    <xf numFmtId="0" fontId="19" fillId="0" borderId="0" xfId="0" applyFont="1"/>
    <xf numFmtId="0" fontId="19" fillId="0" borderId="0" xfId="0" applyFont="1" applyFill="1" applyAlignment="1">
      <alignment wrapText="1"/>
    </xf>
    <xf numFmtId="0" fontId="19" fillId="0" borderId="0" xfId="0" applyFont="1" applyFill="1" applyAlignment="1">
      <alignment horizontal="left" vertical="center" wrapText="1"/>
    </xf>
    <xf numFmtId="168" fontId="17" fillId="116" borderId="13" xfId="0" applyNumberFormat="1" applyFont="1" applyFill="1" applyBorder="1" applyAlignment="1">
      <alignment horizontal="center" vertical="center" wrapText="1"/>
    </xf>
    <xf numFmtId="0" fontId="12" fillId="0" borderId="0" xfId="0" applyFont="1" applyAlignment="1">
      <alignment wrapText="1"/>
    </xf>
    <xf numFmtId="9" fontId="12" fillId="0" borderId="89" xfId="0" applyNumberFormat="1" applyFont="1" applyBorder="1" applyAlignment="1">
      <alignment horizontal="center" vertical="center"/>
    </xf>
    <xf numFmtId="9" fontId="12" fillId="0" borderId="89" xfId="0" applyNumberFormat="1" applyFont="1" applyFill="1" applyBorder="1" applyAlignment="1">
      <alignment horizontal="center" vertical="center"/>
    </xf>
    <xf numFmtId="1" fontId="28" fillId="13" borderId="51" xfId="0" applyNumberFormat="1" applyFont="1" applyFill="1" applyBorder="1" applyAlignment="1">
      <alignment horizontal="center" vertical="center"/>
    </xf>
    <xf numFmtId="10" fontId="20" fillId="87" borderId="51" xfId="0" applyNumberFormat="1" applyFont="1" applyFill="1" applyBorder="1" applyAlignment="1">
      <alignment horizontal="center" vertical="center"/>
    </xf>
    <xf numFmtId="0" fontId="5" fillId="16" borderId="0" xfId="0" applyFont="1" applyFill="1" applyAlignment="1">
      <alignment vertical="top" wrapText="1"/>
    </xf>
    <xf numFmtId="0" fontId="128" fillId="13" borderId="256" xfId="0" applyNumberFormat="1" applyFont="1" applyFill="1" applyBorder="1" applyAlignment="1">
      <alignment horizontal="center"/>
    </xf>
    <xf numFmtId="0" fontId="26" fillId="70" borderId="0" xfId="0" applyFont="1" applyFill="1" applyAlignment="1">
      <alignment horizontal="left" indent="1"/>
    </xf>
    <xf numFmtId="0" fontId="26" fillId="70" borderId="0" xfId="0" applyNumberFormat="1" applyFont="1" applyFill="1" applyAlignment="1">
      <alignment horizontal="center"/>
    </xf>
    <xf numFmtId="168" fontId="5" fillId="16" borderId="13" xfId="1" applyNumberFormat="1" applyFont="1" applyFill="1" applyBorder="1"/>
    <xf numFmtId="168" fontId="17" fillId="13" borderId="13" xfId="1" applyNumberFormat="1" applyFont="1" applyFill="1" applyBorder="1"/>
    <xf numFmtId="0" fontId="176" fillId="0" borderId="13" xfId="0" applyFont="1" applyBorder="1" applyAlignment="1">
      <alignment horizontal="center" wrapText="1"/>
    </xf>
    <xf numFmtId="0" fontId="176" fillId="0" borderId="0" xfId="0" applyFont="1" applyAlignment="1">
      <alignment wrapText="1"/>
    </xf>
    <xf numFmtId="0" fontId="175" fillId="0" borderId="0" xfId="0" applyFont="1"/>
    <xf numFmtId="166" fontId="61" fillId="13" borderId="0" xfId="1" applyFont="1" applyFill="1"/>
    <xf numFmtId="0" fontId="61" fillId="0" borderId="33" xfId="0" applyFont="1" applyBorder="1" applyAlignment="1">
      <alignment horizontal="center"/>
    </xf>
    <xf numFmtId="0" fontId="26" fillId="27" borderId="35" xfId="0" applyFont="1" applyFill="1" applyBorder="1" applyAlignment="1">
      <alignment horizontal="center" vertical="center" wrapText="1"/>
    </xf>
    <xf numFmtId="0" fontId="0" fillId="27" borderId="29" xfId="0" applyFill="1" applyBorder="1" applyAlignment="1">
      <alignment wrapText="1"/>
    </xf>
    <xf numFmtId="0" fontId="0" fillId="27" borderId="30" xfId="0" applyFill="1" applyBorder="1" applyAlignment="1">
      <alignment wrapText="1"/>
    </xf>
    <xf numFmtId="0" fontId="5" fillId="0" borderId="37" xfId="0" applyFont="1" applyBorder="1" applyAlignment="1">
      <alignment wrapText="1"/>
    </xf>
    <xf numFmtId="0" fontId="5" fillId="0" borderId="0" xfId="0" applyFont="1" applyBorder="1" applyAlignment="1">
      <alignment wrapText="1"/>
    </xf>
    <xf numFmtId="0" fontId="5" fillId="0" borderId="23" xfId="0" applyFont="1" applyBorder="1" applyAlignment="1">
      <alignment wrapText="1"/>
    </xf>
    <xf numFmtId="0" fontId="5" fillId="0" borderId="7" xfId="0" applyFont="1" applyBorder="1" applyAlignment="1">
      <alignment wrapText="1"/>
    </xf>
    <xf numFmtId="0" fontId="5" fillId="107" borderId="37" xfId="0" applyFont="1" applyFill="1" applyBorder="1" applyAlignment="1">
      <alignment wrapText="1"/>
    </xf>
    <xf numFmtId="3" fontId="5" fillId="107" borderId="0" xfId="0" applyNumberFormat="1" applyFont="1" applyFill="1" applyBorder="1" applyAlignment="1">
      <alignment wrapText="1"/>
    </xf>
    <xf numFmtId="9" fontId="28" fillId="107" borderId="0" xfId="2" applyFont="1" applyFill="1" applyBorder="1" applyAlignment="1">
      <alignment horizontal="center" vertical="center" wrapText="1"/>
    </xf>
    <xf numFmtId="3" fontId="5" fillId="107" borderId="23" xfId="0" applyNumberFormat="1" applyFont="1" applyFill="1" applyBorder="1" applyAlignment="1">
      <alignment wrapText="1"/>
    </xf>
    <xf numFmtId="9" fontId="28" fillId="107" borderId="7" xfId="2" applyFont="1" applyFill="1" applyBorder="1" applyAlignment="1">
      <alignment horizontal="center" vertical="center" wrapText="1"/>
    </xf>
    <xf numFmtId="0" fontId="5" fillId="14" borderId="40" xfId="0" applyFont="1" applyFill="1" applyBorder="1" applyAlignment="1">
      <alignment wrapText="1"/>
    </xf>
    <xf numFmtId="3" fontId="5" fillId="14" borderId="33" xfId="0" applyNumberFormat="1" applyFont="1" applyFill="1" applyBorder="1" applyAlignment="1">
      <alignment wrapText="1"/>
    </xf>
    <xf numFmtId="9" fontId="28" fillId="14" borderId="33" xfId="2" applyFont="1" applyFill="1" applyBorder="1" applyAlignment="1">
      <alignment horizontal="center" vertical="center" wrapText="1"/>
    </xf>
    <xf numFmtId="3" fontId="5" fillId="14" borderId="253" xfId="0" applyNumberFormat="1" applyFont="1" applyFill="1" applyBorder="1" applyAlignment="1">
      <alignment wrapText="1"/>
    </xf>
    <xf numFmtId="9" fontId="28" fillId="14" borderId="9" xfId="2" applyFont="1" applyFill="1" applyBorder="1" applyAlignment="1">
      <alignment horizontal="center" vertical="center" wrapText="1"/>
    </xf>
    <xf numFmtId="0" fontId="17" fillId="27" borderId="37" xfId="0" applyFont="1" applyFill="1" applyBorder="1" applyAlignment="1">
      <alignment horizontal="center" vertical="center" wrapText="1"/>
    </xf>
    <xf numFmtId="0" fontId="5" fillId="27" borderId="37" xfId="0" applyFont="1" applyFill="1" applyBorder="1" applyAlignment="1">
      <alignment wrapText="1"/>
    </xf>
    <xf numFmtId="0" fontId="5" fillId="27" borderId="0" xfId="0" applyFont="1" applyFill="1" applyBorder="1" applyAlignment="1">
      <alignment wrapText="1"/>
    </xf>
    <xf numFmtId="0" fontId="5" fillId="27" borderId="23" xfId="0" applyFont="1" applyFill="1" applyBorder="1" applyAlignment="1">
      <alignment wrapText="1"/>
    </xf>
    <xf numFmtId="0" fontId="5" fillId="27" borderId="7" xfId="0" applyFont="1" applyFill="1" applyBorder="1" applyAlignment="1">
      <alignment wrapText="1"/>
    </xf>
    <xf numFmtId="3" fontId="5" fillId="27" borderId="0" xfId="0" applyNumberFormat="1" applyFont="1" applyFill="1" applyBorder="1" applyAlignment="1">
      <alignment wrapText="1"/>
    </xf>
    <xf numFmtId="9" fontId="28" fillId="27" borderId="0" xfId="2" applyNumberFormat="1" applyFont="1" applyFill="1" applyBorder="1" applyAlignment="1">
      <alignment horizontal="center" vertical="center" wrapText="1"/>
    </xf>
    <xf numFmtId="3" fontId="5" fillId="27" borderId="23" xfId="0" applyNumberFormat="1" applyFont="1" applyFill="1" applyBorder="1" applyAlignment="1">
      <alignment wrapText="1"/>
    </xf>
    <xf numFmtId="9" fontId="28" fillId="27" borderId="7" xfId="2" applyFont="1" applyFill="1" applyBorder="1" applyAlignment="1">
      <alignment horizontal="center" vertical="center" wrapText="1"/>
    </xf>
    <xf numFmtId="1" fontId="5" fillId="27" borderId="0" xfId="0" applyNumberFormat="1" applyFont="1" applyFill="1" applyBorder="1" applyAlignment="1">
      <alignment wrapText="1"/>
    </xf>
    <xf numFmtId="0" fontId="5" fillId="27" borderId="40" xfId="0" applyFont="1" applyFill="1" applyBorder="1" applyAlignment="1">
      <alignment wrapText="1"/>
    </xf>
    <xf numFmtId="3" fontId="5" fillId="27" borderId="33" xfId="0" applyNumberFormat="1" applyFont="1" applyFill="1" applyBorder="1" applyAlignment="1">
      <alignment wrapText="1"/>
    </xf>
    <xf numFmtId="9" fontId="28" fillId="27" borderId="33" xfId="2" applyFont="1" applyFill="1" applyBorder="1" applyAlignment="1">
      <alignment horizontal="center" vertical="center" wrapText="1"/>
    </xf>
    <xf numFmtId="3" fontId="5" fillId="27" borderId="253" xfId="0" applyNumberFormat="1" applyFont="1" applyFill="1" applyBorder="1" applyAlignment="1">
      <alignment wrapText="1"/>
    </xf>
    <xf numFmtId="9" fontId="28" fillId="27" borderId="9" xfId="2" applyFont="1" applyFill="1" applyBorder="1" applyAlignment="1">
      <alignment horizontal="center" vertical="center" wrapText="1"/>
    </xf>
    <xf numFmtId="0" fontId="128" fillId="0" borderId="0" xfId="0" applyFont="1" applyAlignment="1"/>
    <xf numFmtId="0" fontId="232" fillId="14" borderId="40" xfId="0" applyFont="1" applyFill="1" applyBorder="1" applyAlignment="1">
      <alignment horizontal="center" vertical="center" wrapText="1"/>
    </xf>
    <xf numFmtId="0" fontId="231" fillId="14" borderId="0" xfId="0" applyFont="1" applyFill="1" applyAlignment="1">
      <alignment horizontal="center" vertical="center" wrapText="1"/>
    </xf>
    <xf numFmtId="0" fontId="26" fillId="0" borderId="83" xfId="0" applyFont="1" applyFill="1" applyBorder="1" applyAlignment="1">
      <alignment horizontal="center" vertical="center" wrapText="1"/>
    </xf>
    <xf numFmtId="0" fontId="26" fillId="0" borderId="53" xfId="0" applyFont="1" applyFill="1" applyBorder="1" applyAlignment="1">
      <alignment horizontal="center" vertical="center" wrapText="1"/>
    </xf>
    <xf numFmtId="0" fontId="20" fillId="0" borderId="49" xfId="0" applyFont="1" applyFill="1" applyBorder="1" applyAlignment="1">
      <alignment horizontal="center" vertical="center" wrapText="1"/>
    </xf>
    <xf numFmtId="0" fontId="20" fillId="0" borderId="50" xfId="0" applyFont="1" applyFill="1" applyBorder="1" applyAlignment="1">
      <alignment horizontal="center" vertical="center" wrapText="1"/>
    </xf>
    <xf numFmtId="0" fontId="12" fillId="0" borderId="83" xfId="0" applyFont="1" applyFill="1" applyBorder="1" applyAlignment="1">
      <alignment horizontal="center" vertical="center" wrapText="1"/>
    </xf>
    <xf numFmtId="0" fontId="0" fillId="0" borderId="0" xfId="0" applyFill="1" applyBorder="1" applyAlignment="1">
      <alignment horizontal="center" vertical="center" wrapText="1"/>
    </xf>
    <xf numFmtId="0" fontId="0" fillId="0" borderId="0" xfId="0" applyFill="1" applyAlignment="1">
      <alignment horizontal="center" vertical="center" wrapText="1"/>
    </xf>
    <xf numFmtId="0" fontId="26" fillId="0" borderId="44" xfId="0" applyFont="1" applyFill="1" applyBorder="1" applyAlignment="1">
      <alignment horizontal="center" vertical="center" wrapText="1"/>
    </xf>
    <xf numFmtId="168" fontId="12" fillId="0" borderId="20" xfId="14" applyNumberFormat="1" applyFont="1" applyFill="1" applyBorder="1" applyAlignment="1">
      <alignment horizontal="center" vertical="center" wrapText="1"/>
    </xf>
    <xf numFmtId="0" fontId="0" fillId="0" borderId="0" xfId="0" applyFont="1" applyFill="1" applyAlignment="1">
      <alignment vertical="center" wrapText="1"/>
    </xf>
    <xf numFmtId="0" fontId="30" fillId="0" borderId="44" xfId="0" applyFont="1" applyFill="1" applyBorder="1" applyAlignment="1">
      <alignment horizontal="center" vertical="center" wrapText="1"/>
    </xf>
    <xf numFmtId="168" fontId="11" fillId="0" borderId="13" xfId="1" applyNumberFormat="1" applyFont="1" applyFill="1" applyBorder="1" applyAlignment="1">
      <alignment horizontal="center" vertical="center" wrapText="1"/>
    </xf>
    <xf numFmtId="9" fontId="11" fillId="0" borderId="45" xfId="2" applyFont="1" applyFill="1" applyBorder="1" applyAlignment="1">
      <alignment horizontal="center" vertical="center" wrapText="1"/>
    </xf>
    <xf numFmtId="9" fontId="61" fillId="0" borderId="45" xfId="2" applyFont="1" applyFill="1" applyBorder="1" applyAlignment="1">
      <alignment horizontal="center" vertical="center" wrapText="1"/>
    </xf>
    <xf numFmtId="0" fontId="232" fillId="14" borderId="9" xfId="0" applyFont="1" applyFill="1" applyBorder="1" applyAlignment="1">
      <alignment vertical="center" wrapText="1"/>
    </xf>
    <xf numFmtId="9" fontId="12" fillId="7" borderId="30" xfId="2" applyFont="1" applyFill="1" applyBorder="1" applyAlignment="1">
      <alignment vertical="center" wrapText="1"/>
    </xf>
    <xf numFmtId="0" fontId="26" fillId="0" borderId="13" xfId="0" applyFont="1" applyFill="1" applyBorder="1" applyAlignment="1">
      <alignment horizontal="center" vertical="center" wrapText="1"/>
    </xf>
    <xf numFmtId="0" fontId="26" fillId="0" borderId="45" xfId="0" applyFont="1" applyFill="1" applyBorder="1" applyAlignment="1">
      <alignment horizontal="center" vertical="center" wrapText="1"/>
    </xf>
    <xf numFmtId="168" fontId="230" fillId="14" borderId="381" xfId="1" applyNumberFormat="1" applyFont="1" applyFill="1" applyBorder="1" applyAlignment="1">
      <alignment horizontal="center" vertical="center" wrapText="1"/>
    </xf>
    <xf numFmtId="0" fontId="26" fillId="0" borderId="0" xfId="0" applyFont="1" applyFill="1" applyAlignment="1">
      <alignment horizontal="center" vertical="center" wrapText="1"/>
    </xf>
    <xf numFmtId="0" fontId="12" fillId="0" borderId="0" xfId="0" applyFont="1" applyFill="1" applyAlignment="1">
      <alignment vertical="center" wrapText="1"/>
    </xf>
    <xf numFmtId="0" fontId="0" fillId="0" borderId="0" xfId="0" applyFill="1" applyAlignment="1">
      <alignment vertical="center" wrapText="1"/>
    </xf>
    <xf numFmtId="9" fontId="0" fillId="0" borderId="0" xfId="2" applyFont="1" applyFill="1" applyBorder="1" applyAlignment="1">
      <alignment vertical="center" wrapText="1"/>
    </xf>
    <xf numFmtId="168" fontId="12" fillId="0" borderId="13" xfId="14" applyNumberFormat="1" applyFont="1" applyFill="1" applyBorder="1" applyAlignment="1">
      <alignment horizontal="center" vertical="center" wrapText="1"/>
    </xf>
    <xf numFmtId="0" fontId="26" fillId="0" borderId="318" xfId="0" applyFont="1" applyFill="1" applyBorder="1" applyAlignment="1">
      <alignment horizontal="center" vertical="center" wrapText="1"/>
    </xf>
    <xf numFmtId="168" fontId="12" fillId="0" borderId="17" xfId="14" applyNumberFormat="1" applyFont="1" applyFill="1" applyBorder="1" applyAlignment="1">
      <alignment horizontal="center" vertical="center" wrapText="1"/>
    </xf>
    <xf numFmtId="0" fontId="32" fillId="0" borderId="49" xfId="0" applyFont="1" applyFill="1" applyBorder="1" applyAlignment="1">
      <alignment horizontal="center" vertical="center" wrapText="1"/>
    </xf>
    <xf numFmtId="168" fontId="20" fillId="0" borderId="50" xfId="14" applyNumberFormat="1" applyFont="1" applyFill="1" applyBorder="1" applyAlignment="1">
      <alignment horizontal="center" vertical="center" wrapText="1"/>
    </xf>
    <xf numFmtId="168" fontId="20" fillId="7" borderId="50" xfId="14" applyNumberFormat="1" applyFont="1" applyFill="1" applyBorder="1" applyAlignment="1">
      <alignment horizontal="center" vertical="center" wrapText="1"/>
    </xf>
    <xf numFmtId="0" fontId="12" fillId="0" borderId="83" xfId="0" applyFont="1" applyFill="1" applyBorder="1" applyAlignment="1">
      <alignment vertical="center" wrapText="1"/>
    </xf>
    <xf numFmtId="168" fontId="26" fillId="0" borderId="49" xfId="14" applyNumberFormat="1" applyFont="1" applyFill="1" applyBorder="1" applyAlignment="1">
      <alignment horizontal="center" vertical="center" wrapText="1"/>
    </xf>
    <xf numFmtId="168" fontId="26" fillId="0" borderId="50" xfId="14" applyNumberFormat="1" applyFont="1" applyFill="1" applyBorder="1" applyAlignment="1">
      <alignment horizontal="center" vertical="center" wrapText="1"/>
    </xf>
    <xf numFmtId="168" fontId="26" fillId="7" borderId="50" xfId="14" applyNumberFormat="1" applyFont="1" applyFill="1" applyBorder="1" applyAlignment="1">
      <alignment horizontal="center" vertical="center" wrapText="1"/>
    </xf>
    <xf numFmtId="0" fontId="0" fillId="0" borderId="7" xfId="0" applyFill="1" applyBorder="1" applyAlignment="1">
      <alignment vertical="center" wrapText="1"/>
    </xf>
    <xf numFmtId="0" fontId="0" fillId="0" borderId="37" xfId="0" applyFill="1" applyBorder="1" applyAlignment="1">
      <alignment vertical="center" wrapText="1"/>
    </xf>
    <xf numFmtId="0" fontId="232" fillId="14" borderId="0" xfId="0" applyFont="1" applyFill="1" applyBorder="1" applyAlignment="1">
      <alignment vertical="center" wrapText="1"/>
    </xf>
    <xf numFmtId="168" fontId="232" fillId="14" borderId="34" xfId="14" applyNumberFormat="1" applyFont="1" applyFill="1" applyBorder="1" applyAlignment="1">
      <alignment vertical="center" wrapText="1"/>
    </xf>
    <xf numFmtId="0" fontId="232" fillId="14" borderId="7" xfId="0" applyFont="1" applyFill="1" applyBorder="1" applyAlignment="1">
      <alignment vertical="center" wrapText="1"/>
    </xf>
    <xf numFmtId="0" fontId="232" fillId="14" borderId="37" xfId="0" applyFont="1" applyFill="1" applyBorder="1" applyAlignment="1">
      <alignment vertical="center" wrapText="1"/>
    </xf>
    <xf numFmtId="168" fontId="229" fillId="14" borderId="34" xfId="14" applyNumberFormat="1" applyFont="1" applyFill="1" applyBorder="1" applyAlignment="1">
      <alignment vertical="center" wrapText="1"/>
    </xf>
    <xf numFmtId="0" fontId="229" fillId="14" borderId="7" xfId="0" applyFont="1" applyFill="1" applyBorder="1" applyAlignment="1">
      <alignment horizontal="center" vertical="center" wrapText="1"/>
    </xf>
    <xf numFmtId="0" fontId="0" fillId="0" borderId="40" xfId="0" applyFill="1" applyBorder="1" applyAlignment="1">
      <alignment vertical="center" wrapText="1"/>
    </xf>
    <xf numFmtId="0" fontId="12" fillId="0" borderId="33" xfId="0" applyFont="1" applyFill="1" applyBorder="1" applyAlignment="1">
      <alignment vertical="center" wrapText="1"/>
    </xf>
    <xf numFmtId="168" fontId="20" fillId="0" borderId="33" xfId="0" applyNumberFormat="1" applyFont="1" applyFill="1" applyBorder="1" applyAlignment="1">
      <alignment vertical="center" wrapText="1"/>
    </xf>
    <xf numFmtId="0" fontId="12" fillId="0" borderId="9" xfId="0" applyFont="1" applyFill="1" applyBorder="1" applyAlignment="1">
      <alignment vertical="center" wrapText="1"/>
    </xf>
    <xf numFmtId="0" fontId="0" fillId="0" borderId="40" xfId="0" applyFont="1" applyFill="1" applyBorder="1" applyAlignment="1">
      <alignment vertical="center" wrapText="1"/>
    </xf>
    <xf numFmtId="0" fontId="0" fillId="0" borderId="33" xfId="0" applyFont="1" applyFill="1" applyBorder="1" applyAlignment="1">
      <alignment vertical="center" wrapText="1"/>
    </xf>
    <xf numFmtId="168" fontId="26" fillId="0" borderId="33" xfId="0" applyNumberFormat="1" applyFont="1" applyFill="1" applyBorder="1" applyAlignment="1">
      <alignment vertical="center" wrapText="1"/>
    </xf>
    <xf numFmtId="0" fontId="0" fillId="0" borderId="9" xfId="0" applyFont="1" applyFill="1" applyBorder="1" applyAlignment="1">
      <alignment vertical="center" wrapText="1"/>
    </xf>
    <xf numFmtId="0" fontId="26" fillId="0" borderId="35" xfId="0" applyFont="1" applyFill="1" applyBorder="1" applyAlignment="1">
      <alignment horizontal="center" vertical="center" wrapText="1"/>
    </xf>
    <xf numFmtId="0" fontId="12" fillId="0" borderId="29" xfId="0" applyFont="1" applyFill="1" applyBorder="1" applyAlignment="1">
      <alignment vertical="center" wrapText="1"/>
    </xf>
    <xf numFmtId="0" fontId="12" fillId="0" borderId="30" xfId="0" applyFont="1" applyFill="1" applyBorder="1" applyAlignment="1">
      <alignment vertical="center" wrapText="1"/>
    </xf>
    <xf numFmtId="0" fontId="26" fillId="0" borderId="37" xfId="0" applyFont="1" applyFill="1" applyBorder="1" applyAlignment="1">
      <alignment horizontal="center" vertical="center" wrapText="1"/>
    </xf>
    <xf numFmtId="0" fontId="12" fillId="0" borderId="0" xfId="0" applyFont="1" applyFill="1" applyBorder="1" applyAlignment="1">
      <alignment vertical="center" wrapText="1"/>
    </xf>
    <xf numFmtId="0" fontId="12" fillId="0" borderId="7" xfId="0" applyFont="1" applyFill="1" applyBorder="1" applyAlignment="1">
      <alignment vertical="center" wrapText="1"/>
    </xf>
    <xf numFmtId="0" fontId="20" fillId="0" borderId="13" xfId="0" applyFont="1" applyFill="1" applyBorder="1" applyAlignment="1">
      <alignment horizontal="center" vertical="center" wrapText="1"/>
    </xf>
    <xf numFmtId="0" fontId="26" fillId="0" borderId="312" xfId="0" applyFont="1" applyFill="1" applyBorder="1" applyAlignment="1">
      <alignment horizontal="center" vertical="center" wrapText="1"/>
    </xf>
    <xf numFmtId="168" fontId="26" fillId="0" borderId="49" xfId="1" applyNumberFormat="1" applyFont="1" applyFill="1" applyBorder="1" applyAlignment="1">
      <alignment horizontal="center" vertical="center" wrapText="1"/>
    </xf>
    <xf numFmtId="168" fontId="26" fillId="0" borderId="50" xfId="1" applyNumberFormat="1" applyFont="1" applyFill="1" applyBorder="1" applyAlignment="1">
      <alignment horizontal="center" vertical="center" wrapText="1"/>
    </xf>
    <xf numFmtId="168" fontId="26" fillId="7" borderId="51" xfId="1" applyNumberFormat="1" applyFont="1" applyFill="1" applyBorder="1" applyAlignment="1">
      <alignment horizontal="center" vertical="center" wrapText="1"/>
    </xf>
    <xf numFmtId="0" fontId="26" fillId="0" borderId="83" xfId="0" applyFont="1" applyFill="1" applyBorder="1" applyAlignment="1">
      <alignment vertical="center" wrapText="1"/>
    </xf>
    <xf numFmtId="0" fontId="126" fillId="0" borderId="0" xfId="0" applyFont="1" applyFill="1" applyBorder="1" applyAlignment="1">
      <alignment horizontal="center" vertical="center" wrapText="1"/>
    </xf>
    <xf numFmtId="9" fontId="12" fillId="0" borderId="20" xfId="2" applyFont="1" applyFill="1" applyBorder="1" applyAlignment="1">
      <alignment horizontal="center" vertical="center" wrapText="1"/>
    </xf>
    <xf numFmtId="9" fontId="12" fillId="0" borderId="13" xfId="2" applyFont="1" applyFill="1" applyBorder="1" applyAlignment="1">
      <alignment horizontal="center" vertical="center" wrapText="1"/>
    </xf>
    <xf numFmtId="9" fontId="12" fillId="0" borderId="17" xfId="2" applyFont="1" applyFill="1" applyBorder="1" applyAlignment="1">
      <alignment horizontal="center" vertical="center" wrapText="1"/>
    </xf>
    <xf numFmtId="168" fontId="12" fillId="0" borderId="13" xfId="1" applyNumberFormat="1" applyFont="1" applyFill="1" applyBorder="1" applyAlignment="1">
      <alignment horizontal="center" vertical="center" wrapText="1"/>
    </xf>
    <xf numFmtId="0" fontId="232" fillId="14" borderId="0" xfId="0" applyFont="1" applyFill="1" applyAlignment="1">
      <alignment horizontal="center" vertical="center" wrapText="1"/>
    </xf>
    <xf numFmtId="168" fontId="232" fillId="14" borderId="13" xfId="1" applyNumberFormat="1" applyFont="1" applyFill="1" applyBorder="1" applyAlignment="1">
      <alignment horizontal="center" vertical="center" wrapText="1"/>
    </xf>
    <xf numFmtId="168" fontId="26" fillId="0" borderId="13" xfId="1" applyNumberFormat="1" applyFont="1" applyFill="1" applyBorder="1" applyAlignment="1">
      <alignment horizontal="center" vertical="center" wrapText="1"/>
    </xf>
    <xf numFmtId="168" fontId="230" fillId="14" borderId="13" xfId="1" applyNumberFormat="1" applyFont="1" applyFill="1" applyBorder="1" applyAlignment="1">
      <alignment horizontal="center" vertical="center" wrapText="1"/>
    </xf>
    <xf numFmtId="0" fontId="20" fillId="0" borderId="24" xfId="0" applyFont="1" applyFill="1" applyBorder="1" applyAlignment="1">
      <alignment horizontal="center" vertical="center" wrapText="1"/>
    </xf>
    <xf numFmtId="168" fontId="11" fillId="0" borderId="24" xfId="1" applyNumberFormat="1" applyFont="1" applyFill="1" applyBorder="1" applyAlignment="1">
      <alignment horizontal="center" vertical="center" wrapText="1"/>
    </xf>
    <xf numFmtId="0" fontId="20" fillId="0" borderId="43" xfId="0" applyFont="1" applyFill="1" applyBorder="1" applyAlignment="1">
      <alignment horizontal="center" vertical="center" wrapText="1"/>
    </xf>
    <xf numFmtId="0" fontId="232" fillId="14" borderId="381" xfId="0" applyFont="1" applyFill="1" applyBorder="1" applyAlignment="1">
      <alignment vertical="center" wrapText="1"/>
    </xf>
    <xf numFmtId="0" fontId="30" fillId="0" borderId="318" xfId="0" applyFont="1" applyFill="1" applyBorder="1" applyAlignment="1">
      <alignment horizontal="center" vertical="center" wrapText="1"/>
    </xf>
    <xf numFmtId="168" fontId="11" fillId="0" borderId="17" xfId="1" applyNumberFormat="1" applyFont="1" applyFill="1" applyBorder="1" applyAlignment="1">
      <alignment horizontal="center" vertical="center" wrapText="1"/>
    </xf>
    <xf numFmtId="168" fontId="11" fillId="0" borderId="36" xfId="1" applyNumberFormat="1" applyFont="1" applyFill="1" applyBorder="1" applyAlignment="1">
      <alignment horizontal="center" vertical="center" wrapText="1"/>
    </xf>
    <xf numFmtId="9" fontId="11" fillId="0" borderId="319" xfId="2" applyFont="1" applyFill="1" applyBorder="1" applyAlignment="1">
      <alignment horizontal="center" vertical="center" wrapText="1"/>
    </xf>
    <xf numFmtId="9" fontId="61" fillId="0" borderId="319" xfId="2" applyFont="1" applyFill="1" applyBorder="1" applyAlignment="1">
      <alignment horizontal="center" vertical="center" wrapText="1"/>
    </xf>
    <xf numFmtId="0" fontId="232" fillId="14" borderId="253" xfId="0" applyFont="1" applyFill="1" applyBorder="1" applyAlignment="1">
      <alignment horizontal="center" vertical="center" wrapText="1"/>
    </xf>
    <xf numFmtId="168" fontId="232" fillId="14" borderId="253" xfId="1" applyNumberFormat="1" applyFont="1" applyFill="1" applyBorder="1" applyAlignment="1">
      <alignment horizontal="center" vertical="center" wrapText="1"/>
    </xf>
    <xf numFmtId="0" fontId="235" fillId="14" borderId="40" xfId="0" applyFont="1" applyFill="1" applyBorder="1" applyAlignment="1">
      <alignment horizontal="center" vertical="center" wrapText="1"/>
    </xf>
    <xf numFmtId="0" fontId="235" fillId="14" borderId="253" xfId="0" applyFont="1" applyFill="1" applyBorder="1" applyAlignment="1">
      <alignment horizontal="center" vertical="center" wrapText="1"/>
    </xf>
    <xf numFmtId="0" fontId="230" fillId="14" borderId="8" xfId="0" applyFont="1" applyFill="1" applyBorder="1" applyAlignment="1">
      <alignment vertical="center" wrapText="1"/>
    </xf>
    <xf numFmtId="0" fontId="26" fillId="0" borderId="52" xfId="0" applyFont="1" applyFill="1" applyBorder="1" applyAlignment="1">
      <alignment horizontal="center" vertical="center" wrapText="1"/>
    </xf>
    <xf numFmtId="168" fontId="20" fillId="0" borderId="49" xfId="1" applyNumberFormat="1" applyFont="1" applyFill="1" applyBorder="1" applyAlignment="1">
      <alignment horizontal="center" vertical="center" wrapText="1"/>
    </xf>
    <xf numFmtId="168" fontId="20" fillId="0" borderId="50" xfId="1" applyNumberFormat="1" applyFont="1" applyFill="1" applyBorder="1" applyAlignment="1">
      <alignment horizontal="center" vertical="center" wrapText="1"/>
    </xf>
    <xf numFmtId="168" fontId="20" fillId="7" borderId="87" xfId="1" applyNumberFormat="1" applyFont="1" applyFill="1" applyBorder="1" applyAlignment="1">
      <alignment horizontal="center" vertical="center" wrapText="1"/>
    </xf>
    <xf numFmtId="0" fontId="12" fillId="0" borderId="51" xfId="0" applyFont="1" applyFill="1" applyBorder="1" applyAlignment="1">
      <alignment vertical="center" wrapText="1"/>
    </xf>
    <xf numFmtId="168" fontId="232" fillId="14" borderId="381" xfId="1" applyNumberFormat="1" applyFont="1" applyFill="1" applyBorder="1" applyAlignment="1">
      <alignment horizontal="center" vertical="center" wrapText="1"/>
    </xf>
    <xf numFmtId="9" fontId="0" fillId="7" borderId="43" xfId="2" applyFont="1" applyFill="1" applyBorder="1" applyAlignment="1">
      <alignment vertical="center" wrapText="1"/>
    </xf>
    <xf numFmtId="0" fontId="26" fillId="0" borderId="274" xfId="0" applyFont="1" applyFill="1" applyBorder="1" applyAlignment="1">
      <alignment horizontal="center" vertical="center" wrapText="1"/>
    </xf>
    <xf numFmtId="0" fontId="20" fillId="0" borderId="44" xfId="0" applyFont="1" applyFill="1" applyBorder="1" applyAlignment="1">
      <alignment horizontal="center" vertical="center" wrapText="1"/>
    </xf>
    <xf numFmtId="168" fontId="11" fillId="0" borderId="44" xfId="1" applyNumberFormat="1" applyFont="1" applyFill="1" applyBorder="1" applyAlignment="1">
      <alignment horizontal="center" vertical="center" wrapText="1"/>
    </xf>
    <xf numFmtId="0" fontId="12" fillId="0" borderId="52" xfId="0" applyFont="1" applyFill="1" applyBorder="1" applyAlignment="1">
      <alignment vertical="center" wrapText="1"/>
    </xf>
    <xf numFmtId="168" fontId="20" fillId="0" borderId="83" xfId="0" applyNumberFormat="1" applyFont="1" applyFill="1" applyBorder="1" applyAlignment="1">
      <alignment vertical="center" wrapText="1"/>
    </xf>
    <xf numFmtId="0" fontId="0" fillId="0" borderId="52" xfId="0" applyFont="1" applyFill="1" applyBorder="1" applyAlignment="1">
      <alignment horizontal="center" vertical="center" wrapText="1"/>
    </xf>
    <xf numFmtId="168" fontId="26" fillId="0" borderId="83" xfId="0" applyNumberFormat="1" applyFont="1" applyFill="1" applyBorder="1" applyAlignment="1">
      <alignment horizontal="center" vertical="center" wrapText="1"/>
    </xf>
    <xf numFmtId="0" fontId="12" fillId="0" borderId="52" xfId="0" applyFont="1" applyFill="1" applyBorder="1" applyAlignment="1">
      <alignment horizontal="center" vertical="center" wrapText="1"/>
    </xf>
    <xf numFmtId="168" fontId="20" fillId="0" borderId="83" xfId="0" applyNumberFormat="1" applyFont="1" applyFill="1" applyBorder="1" applyAlignment="1">
      <alignment horizontal="center" vertical="center" wrapText="1"/>
    </xf>
    <xf numFmtId="9" fontId="0" fillId="7" borderId="314" xfId="2" applyFont="1" applyFill="1" applyBorder="1" applyAlignment="1">
      <alignment vertical="center" wrapText="1"/>
    </xf>
    <xf numFmtId="0" fontId="0" fillId="0" borderId="51" xfId="0" applyFont="1" applyFill="1" applyBorder="1" applyAlignment="1">
      <alignment horizontal="center" vertical="center" wrapText="1"/>
    </xf>
    <xf numFmtId="9" fontId="26" fillId="78" borderId="48" xfId="2" applyFont="1" applyFill="1" applyBorder="1" applyAlignment="1">
      <alignment vertical="center" wrapText="1"/>
    </xf>
    <xf numFmtId="0" fontId="26" fillId="78" borderId="55" xfId="0" applyFont="1" applyFill="1" applyBorder="1" applyAlignment="1">
      <alignment vertical="center" wrapText="1"/>
    </xf>
    <xf numFmtId="3" fontId="131" fillId="70" borderId="127" xfId="67" applyNumberFormat="1" applyFont="1" applyFill="1" applyBorder="1" applyAlignment="1">
      <alignment horizontal="right"/>
    </xf>
    <xf numFmtId="3" fontId="139" fillId="70" borderId="42" xfId="67" applyNumberFormat="1" applyFont="1" applyFill="1" applyBorder="1" applyAlignment="1">
      <alignment horizontal="right"/>
    </xf>
    <xf numFmtId="3" fontId="131" fillId="70" borderId="269" xfId="67" applyNumberFormat="1" applyFont="1" applyFill="1" applyBorder="1" applyAlignment="1">
      <alignment horizontal="right"/>
    </xf>
    <xf numFmtId="3" fontId="139" fillId="70" borderId="20" xfId="67" applyNumberFormat="1" applyFont="1" applyFill="1" applyBorder="1" applyAlignment="1">
      <alignment horizontal="right"/>
    </xf>
    <xf numFmtId="0" fontId="139" fillId="119" borderId="273" xfId="0" applyFont="1" applyFill="1" applyBorder="1" applyAlignment="1">
      <alignment horizontal="center" vertical="center" wrapText="1"/>
    </xf>
    <xf numFmtId="0" fontId="131" fillId="119" borderId="314" xfId="0" applyFont="1" applyFill="1" applyBorder="1" applyAlignment="1">
      <alignment horizontal="center" vertical="center" wrapText="1"/>
    </xf>
    <xf numFmtId="3" fontId="131" fillId="119" borderId="49" xfId="0" applyNumberFormat="1" applyFont="1" applyFill="1" applyBorder="1"/>
    <xf numFmtId="3" fontId="131" fillId="119" borderId="50" xfId="0" applyNumberFormat="1" applyFont="1" applyFill="1" applyBorder="1"/>
    <xf numFmtId="166" fontId="134" fillId="0" borderId="0" xfId="1" applyFont="1" applyFill="1" applyBorder="1" applyAlignment="1"/>
    <xf numFmtId="3" fontId="131" fillId="70" borderId="37" xfId="0" applyNumberFormat="1" applyFont="1" applyFill="1" applyBorder="1"/>
    <xf numFmtId="167" fontId="228" fillId="70" borderId="0" xfId="2" applyNumberFormat="1" applyFont="1" applyFill="1" applyBorder="1"/>
    <xf numFmtId="167" fontId="131" fillId="70" borderId="7" xfId="2" applyNumberFormat="1" applyFont="1" applyFill="1" applyBorder="1"/>
    <xf numFmtId="3" fontId="131" fillId="70" borderId="52" xfId="0" applyNumberFormat="1" applyFont="1" applyFill="1" applyBorder="1"/>
    <xf numFmtId="167" fontId="131" fillId="70" borderId="11" xfId="2" applyNumberFormat="1" applyFont="1" applyFill="1" applyBorder="1"/>
    <xf numFmtId="167" fontId="131" fillId="70" borderId="83" xfId="2" applyNumberFormat="1" applyFont="1" applyFill="1" applyBorder="1"/>
    <xf numFmtId="0" fontId="131" fillId="119" borderId="35" xfId="0" applyFont="1" applyFill="1" applyBorder="1" applyAlignment="1">
      <alignment horizontal="center" vertical="center" wrapText="1"/>
    </xf>
    <xf numFmtId="0" fontId="145" fillId="119" borderId="29" xfId="0" applyFont="1" applyFill="1" applyBorder="1" applyAlignment="1">
      <alignment horizontal="center" vertical="center" wrapText="1"/>
    </xf>
    <xf numFmtId="0" fontId="131" fillId="119" borderId="30" xfId="0" applyFont="1" applyFill="1" applyBorder="1" applyAlignment="1">
      <alignment horizontal="center" vertical="center" wrapText="1"/>
    </xf>
    <xf numFmtId="9" fontId="105" fillId="0" borderId="0" xfId="2" applyFont="1" applyAlignment="1">
      <alignment horizontal="left"/>
    </xf>
    <xf numFmtId="166" fontId="131" fillId="70" borderId="42" xfId="1" applyFont="1" applyFill="1" applyBorder="1" applyAlignment="1">
      <alignment horizontal="right"/>
    </xf>
    <xf numFmtId="0" fontId="131" fillId="119" borderId="0" xfId="0" applyFont="1" applyFill="1" applyBorder="1" applyAlignment="1">
      <alignment horizontal="center" vertical="center" wrapText="1"/>
    </xf>
    <xf numFmtId="0" fontId="52" fillId="119" borderId="0" xfId="7" applyFont="1" applyFill="1" applyAlignment="1">
      <alignment horizontal="center"/>
    </xf>
    <xf numFmtId="167" fontId="236" fillId="0" borderId="0" xfId="0" applyNumberFormat="1" applyFont="1" applyAlignment="1">
      <alignment horizontal="center"/>
    </xf>
    <xf numFmtId="3" fontId="96" fillId="16" borderId="7" xfId="67" applyNumberFormat="1" applyFont="1" applyFill="1" applyBorder="1" applyAlignment="1">
      <alignment horizontal="right"/>
    </xf>
    <xf numFmtId="3" fontId="128" fillId="0" borderId="5" xfId="0" applyNumberFormat="1" applyFont="1" applyBorder="1" applyAlignment="1">
      <alignment horizontal="right"/>
    </xf>
    <xf numFmtId="167" fontId="105" fillId="0" borderId="0" xfId="0" applyNumberFormat="1" applyFont="1" applyAlignment="1">
      <alignment horizontal="center"/>
    </xf>
    <xf numFmtId="167" fontId="11" fillId="14" borderId="8" xfId="2" applyNumberFormat="1" applyFont="1" applyFill="1" applyBorder="1"/>
    <xf numFmtId="167" fontId="11" fillId="14" borderId="8" xfId="2" applyNumberFormat="1" applyFont="1" applyFill="1" applyBorder="1" applyAlignment="1">
      <alignment horizontal="center"/>
    </xf>
    <xf numFmtId="168" fontId="61" fillId="16" borderId="25" xfId="1" applyNumberFormat="1" applyFont="1" applyFill="1" applyBorder="1" applyAlignment="1">
      <alignment horizontal="center" vertical="center"/>
    </xf>
    <xf numFmtId="0" fontId="61" fillId="0" borderId="45" xfId="0" applyFont="1" applyFill="1" applyBorder="1" applyAlignment="1">
      <alignment horizontal="center" vertical="center"/>
    </xf>
    <xf numFmtId="0" fontId="6" fillId="16" borderId="0" xfId="0" applyFont="1" applyFill="1" applyBorder="1" applyAlignment="1">
      <alignment horizontal="center" vertical="center"/>
    </xf>
    <xf numFmtId="0" fontId="0" fillId="0" borderId="0" xfId="0" applyAlignment="1">
      <alignment horizontal="center" vertical="center"/>
    </xf>
    <xf numFmtId="167" fontId="5" fillId="0" borderId="0" xfId="2" applyNumberFormat="1" applyFont="1" applyFill="1" applyAlignment="1">
      <alignment horizontal="left" vertical="center" wrapText="1"/>
    </xf>
    <xf numFmtId="0" fontId="0" fillId="0" borderId="0" xfId="0" applyAlignment="1">
      <alignment horizontal="left" vertical="center" wrapText="1"/>
    </xf>
    <xf numFmtId="0" fontId="101" fillId="109" borderId="66" xfId="0" applyFont="1" applyFill="1" applyBorder="1" applyAlignment="1">
      <alignment horizontal="center" vertical="center"/>
    </xf>
    <xf numFmtId="0" fontId="101" fillId="109" borderId="108" xfId="0" applyFont="1" applyFill="1" applyBorder="1" applyAlignment="1">
      <alignment horizontal="center" vertical="center"/>
    </xf>
    <xf numFmtId="1" fontId="101" fillId="109" borderId="274" xfId="0" applyNumberFormat="1" applyFont="1" applyFill="1" applyBorder="1" applyAlignment="1">
      <alignment horizontal="center" vertical="center"/>
    </xf>
    <xf numFmtId="2" fontId="101" fillId="109" borderId="66" xfId="0" applyNumberFormat="1" applyFont="1" applyFill="1" applyBorder="1" applyAlignment="1">
      <alignment horizontal="center" vertical="center"/>
    </xf>
    <xf numFmtId="2" fontId="101" fillId="109" borderId="108" xfId="0" applyNumberFormat="1" applyFont="1" applyFill="1" applyBorder="1" applyAlignment="1">
      <alignment horizontal="center" vertical="center"/>
    </xf>
    <xf numFmtId="2" fontId="101" fillId="109" borderId="274" xfId="0" applyNumberFormat="1" applyFont="1" applyFill="1" applyBorder="1" applyAlignment="1">
      <alignment horizontal="center" vertical="center"/>
    </xf>
    <xf numFmtId="2" fontId="101" fillId="109" borderId="81" xfId="0" applyNumberFormat="1" applyFont="1" applyFill="1" applyBorder="1" applyAlignment="1">
      <alignment horizontal="center" vertical="center"/>
    </xf>
    <xf numFmtId="3" fontId="101" fillId="109" borderId="66" xfId="0" applyNumberFormat="1" applyFont="1" applyFill="1" applyBorder="1" applyAlignment="1">
      <alignment horizontal="center" vertical="center"/>
    </xf>
    <xf numFmtId="3" fontId="101" fillId="109" borderId="108" xfId="0" applyNumberFormat="1" applyFont="1" applyFill="1" applyBorder="1" applyAlignment="1">
      <alignment horizontal="center" vertical="center"/>
    </xf>
    <xf numFmtId="1" fontId="101" fillId="109" borderId="81" xfId="0" applyNumberFormat="1" applyFont="1" applyFill="1" applyBorder="1" applyAlignment="1">
      <alignment horizontal="center" vertical="center"/>
    </xf>
    <xf numFmtId="3" fontId="101" fillId="109" borderId="274" xfId="0" applyNumberFormat="1" applyFont="1" applyFill="1" applyBorder="1" applyAlignment="1">
      <alignment horizontal="center" vertical="center"/>
    </xf>
    <xf numFmtId="3" fontId="101" fillId="109" borderId="81" xfId="0" applyNumberFormat="1" applyFont="1" applyFill="1" applyBorder="1" applyAlignment="1">
      <alignment horizontal="center" vertical="center"/>
    </xf>
    <xf numFmtId="0" fontId="18" fillId="70" borderId="37" xfId="0" applyFont="1" applyFill="1" applyBorder="1" applyAlignment="1">
      <alignment horizontal="center" vertical="center"/>
    </xf>
    <xf numFmtId="3" fontId="18" fillId="70" borderId="37" xfId="0" applyNumberFormat="1" applyFont="1" applyFill="1" applyBorder="1" applyAlignment="1">
      <alignment horizontal="center" vertical="center"/>
    </xf>
    <xf numFmtId="0" fontId="18" fillId="70" borderId="66" xfId="0" applyFont="1" applyFill="1" applyBorder="1" applyAlignment="1">
      <alignment horizontal="center" vertical="center"/>
    </xf>
    <xf numFmtId="0" fontId="18" fillId="70" borderId="274" xfId="0" applyFont="1" applyFill="1" applyBorder="1" applyAlignment="1">
      <alignment horizontal="center" vertical="center"/>
    </xf>
    <xf numFmtId="3" fontId="18" fillId="70" borderId="66" xfId="0" applyNumberFormat="1" applyFont="1" applyFill="1" applyBorder="1" applyAlignment="1">
      <alignment horizontal="center" vertical="center"/>
    </xf>
    <xf numFmtId="3" fontId="18" fillId="70" borderId="274" xfId="0" applyNumberFormat="1" applyFont="1" applyFill="1" applyBorder="1" applyAlignment="1">
      <alignment horizontal="center" vertical="center"/>
    </xf>
    <xf numFmtId="2" fontId="101" fillId="85" borderId="37" xfId="0" applyNumberFormat="1" applyFont="1" applyFill="1" applyBorder="1" applyAlignment="1">
      <alignment horizontal="center" vertical="center"/>
    </xf>
    <xf numFmtId="2" fontId="101" fillId="85" borderId="66" xfId="0" applyNumberFormat="1" applyFont="1" applyFill="1" applyBorder="1" applyAlignment="1">
      <alignment horizontal="center" vertical="center"/>
    </xf>
    <xf numFmtId="2" fontId="101" fillId="85" borderId="34" xfId="0" applyNumberFormat="1" applyFont="1" applyFill="1" applyBorder="1" applyAlignment="1">
      <alignment horizontal="center" vertical="center"/>
    </xf>
    <xf numFmtId="2" fontId="101" fillId="85" borderId="274" xfId="0" applyNumberFormat="1" applyFont="1" applyFill="1" applyBorder="1" applyAlignment="1">
      <alignment horizontal="center" vertical="top"/>
    </xf>
    <xf numFmtId="2" fontId="101" fillId="85" borderId="274" xfId="0" applyNumberFormat="1" applyFont="1" applyFill="1" applyBorder="1" applyAlignment="1">
      <alignment horizontal="center" vertical="top" wrapText="1"/>
    </xf>
    <xf numFmtId="1" fontId="101" fillId="85" borderId="37" xfId="0" applyNumberFormat="1" applyFont="1" applyFill="1" applyBorder="1" applyAlignment="1">
      <alignment horizontal="center" vertical="center"/>
    </xf>
    <xf numFmtId="1" fontId="101" fillId="85" borderId="274" xfId="0" applyNumberFormat="1" applyFont="1" applyFill="1" applyBorder="1" applyAlignment="1">
      <alignment horizontal="center" vertical="center"/>
    </xf>
    <xf numFmtId="2" fontId="101" fillId="85" borderId="274" xfId="0" applyNumberFormat="1" applyFont="1" applyFill="1" applyBorder="1" applyAlignment="1">
      <alignment horizontal="center" vertical="center" wrapText="1"/>
    </xf>
    <xf numFmtId="9" fontId="101" fillId="85" borderId="37" xfId="2" applyFont="1" applyFill="1" applyBorder="1" applyAlignment="1">
      <alignment horizontal="center" vertical="center"/>
    </xf>
    <xf numFmtId="0" fontId="101" fillId="122" borderId="37" xfId="0" applyFont="1" applyFill="1" applyBorder="1" applyAlignment="1">
      <alignment horizontal="center" vertical="center"/>
    </xf>
    <xf numFmtId="2" fontId="101" fillId="122" borderId="37" xfId="0" applyNumberFormat="1" applyFont="1" applyFill="1" applyBorder="1" applyAlignment="1">
      <alignment horizontal="center" vertical="center"/>
    </xf>
    <xf numFmtId="0" fontId="101" fillId="122" borderId="66" xfId="0" applyFont="1" applyFill="1" applyBorder="1" applyAlignment="1">
      <alignment horizontal="center" vertical="center"/>
    </xf>
    <xf numFmtId="0" fontId="101" fillId="122" borderId="274" xfId="0" applyFont="1" applyFill="1" applyBorder="1" applyAlignment="1">
      <alignment horizontal="center" vertical="center"/>
    </xf>
    <xf numFmtId="2" fontId="101" fillId="122" borderId="66" xfId="0" applyNumberFormat="1" applyFont="1" applyFill="1" applyBorder="1" applyAlignment="1">
      <alignment horizontal="center" vertical="center"/>
    </xf>
    <xf numFmtId="2" fontId="101" fillId="122" borderId="274" xfId="0" applyNumberFormat="1" applyFont="1" applyFill="1" applyBorder="1" applyAlignment="1">
      <alignment horizontal="center" vertical="center"/>
    </xf>
    <xf numFmtId="0" fontId="101" fillId="122" borderId="52" xfId="0" applyFont="1" applyFill="1" applyBorder="1" applyAlignment="1">
      <alignment horizontal="center" vertical="center" wrapText="1"/>
    </xf>
    <xf numFmtId="0" fontId="101" fillId="109" borderId="52" xfId="0" applyFont="1" applyFill="1" applyBorder="1" applyAlignment="1">
      <alignment horizontal="center" vertical="center" wrapText="1"/>
    </xf>
    <xf numFmtId="0" fontId="101" fillId="109" borderId="5" xfId="0" applyFont="1" applyFill="1" applyBorder="1" applyAlignment="1">
      <alignment horizontal="center" vertical="center" wrapText="1"/>
    </xf>
    <xf numFmtId="0" fontId="18" fillId="28" borderId="52" xfId="0" applyFont="1" applyFill="1" applyBorder="1" applyAlignment="1">
      <alignment horizontal="center" vertical="center" wrapText="1"/>
    </xf>
    <xf numFmtId="1" fontId="18" fillId="28" borderId="37" xfId="0" applyNumberFormat="1" applyFont="1" applyFill="1" applyBorder="1" applyAlignment="1">
      <alignment horizontal="center" vertical="center"/>
    </xf>
    <xf numFmtId="2" fontId="18" fillId="28" borderId="37" xfId="0" applyNumberFormat="1" applyFont="1" applyFill="1" applyBorder="1" applyAlignment="1">
      <alignment horizontal="center" vertical="center"/>
    </xf>
    <xf numFmtId="0" fontId="18" fillId="28" borderId="66" xfId="0" applyFont="1" applyFill="1" applyBorder="1" applyAlignment="1">
      <alignment horizontal="center" vertical="center"/>
    </xf>
    <xf numFmtId="1" fontId="18" fillId="28" borderId="274" xfId="0" applyNumberFormat="1" applyFont="1" applyFill="1" applyBorder="1" applyAlignment="1">
      <alignment horizontal="center" vertical="center"/>
    </xf>
    <xf numFmtId="2" fontId="18" fillId="28" borderId="66" xfId="0" applyNumberFormat="1" applyFont="1" applyFill="1" applyBorder="1" applyAlignment="1">
      <alignment horizontal="center" vertical="center"/>
    </xf>
    <xf numFmtId="2" fontId="18" fillId="28" borderId="274" xfId="0" applyNumberFormat="1" applyFont="1" applyFill="1" applyBorder="1" applyAlignment="1">
      <alignment horizontal="center" vertical="center"/>
    </xf>
    <xf numFmtId="3" fontId="18" fillId="28" borderId="37" xfId="0" applyNumberFormat="1" applyFont="1" applyFill="1" applyBorder="1" applyAlignment="1">
      <alignment horizontal="center" vertical="center"/>
    </xf>
    <xf numFmtId="3" fontId="18" fillId="28" borderId="66" xfId="0" applyNumberFormat="1" applyFont="1" applyFill="1" applyBorder="1" applyAlignment="1">
      <alignment horizontal="center" vertical="center"/>
    </xf>
    <xf numFmtId="0" fontId="32" fillId="29" borderId="52" xfId="0" applyFont="1" applyFill="1" applyBorder="1" applyAlignment="1">
      <alignment horizontal="center" vertical="center" wrapText="1"/>
    </xf>
    <xf numFmtId="0" fontId="32" fillId="29" borderId="37" xfId="0" applyFont="1" applyFill="1" applyBorder="1" applyAlignment="1">
      <alignment horizontal="center" vertical="center"/>
    </xf>
    <xf numFmtId="2" fontId="32" fillId="29" borderId="37" xfId="0" applyNumberFormat="1" applyFont="1" applyFill="1" applyBorder="1" applyAlignment="1">
      <alignment horizontal="center" vertical="center"/>
    </xf>
    <xf numFmtId="0" fontId="32" fillId="29" borderId="66" xfId="0" applyFont="1" applyFill="1" applyBorder="1" applyAlignment="1">
      <alignment horizontal="center" vertical="center"/>
    </xf>
    <xf numFmtId="0" fontId="32" fillId="29" borderId="274" xfId="0" applyFont="1" applyFill="1" applyBorder="1" applyAlignment="1">
      <alignment horizontal="center" vertical="center"/>
    </xf>
    <xf numFmtId="2" fontId="32" fillId="29" borderId="66" xfId="0" applyNumberFormat="1" applyFont="1" applyFill="1" applyBorder="1" applyAlignment="1">
      <alignment horizontal="center" vertical="center"/>
    </xf>
    <xf numFmtId="2" fontId="32" fillId="29" borderId="274" xfId="0" applyNumberFormat="1" applyFont="1" applyFill="1" applyBorder="1" applyAlignment="1">
      <alignment horizontal="center" vertical="center"/>
    </xf>
    <xf numFmtId="0" fontId="18" fillId="14" borderId="52" xfId="0" applyFont="1" applyFill="1" applyBorder="1" applyAlignment="1">
      <alignment horizontal="center" vertical="center" wrapText="1"/>
    </xf>
    <xf numFmtId="0" fontId="18" fillId="14" borderId="37" xfId="0" applyFont="1" applyFill="1" applyBorder="1" applyAlignment="1">
      <alignment horizontal="center" vertical="center"/>
    </xf>
    <xf numFmtId="2" fontId="18" fillId="14" borderId="37" xfId="0" applyNumberFormat="1" applyFont="1" applyFill="1" applyBorder="1" applyAlignment="1">
      <alignment horizontal="center" vertical="center"/>
    </xf>
    <xf numFmtId="0" fontId="18" fillId="14" borderId="66" xfId="0" applyFont="1" applyFill="1" applyBorder="1" applyAlignment="1">
      <alignment horizontal="center" vertical="center"/>
    </xf>
    <xf numFmtId="0" fontId="18" fillId="14" borderId="274" xfId="0" applyFont="1" applyFill="1" applyBorder="1" applyAlignment="1">
      <alignment horizontal="center" vertical="center"/>
    </xf>
    <xf numFmtId="2" fontId="18" fillId="14" borderId="66" xfId="0" applyNumberFormat="1" applyFont="1" applyFill="1" applyBorder="1" applyAlignment="1">
      <alignment horizontal="center" vertical="center"/>
    </xf>
    <xf numFmtId="2" fontId="18" fillId="14" borderId="274" xfId="0" applyNumberFormat="1" applyFont="1" applyFill="1" applyBorder="1" applyAlignment="1">
      <alignment horizontal="center" vertical="center"/>
    </xf>
    <xf numFmtId="0" fontId="101" fillId="85" borderId="5" xfId="0" applyFont="1" applyFill="1" applyBorder="1" applyAlignment="1">
      <alignment horizontal="center" vertical="center" wrapText="1"/>
    </xf>
    <xf numFmtId="0" fontId="101" fillId="85" borderId="6" xfId="0" applyFont="1" applyFill="1" applyBorder="1" applyAlignment="1">
      <alignment horizontal="center" vertical="center"/>
    </xf>
    <xf numFmtId="2" fontId="101" fillId="85" borderId="6" xfId="0" applyNumberFormat="1" applyFont="1" applyFill="1" applyBorder="1" applyAlignment="1">
      <alignment horizontal="center" vertical="center"/>
    </xf>
    <xf numFmtId="0" fontId="101" fillId="85" borderId="108" xfId="0" applyFont="1" applyFill="1" applyBorder="1" applyAlignment="1">
      <alignment horizontal="center" vertical="center"/>
    </xf>
    <xf numFmtId="0" fontId="101" fillId="85" borderId="81" xfId="0" applyFont="1" applyFill="1" applyBorder="1" applyAlignment="1">
      <alignment horizontal="center" vertical="center"/>
    </xf>
    <xf numFmtId="2" fontId="101" fillId="85" borderId="108" xfId="0" applyNumberFormat="1" applyFont="1" applyFill="1" applyBorder="1" applyAlignment="1">
      <alignment horizontal="center" vertical="center"/>
    </xf>
    <xf numFmtId="2" fontId="101" fillId="85" borderId="81" xfId="0" applyNumberFormat="1" applyFont="1" applyFill="1" applyBorder="1" applyAlignment="1">
      <alignment horizontal="center" vertical="center"/>
    </xf>
    <xf numFmtId="3" fontId="99" fillId="28" borderId="37" xfId="0" applyNumberFormat="1" applyFont="1" applyFill="1" applyBorder="1" applyAlignment="1">
      <alignment horizontal="center" vertical="center"/>
    </xf>
    <xf numFmtId="3" fontId="100" fillId="109" borderId="37" xfId="0" applyNumberFormat="1" applyFont="1" applyFill="1" applyBorder="1" applyAlignment="1">
      <alignment horizontal="center" vertical="center"/>
    </xf>
    <xf numFmtId="3" fontId="100" fillId="109" borderId="6" xfId="0" applyNumberFormat="1" applyFont="1" applyFill="1" applyBorder="1" applyAlignment="1">
      <alignment horizontal="center" vertical="center"/>
    </xf>
    <xf numFmtId="2" fontId="237" fillId="29" borderId="37" xfId="0" applyNumberFormat="1" applyFont="1" applyFill="1" applyBorder="1" applyAlignment="1">
      <alignment horizontal="center" vertical="center"/>
    </xf>
    <xf numFmtId="2" fontId="99" fillId="14" borderId="37" xfId="0" applyNumberFormat="1" applyFont="1" applyFill="1" applyBorder="1" applyAlignment="1">
      <alignment horizontal="center" vertical="center"/>
    </xf>
    <xf numFmtId="2" fontId="100" fillId="85" borderId="6" xfId="0" applyNumberFormat="1" applyFont="1" applyFill="1" applyBorder="1" applyAlignment="1">
      <alignment horizontal="center" vertical="center"/>
    </xf>
    <xf numFmtId="0" fontId="99" fillId="70" borderId="40" xfId="0" applyFont="1" applyFill="1" applyBorder="1" applyAlignment="1">
      <alignment horizontal="center" vertical="center"/>
    </xf>
    <xf numFmtId="2" fontId="100" fillId="85" borderId="40" xfId="0" applyNumberFormat="1" applyFont="1" applyFill="1" applyBorder="1" applyAlignment="1">
      <alignment horizontal="center" vertical="center"/>
    </xf>
    <xf numFmtId="9" fontId="100" fillId="85" borderId="40" xfId="2" applyFont="1" applyFill="1" applyBorder="1" applyAlignment="1">
      <alignment horizontal="center" vertical="center" wrapText="1"/>
    </xf>
    <xf numFmtId="2" fontId="100" fillId="122" borderId="40" xfId="0" applyNumberFormat="1" applyFont="1" applyFill="1" applyBorder="1" applyAlignment="1">
      <alignment horizontal="center" vertical="center" wrapText="1"/>
    </xf>
    <xf numFmtId="3" fontId="99" fillId="28" borderId="40" xfId="0" applyNumberFormat="1" applyFont="1" applyFill="1" applyBorder="1" applyAlignment="1">
      <alignment horizontal="center" vertical="center"/>
    </xf>
    <xf numFmtId="3" fontId="100" fillId="109" borderId="40" xfId="0" applyNumberFormat="1" applyFont="1" applyFill="1" applyBorder="1" applyAlignment="1">
      <alignment horizontal="center" vertical="center"/>
    </xf>
    <xf numFmtId="3" fontId="100" fillId="109" borderId="8" xfId="0" applyNumberFormat="1" applyFont="1" applyFill="1" applyBorder="1" applyAlignment="1">
      <alignment horizontal="center" vertical="center"/>
    </xf>
    <xf numFmtId="2" fontId="237" fillId="29" borderId="40" xfId="0" applyNumberFormat="1" applyFont="1" applyFill="1" applyBorder="1" applyAlignment="1">
      <alignment horizontal="center" vertical="center"/>
    </xf>
    <xf numFmtId="2" fontId="99" fillId="14" borderId="40" xfId="0" applyNumberFormat="1" applyFont="1" applyFill="1" applyBorder="1" applyAlignment="1">
      <alignment horizontal="center" vertical="center"/>
    </xf>
    <xf numFmtId="2" fontId="100" fillId="85" borderId="8" xfId="0" applyNumberFormat="1" applyFont="1" applyFill="1" applyBorder="1" applyAlignment="1">
      <alignment horizontal="center" vertical="center"/>
    </xf>
    <xf numFmtId="1" fontId="32" fillId="29" borderId="274" xfId="0" applyNumberFormat="1" applyFont="1" applyFill="1" applyBorder="1" applyAlignment="1">
      <alignment horizontal="center" vertical="center"/>
    </xf>
    <xf numFmtId="1" fontId="18" fillId="14" borderId="274" xfId="0" applyNumberFormat="1" applyFont="1" applyFill="1" applyBorder="1" applyAlignment="1">
      <alignment horizontal="center" vertical="center"/>
    </xf>
    <xf numFmtId="1" fontId="18" fillId="85" borderId="81" xfId="0" applyNumberFormat="1" applyFont="1" applyFill="1" applyBorder="1" applyAlignment="1">
      <alignment horizontal="center" vertical="center"/>
    </xf>
    <xf numFmtId="0" fontId="61" fillId="0" borderId="27" xfId="0" applyFont="1" applyFill="1" applyBorder="1" applyAlignment="1">
      <alignment horizontal="center" vertical="center"/>
    </xf>
    <xf numFmtId="0" fontId="128" fillId="7" borderId="0" xfId="0" applyFont="1" applyFill="1" applyBorder="1" applyAlignment="1">
      <alignment horizontal="left" vertical="center" wrapText="1"/>
    </xf>
    <xf numFmtId="0" fontId="30" fillId="26" borderId="263" xfId="0" applyFont="1" applyFill="1" applyBorder="1" applyAlignment="1">
      <alignment horizontal="center" vertical="center"/>
    </xf>
    <xf numFmtId="3" fontId="61" fillId="26" borderId="27" xfId="0" applyNumberFormat="1" applyFont="1" applyFill="1" applyBorder="1" applyAlignment="1">
      <alignment horizontal="center" vertical="center"/>
    </xf>
    <xf numFmtId="167" fontId="61" fillId="26" borderId="57" xfId="2" applyNumberFormat="1" applyFont="1" applyFill="1" applyBorder="1" applyAlignment="1">
      <alignment horizontal="center" vertical="center"/>
    </xf>
    <xf numFmtId="3" fontId="61" fillId="26" borderId="13" xfId="0" applyNumberFormat="1" applyFont="1" applyFill="1" applyBorder="1" applyAlignment="1">
      <alignment horizontal="center" vertical="center"/>
    </xf>
    <xf numFmtId="167" fontId="61" fillId="26" borderId="13" xfId="2" applyNumberFormat="1" applyFont="1" applyFill="1" applyBorder="1" applyAlignment="1">
      <alignment horizontal="center" vertical="center"/>
    </xf>
    <xf numFmtId="1" fontId="0" fillId="0" borderId="13" xfId="0" applyNumberFormat="1" applyBorder="1" applyAlignment="1">
      <alignment horizontal="center" vertical="center" wrapText="1"/>
    </xf>
    <xf numFmtId="1" fontId="0" fillId="0" borderId="382" xfId="0" applyNumberFormat="1" applyBorder="1" applyAlignment="1">
      <alignment horizontal="center" vertical="center" wrapText="1"/>
    </xf>
    <xf numFmtId="1" fontId="26" fillId="0" borderId="20" xfId="0" applyNumberFormat="1" applyFont="1" applyBorder="1" applyAlignment="1">
      <alignment horizontal="center" vertical="center" wrapText="1"/>
    </xf>
    <xf numFmtId="17" fontId="0" fillId="29" borderId="0" xfId="0" applyNumberFormat="1" applyFill="1" applyAlignment="1">
      <alignment horizontal="center" vertical="center" wrapText="1"/>
    </xf>
    <xf numFmtId="0" fontId="0" fillId="29" borderId="13" xfId="0" applyFill="1" applyBorder="1" applyAlignment="1">
      <alignment horizontal="center" vertical="center" wrapText="1"/>
    </xf>
    <xf numFmtId="165" fontId="63" fillId="26" borderId="0" xfId="3" applyFont="1" applyFill="1" applyBorder="1" applyAlignment="1">
      <alignment horizontal="center" vertical="center"/>
    </xf>
    <xf numFmtId="180" fontId="61" fillId="26" borderId="25" xfId="3" applyNumberFormat="1" applyFont="1" applyFill="1" applyBorder="1" applyAlignment="1">
      <alignment horizontal="center" vertical="center"/>
    </xf>
    <xf numFmtId="180" fontId="61" fillId="26" borderId="262" xfId="3" applyNumberFormat="1" applyFont="1" applyFill="1" applyBorder="1" applyAlignment="1">
      <alignment horizontal="center" vertical="center"/>
    </xf>
    <xf numFmtId="2" fontId="63" fillId="26" borderId="0" xfId="0" applyNumberFormat="1" applyFont="1" applyFill="1" applyBorder="1" applyAlignment="1">
      <alignment horizontal="center" vertical="center"/>
    </xf>
    <xf numFmtId="2" fontId="61" fillId="26" borderId="25" xfId="0" applyNumberFormat="1" applyFont="1" applyFill="1" applyBorder="1" applyAlignment="1">
      <alignment horizontal="center" vertical="center"/>
    </xf>
    <xf numFmtId="2" fontId="61" fillId="26" borderId="34" xfId="0" applyNumberFormat="1" applyFont="1" applyFill="1" applyBorder="1" applyAlignment="1">
      <alignment horizontal="center" vertical="center"/>
    </xf>
    <xf numFmtId="0" fontId="30" fillId="26" borderId="34" xfId="0" applyFont="1" applyFill="1" applyBorder="1" applyAlignment="1">
      <alignment horizontal="center" vertical="center"/>
    </xf>
    <xf numFmtId="168" fontId="61" fillId="26" borderId="25" xfId="1" applyNumberFormat="1" applyFont="1" applyFill="1" applyBorder="1" applyAlignment="1">
      <alignment horizontal="center" vertical="center"/>
    </xf>
    <xf numFmtId="168" fontId="99" fillId="26" borderId="25" xfId="1" applyNumberFormat="1" applyFont="1" applyFill="1" applyBorder="1" applyAlignment="1">
      <alignment horizontal="center" vertical="center"/>
    </xf>
    <xf numFmtId="168" fontId="73" fillId="26" borderId="25" xfId="1" applyNumberFormat="1" applyFont="1" applyFill="1" applyBorder="1" applyAlignment="1">
      <alignment horizontal="center" vertical="center"/>
    </xf>
    <xf numFmtId="168" fontId="61" fillId="26" borderId="57" xfId="1" applyNumberFormat="1" applyFont="1" applyFill="1" applyBorder="1" applyAlignment="1">
      <alignment horizontal="center" vertical="center"/>
    </xf>
    <xf numFmtId="9" fontId="61" fillId="26" borderId="0" xfId="2" applyFont="1" applyFill="1" applyBorder="1" applyAlignment="1">
      <alignment horizontal="center" vertical="center"/>
    </xf>
    <xf numFmtId="166" fontId="6" fillId="0" borderId="25" xfId="1" applyFont="1" applyFill="1" applyBorder="1" applyAlignment="1">
      <alignment horizontal="center" vertical="center"/>
    </xf>
    <xf numFmtId="168" fontId="6" fillId="12" borderId="25" xfId="1" applyNumberFormat="1" applyFont="1" applyFill="1" applyBorder="1" applyAlignment="1">
      <alignment horizontal="center" vertical="center"/>
    </xf>
    <xf numFmtId="9" fontId="238" fillId="16" borderId="34" xfId="2" applyFont="1" applyFill="1" applyBorder="1" applyAlignment="1">
      <alignment horizontal="right" vertical="center"/>
    </xf>
    <xf numFmtId="9" fontId="30" fillId="71" borderId="25" xfId="2" applyFont="1" applyFill="1" applyBorder="1" applyAlignment="1">
      <alignment horizontal="right" vertical="center"/>
    </xf>
    <xf numFmtId="9" fontId="30" fillId="14" borderId="25" xfId="2" applyFont="1" applyFill="1" applyBorder="1" applyAlignment="1">
      <alignment horizontal="right" vertical="center"/>
    </xf>
    <xf numFmtId="9" fontId="30" fillId="26" borderId="34" xfId="2" applyFont="1" applyFill="1" applyBorder="1" applyAlignment="1">
      <alignment horizontal="right" vertical="center"/>
    </xf>
    <xf numFmtId="0" fontId="120" fillId="0" borderId="55" xfId="0" applyFont="1" applyFill="1" applyBorder="1" applyAlignment="1">
      <alignment horizontal="center" vertical="center"/>
    </xf>
    <xf numFmtId="0" fontId="73" fillId="0" borderId="312" xfId="0" applyFont="1" applyBorder="1" applyAlignment="1">
      <alignment horizontal="left" vertical="center" wrapText="1"/>
    </xf>
    <xf numFmtId="0" fontId="61" fillId="0" borderId="312" xfId="0" applyFont="1" applyBorder="1" applyAlignment="1">
      <alignment horizontal="left" vertical="center" wrapText="1"/>
    </xf>
    <xf numFmtId="0" fontId="61" fillId="0" borderId="56" xfId="0" applyFont="1" applyBorder="1" applyAlignment="1">
      <alignment horizontal="left" vertical="center" wrapText="1"/>
    </xf>
    <xf numFmtId="0" fontId="61" fillId="0" borderId="37" xfId="0" applyFont="1" applyBorder="1" applyAlignment="1">
      <alignment horizontal="left" vertical="center" wrapText="1"/>
    </xf>
    <xf numFmtId="0" fontId="61" fillId="0" borderId="37" xfId="0" applyFont="1" applyFill="1" applyBorder="1" applyAlignment="1">
      <alignment horizontal="left" vertical="center" wrapText="1"/>
    </xf>
    <xf numFmtId="0" fontId="61" fillId="0" borderId="40" xfId="0" applyFont="1" applyFill="1" applyBorder="1" applyAlignment="1">
      <alignment horizontal="left" vertical="center" wrapText="1"/>
    </xf>
    <xf numFmtId="0" fontId="61" fillId="0" borderId="33" xfId="0" applyFont="1" applyFill="1" applyBorder="1" applyAlignment="1">
      <alignment horizontal="center" vertical="center"/>
    </xf>
    <xf numFmtId="0" fontId="61" fillId="16" borderId="33" xfId="0" applyFont="1" applyFill="1" applyBorder="1" applyAlignment="1">
      <alignment horizontal="center" vertical="center"/>
    </xf>
    <xf numFmtId="166" fontId="61" fillId="26" borderId="13" xfId="1" applyFont="1" applyFill="1" applyBorder="1" applyAlignment="1">
      <alignment horizontal="center" vertical="center"/>
    </xf>
    <xf numFmtId="2" fontId="100" fillId="122" borderId="37" xfId="0" applyNumberFormat="1" applyFont="1" applyFill="1" applyBorder="1" applyAlignment="1">
      <alignment horizontal="center" vertical="center"/>
    </xf>
    <xf numFmtId="1" fontId="101" fillId="122" borderId="274" xfId="0" applyNumberFormat="1" applyFont="1" applyFill="1" applyBorder="1" applyAlignment="1">
      <alignment horizontal="center" vertical="center"/>
    </xf>
    <xf numFmtId="0" fontId="0" fillId="70" borderId="29" xfId="0" applyFont="1" applyFill="1" applyBorder="1"/>
    <xf numFmtId="0" fontId="0" fillId="70" borderId="30" xfId="0" applyFont="1" applyFill="1" applyBorder="1"/>
    <xf numFmtId="0" fontId="0" fillId="70" borderId="0" xfId="0" applyFont="1" applyFill="1" applyBorder="1"/>
    <xf numFmtId="0" fontId="0" fillId="70" borderId="7" xfId="0" applyFont="1" applyFill="1" applyBorder="1"/>
    <xf numFmtId="0" fontId="0" fillId="83" borderId="29" xfId="0" applyFont="1" applyFill="1" applyBorder="1"/>
    <xf numFmtId="0" fontId="0" fillId="83" borderId="0" xfId="0" applyFont="1" applyFill="1" applyBorder="1"/>
    <xf numFmtId="0" fontId="0" fillId="70" borderId="35" xfId="0" applyFont="1" applyFill="1" applyBorder="1"/>
    <xf numFmtId="0" fontId="0" fillId="70" borderId="37" xfId="0" applyFont="1" applyFill="1" applyBorder="1"/>
    <xf numFmtId="0" fontId="0" fillId="83" borderId="0" xfId="0" applyFill="1" applyBorder="1"/>
    <xf numFmtId="0" fontId="0" fillId="70" borderId="40" xfId="0" applyFont="1" applyFill="1" applyBorder="1"/>
    <xf numFmtId="0" fontId="0" fillId="83" borderId="33" xfId="0" applyFont="1" applyFill="1" applyBorder="1"/>
    <xf numFmtId="0" fontId="0" fillId="70" borderId="33" xfId="0" applyFont="1" applyFill="1" applyBorder="1"/>
    <xf numFmtId="0" fontId="0" fillId="70" borderId="9" xfId="0" applyFont="1" applyFill="1" applyBorder="1"/>
    <xf numFmtId="168" fontId="61" fillId="117" borderId="37" xfId="1" applyNumberFormat="1" applyFont="1" applyFill="1" applyBorder="1"/>
    <xf numFmtId="168" fontId="61" fillId="117" borderId="7" xfId="1" applyNumberFormat="1" applyFont="1" applyFill="1" applyBorder="1"/>
    <xf numFmtId="168" fontId="61" fillId="117" borderId="6" xfId="1" applyNumberFormat="1" applyFont="1" applyFill="1" applyBorder="1"/>
    <xf numFmtId="0" fontId="1" fillId="0" borderId="0" xfId="0" applyFont="1"/>
    <xf numFmtId="0" fontId="239" fillId="16" borderId="278" xfId="0" applyFont="1" applyFill="1" applyBorder="1" applyAlignment="1">
      <alignment horizontal="center"/>
    </xf>
    <xf numFmtId="0" fontId="239" fillId="16" borderId="129" xfId="0" applyFont="1" applyFill="1" applyBorder="1" applyAlignment="1">
      <alignment horizontal="center"/>
    </xf>
    <xf numFmtId="0" fontId="239" fillId="16" borderId="0" xfId="0" applyFont="1" applyFill="1" applyBorder="1" applyAlignment="1">
      <alignment horizontal="center"/>
    </xf>
    <xf numFmtId="3" fontId="240" fillId="4" borderId="0" xfId="0" applyNumberFormat="1" applyFont="1" applyFill="1" applyBorder="1"/>
    <xf numFmtId="3" fontId="86" fillId="0" borderId="0" xfId="0" applyNumberFormat="1" applyFont="1" applyBorder="1" applyAlignment="1">
      <alignment horizontal="center"/>
    </xf>
    <xf numFmtId="3" fontId="1" fillId="0" borderId="0" xfId="0" applyNumberFormat="1" applyFont="1" applyBorder="1"/>
    <xf numFmtId="3" fontId="1" fillId="0" borderId="37" xfId="0" applyNumberFormat="1" applyFont="1" applyBorder="1"/>
    <xf numFmtId="0" fontId="239" fillId="16" borderId="301" xfId="0" applyFont="1" applyFill="1" applyBorder="1" applyAlignment="1">
      <alignment horizontal="center" vertical="center"/>
    </xf>
    <xf numFmtId="0" fontId="239" fillId="16" borderId="158" xfId="0" applyFont="1" applyFill="1" applyBorder="1" applyAlignment="1">
      <alignment horizontal="center" vertical="center"/>
    </xf>
    <xf numFmtId="0" fontId="239" fillId="16" borderId="302" xfId="0" applyFont="1" applyFill="1" applyBorder="1" applyAlignment="1">
      <alignment horizontal="center" vertical="center"/>
    </xf>
    <xf numFmtId="0" fontId="239" fillId="16" borderId="303" xfId="0" applyFont="1" applyFill="1" applyBorder="1" applyAlignment="1">
      <alignment horizontal="center" vertical="center"/>
    </xf>
    <xf numFmtId="0" fontId="239" fillId="16" borderId="73" xfId="0" applyFont="1" applyFill="1" applyBorder="1" applyAlignment="1">
      <alignment horizontal="center" vertical="center"/>
    </xf>
    <xf numFmtId="0" fontId="239" fillId="16" borderId="304" xfId="0" applyFont="1" applyFill="1" applyBorder="1" applyAlignment="1">
      <alignment horizontal="center" vertical="center"/>
    </xf>
    <xf numFmtId="0" fontId="239" fillId="16" borderId="0" xfId="0" applyFont="1" applyFill="1" applyBorder="1" applyAlignment="1">
      <alignment horizontal="center" vertical="center"/>
    </xf>
    <xf numFmtId="0" fontId="239" fillId="16" borderId="150" xfId="0" applyFont="1" applyFill="1" applyBorder="1" applyAlignment="1">
      <alignment horizontal="center" vertical="center"/>
    </xf>
    <xf numFmtId="0" fontId="239" fillId="16" borderId="163" xfId="0" applyFont="1" applyFill="1" applyBorder="1" applyAlignment="1">
      <alignment horizontal="center" vertical="center"/>
    </xf>
    <xf numFmtId="0" fontId="239" fillId="16" borderId="164" xfId="0" applyFont="1" applyFill="1" applyBorder="1" applyAlignment="1">
      <alignment horizontal="center" vertical="center"/>
    </xf>
    <xf numFmtId="0" fontId="239" fillId="16" borderId="165" xfId="0" applyFont="1" applyFill="1" applyBorder="1" applyAlignment="1">
      <alignment horizontal="center" vertical="center"/>
    </xf>
    <xf numFmtId="0" fontId="239" fillId="16" borderId="218" xfId="0" applyFont="1" applyFill="1" applyBorder="1" applyAlignment="1">
      <alignment horizontal="center" vertical="center"/>
    </xf>
    <xf numFmtId="0" fontId="239" fillId="16" borderId="149" xfId="0" applyFont="1" applyFill="1" applyBorder="1" applyAlignment="1">
      <alignment horizontal="center" vertical="center"/>
    </xf>
    <xf numFmtId="0" fontId="239" fillId="16" borderId="23" xfId="0" applyFont="1" applyFill="1" applyBorder="1" applyAlignment="1">
      <alignment horizontal="center" vertical="center"/>
    </xf>
    <xf numFmtId="0" fontId="239" fillId="16" borderId="63" xfId="0" applyFont="1" applyFill="1" applyBorder="1" applyAlignment="1">
      <alignment horizontal="center" vertical="center"/>
    </xf>
    <xf numFmtId="0" fontId="152" fillId="16" borderId="0" xfId="0" applyFont="1" applyFill="1" applyBorder="1" applyAlignment="1">
      <alignment horizontal="center" vertical="center"/>
    </xf>
    <xf numFmtId="0" fontId="239" fillId="16" borderId="37" xfId="0" applyFont="1" applyFill="1" applyBorder="1" applyAlignment="1">
      <alignment horizontal="center" vertical="center"/>
    </xf>
    <xf numFmtId="0" fontId="239" fillId="0" borderId="0" xfId="0" applyFont="1" applyFill="1" applyBorder="1" applyAlignment="1">
      <alignment horizontal="center" vertical="center"/>
    </xf>
    <xf numFmtId="0" fontId="241" fillId="0" borderId="28" xfId="0" applyFont="1" applyFill="1" applyBorder="1" applyAlignment="1">
      <alignment horizontal="center" vertical="center"/>
    </xf>
    <xf numFmtId="0" fontId="241" fillId="0" borderId="129" xfId="0" applyFont="1" applyFill="1" applyBorder="1" applyAlignment="1">
      <alignment horizontal="center" vertical="center"/>
    </xf>
    <xf numFmtId="0" fontId="241" fillId="0" borderId="129" xfId="0" applyFont="1" applyFill="1" applyBorder="1" applyAlignment="1">
      <alignment horizontal="center" vertical="center" wrapText="1"/>
    </xf>
    <xf numFmtId="0" fontId="241" fillId="0" borderId="8" xfId="0" applyFont="1" applyFill="1" applyBorder="1" applyAlignment="1">
      <alignment horizontal="center" vertical="center" wrapText="1"/>
    </xf>
    <xf numFmtId="0" fontId="241" fillId="3" borderId="8" xfId="0" applyFont="1" applyFill="1" applyBorder="1" applyAlignment="1">
      <alignment horizontal="center" vertical="center" wrapText="1"/>
    </xf>
    <xf numFmtId="0" fontId="1" fillId="0" borderId="0" xfId="0" applyNumberFormat="1" applyFont="1" applyAlignment="1">
      <alignment wrapText="1"/>
    </xf>
    <xf numFmtId="3" fontId="1" fillId="0" borderId="0" xfId="0" applyNumberFormat="1" applyFont="1" applyBorder="1" applyAlignment="1">
      <alignment wrapText="1"/>
    </xf>
    <xf numFmtId="3" fontId="1" fillId="0" borderId="0" xfId="0" applyNumberFormat="1" applyFont="1" applyFill="1" applyBorder="1" applyAlignment="1">
      <alignment wrapText="1"/>
    </xf>
    <xf numFmtId="3" fontId="1" fillId="29" borderId="0" xfId="0" applyNumberFormat="1" applyFont="1" applyFill="1" applyBorder="1" applyAlignment="1">
      <alignment wrapText="1"/>
    </xf>
    <xf numFmtId="3" fontId="1" fillId="0" borderId="0" xfId="0" applyNumberFormat="1" applyFont="1" applyAlignment="1">
      <alignment vertical="center" wrapText="1"/>
    </xf>
    <xf numFmtId="3" fontId="1" fillId="0" borderId="40" xfId="0" applyNumberFormat="1" applyFont="1" applyBorder="1"/>
    <xf numFmtId="3" fontId="1" fillId="0" borderId="33" xfId="0" applyNumberFormat="1" applyFont="1" applyBorder="1"/>
    <xf numFmtId="3" fontId="1" fillId="29" borderId="33" xfId="0" applyNumberFormat="1" applyFont="1" applyFill="1" applyBorder="1" applyAlignment="1">
      <alignment wrapText="1"/>
    </xf>
    <xf numFmtId="9" fontId="26" fillId="0" borderId="0" xfId="2" applyFont="1" applyAlignment="1">
      <alignment horizontal="center"/>
    </xf>
    <xf numFmtId="168" fontId="26" fillId="0" borderId="0" xfId="0" applyNumberFormat="1" applyFont="1" applyAlignment="1">
      <alignment horizontal="center"/>
    </xf>
    <xf numFmtId="0" fontId="61" fillId="0" borderId="0" xfId="85" applyFont="1" applyFill="1"/>
    <xf numFmtId="0" fontId="61" fillId="0" borderId="0" xfId="85" applyFont="1"/>
    <xf numFmtId="0" fontId="61" fillId="0" borderId="0" xfId="85" applyFont="1" applyBorder="1"/>
    <xf numFmtId="0" fontId="61" fillId="4" borderId="0" xfId="85" applyFont="1" applyFill="1" applyBorder="1"/>
    <xf numFmtId="0" fontId="61" fillId="4" borderId="0" xfId="0" applyFont="1" applyFill="1" applyBorder="1"/>
    <xf numFmtId="171" fontId="61" fillId="4" borderId="0" xfId="85" applyNumberFormat="1" applyFont="1" applyFill="1" applyBorder="1"/>
    <xf numFmtId="171" fontId="61" fillId="4" borderId="0" xfId="0" applyNumberFormat="1" applyFont="1" applyFill="1" applyBorder="1"/>
    <xf numFmtId="3" fontId="61" fillId="0" borderId="0" xfId="85" applyNumberFormat="1" applyFont="1" applyBorder="1"/>
    <xf numFmtId="175" fontId="61" fillId="0" borderId="0" xfId="85" applyNumberFormat="1" applyFont="1" applyBorder="1"/>
    <xf numFmtId="169" fontId="61" fillId="0" borderId="0" xfId="85" applyNumberFormat="1" applyFont="1" applyBorder="1"/>
    <xf numFmtId="3" fontId="61" fillId="0" borderId="0" xfId="85" applyNumberFormat="1" applyFont="1"/>
    <xf numFmtId="0" fontId="61" fillId="4" borderId="315" xfId="0" applyFont="1" applyFill="1" applyBorder="1" applyAlignment="1">
      <alignment vertical="center"/>
    </xf>
    <xf numFmtId="0" fontId="61" fillId="4" borderId="315" xfId="0" applyFont="1" applyFill="1" applyBorder="1"/>
    <xf numFmtId="0" fontId="61" fillId="4" borderId="344" xfId="0" applyFont="1" applyFill="1" applyBorder="1"/>
    <xf numFmtId="3" fontId="61" fillId="0" borderId="33" xfId="85" applyNumberFormat="1" applyFont="1" applyBorder="1" applyAlignment="1">
      <alignment vertical="center"/>
    </xf>
    <xf numFmtId="9" fontId="61" fillId="0" borderId="33" xfId="2" applyFont="1" applyBorder="1" applyAlignment="1">
      <alignment vertical="center"/>
    </xf>
    <xf numFmtId="0" fontId="61" fillId="117" borderId="0" xfId="0" applyFont="1" applyFill="1" applyBorder="1"/>
    <xf numFmtId="0" fontId="61" fillId="26" borderId="0" xfId="0" applyFont="1" applyFill="1" applyBorder="1"/>
    <xf numFmtId="0" fontId="61" fillId="16" borderId="0" xfId="0" applyFont="1" applyFill="1" applyBorder="1"/>
    <xf numFmtId="9" fontId="61" fillId="0" borderId="9" xfId="2" applyFont="1" applyBorder="1" applyAlignment="1">
      <alignment vertical="center"/>
    </xf>
    <xf numFmtId="9" fontId="61" fillId="16" borderId="33" xfId="2" applyFont="1" applyFill="1" applyBorder="1" applyAlignment="1">
      <alignment vertical="center"/>
    </xf>
    <xf numFmtId="0" fontId="61" fillId="16" borderId="0" xfId="0" applyFont="1" applyFill="1"/>
    <xf numFmtId="0" fontId="30" fillId="4" borderId="0" xfId="85" applyFont="1" applyFill="1" applyAlignment="1">
      <alignment horizontal="center" vertical="center" wrapText="1"/>
    </xf>
    <xf numFmtId="0" fontId="30" fillId="4" borderId="0" xfId="0" applyFont="1" applyFill="1" applyAlignment="1">
      <alignment horizontal="center" vertical="center" wrapText="1"/>
    </xf>
    <xf numFmtId="0" fontId="61" fillId="0" borderId="37" xfId="0" applyFont="1" applyFill="1" applyBorder="1" applyAlignment="1">
      <alignment horizontal="center"/>
    </xf>
    <xf numFmtId="0" fontId="61" fillId="0" borderId="0" xfId="0" applyFont="1" applyFill="1" applyBorder="1" applyAlignment="1">
      <alignment horizontal="center"/>
    </xf>
    <xf numFmtId="0" fontId="61" fillId="16" borderId="23" xfId="0" applyFont="1" applyFill="1" applyBorder="1" applyAlignment="1">
      <alignment horizontal="center"/>
    </xf>
    <xf numFmtId="3" fontId="61" fillId="4" borderId="0" xfId="0" applyNumberFormat="1" applyFont="1" applyFill="1" applyBorder="1"/>
    <xf numFmtId="3" fontId="61" fillId="4" borderId="37" xfId="0" applyNumberFormat="1" applyFont="1" applyFill="1" applyBorder="1"/>
    <xf numFmtId="3" fontId="61" fillId="16" borderId="23" xfId="0" applyNumberFormat="1" applyFont="1" applyFill="1" applyBorder="1"/>
    <xf numFmtId="3" fontId="61" fillId="0" borderId="23" xfId="85" applyNumberFormat="1" applyFont="1" applyFill="1" applyBorder="1"/>
    <xf numFmtId="3" fontId="61" fillId="0" borderId="0" xfId="0" applyNumberFormat="1" applyFont="1" applyBorder="1" applyAlignment="1">
      <alignment horizontal="center"/>
    </xf>
    <xf numFmtId="3" fontId="61" fillId="0" borderId="37" xfId="0" applyNumberFormat="1" applyFont="1" applyBorder="1" applyAlignment="1">
      <alignment horizontal="center"/>
    </xf>
    <xf numFmtId="3" fontId="61" fillId="16" borderId="23" xfId="0" applyNumberFormat="1" applyFont="1" applyFill="1" applyBorder="1" applyAlignment="1">
      <alignment horizontal="center"/>
    </xf>
    <xf numFmtId="3" fontId="61" fillId="0" borderId="0" xfId="85" applyNumberFormat="1" applyFont="1" applyAlignment="1">
      <alignment horizontal="center"/>
    </xf>
    <xf numFmtId="3" fontId="61" fillId="0" borderId="0" xfId="0" applyNumberFormat="1" applyFont="1" applyAlignment="1">
      <alignment horizontal="center"/>
    </xf>
    <xf numFmtId="3" fontId="61" fillId="0" borderId="0" xfId="0" applyNumberFormat="1" applyFont="1" applyBorder="1"/>
    <xf numFmtId="3" fontId="61" fillId="0" borderId="37" xfId="0" applyNumberFormat="1" applyFont="1" applyBorder="1"/>
    <xf numFmtId="3" fontId="61" fillId="0" borderId="23" xfId="85" applyNumberFormat="1" applyFont="1" applyBorder="1"/>
    <xf numFmtId="3" fontId="61" fillId="0" borderId="0" xfId="0" applyNumberFormat="1" applyFont="1"/>
    <xf numFmtId="0" fontId="61" fillId="0" borderId="23" xfId="85" applyFont="1" applyFill="1" applyBorder="1"/>
    <xf numFmtId="3" fontId="61" fillId="16" borderId="0" xfId="0" applyNumberFormat="1" applyFont="1" applyFill="1" applyBorder="1" applyAlignment="1">
      <alignment wrapText="1"/>
    </xf>
    <xf numFmtId="3" fontId="61" fillId="0" borderId="44" xfId="0" applyNumberFormat="1" applyFont="1" applyBorder="1"/>
    <xf numFmtId="3" fontId="61" fillId="0" borderId="13" xfId="0" applyNumberFormat="1" applyFont="1" applyBorder="1"/>
    <xf numFmtId="3" fontId="61" fillId="0" borderId="24" xfId="0" applyNumberFormat="1" applyFont="1" applyBorder="1"/>
    <xf numFmtId="3" fontId="61" fillId="0" borderId="127" xfId="0" applyNumberFormat="1" applyFont="1" applyBorder="1"/>
    <xf numFmtId="3" fontId="61" fillId="0" borderId="42" xfId="0" applyNumberFormat="1" applyFont="1" applyBorder="1"/>
    <xf numFmtId="3" fontId="61" fillId="0" borderId="43" xfId="0" applyNumberFormat="1" applyFont="1" applyBorder="1"/>
    <xf numFmtId="3" fontId="61" fillId="0" borderId="45" xfId="0" applyNumberFormat="1" applyFont="1" applyBorder="1"/>
    <xf numFmtId="3" fontId="61" fillId="27" borderId="44" xfId="0" applyNumberFormat="1" applyFont="1" applyFill="1" applyBorder="1"/>
    <xf numFmtId="3" fontId="61" fillId="27" borderId="13" xfId="0" applyNumberFormat="1" applyFont="1" applyFill="1" applyBorder="1"/>
    <xf numFmtId="3" fontId="61" fillId="27" borderId="24" xfId="0" applyNumberFormat="1" applyFont="1" applyFill="1" applyBorder="1"/>
    <xf numFmtId="3" fontId="61" fillId="27" borderId="45" xfId="0" applyNumberFormat="1" applyFont="1" applyFill="1" applyBorder="1"/>
    <xf numFmtId="3" fontId="61" fillId="27" borderId="269" xfId="0" applyNumberFormat="1" applyFont="1" applyFill="1" applyBorder="1"/>
    <xf numFmtId="3" fontId="61" fillId="27" borderId="20" xfId="0" applyNumberFormat="1" applyFont="1" applyFill="1" applyBorder="1"/>
    <xf numFmtId="3" fontId="61" fillId="27" borderId="55" xfId="0" applyNumberFormat="1" applyFont="1" applyFill="1" applyBorder="1"/>
    <xf numFmtId="9" fontId="61" fillId="117" borderId="0" xfId="2" applyNumberFormat="1" applyFont="1" applyFill="1" applyBorder="1"/>
    <xf numFmtId="9" fontId="61" fillId="26" borderId="0" xfId="2" applyNumberFormat="1" applyFont="1" applyFill="1" applyBorder="1"/>
    <xf numFmtId="9" fontId="61" fillId="16" borderId="0" xfId="2" applyFont="1" applyFill="1" applyBorder="1"/>
    <xf numFmtId="0" fontId="61" fillId="4" borderId="0" xfId="0" applyFont="1" applyFill="1" applyBorder="1" applyAlignment="1">
      <alignment horizontal="center" vertical="center"/>
    </xf>
    <xf numFmtId="0" fontId="30" fillId="16" borderId="0" xfId="0" applyFont="1" applyFill="1" applyAlignment="1">
      <alignment horizontal="center" vertical="center" wrapText="1"/>
    </xf>
    <xf numFmtId="0" fontId="30" fillId="0" borderId="0" xfId="85" applyFont="1" applyAlignment="1">
      <alignment horizontal="center" vertical="center" wrapText="1"/>
    </xf>
    <xf numFmtId="0" fontId="30" fillId="0" borderId="0" xfId="85" applyFont="1" applyBorder="1" applyAlignment="1">
      <alignment horizontal="center" vertical="center" wrapText="1"/>
    </xf>
    <xf numFmtId="0" fontId="30" fillId="0" borderId="0" xfId="85" applyFont="1" applyFill="1" applyAlignment="1">
      <alignment horizontal="center" vertical="center" wrapText="1"/>
    </xf>
    <xf numFmtId="0" fontId="61" fillId="4" borderId="0" xfId="85" applyFont="1" applyFill="1"/>
    <xf numFmtId="0" fontId="61" fillId="4" borderId="0" xfId="0" applyFont="1" applyFill="1"/>
    <xf numFmtId="0" fontId="61" fillId="4" borderId="0" xfId="85" applyFont="1" applyFill="1" applyBorder="1" applyAlignment="1">
      <alignment horizontal="center"/>
    </xf>
    <xf numFmtId="0" fontId="61" fillId="0" borderId="0" xfId="85" applyFont="1" applyAlignment="1">
      <alignment horizontal="center"/>
    </xf>
    <xf numFmtId="0" fontId="61" fillId="0" borderId="0" xfId="85" applyFont="1" applyBorder="1" applyAlignment="1">
      <alignment horizontal="center"/>
    </xf>
    <xf numFmtId="0" fontId="61" fillId="4" borderId="0" xfId="0" applyFont="1" applyFill="1" applyBorder="1" applyAlignment="1">
      <alignment horizontal="center"/>
    </xf>
    <xf numFmtId="0" fontId="61" fillId="0" borderId="23" xfId="85" applyFont="1" applyFill="1" applyBorder="1" applyAlignment="1">
      <alignment horizontal="center" vertical="center"/>
    </xf>
    <xf numFmtId="0" fontId="61" fillId="15" borderId="0" xfId="0" applyFont="1" applyFill="1" applyAlignment="1">
      <alignment horizontal="center"/>
    </xf>
    <xf numFmtId="0" fontId="61" fillId="15" borderId="37" xfId="0" applyFont="1" applyFill="1" applyBorder="1" applyAlignment="1">
      <alignment horizontal="center"/>
    </xf>
    <xf numFmtId="0" fontId="61" fillId="15" borderId="0" xfId="0" applyFont="1" applyFill="1" applyBorder="1" applyAlignment="1">
      <alignment horizontal="center"/>
    </xf>
    <xf numFmtId="0" fontId="61" fillId="72" borderId="0" xfId="0" applyFont="1" applyFill="1" applyBorder="1" applyAlignment="1">
      <alignment horizontal="center"/>
    </xf>
    <xf numFmtId="0" fontId="61" fillId="0" borderId="0" xfId="85" applyFont="1" applyFill="1" applyBorder="1" applyAlignment="1">
      <alignment horizontal="center"/>
    </xf>
    <xf numFmtId="0" fontId="61" fillId="0" borderId="23" xfId="85" applyFont="1" applyFill="1" applyBorder="1" applyAlignment="1">
      <alignment horizontal="center"/>
    </xf>
    <xf numFmtId="0" fontId="61" fillId="26" borderId="0" xfId="85" applyFont="1" applyFill="1" applyBorder="1" applyAlignment="1">
      <alignment horizontal="center"/>
    </xf>
    <xf numFmtId="0" fontId="61" fillId="2" borderId="0" xfId="85" applyFont="1" applyFill="1" applyBorder="1" applyAlignment="1">
      <alignment horizontal="center"/>
    </xf>
    <xf numFmtId="0" fontId="61" fillId="74" borderId="0" xfId="85" applyFont="1" applyFill="1" applyBorder="1" applyAlignment="1">
      <alignment horizontal="center"/>
    </xf>
    <xf numFmtId="0" fontId="61" fillId="27" borderId="0" xfId="0" applyFont="1" applyFill="1" applyBorder="1" applyAlignment="1">
      <alignment horizontal="center"/>
    </xf>
    <xf numFmtId="0" fontId="61" fillId="29" borderId="0" xfId="0" applyFont="1" applyFill="1" applyBorder="1" applyAlignment="1">
      <alignment horizontal="center"/>
    </xf>
    <xf numFmtId="0" fontId="61" fillId="8" borderId="385" xfId="85" applyFont="1" applyFill="1" applyBorder="1" applyAlignment="1">
      <alignment horizontal="center"/>
    </xf>
    <xf numFmtId="0" fontId="61" fillId="3" borderId="0" xfId="0" applyFont="1" applyFill="1" applyBorder="1" applyAlignment="1">
      <alignment horizontal="center"/>
    </xf>
    <xf numFmtId="0" fontId="61" fillId="3" borderId="37" xfId="0" applyFont="1" applyFill="1" applyBorder="1" applyAlignment="1">
      <alignment horizontal="center"/>
    </xf>
    <xf numFmtId="0" fontId="61" fillId="0" borderId="155" xfId="85" applyFont="1" applyFill="1" applyBorder="1" applyAlignment="1">
      <alignment horizontal="center"/>
    </xf>
    <xf numFmtId="0" fontId="61" fillId="0" borderId="152" xfId="85" applyFont="1" applyFill="1" applyBorder="1" applyAlignment="1">
      <alignment horizontal="center"/>
    </xf>
    <xf numFmtId="0" fontId="61" fillId="71" borderId="0" xfId="85" applyFont="1" applyFill="1" applyBorder="1" applyAlignment="1">
      <alignment horizontal="center"/>
    </xf>
    <xf numFmtId="0" fontId="61" fillId="0" borderId="386" xfId="85" applyFont="1" applyFill="1" applyBorder="1" applyAlignment="1">
      <alignment horizontal="center"/>
    </xf>
    <xf numFmtId="0" fontId="61" fillId="16" borderId="0" xfId="0" applyFont="1" applyFill="1" applyBorder="1" applyAlignment="1">
      <alignment horizontal="center"/>
    </xf>
    <xf numFmtId="0" fontId="61" fillId="16" borderId="37" xfId="0" applyFont="1" applyFill="1" applyBorder="1" applyAlignment="1">
      <alignment horizontal="center"/>
    </xf>
    <xf numFmtId="0" fontId="61" fillId="16" borderId="168" xfId="85" applyFont="1" applyFill="1" applyBorder="1" applyAlignment="1">
      <alignment horizontal="center"/>
    </xf>
    <xf numFmtId="0" fontId="61" fillId="16" borderId="169" xfId="85" applyFont="1" applyFill="1" applyBorder="1" applyAlignment="1">
      <alignment horizontal="center"/>
    </xf>
    <xf numFmtId="0" fontId="61" fillId="16" borderId="170" xfId="85" applyFont="1" applyFill="1" applyBorder="1" applyAlignment="1">
      <alignment horizontal="center"/>
    </xf>
    <xf numFmtId="0" fontId="61" fillId="16" borderId="171" xfId="85" applyFont="1" applyFill="1" applyBorder="1" applyAlignment="1">
      <alignment horizontal="center"/>
    </xf>
    <xf numFmtId="0" fontId="61" fillId="16" borderId="172" xfId="85" applyFont="1" applyFill="1" applyBorder="1" applyAlignment="1">
      <alignment horizontal="center"/>
    </xf>
    <xf numFmtId="0" fontId="61" fillId="16" borderId="173" xfId="85" applyFont="1" applyFill="1" applyBorder="1" applyAlignment="1">
      <alignment horizontal="center"/>
    </xf>
    <xf numFmtId="0" fontId="61" fillId="16" borderId="174" xfId="85" applyFont="1" applyFill="1" applyBorder="1" applyAlignment="1">
      <alignment horizontal="center"/>
    </xf>
    <xf numFmtId="0" fontId="61" fillId="16" borderId="78" xfId="85" applyFont="1" applyFill="1" applyBorder="1" applyAlignment="1">
      <alignment horizontal="center"/>
    </xf>
    <xf numFmtId="0" fontId="61" fillId="4" borderId="173" xfId="85" applyFont="1" applyFill="1" applyBorder="1" applyAlignment="1">
      <alignment horizontal="center"/>
    </xf>
    <xf numFmtId="0" fontId="61" fillId="4" borderId="174" xfId="85" applyFont="1" applyFill="1" applyBorder="1" applyAlignment="1">
      <alignment horizontal="center"/>
    </xf>
    <xf numFmtId="0" fontId="61" fillId="4" borderId="78" xfId="85" applyFont="1" applyFill="1" applyBorder="1" applyAlignment="1">
      <alignment horizontal="center"/>
    </xf>
    <xf numFmtId="0" fontId="61" fillId="96" borderId="0" xfId="0" applyFont="1" applyFill="1" applyBorder="1" applyAlignment="1">
      <alignment horizontal="center"/>
    </xf>
    <xf numFmtId="3" fontId="61" fillId="16" borderId="0" xfId="0" applyNumberFormat="1" applyFont="1" applyFill="1" applyBorder="1"/>
    <xf numFmtId="3" fontId="61" fillId="16" borderId="37" xfId="0" applyNumberFormat="1" applyFont="1" applyFill="1" applyBorder="1"/>
    <xf numFmtId="3" fontId="61" fillId="70" borderId="184" xfId="85" applyNumberFormat="1" applyFont="1" applyFill="1" applyBorder="1"/>
    <xf numFmtId="3" fontId="61" fillId="70" borderId="1" xfId="85" applyNumberFormat="1" applyFont="1" applyFill="1" applyBorder="1"/>
    <xf numFmtId="3" fontId="61" fillId="70" borderId="185" xfId="85" applyNumberFormat="1" applyFont="1" applyFill="1" applyBorder="1"/>
    <xf numFmtId="3" fontId="61" fillId="26" borderId="184" xfId="85" applyNumberFormat="1" applyFont="1" applyFill="1" applyBorder="1"/>
    <xf numFmtId="3" fontId="61" fillId="26" borderId="1" xfId="85" applyNumberFormat="1" applyFont="1" applyFill="1" applyBorder="1"/>
    <xf numFmtId="3" fontId="61" fillId="26" borderId="185" xfId="85" applyNumberFormat="1" applyFont="1" applyFill="1" applyBorder="1"/>
    <xf numFmtId="3" fontId="61" fillId="28" borderId="186" xfId="85" applyNumberFormat="1" applyFont="1" applyFill="1" applyBorder="1"/>
    <xf numFmtId="3" fontId="61" fillId="28" borderId="0" xfId="85" applyNumberFormat="1" applyFont="1" applyFill="1" applyBorder="1"/>
    <xf numFmtId="3" fontId="61" fillId="28" borderId="133" xfId="85" applyNumberFormat="1" applyFont="1" applyFill="1" applyBorder="1"/>
    <xf numFmtId="3" fontId="61" fillId="14" borderId="129" xfId="85" applyNumberFormat="1" applyFont="1" applyFill="1" applyBorder="1"/>
    <xf numFmtId="3" fontId="61" fillId="14" borderId="0" xfId="85" applyNumberFormat="1" applyFont="1" applyFill="1" applyBorder="1"/>
    <xf numFmtId="3" fontId="61" fillId="14" borderId="72" xfId="85" applyNumberFormat="1" applyFont="1" applyFill="1" applyBorder="1"/>
    <xf numFmtId="3" fontId="61" fillId="29" borderId="129" xfId="85" applyNumberFormat="1" applyFont="1" applyFill="1" applyBorder="1"/>
    <xf numFmtId="3" fontId="61" fillId="29" borderId="0" xfId="85" applyNumberFormat="1" applyFont="1" applyFill="1" applyBorder="1"/>
    <xf numFmtId="3" fontId="61" fillId="29" borderId="72" xfId="85" applyNumberFormat="1" applyFont="1" applyFill="1" applyBorder="1"/>
    <xf numFmtId="3" fontId="61" fillId="26" borderId="0" xfId="85" applyNumberFormat="1" applyFont="1" applyFill="1" applyBorder="1"/>
    <xf numFmtId="3" fontId="61" fillId="2" borderId="0" xfId="85" applyNumberFormat="1" applyFont="1" applyFill="1" applyBorder="1"/>
    <xf numFmtId="3" fontId="61" fillId="74" borderId="0" xfId="85" applyNumberFormat="1" applyFont="1" applyFill="1" applyBorder="1"/>
    <xf numFmtId="3" fontId="61" fillId="27" borderId="0" xfId="0" applyNumberFormat="1" applyFont="1" applyFill="1" applyBorder="1"/>
    <xf numFmtId="3" fontId="61" fillId="96" borderId="0" xfId="0" applyNumberFormat="1" applyFont="1" applyFill="1" applyBorder="1"/>
    <xf numFmtId="3" fontId="61" fillId="0" borderId="387" xfId="85" applyNumberFormat="1" applyFont="1" applyFill="1" applyBorder="1"/>
    <xf numFmtId="3" fontId="61" fillId="70" borderId="207" xfId="85" applyNumberFormat="1" applyFont="1" applyFill="1" applyBorder="1"/>
    <xf numFmtId="3" fontId="61" fillId="70" borderId="208" xfId="85" applyNumberFormat="1" applyFont="1" applyFill="1" applyBorder="1"/>
    <xf numFmtId="3" fontId="61" fillId="70" borderId="209" xfId="85" applyNumberFormat="1" applyFont="1" applyFill="1" applyBorder="1"/>
    <xf numFmtId="3" fontId="61" fillId="26" borderId="207" xfId="85" applyNumberFormat="1" applyFont="1" applyFill="1" applyBorder="1"/>
    <xf numFmtId="3" fontId="61" fillId="26" borderId="208" xfId="85" applyNumberFormat="1" applyFont="1" applyFill="1" applyBorder="1"/>
    <xf numFmtId="3" fontId="61" fillId="26" borderId="209" xfId="85" applyNumberFormat="1" applyFont="1" applyFill="1" applyBorder="1"/>
    <xf numFmtId="3" fontId="61" fillId="28" borderId="210" xfId="85" applyNumberFormat="1" applyFont="1" applyFill="1" applyBorder="1"/>
    <xf numFmtId="3" fontId="61" fillId="28" borderId="211" xfId="85" applyNumberFormat="1" applyFont="1" applyFill="1" applyBorder="1"/>
    <xf numFmtId="3" fontId="61" fillId="14" borderId="212" xfId="85" applyNumberFormat="1" applyFont="1" applyFill="1" applyBorder="1"/>
    <xf numFmtId="3" fontId="61" fillId="14" borderId="152" xfId="85" applyNumberFormat="1" applyFont="1" applyFill="1" applyBorder="1"/>
    <xf numFmtId="3" fontId="61" fillId="29" borderId="212" xfId="85" applyNumberFormat="1" applyFont="1" applyFill="1" applyBorder="1"/>
    <xf numFmtId="3" fontId="61" fillId="29" borderId="152" xfId="85" applyNumberFormat="1" applyFont="1" applyFill="1" applyBorder="1"/>
    <xf numFmtId="3" fontId="61" fillId="29" borderId="213" xfId="85" applyNumberFormat="1" applyFont="1" applyFill="1" applyBorder="1"/>
    <xf numFmtId="3" fontId="61" fillId="0" borderId="388" xfId="85" applyNumberFormat="1" applyFont="1" applyFill="1" applyBorder="1"/>
    <xf numFmtId="4" fontId="61" fillId="0" borderId="0" xfId="85" applyNumberFormat="1" applyFont="1" applyBorder="1"/>
    <xf numFmtId="171" fontId="61" fillId="4" borderId="0" xfId="85" applyNumberFormat="1" applyFont="1" applyFill="1" applyBorder="1" applyAlignment="1">
      <alignment horizontal="right"/>
    </xf>
    <xf numFmtId="3" fontId="61" fillId="8" borderId="23" xfId="85" applyNumberFormat="1" applyFont="1" applyFill="1" applyBorder="1" applyAlignment="1">
      <alignment horizontal="center"/>
    </xf>
    <xf numFmtId="3" fontId="61" fillId="14" borderId="213" xfId="85" applyNumberFormat="1" applyFont="1" applyFill="1" applyBorder="1"/>
    <xf numFmtId="3" fontId="61" fillId="0" borderId="23" xfId="85" applyNumberFormat="1" applyFont="1" applyBorder="1" applyAlignment="1">
      <alignment horizontal="center"/>
    </xf>
    <xf numFmtId="3" fontId="61" fillId="16" borderId="0" xfId="0" applyNumberFormat="1" applyFont="1" applyFill="1" applyBorder="1" applyAlignment="1">
      <alignment horizontal="center"/>
    </xf>
    <xf numFmtId="3" fontId="61" fillId="16" borderId="37" xfId="0" applyNumberFormat="1" applyFont="1" applyFill="1" applyBorder="1" applyAlignment="1">
      <alignment horizontal="center"/>
    </xf>
    <xf numFmtId="3" fontId="61" fillId="27" borderId="0" xfId="0" applyNumberFormat="1" applyFont="1" applyFill="1" applyBorder="1" applyAlignment="1">
      <alignment horizontal="center"/>
    </xf>
    <xf numFmtId="3" fontId="61" fillId="96" borderId="0" xfId="0" applyNumberFormat="1" applyFont="1" applyFill="1" applyBorder="1" applyAlignment="1">
      <alignment horizontal="center"/>
    </xf>
    <xf numFmtId="0" fontId="61" fillId="14" borderId="0" xfId="0" applyFont="1" applyFill="1" applyBorder="1" applyAlignment="1">
      <alignment horizontal="center"/>
    </xf>
    <xf numFmtId="3" fontId="61" fillId="16" borderId="0" xfId="0" applyNumberFormat="1" applyFont="1" applyFill="1" applyBorder="1" applyAlignment="1">
      <alignment horizontal="right"/>
    </xf>
    <xf numFmtId="3" fontId="61" fillId="16" borderId="37" xfId="0" applyNumberFormat="1" applyFont="1" applyFill="1" applyBorder="1" applyAlignment="1">
      <alignment horizontal="right"/>
    </xf>
    <xf numFmtId="3" fontId="61" fillId="16" borderId="23" xfId="0" applyNumberFormat="1" applyFont="1" applyFill="1" applyBorder="1" applyAlignment="1">
      <alignment horizontal="right"/>
    </xf>
    <xf numFmtId="0" fontId="61" fillId="117" borderId="35" xfId="0" applyFont="1" applyFill="1" applyBorder="1" applyAlignment="1">
      <alignment horizontal="center" vertical="center"/>
    </xf>
    <xf numFmtId="0" fontId="61" fillId="117" borderId="29" xfId="0" applyFont="1" applyFill="1" applyBorder="1" applyAlignment="1">
      <alignment horizontal="center" vertical="center"/>
    </xf>
    <xf numFmtId="0" fontId="61" fillId="16" borderId="23" xfId="0" applyFont="1" applyFill="1" applyBorder="1" applyAlignment="1">
      <alignment horizontal="center" vertical="center"/>
    </xf>
    <xf numFmtId="0" fontId="61" fillId="117" borderId="30" xfId="0" applyFont="1" applyFill="1" applyBorder="1" applyAlignment="1">
      <alignment horizontal="center" vertical="center"/>
    </xf>
    <xf numFmtId="0" fontId="61" fillId="117" borderId="37" xfId="0" applyFont="1" applyFill="1" applyBorder="1" applyAlignment="1">
      <alignment horizontal="center" vertical="center"/>
    </xf>
    <xf numFmtId="0" fontId="61" fillId="117" borderId="0" xfId="0" applyFont="1" applyFill="1" applyBorder="1" applyAlignment="1">
      <alignment horizontal="center" vertical="center"/>
    </xf>
    <xf numFmtId="0" fontId="61" fillId="26" borderId="37" xfId="0" applyFont="1" applyFill="1" applyBorder="1" applyAlignment="1">
      <alignment horizontal="center" vertical="center"/>
    </xf>
    <xf numFmtId="0" fontId="61" fillId="0" borderId="152" xfId="0" applyFont="1" applyFill="1" applyBorder="1" applyAlignment="1">
      <alignment horizontal="center" vertical="center"/>
    </xf>
    <xf numFmtId="0" fontId="61" fillId="12" borderId="0" xfId="0" applyFont="1" applyFill="1" applyBorder="1" applyAlignment="1">
      <alignment horizontal="center" vertical="center"/>
    </xf>
    <xf numFmtId="0" fontId="61" fillId="105" borderId="0" xfId="0" applyFont="1" applyFill="1" applyBorder="1" applyAlignment="1">
      <alignment horizontal="center" vertical="center"/>
    </xf>
    <xf numFmtId="0" fontId="61" fillId="71" borderId="0" xfId="0" applyFont="1" applyFill="1" applyBorder="1" applyAlignment="1">
      <alignment horizontal="center" vertical="center"/>
    </xf>
    <xf numFmtId="0" fontId="61" fillId="38" borderId="0" xfId="0" applyFont="1" applyFill="1" applyBorder="1" applyAlignment="1">
      <alignment horizontal="center" vertical="center"/>
    </xf>
    <xf numFmtId="0" fontId="61" fillId="73" borderId="0" xfId="0" applyFont="1" applyFill="1" applyBorder="1" applyAlignment="1">
      <alignment horizontal="center" vertical="center"/>
    </xf>
    <xf numFmtId="0" fontId="61" fillId="10" borderId="0" xfId="0" applyFont="1" applyFill="1" applyBorder="1" applyAlignment="1">
      <alignment horizontal="center" vertical="center"/>
    </xf>
    <xf numFmtId="0" fontId="61" fillId="105" borderId="37" xfId="0" applyFont="1" applyFill="1" applyBorder="1" applyAlignment="1">
      <alignment horizontal="center" vertical="center"/>
    </xf>
    <xf numFmtId="0" fontId="61" fillId="117" borderId="7" xfId="0" applyFont="1" applyFill="1" applyBorder="1" applyAlignment="1">
      <alignment horizontal="center" vertical="center"/>
    </xf>
    <xf numFmtId="0" fontId="61" fillId="0" borderId="315" xfId="0" applyFont="1" applyFill="1" applyBorder="1" applyAlignment="1">
      <alignment horizontal="center" vertical="center"/>
    </xf>
    <xf numFmtId="0" fontId="61" fillId="16" borderId="66" xfId="0" applyFont="1" applyFill="1" applyBorder="1" applyAlignment="1">
      <alignment horizontal="center" vertical="center"/>
    </xf>
    <xf numFmtId="0" fontId="61" fillId="16" borderId="34" xfId="0" applyFont="1" applyFill="1" applyBorder="1" applyAlignment="1">
      <alignment horizontal="center" vertical="center"/>
    </xf>
    <xf numFmtId="0" fontId="61" fillId="0" borderId="34" xfId="0" applyFont="1" applyFill="1" applyBorder="1" applyAlignment="1">
      <alignment horizontal="center" vertical="center"/>
    </xf>
    <xf numFmtId="0" fontId="61" fillId="16" borderId="168" xfId="0" applyFont="1" applyFill="1" applyBorder="1" applyAlignment="1">
      <alignment horizontal="center" vertical="center"/>
    </xf>
    <xf numFmtId="0" fontId="61" fillId="16" borderId="169" xfId="0" applyFont="1" applyFill="1" applyBorder="1" applyAlignment="1">
      <alignment horizontal="center" vertical="center"/>
    </xf>
    <xf numFmtId="0" fontId="61" fillId="16" borderId="170" xfId="0" applyFont="1" applyFill="1" applyBorder="1" applyAlignment="1">
      <alignment horizontal="center" vertical="center"/>
    </xf>
    <xf numFmtId="0" fontId="61" fillId="16" borderId="171" xfId="0" applyFont="1" applyFill="1" applyBorder="1" applyAlignment="1">
      <alignment horizontal="center" vertical="center"/>
    </xf>
    <xf numFmtId="0" fontId="61" fillId="16" borderId="172" xfId="0" applyFont="1" applyFill="1" applyBorder="1" applyAlignment="1">
      <alignment horizontal="center" vertical="center"/>
    </xf>
    <xf numFmtId="0" fontId="61" fillId="16" borderId="173" xfId="0" applyFont="1" applyFill="1" applyBorder="1" applyAlignment="1">
      <alignment horizontal="center" vertical="center"/>
    </xf>
    <xf numFmtId="0" fontId="61" fillId="16" borderId="174" xfId="0" applyFont="1" applyFill="1" applyBorder="1" applyAlignment="1">
      <alignment horizontal="center" vertical="center"/>
    </xf>
    <xf numFmtId="0" fontId="61" fillId="16" borderId="78" xfId="0" applyFont="1" applyFill="1" applyBorder="1" applyAlignment="1">
      <alignment horizontal="center" vertical="center"/>
    </xf>
    <xf numFmtId="0" fontId="61" fillId="4" borderId="173" xfId="0" applyFont="1" applyFill="1" applyBorder="1" applyAlignment="1">
      <alignment horizontal="center" vertical="center"/>
    </xf>
    <xf numFmtId="0" fontId="61" fillId="4" borderId="174" xfId="0" applyFont="1" applyFill="1" applyBorder="1" applyAlignment="1">
      <alignment horizontal="center" vertical="center"/>
    </xf>
    <xf numFmtId="0" fontId="61" fillId="4" borderId="78" xfId="0" applyFont="1" applyFill="1" applyBorder="1" applyAlignment="1">
      <alignment horizontal="center" vertical="center"/>
    </xf>
    <xf numFmtId="0" fontId="61" fillId="4" borderId="37" xfId="0" applyFont="1" applyFill="1" applyBorder="1" applyAlignment="1">
      <alignment horizontal="center" vertical="center"/>
    </xf>
    <xf numFmtId="0" fontId="61" fillId="4" borderId="40" xfId="0" applyFont="1" applyFill="1" applyBorder="1" applyAlignment="1">
      <alignment horizontal="center" vertical="center"/>
    </xf>
    <xf numFmtId="0" fontId="61" fillId="4" borderId="33" xfId="0" applyFont="1" applyFill="1" applyBorder="1" applyAlignment="1">
      <alignment horizontal="center" vertical="center"/>
    </xf>
    <xf numFmtId="0" fontId="61" fillId="4" borderId="9" xfId="0" applyFont="1" applyFill="1" applyBorder="1" applyAlignment="1">
      <alignment horizontal="center" vertical="center"/>
    </xf>
    <xf numFmtId="3" fontId="61" fillId="70" borderId="184" xfId="0" applyNumberFormat="1" applyFont="1" applyFill="1" applyBorder="1"/>
    <xf numFmtId="3" fontId="61" fillId="70" borderId="1" xfId="0" applyNumberFormat="1" applyFont="1" applyFill="1" applyBorder="1"/>
    <xf numFmtId="3" fontId="61" fillId="70" borderId="185" xfId="0" applyNumberFormat="1" applyFont="1" applyFill="1" applyBorder="1"/>
    <xf numFmtId="3" fontId="61" fillId="26" borderId="184" xfId="0" applyNumberFormat="1" applyFont="1" applyFill="1" applyBorder="1"/>
    <xf numFmtId="3" fontId="61" fillId="26" borderId="1" xfId="0" applyNumberFormat="1" applyFont="1" applyFill="1" applyBorder="1"/>
    <xf numFmtId="3" fontId="61" fillId="26" borderId="185" xfId="0" applyNumberFormat="1" applyFont="1" applyFill="1" applyBorder="1"/>
    <xf numFmtId="3" fontId="61" fillId="28" borderId="186" xfId="0" applyNumberFormat="1" applyFont="1" applyFill="1" applyBorder="1"/>
    <xf numFmtId="3" fontId="61" fillId="28" borderId="0" xfId="0" applyNumberFormat="1" applyFont="1" applyFill="1" applyBorder="1"/>
    <xf numFmtId="3" fontId="61" fillId="28" borderId="133" xfId="0" applyNumberFormat="1" applyFont="1" applyFill="1" applyBorder="1"/>
    <xf numFmtId="3" fontId="61" fillId="14" borderId="129" xfId="0" applyNumberFormat="1" applyFont="1" applyFill="1" applyBorder="1"/>
    <xf numFmtId="3" fontId="61" fillId="14" borderId="0" xfId="0" applyNumberFormat="1" applyFont="1" applyFill="1" applyBorder="1"/>
    <xf numFmtId="3" fontId="61" fillId="14" borderId="72" xfId="0" applyNumberFormat="1" applyFont="1" applyFill="1" applyBorder="1"/>
    <xf numFmtId="3" fontId="61" fillId="29" borderId="129" xfId="0" applyNumberFormat="1" applyFont="1" applyFill="1" applyBorder="1"/>
    <xf numFmtId="3" fontId="61" fillId="29" borderId="0" xfId="0" applyNumberFormat="1" applyFont="1" applyFill="1" applyBorder="1"/>
    <xf numFmtId="3" fontId="61" fillId="29" borderId="72" xfId="0" applyNumberFormat="1" applyFont="1" applyFill="1" applyBorder="1"/>
    <xf numFmtId="3" fontId="61" fillId="26" borderId="0" xfId="0" applyNumberFormat="1" applyFont="1" applyFill="1" applyBorder="1"/>
    <xf numFmtId="3" fontId="61" fillId="2" borderId="0" xfId="0" applyNumberFormat="1" applyFont="1" applyFill="1" applyBorder="1"/>
    <xf numFmtId="3" fontId="61" fillId="74" borderId="0" xfId="0" applyNumberFormat="1" applyFont="1" applyFill="1" applyBorder="1"/>
    <xf numFmtId="3" fontId="61" fillId="26" borderId="37" xfId="0" applyNumberFormat="1" applyFont="1" applyFill="1" applyBorder="1"/>
    <xf numFmtId="3" fontId="61" fillId="5" borderId="37" xfId="0" applyNumberFormat="1" applyFont="1" applyFill="1" applyBorder="1"/>
    <xf numFmtId="3" fontId="61" fillId="5" borderId="0" xfId="0" applyNumberFormat="1" applyFont="1" applyFill="1" applyBorder="1"/>
    <xf numFmtId="3" fontId="61" fillId="117" borderId="37" xfId="0" applyNumberFormat="1" applyFont="1" applyFill="1" applyBorder="1"/>
    <xf numFmtId="3" fontId="61" fillId="117" borderId="0" xfId="0" applyNumberFormat="1" applyFont="1" applyFill="1" applyBorder="1"/>
    <xf numFmtId="3" fontId="61" fillId="117" borderId="7" xfId="0" applyNumberFormat="1" applyFont="1" applyFill="1" applyBorder="1"/>
    <xf numFmtId="3" fontId="61" fillId="70" borderId="335" xfId="0" applyNumberFormat="1" applyFont="1" applyFill="1" applyBorder="1"/>
    <xf numFmtId="3" fontId="61" fillId="70" borderId="254" xfId="0" applyNumberFormat="1" applyFont="1" applyFill="1" applyBorder="1"/>
    <xf numFmtId="3" fontId="61" fillId="70" borderId="336" xfId="0" applyNumberFormat="1" applyFont="1" applyFill="1" applyBorder="1"/>
    <xf numFmtId="3" fontId="61" fillId="26" borderId="335" xfId="0" applyNumberFormat="1" applyFont="1" applyFill="1" applyBorder="1"/>
    <xf numFmtId="3" fontId="61" fillId="26" borderId="254" xfId="0" applyNumberFormat="1" applyFont="1" applyFill="1" applyBorder="1"/>
    <xf numFmtId="3" fontId="61" fillId="26" borderId="336" xfId="0" applyNumberFormat="1" applyFont="1" applyFill="1" applyBorder="1"/>
    <xf numFmtId="3" fontId="61" fillId="28" borderId="337" xfId="0" applyNumberFormat="1" applyFont="1" applyFill="1" applyBorder="1"/>
    <xf numFmtId="3" fontId="61" fillId="28" borderId="148" xfId="0" applyNumberFormat="1" applyFont="1" applyFill="1" applyBorder="1"/>
    <xf numFmtId="3" fontId="61" fillId="16" borderId="5" xfId="0" applyNumberFormat="1" applyFont="1" applyFill="1" applyBorder="1"/>
    <xf numFmtId="3" fontId="61" fillId="16" borderId="52" xfId="0" applyNumberFormat="1" applyFont="1" applyFill="1" applyBorder="1"/>
    <xf numFmtId="3" fontId="61" fillId="16" borderId="11" xfId="0" applyNumberFormat="1" applyFont="1" applyFill="1" applyBorder="1"/>
    <xf numFmtId="3" fontId="61" fillId="70" borderId="355" xfId="0" applyNumberFormat="1" applyFont="1" applyFill="1" applyBorder="1"/>
    <xf numFmtId="3" fontId="61" fillId="70" borderId="342" xfId="0" applyNumberFormat="1" applyFont="1" applyFill="1" applyBorder="1"/>
    <xf numFmtId="3" fontId="61" fillId="70" borderId="356" xfId="0" applyNumberFormat="1" applyFont="1" applyFill="1" applyBorder="1"/>
    <xf numFmtId="3" fontId="61" fillId="26" borderId="355" xfId="0" applyNumberFormat="1" applyFont="1" applyFill="1" applyBorder="1"/>
    <xf numFmtId="3" fontId="61" fillId="26" borderId="342" xfId="0" applyNumberFormat="1" applyFont="1" applyFill="1" applyBorder="1"/>
    <xf numFmtId="3" fontId="61" fillId="26" borderId="356" xfId="0" applyNumberFormat="1" applyFont="1" applyFill="1" applyBorder="1"/>
    <xf numFmtId="3" fontId="61" fillId="28" borderId="357" xfId="0" applyNumberFormat="1" applyFont="1" applyFill="1" applyBorder="1"/>
    <xf numFmtId="3" fontId="61" fillId="28" borderId="11" xfId="0" applyNumberFormat="1" applyFont="1" applyFill="1" applyBorder="1"/>
    <xf numFmtId="3" fontId="61" fillId="14" borderId="358" xfId="0" applyNumberFormat="1" applyFont="1" applyFill="1" applyBorder="1"/>
    <xf numFmtId="3" fontId="61" fillId="14" borderId="11" xfId="0" applyNumberFormat="1" applyFont="1" applyFill="1" applyBorder="1"/>
    <xf numFmtId="3" fontId="61" fillId="14" borderId="359" xfId="0" applyNumberFormat="1" applyFont="1" applyFill="1" applyBorder="1"/>
    <xf numFmtId="3" fontId="61" fillId="29" borderId="358" xfId="0" applyNumberFormat="1" applyFont="1" applyFill="1" applyBorder="1"/>
    <xf numFmtId="3" fontId="61" fillId="29" borderId="11" xfId="0" applyNumberFormat="1" applyFont="1" applyFill="1" applyBorder="1"/>
    <xf numFmtId="3" fontId="61" fillId="29" borderId="359" xfId="0" applyNumberFormat="1" applyFont="1" applyFill="1" applyBorder="1"/>
    <xf numFmtId="3" fontId="61" fillId="26" borderId="11" xfId="0" applyNumberFormat="1" applyFont="1" applyFill="1" applyBorder="1"/>
    <xf numFmtId="3" fontId="61" fillId="2" borderId="11" xfId="0" applyNumberFormat="1" applyFont="1" applyFill="1" applyBorder="1"/>
    <xf numFmtId="3" fontId="61" fillId="74" borderId="11" xfId="0" applyNumberFormat="1" applyFont="1" applyFill="1" applyBorder="1"/>
    <xf numFmtId="3" fontId="61" fillId="27" borderId="11" xfId="0" applyNumberFormat="1" applyFont="1" applyFill="1" applyBorder="1"/>
    <xf numFmtId="3" fontId="61" fillId="26" borderId="52" xfId="0" applyNumberFormat="1" applyFont="1" applyFill="1" applyBorder="1"/>
    <xf numFmtId="3" fontId="61" fillId="5" borderId="52" xfId="0" applyNumberFormat="1" applyFont="1" applyFill="1" applyBorder="1"/>
    <xf numFmtId="3" fontId="61" fillId="5" borderId="11" xfId="0" applyNumberFormat="1" applyFont="1" applyFill="1" applyBorder="1"/>
    <xf numFmtId="3" fontId="61" fillId="117" borderId="52" xfId="0" applyNumberFormat="1" applyFont="1" applyFill="1" applyBorder="1"/>
    <xf numFmtId="3" fontId="61" fillId="117" borderId="11" xfId="0" applyNumberFormat="1" applyFont="1" applyFill="1" applyBorder="1"/>
    <xf numFmtId="3" fontId="61" fillId="117" borderId="83" xfId="0" applyNumberFormat="1" applyFont="1" applyFill="1" applyBorder="1"/>
    <xf numFmtId="9" fontId="61" fillId="0" borderId="0" xfId="2" applyFont="1" applyBorder="1" applyAlignment="1">
      <alignment horizontal="center"/>
    </xf>
    <xf numFmtId="168" fontId="61" fillId="5" borderId="51" xfId="1" applyNumberFormat="1" applyFont="1" applyFill="1" applyBorder="1" applyAlignment="1">
      <alignment vertical="center"/>
    </xf>
    <xf numFmtId="168" fontId="61" fillId="16" borderId="0" xfId="1" applyNumberFormat="1" applyFont="1" applyFill="1" applyBorder="1" applyAlignment="1">
      <alignment vertical="center"/>
    </xf>
    <xf numFmtId="168" fontId="61" fillId="17" borderId="0" xfId="1" applyNumberFormat="1" applyFont="1" applyFill="1" applyAlignment="1">
      <alignment vertical="center"/>
    </xf>
    <xf numFmtId="9" fontId="61" fillId="0" borderId="33" xfId="2" applyFont="1" applyBorder="1" applyAlignment="1">
      <alignment horizontal="center" vertical="center"/>
    </xf>
    <xf numFmtId="0" fontId="0" fillId="0" borderId="0" xfId="0" applyAlignment="1">
      <alignment horizontal="center" vertical="center"/>
    </xf>
    <xf numFmtId="0" fontId="32" fillId="0" borderId="0" xfId="0" applyFont="1" applyAlignment="1">
      <alignment horizontal="center" vertical="center" wrapText="1"/>
    </xf>
    <xf numFmtId="0" fontId="0" fillId="0" borderId="0" xfId="0" applyAlignment="1">
      <alignment horizontal="center"/>
    </xf>
    <xf numFmtId="0" fontId="145" fillId="3" borderId="0" xfId="0" applyFont="1" applyFill="1" applyAlignment="1">
      <alignment horizontal="center" vertical="center" wrapText="1"/>
    </xf>
    <xf numFmtId="3" fontId="61" fillId="26" borderId="58" xfId="0" applyNumberFormat="1" applyFont="1" applyFill="1" applyBorder="1" applyAlignment="1">
      <alignment horizontal="center" vertical="center"/>
    </xf>
    <xf numFmtId="0" fontId="5" fillId="3" borderId="41" xfId="0" applyFont="1" applyFill="1" applyBorder="1" applyAlignment="1">
      <alignment horizontal="center"/>
    </xf>
    <xf numFmtId="0" fontId="12" fillId="0" borderId="33" xfId="0" applyFont="1" applyBorder="1"/>
    <xf numFmtId="0" fontId="157" fillId="28" borderId="0" xfId="0" applyFont="1" applyFill="1" applyBorder="1" applyAlignment="1">
      <alignment horizontal="center" vertical="center" wrapText="1"/>
    </xf>
    <xf numFmtId="0" fontId="0" fillId="0" borderId="0" xfId="0" applyFill="1" applyBorder="1"/>
    <xf numFmtId="0" fontId="0" fillId="0" borderId="9" xfId="0" applyFill="1" applyBorder="1"/>
    <xf numFmtId="0" fontId="61" fillId="26" borderId="312" xfId="0" applyFont="1" applyFill="1" applyBorder="1" applyAlignment="1">
      <alignment horizontal="center" vertical="center"/>
    </xf>
    <xf numFmtId="0" fontId="63" fillId="26" borderId="274" xfId="0" applyFont="1" applyFill="1" applyBorder="1" applyAlignment="1">
      <alignment horizontal="center" vertical="center" wrapText="1"/>
    </xf>
    <xf numFmtId="0" fontId="61" fillId="26" borderId="312" xfId="0" applyFont="1" applyFill="1" applyBorder="1" applyAlignment="1">
      <alignment horizontal="center" vertical="center" wrapText="1"/>
    </xf>
    <xf numFmtId="0" fontId="63" fillId="26" borderId="37" xfId="0" applyFont="1" applyFill="1" applyBorder="1" applyAlignment="1">
      <alignment horizontal="center" vertical="center" wrapText="1"/>
    </xf>
    <xf numFmtId="2" fontId="237" fillId="26" borderId="37" xfId="0" applyNumberFormat="1" applyFont="1" applyFill="1" applyBorder="1" applyAlignment="1">
      <alignment horizontal="center" vertical="center"/>
    </xf>
    <xf numFmtId="3" fontId="237" fillId="26" borderId="37" xfId="0" applyNumberFormat="1" applyFont="1" applyFill="1" applyBorder="1" applyAlignment="1">
      <alignment horizontal="center" vertical="center"/>
    </xf>
    <xf numFmtId="9" fontId="237" fillId="26" borderId="37" xfId="2" applyFont="1" applyFill="1" applyBorder="1" applyAlignment="1">
      <alignment horizontal="center" vertical="center"/>
    </xf>
    <xf numFmtId="2" fontId="237" fillId="26" borderId="37" xfId="0" applyNumberFormat="1" applyFont="1" applyFill="1" applyBorder="1" applyAlignment="1">
      <alignment horizontal="center" vertical="center" wrapText="1"/>
    </xf>
    <xf numFmtId="3" fontId="237" fillId="26" borderId="6" xfId="0" applyNumberFormat="1" applyFont="1" applyFill="1" applyBorder="1" applyAlignment="1">
      <alignment horizontal="center" vertical="center"/>
    </xf>
    <xf numFmtId="2" fontId="237" fillId="26" borderId="6" xfId="0" applyNumberFormat="1" applyFont="1" applyFill="1" applyBorder="1" applyAlignment="1">
      <alignment horizontal="center" vertical="center"/>
    </xf>
    <xf numFmtId="1" fontId="32" fillId="26" borderId="35" xfId="0" applyNumberFormat="1" applyFont="1" applyFill="1" applyBorder="1" applyAlignment="1">
      <alignment horizontal="center" vertical="top"/>
    </xf>
    <xf numFmtId="0" fontId="32" fillId="26" borderId="35" xfId="0" applyFont="1" applyFill="1" applyBorder="1" applyAlignment="1">
      <alignment horizontal="center" vertical="center"/>
    </xf>
    <xf numFmtId="2" fontId="32" fillId="26" borderId="35" xfId="0" applyNumberFormat="1" applyFont="1" applyFill="1" applyBorder="1" applyAlignment="1">
      <alignment horizontal="center" vertical="top" wrapText="1"/>
    </xf>
    <xf numFmtId="9" fontId="32" fillId="26" borderId="35" xfId="2" applyFont="1" applyFill="1" applyBorder="1" applyAlignment="1">
      <alignment horizontal="center" vertical="top" wrapText="1"/>
    </xf>
    <xf numFmtId="3" fontId="32" fillId="26" borderId="35" xfId="0" applyNumberFormat="1" applyFont="1" applyFill="1" applyBorder="1" applyAlignment="1">
      <alignment horizontal="center" vertical="top"/>
    </xf>
    <xf numFmtId="3" fontId="32" fillId="26" borderId="41" xfId="0" applyNumberFormat="1" applyFont="1" applyFill="1" applyBorder="1" applyAlignment="1">
      <alignment horizontal="center" vertical="top"/>
    </xf>
    <xf numFmtId="1" fontId="32" fillId="26" borderId="41" xfId="0" applyNumberFormat="1" applyFont="1" applyFill="1" applyBorder="1" applyAlignment="1">
      <alignment horizontal="center" vertical="top"/>
    </xf>
    <xf numFmtId="0" fontId="157" fillId="29" borderId="0" xfId="0" applyFont="1" applyFill="1" applyBorder="1" applyAlignment="1">
      <alignment horizontal="center" vertical="center" wrapText="1"/>
    </xf>
    <xf numFmtId="0" fontId="26" fillId="29" borderId="0" xfId="0" applyFont="1" applyFill="1" applyBorder="1" applyAlignment="1">
      <alignment horizontal="center" vertical="center" wrapText="1"/>
    </xf>
    <xf numFmtId="0" fontId="138" fillId="0" borderId="0" xfId="0" applyFont="1" applyFill="1" applyBorder="1" applyAlignment="1">
      <alignment horizontal="center" vertical="center" wrapText="1"/>
    </xf>
    <xf numFmtId="0" fontId="46" fillId="0" borderId="0"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30" fillId="28" borderId="0" xfId="0" applyFont="1" applyFill="1" applyBorder="1" applyAlignment="1">
      <alignment horizontal="center" vertical="center" wrapText="1"/>
    </xf>
    <xf numFmtId="0" fontId="17" fillId="123" borderId="13" xfId="0" applyFont="1" applyFill="1" applyBorder="1" applyAlignment="1">
      <alignment horizontal="center" vertical="center" wrapText="1"/>
    </xf>
    <xf numFmtId="0" fontId="5" fillId="26" borderId="13" xfId="0" applyNumberFormat="1" applyFont="1" applyFill="1" applyBorder="1" applyAlignment="1">
      <alignment horizontal="center" vertical="center" wrapText="1"/>
    </xf>
    <xf numFmtId="0" fontId="17" fillId="123" borderId="13" xfId="0" applyNumberFormat="1" applyFont="1" applyFill="1" applyBorder="1" applyAlignment="1">
      <alignment horizontal="center" vertical="center" wrapText="1"/>
    </xf>
    <xf numFmtId="168" fontId="5" fillId="26" borderId="13" xfId="0" applyNumberFormat="1" applyFont="1" applyFill="1" applyBorder="1" applyAlignment="1">
      <alignment horizontal="center" vertical="center" wrapText="1"/>
    </xf>
    <xf numFmtId="168" fontId="17" fillId="123" borderId="13" xfId="0" applyNumberFormat="1" applyFont="1" applyFill="1" applyBorder="1" applyAlignment="1">
      <alignment horizontal="center" vertical="center" wrapText="1"/>
    </xf>
    <xf numFmtId="0" fontId="61" fillId="26" borderId="0" xfId="0" applyNumberFormat="1" applyFont="1" applyFill="1" applyAlignment="1">
      <alignment horizontal="center"/>
    </xf>
    <xf numFmtId="0" fontId="30" fillId="124" borderId="0" xfId="0" applyNumberFormat="1" applyFont="1" applyFill="1" applyAlignment="1">
      <alignment horizontal="center"/>
    </xf>
    <xf numFmtId="0" fontId="17" fillId="124" borderId="51" xfId="0" applyFont="1" applyFill="1" applyBorder="1" applyAlignment="1">
      <alignment horizontal="center" vertical="center"/>
    </xf>
    <xf numFmtId="0" fontId="10" fillId="124" borderId="45" xfId="0" applyFont="1" applyFill="1" applyBorder="1" applyAlignment="1">
      <alignment horizontal="center" vertical="top"/>
    </xf>
    <xf numFmtId="0" fontId="20" fillId="124" borderId="51" xfId="0" applyFont="1" applyFill="1" applyBorder="1" applyAlignment="1">
      <alignment horizontal="center" vertical="center" wrapText="1"/>
    </xf>
    <xf numFmtId="9" fontId="12" fillId="124" borderId="55" xfId="0" applyNumberFormat="1" applyFont="1" applyFill="1" applyBorder="1" applyAlignment="1">
      <alignment horizontal="center" vertical="center"/>
    </xf>
    <xf numFmtId="9" fontId="12" fillId="124" borderId="89" xfId="0" applyNumberFormat="1" applyFont="1" applyFill="1" applyBorder="1" applyAlignment="1">
      <alignment horizontal="center" vertical="center"/>
    </xf>
    <xf numFmtId="0" fontId="17" fillId="124" borderId="0" xfId="1" applyNumberFormat="1" applyFont="1" applyFill="1" applyAlignment="1">
      <alignment horizontal="center"/>
    </xf>
    <xf numFmtId="0" fontId="61" fillId="124" borderId="0" xfId="0" applyFont="1" applyFill="1" applyAlignment="1">
      <alignment horizontal="center"/>
    </xf>
    <xf numFmtId="0" fontId="0" fillId="124" borderId="0" xfId="0" applyFill="1" applyAlignment="1">
      <alignment horizontal="center" wrapText="1"/>
    </xf>
    <xf numFmtId="183" fontId="5" fillId="124" borderId="5" xfId="0" applyNumberFormat="1" applyFont="1" applyFill="1" applyBorder="1" applyAlignment="1">
      <alignment horizontal="center"/>
    </xf>
    <xf numFmtId="0" fontId="5" fillId="124" borderId="6" xfId="0" applyFont="1" applyFill="1" applyBorder="1" applyAlignment="1">
      <alignment horizontal="center"/>
    </xf>
    <xf numFmtId="165" fontId="5" fillId="3" borderId="5" xfId="3" applyFont="1" applyFill="1" applyBorder="1"/>
    <xf numFmtId="0" fontId="10" fillId="0" borderId="0" xfId="0" applyFont="1" applyAlignment="1">
      <alignment horizontal="left" vertical="center"/>
    </xf>
    <xf numFmtId="3" fontId="18" fillId="26" borderId="58" xfId="0" applyNumberFormat="1" applyFont="1" applyFill="1" applyBorder="1" applyAlignment="1">
      <alignment horizontal="center" vertical="center"/>
    </xf>
    <xf numFmtId="3" fontId="18" fillId="26" borderId="13" xfId="0" applyNumberFormat="1" applyFont="1" applyFill="1" applyBorder="1" applyAlignment="1">
      <alignment horizontal="center" vertical="center"/>
    </xf>
    <xf numFmtId="0" fontId="21" fillId="0" borderId="13" xfId="4" applyFill="1" applyBorder="1" applyAlignment="1" applyProtection="1">
      <alignment vertical="center"/>
    </xf>
    <xf numFmtId="166" fontId="131" fillId="70" borderId="20" xfId="1" applyFont="1" applyFill="1" applyBorder="1" applyAlignment="1">
      <alignment horizontal="right"/>
    </xf>
    <xf numFmtId="0" fontId="242" fillId="0" borderId="0" xfId="7" applyFont="1"/>
    <xf numFmtId="0" fontId="242" fillId="0" borderId="0" xfId="7" applyFont="1" applyAlignment="1">
      <alignment horizontal="center"/>
    </xf>
    <xf numFmtId="3" fontId="242" fillId="0" borderId="0" xfId="7" applyNumberFormat="1" applyFont="1"/>
    <xf numFmtId="0" fontId="242" fillId="0" borderId="0" xfId="7" applyFont="1" applyFill="1"/>
    <xf numFmtId="3" fontId="243" fillId="0" borderId="0" xfId="7" applyNumberFormat="1" applyFont="1" applyFill="1"/>
    <xf numFmtId="0" fontId="244" fillId="0" borderId="0" xfId="7" applyFont="1"/>
    <xf numFmtId="0" fontId="244" fillId="0" borderId="0" xfId="7" applyFont="1" applyAlignment="1">
      <alignment horizontal="center"/>
    </xf>
    <xf numFmtId="3" fontId="244" fillId="0" borderId="0" xfId="7" applyNumberFormat="1" applyFont="1"/>
    <xf numFmtId="0" fontId="244" fillId="0" borderId="0" xfId="7" applyFont="1" applyFill="1"/>
    <xf numFmtId="0" fontId="244" fillId="0" borderId="0" xfId="7" applyFont="1" applyFill="1" applyAlignment="1">
      <alignment horizontal="center"/>
    </xf>
    <xf numFmtId="167" fontId="244" fillId="38" borderId="0" xfId="15" applyNumberFormat="1" applyFont="1" applyFill="1" applyAlignment="1">
      <alignment horizontal="center"/>
    </xf>
    <xf numFmtId="10" fontId="41" fillId="70" borderId="0" xfId="0" applyNumberFormat="1" applyFont="1" applyFill="1" applyBorder="1"/>
    <xf numFmtId="10" fontId="41" fillId="13" borderId="33" xfId="0" applyNumberFormat="1" applyFont="1" applyFill="1" applyBorder="1"/>
    <xf numFmtId="167" fontId="246" fillId="70" borderId="0" xfId="2" applyNumberFormat="1" applyFont="1" applyFill="1" applyBorder="1"/>
    <xf numFmtId="167" fontId="106" fillId="0" borderId="29" xfId="2" applyNumberFormat="1" applyFont="1" applyFill="1" applyBorder="1" applyAlignment="1">
      <alignment horizontal="center" vertical="center" wrapText="1"/>
    </xf>
    <xf numFmtId="168" fontId="106" fillId="0" borderId="29" xfId="1" applyNumberFormat="1" applyFont="1" applyFill="1" applyBorder="1" applyAlignment="1">
      <alignment horizontal="center" vertical="center"/>
    </xf>
    <xf numFmtId="168" fontId="126" fillId="0" borderId="29" xfId="1" applyNumberFormat="1" applyFont="1" applyFill="1" applyBorder="1" applyAlignment="1">
      <alignment horizontal="center" vertical="center"/>
    </xf>
    <xf numFmtId="168" fontId="126" fillId="16" borderId="29" xfId="1" applyNumberFormat="1" applyFont="1" applyFill="1" applyBorder="1" applyAlignment="1">
      <alignment horizontal="center" vertical="center"/>
    </xf>
    <xf numFmtId="168" fontId="135" fillId="0" borderId="33" xfId="1" applyNumberFormat="1" applyFont="1" applyFill="1" applyBorder="1" applyAlignment="1">
      <alignment horizontal="center" vertical="center"/>
    </xf>
    <xf numFmtId="168" fontId="135" fillId="0" borderId="27" xfId="1" applyNumberFormat="1" applyFont="1" applyFill="1" applyBorder="1" applyAlignment="1">
      <alignment horizontal="center" vertical="center"/>
    </xf>
    <xf numFmtId="168" fontId="159" fillId="0" borderId="36" xfId="1" applyNumberFormat="1" applyFont="1" applyFill="1" applyBorder="1" applyAlignment="1">
      <alignment horizontal="center" vertical="center" wrapText="1"/>
    </xf>
    <xf numFmtId="168" fontId="135" fillId="0" borderId="89" xfId="1" applyNumberFormat="1" applyFont="1" applyFill="1" applyBorder="1" applyAlignment="1">
      <alignment horizontal="center" vertical="center"/>
    </xf>
    <xf numFmtId="3" fontId="248" fillId="119" borderId="51" xfId="0" applyNumberFormat="1" applyFont="1" applyFill="1" applyBorder="1"/>
    <xf numFmtId="0" fontId="159" fillId="7" borderId="5" xfId="0" applyFont="1" applyFill="1" applyBorder="1" applyAlignment="1">
      <alignment horizontal="center" vertical="center" wrapText="1"/>
    </xf>
    <xf numFmtId="167" fontId="12" fillId="0" borderId="29" xfId="2" applyNumberFormat="1" applyFont="1" applyFill="1" applyBorder="1"/>
    <xf numFmtId="0" fontId="159" fillId="7" borderId="42" xfId="0" applyFont="1" applyFill="1" applyBorder="1" applyAlignment="1">
      <alignment horizontal="center" vertical="center" wrapText="1"/>
    </xf>
    <xf numFmtId="0" fontId="159" fillId="7" borderId="263" xfId="0" applyFont="1" applyFill="1" applyBorder="1" applyAlignment="1">
      <alignment horizontal="center" vertical="center" wrapText="1"/>
    </xf>
    <xf numFmtId="0" fontId="159" fillId="7" borderId="314" xfId="0" applyFont="1" applyFill="1" applyBorder="1" applyAlignment="1">
      <alignment horizontal="center" vertical="center" wrapText="1"/>
    </xf>
    <xf numFmtId="0" fontId="12" fillId="0" borderId="35" xfId="0" applyFont="1" applyFill="1" applyBorder="1"/>
    <xf numFmtId="0" fontId="12" fillId="0" borderId="29" xfId="0" applyFont="1" applyFill="1" applyBorder="1"/>
    <xf numFmtId="0" fontId="11" fillId="0" borderId="29" xfId="0" applyFont="1" applyFill="1" applyBorder="1"/>
    <xf numFmtId="0" fontId="12" fillId="0" borderId="37" xfId="0" applyFont="1" applyBorder="1"/>
    <xf numFmtId="0" fontId="12" fillId="0" borderId="0" xfId="0" applyFont="1" applyBorder="1"/>
    <xf numFmtId="0" fontId="249" fillId="3" borderId="0" xfId="0" applyFont="1" applyFill="1" applyBorder="1" applyAlignment="1">
      <alignment horizontal="center" vertical="center" wrapText="1"/>
    </xf>
    <xf numFmtId="0" fontId="249" fillId="16" borderId="0" xfId="0" applyFont="1" applyFill="1" applyBorder="1" applyAlignment="1">
      <alignment horizontal="center" vertical="center" wrapText="1"/>
    </xf>
    <xf numFmtId="0" fontId="159" fillId="0" borderId="13" xfId="0" applyFont="1" applyFill="1" applyBorder="1" applyAlignment="1">
      <alignment horizontal="center" vertical="center" wrapText="1"/>
    </xf>
    <xf numFmtId="0" fontId="159" fillId="0" borderId="17" xfId="0" applyFont="1" applyFill="1" applyBorder="1" applyAlignment="1">
      <alignment horizontal="center" vertical="center" wrapText="1"/>
    </xf>
    <xf numFmtId="167" fontId="11" fillId="121" borderId="41" xfId="2" applyNumberFormat="1" applyFont="1" applyFill="1" applyBorder="1" applyAlignment="1">
      <alignment horizontal="center" vertical="center" wrapText="1"/>
    </xf>
    <xf numFmtId="167" fontId="12" fillId="0" borderId="127" xfId="2" applyNumberFormat="1" applyFont="1" applyFill="1" applyBorder="1" applyAlignment="1">
      <alignment horizontal="center" wrapText="1"/>
    </xf>
    <xf numFmtId="167" fontId="12" fillId="0" borderId="68" xfId="2" applyNumberFormat="1" applyFont="1" applyFill="1" applyBorder="1" applyAlignment="1">
      <alignment horizontal="center"/>
    </xf>
    <xf numFmtId="167" fontId="12" fillId="0" borderId="53" xfId="2" applyNumberFormat="1" applyFont="1" applyFill="1" applyBorder="1" applyAlignment="1">
      <alignment horizontal="center"/>
    </xf>
    <xf numFmtId="167" fontId="12" fillId="0" borderId="127" xfId="2" applyNumberFormat="1" applyFont="1" applyFill="1" applyBorder="1" applyAlignment="1">
      <alignment horizontal="center"/>
    </xf>
    <xf numFmtId="167" fontId="126" fillId="0" borderId="68" xfId="2" applyNumberFormat="1" applyFont="1" applyFill="1" applyBorder="1" applyAlignment="1">
      <alignment horizontal="center"/>
    </xf>
    <xf numFmtId="167" fontId="12" fillId="0" borderId="273" xfId="2" applyNumberFormat="1" applyFont="1" applyFill="1" applyBorder="1" applyAlignment="1"/>
    <xf numFmtId="167" fontId="12" fillId="16" borderId="0" xfId="2" applyNumberFormat="1" applyFont="1" applyFill="1" applyBorder="1" applyAlignment="1"/>
    <xf numFmtId="167" fontId="12" fillId="0" borderId="13" xfId="2" applyNumberFormat="1" applyFont="1" applyFill="1" applyBorder="1" applyAlignment="1"/>
    <xf numFmtId="167" fontId="12" fillId="0" borderId="24" xfId="2" applyNumberFormat="1" applyFont="1" applyFill="1" applyBorder="1" applyAlignment="1"/>
    <xf numFmtId="167" fontId="12" fillId="0" borderId="36" xfId="2" applyNumberFormat="1" applyFont="1" applyFill="1" applyBorder="1" applyAlignment="1"/>
    <xf numFmtId="167" fontId="11" fillId="27" borderId="81" xfId="2" applyNumberFormat="1" applyFont="1" applyFill="1" applyBorder="1" applyAlignment="1">
      <alignment horizontal="center" vertical="center" wrapText="1"/>
    </xf>
    <xf numFmtId="167" fontId="12" fillId="0" borderId="44" xfId="2" applyNumberFormat="1" applyFont="1" applyFill="1" applyBorder="1" applyAlignment="1">
      <alignment horizontal="center" wrapText="1"/>
    </xf>
    <xf numFmtId="167" fontId="12" fillId="0" borderId="70" xfId="2" applyNumberFormat="1" applyFont="1" applyFill="1" applyBorder="1" applyAlignment="1">
      <alignment horizontal="center"/>
    </xf>
    <xf numFmtId="167" fontId="12" fillId="0" borderId="312" xfId="2" applyNumberFormat="1" applyFont="1" applyFill="1" applyBorder="1" applyAlignment="1">
      <alignment horizontal="center"/>
    </xf>
    <xf numFmtId="167" fontId="12" fillId="0" borderId="269" xfId="2" applyNumberFormat="1" applyFont="1" applyFill="1" applyBorder="1" applyAlignment="1">
      <alignment horizontal="center"/>
    </xf>
    <xf numFmtId="167" fontId="12" fillId="0" borderId="108" xfId="2" applyNumberFormat="1" applyFont="1" applyFill="1" applyBorder="1" applyAlignment="1">
      <alignment horizontal="center"/>
    </xf>
    <xf numFmtId="167" fontId="126" fillId="0" borderId="108" xfId="2" applyNumberFormat="1" applyFont="1" applyFill="1" applyBorder="1" applyAlignment="1">
      <alignment horizontal="center"/>
    </xf>
    <xf numFmtId="167" fontId="12" fillId="0" borderId="127" xfId="2" applyNumberFormat="1" applyFont="1" applyFill="1" applyBorder="1" applyAlignment="1"/>
    <xf numFmtId="167" fontId="12" fillId="0" borderId="23" xfId="2" applyNumberFormat="1" applyFont="1" applyFill="1" applyBorder="1" applyAlignment="1"/>
    <xf numFmtId="167" fontId="11" fillId="14" borderId="81" xfId="2" applyNumberFormat="1" applyFont="1" applyFill="1" applyBorder="1" applyAlignment="1">
      <alignment horizontal="center" vertical="center" wrapText="1"/>
    </xf>
    <xf numFmtId="167" fontId="12" fillId="0" borderId="70" xfId="2" applyNumberFormat="1" applyFont="1" applyFill="1" applyBorder="1" applyAlignment="1">
      <alignment horizontal="center" wrapText="1"/>
    </xf>
    <xf numFmtId="167" fontId="12" fillId="0" borderId="6" xfId="2" applyNumberFormat="1" applyFont="1" applyFill="1" applyBorder="1" applyAlignment="1">
      <alignment horizontal="center"/>
    </xf>
    <xf numFmtId="167" fontId="12" fillId="0" borderId="0" xfId="2" applyNumberFormat="1" applyFont="1" applyFill="1" applyBorder="1"/>
    <xf numFmtId="167" fontId="12" fillId="0" borderId="37" xfId="2" applyNumberFormat="1" applyFont="1" applyFill="1" applyBorder="1" applyAlignment="1">
      <alignment horizontal="center"/>
    </xf>
    <xf numFmtId="167" fontId="12" fillId="0" borderId="44" xfId="2" applyNumberFormat="1" applyFont="1" applyFill="1" applyBorder="1" applyAlignment="1">
      <alignment horizontal="center"/>
    </xf>
    <xf numFmtId="167" fontId="126" fillId="0" borderId="70" xfId="2" applyNumberFormat="1" applyFont="1" applyFill="1" applyBorder="1" applyAlignment="1">
      <alignment horizontal="center"/>
    </xf>
    <xf numFmtId="167" fontId="12" fillId="0" borderId="44" xfId="2" applyNumberFormat="1" applyFont="1" applyFill="1" applyBorder="1" applyAlignment="1"/>
    <xf numFmtId="167" fontId="11" fillId="84" borderId="70" xfId="2" applyNumberFormat="1" applyFont="1" applyFill="1" applyBorder="1" applyAlignment="1">
      <alignment horizontal="center" vertical="center" wrapText="1"/>
    </xf>
    <xf numFmtId="167" fontId="12" fillId="0" borderId="46" xfId="2" applyNumberFormat="1" applyFont="1" applyFill="1" applyBorder="1" applyAlignment="1"/>
    <xf numFmtId="168" fontId="11" fillId="121" borderId="273" xfId="1" applyNumberFormat="1" applyFont="1" applyFill="1" applyBorder="1" applyAlignment="1">
      <alignment horizontal="center" vertical="center"/>
    </xf>
    <xf numFmtId="167" fontId="149" fillId="93" borderId="127" xfId="2" applyNumberFormat="1" applyFont="1" applyFill="1" applyBorder="1" applyAlignment="1">
      <alignment horizontal="center" vertical="center" wrapText="1"/>
    </xf>
    <xf numFmtId="168" fontId="149" fillId="92" borderId="8" xfId="1" applyNumberFormat="1" applyFont="1" applyFill="1" applyBorder="1"/>
    <xf numFmtId="167" fontId="149" fillId="92" borderId="40" xfId="2" applyNumberFormat="1" applyFont="1" applyFill="1" applyBorder="1" applyAlignment="1">
      <alignment horizontal="right" vertical="center" wrapText="1"/>
    </xf>
    <xf numFmtId="167" fontId="11" fillId="29" borderId="40" xfId="2" applyNumberFormat="1" applyFont="1" applyFill="1" applyBorder="1" applyAlignment="1">
      <alignment horizontal="right" vertical="center" wrapText="1"/>
    </xf>
    <xf numFmtId="168" fontId="11" fillId="29" borderId="8" xfId="1" applyNumberFormat="1" applyFont="1" applyFill="1" applyBorder="1"/>
    <xf numFmtId="168" fontId="11" fillId="31" borderId="393" xfId="1" applyNumberFormat="1" applyFont="1" applyFill="1" applyBorder="1" applyAlignment="1">
      <alignment horizontal="center" vertical="center"/>
    </xf>
    <xf numFmtId="168" fontId="11" fillId="31" borderId="317" xfId="1" applyNumberFormat="1" applyFont="1" applyFill="1" applyBorder="1" applyAlignment="1">
      <alignment horizontal="center" vertical="center"/>
    </xf>
    <xf numFmtId="168" fontId="149" fillId="93" borderId="68" xfId="1" applyNumberFormat="1" applyFont="1" applyFill="1" applyBorder="1"/>
    <xf numFmtId="168" fontId="11" fillId="121" borderId="68" xfId="1" applyNumberFormat="1" applyFont="1" applyFill="1" applyBorder="1"/>
    <xf numFmtId="168" fontId="11" fillId="121" borderId="68" xfId="1" applyNumberFormat="1" applyFont="1" applyFill="1" applyBorder="1" applyAlignment="1">
      <alignment horizontal="center"/>
    </xf>
    <xf numFmtId="168" fontId="11" fillId="120" borderId="68" xfId="1" applyNumberFormat="1" applyFont="1" applyFill="1" applyBorder="1"/>
    <xf numFmtId="0" fontId="12" fillId="0" borderId="29" xfId="0" applyFont="1" applyBorder="1"/>
    <xf numFmtId="168" fontId="11" fillId="0" borderId="29" xfId="1" applyNumberFormat="1" applyFont="1" applyFill="1" applyBorder="1" applyAlignment="1">
      <alignment horizontal="center" vertical="center"/>
    </xf>
    <xf numFmtId="168" fontId="135" fillId="0" borderId="29" xfId="1" applyNumberFormat="1" applyFont="1" applyFill="1" applyBorder="1" applyAlignment="1">
      <alignment horizontal="center" vertical="center"/>
    </xf>
    <xf numFmtId="168" fontId="11" fillId="121" borderId="263" xfId="1" applyNumberFormat="1" applyFont="1" applyFill="1" applyBorder="1" applyAlignment="1">
      <alignment horizontal="center" vertical="center"/>
    </xf>
    <xf numFmtId="0" fontId="11" fillId="121" borderId="393" xfId="0" applyFont="1" applyFill="1" applyBorder="1" applyAlignment="1">
      <alignment horizontal="center"/>
    </xf>
    <xf numFmtId="167" fontId="149" fillId="93" borderId="393" xfId="2" applyNumberFormat="1" applyFont="1" applyFill="1" applyBorder="1" applyAlignment="1">
      <alignment horizontal="right" vertical="center" wrapText="1"/>
    </xf>
    <xf numFmtId="168" fontId="149" fillId="93" borderId="8" xfId="1" applyNumberFormat="1" applyFont="1" applyFill="1" applyBorder="1"/>
    <xf numFmtId="167" fontId="11" fillId="121" borderId="8" xfId="2" applyNumberFormat="1" applyFont="1" applyFill="1" applyBorder="1"/>
    <xf numFmtId="167" fontId="11" fillId="121" borderId="8" xfId="2" applyNumberFormat="1" applyFont="1" applyFill="1" applyBorder="1" applyAlignment="1">
      <alignment horizontal="center"/>
    </xf>
    <xf numFmtId="167" fontId="11" fillId="120" borderId="40" xfId="2" applyNumberFormat="1" applyFont="1" applyFill="1" applyBorder="1"/>
    <xf numFmtId="168" fontId="11" fillId="0" borderId="33" xfId="1" applyNumberFormat="1" applyFont="1" applyFill="1" applyBorder="1" applyAlignment="1">
      <alignment horizontal="center" vertical="center"/>
    </xf>
    <xf numFmtId="0" fontId="11" fillId="121" borderId="317" xfId="0" applyFont="1" applyFill="1" applyBorder="1"/>
    <xf numFmtId="168" fontId="11" fillId="27" borderId="273" xfId="1" applyNumberFormat="1" applyFont="1" applyFill="1" applyBorder="1" applyAlignment="1">
      <alignment horizontal="center" vertical="center"/>
    </xf>
    <xf numFmtId="167" fontId="149" fillId="94" borderId="127" xfId="2" applyNumberFormat="1" applyFont="1" applyFill="1" applyBorder="1" applyAlignment="1">
      <alignment horizontal="center" vertical="center" wrapText="1"/>
    </xf>
    <xf numFmtId="168" fontId="149" fillId="94" borderId="68" xfId="1" applyNumberFormat="1" applyFont="1" applyFill="1" applyBorder="1"/>
    <xf numFmtId="168" fontId="11" fillId="73" borderId="68" xfId="1" applyNumberFormat="1" applyFont="1" applyFill="1" applyBorder="1"/>
    <xf numFmtId="168" fontId="11" fillId="73" borderId="68" xfId="1" applyNumberFormat="1" applyFont="1" applyFill="1" applyBorder="1" applyAlignment="1">
      <alignment horizontal="center"/>
    </xf>
    <xf numFmtId="168" fontId="11" fillId="27" borderId="263" xfId="1" applyNumberFormat="1" applyFont="1" applyFill="1" applyBorder="1" applyAlignment="1">
      <alignment horizontal="center" vertical="center"/>
    </xf>
    <xf numFmtId="0" fontId="12" fillId="27" borderId="393" xfId="0" applyFont="1" applyFill="1" applyBorder="1" applyAlignment="1">
      <alignment horizontal="center"/>
    </xf>
    <xf numFmtId="167" fontId="149" fillId="94" borderId="40" xfId="2" applyNumberFormat="1" applyFont="1" applyFill="1" applyBorder="1" applyAlignment="1">
      <alignment horizontal="right" vertical="center" wrapText="1"/>
    </xf>
    <xf numFmtId="168" fontId="149" fillId="94" borderId="8" xfId="1" applyNumberFormat="1" applyFont="1" applyFill="1" applyBorder="1"/>
    <xf numFmtId="167" fontId="11" fillId="73" borderId="8" xfId="2" applyNumberFormat="1" applyFont="1" applyFill="1" applyBorder="1"/>
    <xf numFmtId="167" fontId="11" fillId="73" borderId="8" xfId="2" applyNumberFormat="1" applyFont="1" applyFill="1" applyBorder="1" applyAlignment="1">
      <alignment horizontal="center"/>
    </xf>
    <xf numFmtId="0" fontId="12" fillId="27" borderId="317" xfId="0" applyFont="1" applyFill="1" applyBorder="1"/>
    <xf numFmtId="168" fontId="11" fillId="14" borderId="273" xfId="1" applyNumberFormat="1" applyFont="1" applyFill="1" applyBorder="1" applyAlignment="1">
      <alignment horizontal="center" vertical="center"/>
    </xf>
    <xf numFmtId="167" fontId="149" fillId="92" borderId="52" xfId="2" applyNumberFormat="1" applyFont="1" applyFill="1" applyBorder="1" applyAlignment="1">
      <alignment horizontal="center" vertical="center" wrapText="1"/>
    </xf>
    <xf numFmtId="168" fontId="149" fillId="92" borderId="5" xfId="1" applyNumberFormat="1" applyFont="1" applyFill="1" applyBorder="1"/>
    <xf numFmtId="168" fontId="11" fillId="14" borderId="5" xfId="1" applyNumberFormat="1" applyFont="1" applyFill="1" applyBorder="1"/>
    <xf numFmtId="168" fontId="11" fillId="14" borderId="5" xfId="1" applyNumberFormat="1" applyFont="1" applyFill="1" applyBorder="1" applyAlignment="1">
      <alignment horizontal="center"/>
    </xf>
    <xf numFmtId="168" fontId="11" fillId="14" borderId="263" xfId="1" applyNumberFormat="1" applyFont="1" applyFill="1" applyBorder="1" applyAlignment="1">
      <alignment horizontal="center" vertical="center"/>
    </xf>
    <xf numFmtId="0" fontId="12" fillId="14" borderId="393" xfId="0" applyFont="1" applyFill="1" applyBorder="1" applyAlignment="1">
      <alignment horizontal="center"/>
    </xf>
    <xf numFmtId="0" fontId="12" fillId="14" borderId="317" xfId="0" applyFont="1" applyFill="1" applyBorder="1"/>
    <xf numFmtId="168" fontId="11" fillId="31" borderId="5" xfId="1" applyNumberFormat="1" applyFont="1" applyFill="1" applyBorder="1"/>
    <xf numFmtId="168" fontId="11" fillId="31" borderId="273" xfId="1" applyNumberFormat="1" applyFont="1" applyFill="1" applyBorder="1" applyAlignment="1">
      <alignment horizontal="center" vertical="center"/>
    </xf>
    <xf numFmtId="167" fontId="11" fillId="29" borderId="52" xfId="2" applyNumberFormat="1" applyFont="1" applyFill="1" applyBorder="1" applyAlignment="1">
      <alignment horizontal="right" vertical="center" wrapText="1"/>
    </xf>
    <xf numFmtId="168" fontId="11" fillId="29" borderId="5" xfId="1" applyNumberFormat="1" applyFont="1" applyFill="1" applyBorder="1"/>
    <xf numFmtId="167" fontId="11" fillId="31" borderId="5" xfId="2" applyNumberFormat="1" applyFont="1" applyFill="1" applyBorder="1"/>
    <xf numFmtId="168" fontId="11" fillId="31" borderId="5" xfId="1" applyNumberFormat="1" applyFont="1" applyFill="1" applyBorder="1" applyAlignment="1">
      <alignment horizontal="center"/>
    </xf>
    <xf numFmtId="168" fontId="11" fillId="31" borderId="263" xfId="1" applyNumberFormat="1" applyFont="1" applyFill="1" applyBorder="1" applyAlignment="1">
      <alignment horizontal="center" vertical="center"/>
    </xf>
    <xf numFmtId="0" fontId="30" fillId="34" borderId="394" xfId="0" applyFont="1" applyFill="1" applyBorder="1" applyAlignment="1">
      <alignment horizontal="center"/>
    </xf>
    <xf numFmtId="17" fontId="0" fillId="0" borderId="0" xfId="0" applyNumberFormat="1" applyAlignment="1">
      <alignment horizontal="left"/>
    </xf>
    <xf numFmtId="168" fontId="61" fillId="16" borderId="40" xfId="1" applyNumberFormat="1" applyFont="1" applyFill="1" applyBorder="1" applyAlignment="1">
      <alignment horizontal="center" vertical="center"/>
    </xf>
    <xf numFmtId="168" fontId="61" fillId="16" borderId="8" xfId="1" applyNumberFormat="1" applyFont="1" applyFill="1" applyBorder="1" applyAlignment="1">
      <alignment horizontal="center" vertical="center"/>
    </xf>
    <xf numFmtId="168" fontId="61" fillId="16" borderId="33" xfId="1" applyNumberFormat="1" applyFont="1" applyFill="1" applyBorder="1" applyAlignment="1">
      <alignment horizontal="center" vertical="center"/>
    </xf>
    <xf numFmtId="168" fontId="30" fillId="4" borderId="5" xfId="1" applyNumberFormat="1" applyFont="1" applyFill="1" applyBorder="1" applyAlignment="1">
      <alignment horizontal="center"/>
    </xf>
    <xf numFmtId="168" fontId="61" fillId="16" borderId="52" xfId="1" applyNumberFormat="1" applyFont="1" applyFill="1" applyBorder="1" applyAlignment="1">
      <alignment horizontal="center" vertical="center"/>
    </xf>
    <xf numFmtId="168" fontId="61" fillId="16" borderId="83" xfId="1" applyNumberFormat="1" applyFont="1" applyFill="1" applyBorder="1" applyAlignment="1">
      <alignment horizontal="center" vertical="center"/>
    </xf>
    <xf numFmtId="168" fontId="61" fillId="16" borderId="5" xfId="1" applyNumberFormat="1" applyFont="1" applyFill="1" applyBorder="1" applyAlignment="1">
      <alignment horizontal="center" vertical="center"/>
    </xf>
    <xf numFmtId="168" fontId="30" fillId="4" borderId="83" xfId="1" applyNumberFormat="1" applyFont="1" applyFill="1" applyBorder="1" applyAlignment="1">
      <alignment horizontal="center"/>
    </xf>
    <xf numFmtId="0" fontId="30" fillId="125" borderId="8" xfId="0" applyFont="1" applyFill="1" applyBorder="1" applyAlignment="1">
      <alignment horizontal="center"/>
    </xf>
    <xf numFmtId="0" fontId="30" fillId="125" borderId="8" xfId="0" applyFont="1" applyFill="1" applyBorder="1" applyAlignment="1">
      <alignment horizontal="center" vertical="center" wrapText="1"/>
    </xf>
    <xf numFmtId="0" fontId="30" fillId="125" borderId="6" xfId="0" applyFont="1" applyFill="1" applyBorder="1" applyAlignment="1">
      <alignment horizontal="center" vertical="center" wrapText="1"/>
    </xf>
    <xf numFmtId="0" fontId="250" fillId="0" borderId="0" xfId="0" applyFont="1" applyFill="1" applyBorder="1" applyAlignment="1">
      <alignment wrapText="1"/>
    </xf>
    <xf numFmtId="0" fontId="17" fillId="126" borderId="13" xfId="0" applyNumberFormat="1" applyFont="1" applyFill="1" applyBorder="1" applyAlignment="1">
      <alignment horizontal="center" vertical="center" wrapText="1"/>
    </xf>
    <xf numFmtId="1" fontId="28" fillId="117" borderId="87" xfId="0" applyNumberFormat="1" applyFont="1" applyFill="1" applyBorder="1" applyAlignment="1">
      <alignment horizontal="center" vertical="center"/>
    </xf>
    <xf numFmtId="168" fontId="11" fillId="118" borderId="273" xfId="1" applyNumberFormat="1" applyFont="1" applyFill="1" applyBorder="1" applyAlignment="1">
      <alignment horizontal="center" vertical="center"/>
    </xf>
    <xf numFmtId="167" fontId="11" fillId="118" borderId="52" xfId="2" applyNumberFormat="1" applyFont="1" applyFill="1" applyBorder="1" applyAlignment="1">
      <alignment horizontal="right" vertical="center" wrapText="1"/>
    </xf>
    <xf numFmtId="168" fontId="11" fillId="118" borderId="5" xfId="1" applyNumberFormat="1" applyFont="1" applyFill="1" applyBorder="1"/>
    <xf numFmtId="167" fontId="11" fillId="118" borderId="5" xfId="2" applyNumberFormat="1" applyFont="1" applyFill="1" applyBorder="1"/>
    <xf numFmtId="168" fontId="11" fillId="118" borderId="5" xfId="1" applyNumberFormat="1" applyFont="1" applyFill="1" applyBorder="1" applyAlignment="1">
      <alignment horizontal="center"/>
    </xf>
    <xf numFmtId="0" fontId="12" fillId="118" borderId="29" xfId="0" applyFont="1" applyFill="1" applyBorder="1"/>
    <xf numFmtId="168" fontId="135" fillId="118" borderId="29" xfId="1" applyNumberFormat="1" applyFont="1" applyFill="1" applyBorder="1" applyAlignment="1">
      <alignment horizontal="center" vertical="center"/>
    </xf>
    <xf numFmtId="168" fontId="11" fillId="118" borderId="263" xfId="1" applyNumberFormat="1" applyFont="1" applyFill="1" applyBorder="1" applyAlignment="1">
      <alignment horizontal="center" vertical="center"/>
    </xf>
    <xf numFmtId="0" fontId="12" fillId="118" borderId="393" xfId="0" applyFont="1" applyFill="1" applyBorder="1" applyAlignment="1">
      <alignment horizontal="center"/>
    </xf>
    <xf numFmtId="167" fontId="11" fillId="118" borderId="40" xfId="2" applyNumberFormat="1" applyFont="1" applyFill="1" applyBorder="1" applyAlignment="1">
      <alignment horizontal="right" vertical="center" wrapText="1"/>
    </xf>
    <xf numFmtId="168" fontId="11" fillId="118" borderId="8" xfId="1" applyNumberFormat="1" applyFont="1" applyFill="1" applyBorder="1"/>
    <xf numFmtId="167" fontId="11" fillId="118" borderId="8" xfId="2" applyNumberFormat="1" applyFont="1" applyFill="1" applyBorder="1"/>
    <xf numFmtId="167" fontId="11" fillId="118" borderId="8" xfId="2" applyNumberFormat="1" applyFont="1" applyFill="1" applyBorder="1" applyAlignment="1">
      <alignment horizontal="center"/>
    </xf>
    <xf numFmtId="0" fontId="12" fillId="118" borderId="33" xfId="0" applyFont="1" applyFill="1" applyBorder="1"/>
    <xf numFmtId="168" fontId="135" fillId="118" borderId="33" xfId="1" applyNumberFormat="1" applyFont="1" applyFill="1" applyBorder="1" applyAlignment="1">
      <alignment horizontal="center" vertical="center"/>
    </xf>
    <xf numFmtId="0" fontId="12" fillId="118" borderId="317" xfId="0" applyFont="1" applyFill="1" applyBorder="1"/>
    <xf numFmtId="168" fontId="11" fillId="26" borderId="273" xfId="1" applyNumberFormat="1" applyFont="1" applyFill="1" applyBorder="1" applyAlignment="1">
      <alignment horizontal="center" vertical="center"/>
    </xf>
    <xf numFmtId="167" fontId="11" fillId="26" borderId="52" xfId="2" applyNumberFormat="1" applyFont="1" applyFill="1" applyBorder="1" applyAlignment="1">
      <alignment horizontal="right" vertical="center" wrapText="1"/>
    </xf>
    <xf numFmtId="168" fontId="11" fillId="26" borderId="5" xfId="1" applyNumberFormat="1" applyFont="1" applyFill="1" applyBorder="1"/>
    <xf numFmtId="167" fontId="11" fillId="26" borderId="5" xfId="2" applyNumberFormat="1" applyFont="1" applyFill="1" applyBorder="1"/>
    <xf numFmtId="0" fontId="12" fillId="26" borderId="29" xfId="0" applyFont="1" applyFill="1" applyBorder="1"/>
    <xf numFmtId="168" fontId="135" fillId="26" borderId="29" xfId="1" applyNumberFormat="1" applyFont="1" applyFill="1" applyBorder="1" applyAlignment="1">
      <alignment horizontal="center" vertical="center"/>
    </xf>
    <xf numFmtId="168" fontId="11" fillId="26" borderId="263" xfId="1" applyNumberFormat="1" applyFont="1" applyFill="1" applyBorder="1" applyAlignment="1">
      <alignment horizontal="center" vertical="center"/>
    </xf>
    <xf numFmtId="168" fontId="11" fillId="26" borderId="393" xfId="1" applyNumberFormat="1" applyFont="1" applyFill="1" applyBorder="1" applyAlignment="1">
      <alignment horizontal="center" vertical="center"/>
    </xf>
    <xf numFmtId="167" fontId="11" fillId="26" borderId="40" xfId="2" applyNumberFormat="1" applyFont="1" applyFill="1" applyBorder="1" applyAlignment="1">
      <alignment horizontal="right" vertical="center" wrapText="1"/>
    </xf>
    <xf numFmtId="168" fontId="11" fillId="26" borderId="8" xfId="1" applyNumberFormat="1" applyFont="1" applyFill="1" applyBorder="1"/>
    <xf numFmtId="167" fontId="11" fillId="26" borderId="8" xfId="2" applyNumberFormat="1" applyFont="1" applyFill="1" applyBorder="1"/>
    <xf numFmtId="167" fontId="11" fillId="26" borderId="8" xfId="2" applyNumberFormat="1" applyFont="1" applyFill="1" applyBorder="1" applyAlignment="1">
      <alignment horizontal="center"/>
    </xf>
    <xf numFmtId="0" fontId="12" fillId="26" borderId="33" xfId="0" applyFont="1" applyFill="1" applyBorder="1"/>
    <xf numFmtId="168" fontId="135" fillId="26" borderId="33" xfId="1" applyNumberFormat="1" applyFont="1" applyFill="1" applyBorder="1" applyAlignment="1">
      <alignment horizontal="center" vertical="center"/>
    </xf>
    <xf numFmtId="168" fontId="11" fillId="26" borderId="317" xfId="1" applyNumberFormat="1" applyFont="1" applyFill="1" applyBorder="1" applyAlignment="1">
      <alignment horizontal="center" vertical="center"/>
    </xf>
    <xf numFmtId="167" fontId="11" fillId="26" borderId="6" xfId="2" applyNumberFormat="1" applyFont="1" applyFill="1" applyBorder="1" applyAlignment="1">
      <alignment horizontal="center" vertical="center" wrapText="1"/>
    </xf>
    <xf numFmtId="167" fontId="12" fillId="26" borderId="128" xfId="2" applyNumberFormat="1" applyFont="1" applyFill="1" applyBorder="1" applyAlignment="1">
      <alignment horizontal="center" wrapText="1"/>
    </xf>
    <xf numFmtId="167" fontId="12" fillId="26" borderId="6" xfId="2" applyNumberFormat="1" applyFont="1" applyFill="1" applyBorder="1" applyAlignment="1">
      <alignment horizontal="center"/>
    </xf>
    <xf numFmtId="167" fontId="12" fillId="26" borderId="37" xfId="2" applyNumberFormat="1" applyFont="1" applyFill="1" applyBorder="1" applyAlignment="1">
      <alignment horizontal="center"/>
    </xf>
    <xf numFmtId="167" fontId="126" fillId="26" borderId="6" xfId="2" applyNumberFormat="1" applyFont="1" applyFill="1" applyBorder="1" applyAlignment="1">
      <alignment horizontal="center"/>
    </xf>
    <xf numFmtId="167" fontId="12" fillId="26" borderId="37" xfId="2" applyNumberFormat="1" applyFont="1" applyFill="1" applyBorder="1" applyAlignment="1"/>
    <xf numFmtId="167" fontId="12" fillId="26" borderId="0" xfId="2" applyNumberFormat="1" applyFont="1" applyFill="1" applyBorder="1" applyAlignment="1"/>
    <xf numFmtId="0" fontId="12" fillId="26" borderId="0" xfId="0" applyFont="1" applyFill="1" applyBorder="1"/>
    <xf numFmtId="168" fontId="135" fillId="26" borderId="0" xfId="1" applyNumberFormat="1" applyFont="1" applyFill="1" applyBorder="1" applyAlignment="1">
      <alignment horizontal="center" vertical="center"/>
    </xf>
    <xf numFmtId="167" fontId="12" fillId="26" borderId="23" xfId="2" applyNumberFormat="1" applyFont="1" applyFill="1" applyBorder="1" applyAlignment="1"/>
    <xf numFmtId="168" fontId="135" fillId="26" borderId="89" xfId="1" applyNumberFormat="1" applyFont="1" applyFill="1" applyBorder="1" applyAlignment="1">
      <alignment horizontal="center" vertical="center"/>
    </xf>
    <xf numFmtId="167" fontId="12" fillId="26" borderId="19" xfId="2" applyNumberFormat="1" applyFont="1" applyFill="1" applyBorder="1" applyAlignment="1"/>
    <xf numFmtId="167" fontId="11" fillId="31" borderId="108" xfId="2" applyNumberFormat="1" applyFont="1" applyFill="1" applyBorder="1" applyAlignment="1">
      <alignment horizontal="center" vertical="center" wrapText="1"/>
    </xf>
    <xf numFmtId="167" fontId="12" fillId="0" borderId="269" xfId="2" applyNumberFormat="1" applyFont="1" applyFill="1" applyBorder="1" applyAlignment="1">
      <alignment horizontal="center" wrapText="1"/>
    </xf>
    <xf numFmtId="167" fontId="12" fillId="0" borderId="66" xfId="2" applyNumberFormat="1" applyFont="1" applyFill="1" applyBorder="1" applyAlignment="1">
      <alignment horizontal="center"/>
    </xf>
    <xf numFmtId="167" fontId="12" fillId="0" borderId="66" xfId="2" applyNumberFormat="1" applyFont="1" applyFill="1" applyBorder="1" applyAlignment="1"/>
    <xf numFmtId="167" fontId="12" fillId="16" borderId="34" xfId="2" applyNumberFormat="1" applyFont="1" applyFill="1" applyBorder="1" applyAlignment="1"/>
    <xf numFmtId="0" fontId="12" fillId="0" borderId="34" xfId="0" applyFont="1" applyBorder="1"/>
    <xf numFmtId="168" fontId="135" fillId="0" borderId="34" xfId="1" applyNumberFormat="1" applyFont="1" applyFill="1" applyBorder="1" applyAlignment="1">
      <alignment horizontal="center" vertical="center"/>
    </xf>
    <xf numFmtId="167" fontId="12" fillId="0" borderId="38" xfId="2" applyNumberFormat="1" applyFont="1" applyFill="1" applyBorder="1" applyAlignment="1"/>
    <xf numFmtId="167" fontId="12" fillId="3" borderId="6" xfId="2" applyNumberFormat="1" applyFont="1" applyFill="1" applyBorder="1" applyAlignment="1">
      <alignment horizontal="center"/>
    </xf>
    <xf numFmtId="0" fontId="61" fillId="26" borderId="0" xfId="0" applyFont="1" applyFill="1" applyBorder="1" applyAlignment="1">
      <alignment horizontal="center" vertical="center"/>
    </xf>
    <xf numFmtId="0" fontId="61" fillId="26" borderId="35" xfId="0" applyFont="1" applyFill="1" applyBorder="1" applyAlignment="1">
      <alignment horizontal="center" vertical="center"/>
    </xf>
    <xf numFmtId="0" fontId="61" fillId="26" borderId="29" xfId="0" applyFont="1" applyFill="1" applyBorder="1" applyAlignment="1">
      <alignment horizontal="center" vertical="center"/>
    </xf>
    <xf numFmtId="168" fontId="61" fillId="5" borderId="9" xfId="1" applyNumberFormat="1" applyFont="1" applyFill="1" applyBorder="1" applyAlignment="1">
      <alignment vertical="center"/>
    </xf>
    <xf numFmtId="0" fontId="251" fillId="0" borderId="0" xfId="85" applyFont="1"/>
    <xf numFmtId="0" fontId="55" fillId="0" borderId="0" xfId="85" applyFont="1"/>
    <xf numFmtId="0" fontId="252" fillId="0" borderId="0" xfId="85" applyFont="1"/>
    <xf numFmtId="0" fontId="253" fillId="0" borderId="0" xfId="85" applyFont="1" applyFill="1"/>
    <xf numFmtId="0" fontId="254" fillId="0" borderId="0" xfId="0" applyFont="1" applyFill="1"/>
    <xf numFmtId="0" fontId="252" fillId="0" borderId="0" xfId="85" applyFont="1" applyFill="1"/>
    <xf numFmtId="0" fontId="252" fillId="13" borderId="37" xfId="85" applyFont="1" applyFill="1" applyBorder="1"/>
    <xf numFmtId="0" fontId="252" fillId="13" borderId="7" xfId="85" applyFont="1" applyFill="1" applyBorder="1"/>
    <xf numFmtId="0" fontId="61" fillId="13" borderId="0" xfId="85" applyFont="1" applyFill="1"/>
    <xf numFmtId="0" fontId="61" fillId="13" borderId="0" xfId="85" applyFont="1" applyFill="1" applyAlignment="1">
      <alignment horizontal="center" vertical="center"/>
    </xf>
    <xf numFmtId="0" fontId="30" fillId="0" borderId="0" xfId="85" applyFont="1" applyFill="1"/>
    <xf numFmtId="0" fontId="55" fillId="0" borderId="41" xfId="85" applyFont="1" applyBorder="1" applyAlignment="1">
      <alignment horizontal="center" vertical="center" wrapText="1"/>
    </xf>
    <xf numFmtId="0" fontId="55" fillId="0" borderId="0" xfId="85" applyFont="1" applyAlignment="1">
      <alignment horizontal="center" vertical="center" wrapText="1"/>
    </xf>
    <xf numFmtId="0" fontId="255" fillId="0" borderId="0" xfId="85" applyFont="1" applyAlignment="1">
      <alignment horizontal="center" vertical="center" wrapText="1"/>
    </xf>
    <xf numFmtId="0" fontId="26" fillId="0" borderId="0" xfId="0" applyFont="1" applyAlignment="1">
      <alignment horizontal="center" vertical="center" wrapText="1"/>
    </xf>
    <xf numFmtId="3" fontId="26" fillId="0" borderId="0" xfId="0" applyNumberFormat="1" applyFont="1" applyAlignment="1">
      <alignment horizontal="center" vertical="center" wrapText="1"/>
    </xf>
    <xf numFmtId="0" fontId="256" fillId="0" borderId="0" xfId="85" applyFont="1" applyFill="1" applyAlignment="1">
      <alignment horizontal="center" vertical="center" wrapText="1"/>
    </xf>
    <xf numFmtId="0" fontId="240" fillId="0" borderId="0" xfId="0" applyFont="1" applyFill="1" applyAlignment="1">
      <alignment horizontal="center" vertical="center" wrapText="1"/>
    </xf>
    <xf numFmtId="0" fontId="255" fillId="0" borderId="0" xfId="85" applyFont="1" applyFill="1" applyAlignment="1">
      <alignment horizontal="center" vertical="center" wrapText="1"/>
    </xf>
    <xf numFmtId="0" fontId="30" fillId="0" borderId="0" xfId="0" applyFont="1" applyAlignment="1">
      <alignment horizontal="center" vertical="center" wrapText="1"/>
    </xf>
    <xf numFmtId="0" fontId="30" fillId="0" borderId="0" xfId="85" applyFont="1" applyFill="1" applyAlignment="1">
      <alignment horizontal="center"/>
    </xf>
    <xf numFmtId="0" fontId="55" fillId="0" borderId="6" xfId="85" applyFont="1" applyBorder="1" applyAlignment="1">
      <alignment horizontal="center"/>
    </xf>
    <xf numFmtId="0" fontId="55" fillId="0" borderId="0" xfId="85" applyFont="1" applyAlignment="1">
      <alignment horizontal="center"/>
    </xf>
    <xf numFmtId="0" fontId="30" fillId="0" borderId="0" xfId="85" applyFont="1" applyAlignment="1">
      <alignment horizontal="center"/>
    </xf>
    <xf numFmtId="0" fontId="255" fillId="0" borderId="0" xfId="85" applyFont="1" applyAlignment="1">
      <alignment horizontal="center"/>
    </xf>
    <xf numFmtId="0" fontId="256" fillId="0" borderId="0" xfId="85" applyFont="1" applyFill="1" applyBorder="1" applyAlignment="1">
      <alignment horizontal="center" vertical="center"/>
    </xf>
    <xf numFmtId="0" fontId="256" fillId="0" borderId="0" xfId="85" applyFont="1" applyFill="1" applyAlignment="1">
      <alignment horizontal="center" vertical="center"/>
    </xf>
    <xf numFmtId="0" fontId="240" fillId="0" borderId="0" xfId="0" applyFont="1" applyFill="1" applyAlignment="1">
      <alignment horizontal="center" vertical="center"/>
    </xf>
    <xf numFmtId="0" fontId="255" fillId="0" borderId="0" xfId="85" applyFont="1" applyFill="1" applyAlignment="1">
      <alignment horizontal="center" vertical="center"/>
    </xf>
    <xf numFmtId="0" fontId="255" fillId="31" borderId="5" xfId="85" applyFont="1" applyFill="1" applyBorder="1" applyAlignment="1">
      <alignment horizontal="center" vertical="center"/>
    </xf>
    <xf numFmtId="0" fontId="30" fillId="0" borderId="0" xfId="85" applyFont="1" applyFill="1" applyBorder="1" applyAlignment="1">
      <alignment horizontal="center" vertical="center"/>
    </xf>
    <xf numFmtId="0" fontId="61" fillId="0" borderId="0" xfId="85" applyFont="1" applyFill="1" applyBorder="1" applyAlignment="1">
      <alignment horizontal="center" vertical="center"/>
    </xf>
    <xf numFmtId="0" fontId="61" fillId="26" borderId="0" xfId="85" applyFont="1" applyFill="1" applyBorder="1" applyAlignment="1">
      <alignment horizontal="center" vertical="center"/>
    </xf>
    <xf numFmtId="0" fontId="61" fillId="0" borderId="0" xfId="85" applyFont="1" applyFill="1" applyAlignment="1">
      <alignment horizontal="center"/>
    </xf>
    <xf numFmtId="0" fontId="61" fillId="0" borderId="34" xfId="85" applyFont="1" applyFill="1" applyBorder="1" applyAlignment="1">
      <alignment horizontal="center"/>
    </xf>
    <xf numFmtId="0" fontId="61" fillId="26" borderId="34" xfId="85" applyFont="1" applyFill="1" applyBorder="1" applyAlignment="1">
      <alignment horizontal="center"/>
    </xf>
    <xf numFmtId="0" fontId="55" fillId="9" borderId="6" xfId="85" applyFont="1" applyFill="1" applyBorder="1" applyAlignment="1">
      <alignment horizontal="center"/>
    </xf>
    <xf numFmtId="0" fontId="255" fillId="15" borderId="0" xfId="0" applyFont="1" applyFill="1" applyAlignment="1">
      <alignment horizontal="center"/>
    </xf>
    <xf numFmtId="0" fontId="257" fillId="0" borderId="0" xfId="85" applyFont="1" applyFill="1" applyBorder="1"/>
    <xf numFmtId="0" fontId="257" fillId="0" borderId="37" xfId="85" applyFont="1" applyFill="1" applyBorder="1"/>
    <xf numFmtId="0" fontId="257" fillId="0" borderId="7" xfId="85" applyFont="1" applyFill="1" applyBorder="1"/>
    <xf numFmtId="0" fontId="61" fillId="0" borderId="0" xfId="85" applyFont="1" applyFill="1" applyAlignment="1">
      <alignment horizontal="center" vertical="center"/>
    </xf>
    <xf numFmtId="0" fontId="55" fillId="0" borderId="6" xfId="85" applyFont="1" applyFill="1" applyBorder="1" applyAlignment="1">
      <alignment horizontal="center"/>
    </xf>
    <xf numFmtId="0" fontId="258" fillId="0" borderId="0" xfId="85" applyFont="1" applyFill="1" applyAlignment="1">
      <alignment horizontal="center"/>
    </xf>
    <xf numFmtId="0" fontId="258" fillId="0" borderId="0" xfId="0" applyFont="1" applyFill="1" applyAlignment="1">
      <alignment horizontal="center"/>
    </xf>
    <xf numFmtId="0" fontId="256" fillId="0" borderId="0" xfId="85" applyFont="1" applyFill="1" applyBorder="1" applyAlignment="1">
      <alignment horizontal="center"/>
    </xf>
    <xf numFmtId="0" fontId="240" fillId="0" borderId="0" xfId="0" applyFont="1" applyFill="1" applyBorder="1" applyAlignment="1">
      <alignment horizontal="center"/>
    </xf>
    <xf numFmtId="0" fontId="259" fillId="0" borderId="0" xfId="85" applyFont="1" applyFill="1" applyBorder="1" applyAlignment="1">
      <alignment horizontal="center"/>
    </xf>
    <xf numFmtId="0" fontId="259" fillId="0" borderId="37" xfId="85" applyFont="1" applyFill="1" applyBorder="1" applyAlignment="1">
      <alignment horizontal="center"/>
    </xf>
    <xf numFmtId="0" fontId="259" fillId="0" borderId="7" xfId="85" applyFont="1" applyFill="1" applyBorder="1" applyAlignment="1">
      <alignment horizontal="center"/>
    </xf>
    <xf numFmtId="0" fontId="30" fillId="9" borderId="6" xfId="85" applyFont="1" applyFill="1" applyBorder="1" applyAlignment="1">
      <alignment horizontal="center"/>
    </xf>
    <xf numFmtId="0" fontId="255" fillId="10" borderId="140" xfId="85" applyFont="1" applyFill="1" applyBorder="1" applyAlignment="1">
      <alignment horizontal="center"/>
    </xf>
    <xf numFmtId="0" fontId="255" fillId="10" borderId="141" xfId="85" applyFont="1" applyFill="1" applyBorder="1" applyAlignment="1">
      <alignment horizontal="center"/>
    </xf>
    <xf numFmtId="0" fontId="255" fillId="71" borderId="36" xfId="85" applyFont="1" applyFill="1" applyBorder="1" applyAlignment="1">
      <alignment horizontal="center"/>
    </xf>
    <xf numFmtId="0" fontId="255" fillId="71" borderId="27" xfId="85" applyFont="1" applyFill="1" applyBorder="1" applyAlignment="1">
      <alignment horizontal="center"/>
    </xf>
    <xf numFmtId="0" fontId="255" fillId="26" borderId="142" xfId="85" applyFont="1" applyFill="1" applyBorder="1" applyAlignment="1">
      <alignment horizontal="center"/>
    </xf>
    <xf numFmtId="0" fontId="255" fillId="26" borderId="143" xfId="85" applyFont="1" applyFill="1" applyBorder="1" applyAlignment="1">
      <alignment horizontal="center"/>
    </xf>
    <xf numFmtId="0" fontId="255" fillId="26" borderId="144" xfId="85" applyFont="1" applyFill="1" applyBorder="1" applyAlignment="1">
      <alignment horizontal="center"/>
    </xf>
    <xf numFmtId="0" fontId="255" fillId="0" borderId="145" xfId="85" applyFont="1" applyFill="1" applyBorder="1" applyAlignment="1">
      <alignment horizontal="center"/>
    </xf>
    <xf numFmtId="0" fontId="255" fillId="0" borderId="146" xfId="85" applyFont="1" applyFill="1" applyBorder="1" applyAlignment="1">
      <alignment horizontal="center"/>
    </xf>
    <xf numFmtId="0" fontId="255" fillId="0" borderId="0" xfId="85" applyFont="1" applyFill="1" applyBorder="1" applyAlignment="1">
      <alignment horizontal="center"/>
    </xf>
    <xf numFmtId="0" fontId="255" fillId="0" borderId="275" xfId="0" applyFont="1" applyFill="1" applyBorder="1" applyAlignment="1">
      <alignment horizontal="center"/>
    </xf>
    <xf numFmtId="0" fontId="255" fillId="0" borderId="276" xfId="0" applyFont="1" applyFill="1" applyBorder="1" applyAlignment="1">
      <alignment horizontal="center"/>
    </xf>
    <xf numFmtId="0" fontId="256" fillId="8" borderId="76" xfId="85" applyFont="1" applyFill="1" applyBorder="1" applyAlignment="1">
      <alignment horizontal="center"/>
    </xf>
    <xf numFmtId="0" fontId="61" fillId="0" borderId="0" xfId="85" applyFont="1" applyFill="1" applyBorder="1"/>
    <xf numFmtId="0" fontId="61" fillId="0" borderId="37" xfId="85" applyFont="1" applyFill="1" applyBorder="1"/>
    <xf numFmtId="0" fontId="61" fillId="0" borderId="7" xfId="85" applyFont="1" applyFill="1" applyBorder="1"/>
    <xf numFmtId="0" fontId="30" fillId="0" borderId="6" xfId="85" applyFont="1" applyFill="1" applyBorder="1" applyAlignment="1">
      <alignment horizontal="center"/>
    </xf>
    <xf numFmtId="0" fontId="255" fillId="0" borderId="148" xfId="85" applyFont="1" applyFill="1" applyBorder="1" applyAlignment="1">
      <alignment horizontal="center"/>
    </xf>
    <xf numFmtId="0" fontId="255" fillId="0" borderId="149" xfId="85" applyFont="1" applyFill="1" applyBorder="1" applyAlignment="1">
      <alignment horizontal="center"/>
    </xf>
    <xf numFmtId="0" fontId="255" fillId="0" borderId="150" xfId="85" applyFont="1" applyFill="1" applyBorder="1" applyAlignment="1">
      <alignment horizontal="center"/>
    </xf>
    <xf numFmtId="0" fontId="255" fillId="16" borderId="149" xfId="85" applyFont="1" applyFill="1" applyBorder="1" applyAlignment="1">
      <alignment horizontal="center"/>
    </xf>
    <xf numFmtId="0" fontId="255" fillId="16" borderId="0" xfId="85" applyFont="1" applyFill="1" applyBorder="1" applyAlignment="1">
      <alignment horizontal="center"/>
    </xf>
    <xf numFmtId="0" fontId="255" fillId="16" borderId="23" xfId="85" applyFont="1" applyFill="1" applyBorder="1" applyAlignment="1">
      <alignment horizontal="center"/>
    </xf>
    <xf numFmtId="0" fontId="255" fillId="16" borderId="151" xfId="85" applyFont="1" applyFill="1" applyBorder="1" applyAlignment="1">
      <alignment horizontal="center"/>
    </xf>
    <xf numFmtId="0" fontId="255" fillId="16" borderId="152" xfId="85" applyFont="1" applyFill="1" applyBorder="1" applyAlignment="1">
      <alignment horizontal="center"/>
    </xf>
    <xf numFmtId="0" fontId="255" fillId="16" borderId="153" xfId="85" applyFont="1" applyFill="1" applyBorder="1" applyAlignment="1">
      <alignment horizontal="center"/>
    </xf>
    <xf numFmtId="0" fontId="255" fillId="3" borderId="154" xfId="85" applyFont="1" applyFill="1" applyBorder="1" applyAlignment="1">
      <alignment horizontal="center"/>
    </xf>
    <xf numFmtId="0" fontId="255" fillId="3" borderId="0" xfId="85" applyFont="1" applyFill="1" applyBorder="1" applyAlignment="1">
      <alignment horizontal="center"/>
    </xf>
    <xf numFmtId="0" fontId="255" fillId="95" borderId="0" xfId="0" applyFont="1" applyFill="1" applyBorder="1" applyAlignment="1">
      <alignment horizontal="center"/>
    </xf>
    <xf numFmtId="0" fontId="255" fillId="3" borderId="129" xfId="0" applyFont="1" applyFill="1" applyBorder="1" applyAlignment="1">
      <alignment horizontal="center"/>
    </xf>
    <xf numFmtId="0" fontId="255" fillId="3" borderId="0" xfId="0" applyFont="1" applyFill="1" applyBorder="1" applyAlignment="1">
      <alignment horizontal="center"/>
    </xf>
    <xf numFmtId="0" fontId="256" fillId="0" borderId="156" xfId="85" applyFont="1" applyFill="1" applyBorder="1" applyAlignment="1">
      <alignment horizontal="center"/>
    </xf>
    <xf numFmtId="0" fontId="239" fillId="16" borderId="389" xfId="85" applyFont="1" applyFill="1" applyBorder="1" applyAlignment="1">
      <alignment horizontal="center"/>
    </xf>
    <xf numFmtId="0" fontId="239" fillId="16" borderId="158" xfId="85" applyFont="1" applyFill="1" applyBorder="1" applyAlignment="1">
      <alignment horizontal="center"/>
    </xf>
    <xf numFmtId="0" fontId="239" fillId="16" borderId="159" xfId="85" applyFont="1" applyFill="1" applyBorder="1" applyAlignment="1">
      <alignment horizontal="center"/>
    </xf>
    <xf numFmtId="0" fontId="239" fillId="16" borderId="157" xfId="85" applyFont="1" applyFill="1" applyBorder="1" applyAlignment="1">
      <alignment horizontal="center"/>
    </xf>
    <xf numFmtId="0" fontId="239" fillId="16" borderId="132" xfId="85" applyFont="1" applyFill="1" applyBorder="1" applyAlignment="1">
      <alignment horizontal="center"/>
    </xf>
    <xf numFmtId="0" fontId="239" fillId="16" borderId="73" xfId="85" applyFont="1" applyFill="1" applyBorder="1" applyAlignment="1">
      <alignment horizontal="center"/>
    </xf>
    <xf numFmtId="0" fontId="239" fillId="16" borderId="130" xfId="85" applyFont="1" applyFill="1" applyBorder="1" applyAlignment="1">
      <alignment horizontal="center"/>
    </xf>
    <xf numFmtId="0" fontId="239" fillId="16" borderId="160" xfId="85" applyFont="1" applyFill="1" applyBorder="1" applyAlignment="1">
      <alignment horizontal="center"/>
    </xf>
    <xf numFmtId="0" fontId="239" fillId="16" borderId="161" xfId="85" applyFont="1" applyFill="1" applyBorder="1" applyAlignment="1">
      <alignment horizontal="center"/>
    </xf>
    <xf numFmtId="0" fontId="239" fillId="16" borderId="162" xfId="85" applyFont="1" applyFill="1" applyBorder="1" applyAlignment="1">
      <alignment horizontal="center"/>
    </xf>
    <xf numFmtId="0" fontId="239" fillId="16" borderId="163" xfId="85" applyFont="1" applyFill="1" applyBorder="1" applyAlignment="1">
      <alignment horizontal="center"/>
    </xf>
    <xf numFmtId="0" fontId="239" fillId="16" borderId="164" xfId="85" applyFont="1" applyFill="1" applyBorder="1" applyAlignment="1">
      <alignment horizontal="center"/>
    </xf>
    <xf numFmtId="0" fontId="239" fillId="16" borderId="165" xfId="85" applyFont="1" applyFill="1" applyBorder="1" applyAlignment="1">
      <alignment horizontal="center"/>
    </xf>
    <xf numFmtId="0" fontId="239" fillId="16" borderId="23" xfId="85" applyFont="1" applyFill="1" applyBorder="1" applyAlignment="1">
      <alignment horizontal="center"/>
    </xf>
    <xf numFmtId="0" fontId="239" fillId="16" borderId="0" xfId="85" applyFont="1" applyFill="1" applyBorder="1" applyAlignment="1">
      <alignment horizontal="center"/>
    </xf>
    <xf numFmtId="0" fontId="239" fillId="16" borderId="166" xfId="85" applyFont="1" applyFill="1" applyBorder="1" applyAlignment="1">
      <alignment horizontal="center"/>
    </xf>
    <xf numFmtId="0" fontId="239" fillId="16" borderId="167" xfId="85" applyFont="1" applyFill="1" applyBorder="1" applyAlignment="1">
      <alignment horizontal="center"/>
    </xf>
    <xf numFmtId="0" fontId="256" fillId="0" borderId="28" xfId="85" applyFont="1" applyFill="1" applyBorder="1" applyAlignment="1">
      <alignment horizontal="center"/>
    </xf>
    <xf numFmtId="0" fontId="30" fillId="9" borderId="392" xfId="85" applyFont="1" applyFill="1" applyBorder="1" applyAlignment="1">
      <alignment horizontal="center"/>
    </xf>
    <xf numFmtId="3" fontId="30" fillId="75" borderId="134" xfId="85" applyNumberFormat="1" applyFont="1" applyFill="1" applyBorder="1"/>
    <xf numFmtId="3" fontId="30" fillId="75" borderId="1" xfId="85" applyNumberFormat="1" applyFont="1" applyFill="1" applyBorder="1"/>
    <xf numFmtId="3" fontId="30" fillId="75" borderId="176" xfId="85" applyNumberFormat="1" applyFont="1" applyFill="1" applyBorder="1"/>
    <xf numFmtId="3" fontId="255" fillId="27" borderId="175" xfId="85" applyNumberFormat="1" applyFont="1" applyFill="1" applyBorder="1"/>
    <xf numFmtId="3" fontId="255" fillId="27" borderId="1" xfId="85" applyNumberFormat="1" applyFont="1" applyFill="1" applyBorder="1"/>
    <xf numFmtId="3" fontId="255" fillId="27" borderId="176" xfId="85" applyNumberFormat="1" applyFont="1" applyFill="1" applyBorder="1"/>
    <xf numFmtId="3" fontId="255" fillId="0" borderId="132" xfId="85" applyNumberFormat="1" applyFont="1" applyBorder="1"/>
    <xf numFmtId="3" fontId="255" fillId="0" borderId="73" xfId="85" applyNumberFormat="1" applyFont="1" applyBorder="1"/>
    <xf numFmtId="3" fontId="255" fillId="76" borderId="73" xfId="85" applyNumberFormat="1" applyFont="1" applyFill="1" applyBorder="1"/>
    <xf numFmtId="3" fontId="255" fillId="76" borderId="130" xfId="85" applyNumberFormat="1" applyFont="1" applyFill="1" applyBorder="1"/>
    <xf numFmtId="3" fontId="30" fillId="16" borderId="149" xfId="85" applyNumberFormat="1" applyFont="1" applyFill="1" applyBorder="1"/>
    <xf numFmtId="3" fontId="30" fillId="16" borderId="0" xfId="85" applyNumberFormat="1" applyFont="1" applyFill="1" applyBorder="1"/>
    <xf numFmtId="3" fontId="30" fillId="16" borderId="150" xfId="85" applyNumberFormat="1" applyFont="1" applyFill="1" applyBorder="1"/>
    <xf numFmtId="3" fontId="30" fillId="16" borderId="177" xfId="85" applyNumberFormat="1" applyFont="1" applyFill="1" applyBorder="1"/>
    <xf numFmtId="3" fontId="30" fillId="16" borderId="178" xfId="85" applyNumberFormat="1" applyFont="1" applyFill="1" applyBorder="1"/>
    <xf numFmtId="3" fontId="30" fillId="16" borderId="179" xfId="85" applyNumberFormat="1" applyFont="1" applyFill="1" applyBorder="1"/>
    <xf numFmtId="3" fontId="30" fillId="16" borderId="180" xfId="85" applyNumberFormat="1" applyFont="1" applyFill="1" applyBorder="1"/>
    <xf numFmtId="3" fontId="30" fillId="16" borderId="181" xfId="85" applyNumberFormat="1" applyFont="1" applyFill="1" applyBorder="1"/>
    <xf numFmtId="3" fontId="30" fillId="16" borderId="77" xfId="85" applyNumberFormat="1" applyFont="1" applyFill="1" applyBorder="1"/>
    <xf numFmtId="3" fontId="30" fillId="16" borderId="182" xfId="85" applyNumberFormat="1" applyFont="1" applyFill="1" applyBorder="1"/>
    <xf numFmtId="3" fontId="30" fillId="16" borderId="166" xfId="85" applyNumberFormat="1" applyFont="1" applyFill="1" applyBorder="1"/>
    <xf numFmtId="3" fontId="30" fillId="16" borderId="73" xfId="85" applyNumberFormat="1" applyFont="1" applyFill="1" applyBorder="1"/>
    <xf numFmtId="3" fontId="30" fillId="16" borderId="167" xfId="85" applyNumberFormat="1" applyFont="1" applyFill="1" applyBorder="1"/>
    <xf numFmtId="3" fontId="30" fillId="16" borderId="82" xfId="85" applyNumberFormat="1" applyFont="1" applyFill="1" applyBorder="1"/>
    <xf numFmtId="3" fontId="30" fillId="16" borderId="183" xfId="85" applyNumberFormat="1" applyFont="1" applyFill="1" applyBorder="1"/>
    <xf numFmtId="3" fontId="260" fillId="16" borderId="100" xfId="0" applyNumberFormat="1" applyFont="1" applyFill="1" applyBorder="1"/>
    <xf numFmtId="3" fontId="260" fillId="16" borderId="182" xfId="0" applyNumberFormat="1" applyFont="1" applyFill="1" applyBorder="1"/>
    <xf numFmtId="3" fontId="260" fillId="16" borderId="77" xfId="0" applyNumberFormat="1" applyFont="1" applyFill="1" applyBorder="1"/>
    <xf numFmtId="3" fontId="260" fillId="16" borderId="279" xfId="0" applyNumberFormat="1" applyFont="1" applyFill="1" applyBorder="1"/>
    <xf numFmtId="3" fontId="260" fillId="16" borderId="0" xfId="0" applyNumberFormat="1" applyFont="1" applyFill="1" applyBorder="1"/>
    <xf numFmtId="3" fontId="256" fillId="0" borderId="32" xfId="85" applyNumberFormat="1" applyFont="1" applyFill="1" applyBorder="1"/>
    <xf numFmtId="3" fontId="256" fillId="15" borderId="77" xfId="85" applyNumberFormat="1" applyFont="1" applyFill="1" applyBorder="1"/>
    <xf numFmtId="3" fontId="254" fillId="0" borderId="79" xfId="0" applyNumberFormat="1" applyFont="1" applyFill="1" applyBorder="1"/>
    <xf numFmtId="3" fontId="30" fillId="75" borderId="390" xfId="85" applyNumberFormat="1" applyFont="1" applyFill="1" applyBorder="1"/>
    <xf numFmtId="3" fontId="30" fillId="75" borderId="188" xfId="85" applyNumberFormat="1" applyFont="1" applyFill="1" applyBorder="1"/>
    <xf numFmtId="3" fontId="30" fillId="75" borderId="189" xfId="85" applyNumberFormat="1" applyFont="1" applyFill="1" applyBorder="1"/>
    <xf numFmtId="3" fontId="255" fillId="27" borderId="187" xfId="85" applyNumberFormat="1" applyFont="1" applyFill="1" applyBorder="1"/>
    <xf numFmtId="3" fontId="255" fillId="27" borderId="188" xfId="85" applyNumberFormat="1" applyFont="1" applyFill="1" applyBorder="1"/>
    <xf numFmtId="3" fontId="255" fillId="27" borderId="189" xfId="85" applyNumberFormat="1" applyFont="1" applyFill="1" applyBorder="1"/>
    <xf numFmtId="3" fontId="30" fillId="16" borderId="190" xfId="85" applyNumberFormat="1" applyFont="1" applyFill="1" applyBorder="1"/>
    <xf numFmtId="3" fontId="30" fillId="16" borderId="191" xfId="85" applyNumberFormat="1" applyFont="1" applyFill="1" applyBorder="1"/>
    <xf numFmtId="3" fontId="30" fillId="16" borderId="192" xfId="85" applyNumberFormat="1" applyFont="1" applyFill="1" applyBorder="1"/>
    <xf numFmtId="3" fontId="30" fillId="16" borderId="193" xfId="85" applyNumberFormat="1" applyFont="1" applyFill="1" applyBorder="1"/>
    <xf numFmtId="3" fontId="30" fillId="16" borderId="194" xfId="85" applyNumberFormat="1" applyFont="1" applyFill="1" applyBorder="1"/>
    <xf numFmtId="3" fontId="30" fillId="16" borderId="195" xfId="85" applyNumberFormat="1" applyFont="1" applyFill="1" applyBorder="1"/>
    <xf numFmtId="3" fontId="30" fillId="16" borderId="196" xfId="85" applyNumberFormat="1" applyFont="1" applyFill="1" applyBorder="1"/>
    <xf numFmtId="3" fontId="30" fillId="16" borderId="197" xfId="85" applyNumberFormat="1" applyFont="1" applyFill="1" applyBorder="1"/>
    <xf numFmtId="3" fontId="30" fillId="16" borderId="198" xfId="85" applyNumberFormat="1" applyFont="1" applyFill="1" applyBorder="1"/>
    <xf numFmtId="3" fontId="30" fillId="16" borderId="199" xfId="85" applyNumberFormat="1" applyFont="1" applyFill="1" applyBorder="1"/>
    <xf numFmtId="3" fontId="30" fillId="16" borderId="200" xfId="85" applyNumberFormat="1" applyFont="1" applyFill="1" applyBorder="1"/>
    <xf numFmtId="3" fontId="30" fillId="16" borderId="201" xfId="85" applyNumberFormat="1" applyFont="1" applyFill="1" applyBorder="1"/>
    <xf numFmtId="3" fontId="30" fillId="16" borderId="202" xfId="85" applyNumberFormat="1" applyFont="1" applyFill="1" applyBorder="1"/>
    <xf numFmtId="3" fontId="30" fillId="16" borderId="203" xfId="85" applyNumberFormat="1" applyFont="1" applyFill="1" applyBorder="1"/>
    <xf numFmtId="3" fontId="30" fillId="16" borderId="204" xfId="85" applyNumberFormat="1" applyFont="1" applyFill="1" applyBorder="1"/>
    <xf numFmtId="3" fontId="30" fillId="16" borderId="205" xfId="85" applyNumberFormat="1" applyFont="1" applyFill="1" applyBorder="1"/>
    <xf numFmtId="3" fontId="30" fillId="16" borderId="206" xfId="85" applyNumberFormat="1" applyFont="1" applyFill="1" applyBorder="1"/>
    <xf numFmtId="3" fontId="260" fillId="16" borderId="280" xfId="0" applyNumberFormat="1" applyFont="1" applyFill="1" applyBorder="1"/>
    <xf numFmtId="3" fontId="260" fillId="16" borderId="281" xfId="0" applyNumberFormat="1" applyFont="1" applyFill="1" applyBorder="1"/>
    <xf numFmtId="3" fontId="260" fillId="16" borderId="282" xfId="0" applyNumberFormat="1" applyFont="1" applyFill="1" applyBorder="1"/>
    <xf numFmtId="3" fontId="260" fillId="16" borderId="283" xfId="0" applyNumberFormat="1" applyFont="1" applyFill="1" applyBorder="1"/>
    <xf numFmtId="3" fontId="260" fillId="16" borderId="284" xfId="0" applyNumberFormat="1" applyFont="1" applyFill="1" applyBorder="1"/>
    <xf numFmtId="3" fontId="260" fillId="16" borderId="287" xfId="0" applyNumberFormat="1" applyFont="1" applyFill="1" applyBorder="1"/>
    <xf numFmtId="3" fontId="256" fillId="0" borderId="79" xfId="85" applyNumberFormat="1" applyFont="1" applyFill="1" applyBorder="1"/>
    <xf numFmtId="0" fontId="30" fillId="0" borderId="6" xfId="85" applyFont="1" applyBorder="1" applyAlignment="1">
      <alignment horizontal="center"/>
    </xf>
    <xf numFmtId="3" fontId="259" fillId="4" borderId="0" xfId="85" applyNumberFormat="1" applyFont="1" applyFill="1" applyBorder="1"/>
    <xf numFmtId="0" fontId="30" fillId="0" borderId="0" xfId="85" applyFont="1"/>
    <xf numFmtId="3" fontId="198" fillId="4" borderId="0" xfId="85" applyNumberFormat="1" applyFont="1" applyFill="1" applyBorder="1"/>
    <xf numFmtId="3" fontId="152" fillId="4" borderId="0" xfId="85" applyNumberFormat="1" applyFont="1" applyFill="1" applyBorder="1"/>
    <xf numFmtId="3" fontId="261" fillId="4" borderId="0" xfId="85" applyNumberFormat="1" applyFont="1" applyFill="1" applyBorder="1"/>
    <xf numFmtId="3" fontId="254" fillId="4" borderId="0" xfId="0" applyNumberFormat="1" applyFont="1" applyFill="1" applyBorder="1"/>
    <xf numFmtId="3" fontId="198" fillId="4" borderId="0" xfId="0" applyNumberFormat="1" applyFont="1" applyFill="1" applyBorder="1"/>
    <xf numFmtId="170" fontId="256" fillId="8" borderId="0" xfId="85" applyNumberFormat="1" applyFont="1" applyFill="1" applyBorder="1" applyAlignment="1">
      <alignment horizontal="center"/>
    </xf>
    <xf numFmtId="170" fontId="256" fillId="15" borderId="0" xfId="85" applyNumberFormat="1" applyFont="1" applyFill="1" applyBorder="1" applyAlignment="1">
      <alignment horizontal="center"/>
    </xf>
    <xf numFmtId="170" fontId="240" fillId="0" borderId="0" xfId="0" applyNumberFormat="1" applyFont="1" applyFill="1" applyBorder="1" applyAlignment="1">
      <alignment horizontal="center"/>
    </xf>
    <xf numFmtId="3" fontId="258" fillId="4" borderId="0" xfId="85" applyNumberFormat="1" applyFont="1" applyFill="1" applyBorder="1"/>
    <xf numFmtId="3" fontId="253" fillId="0" borderId="0" xfId="85" applyNumberFormat="1" applyFont="1" applyFill="1" applyBorder="1"/>
    <xf numFmtId="3" fontId="254" fillId="0" borderId="0" xfId="0" applyNumberFormat="1" applyFont="1" applyFill="1" applyBorder="1"/>
    <xf numFmtId="0" fontId="255" fillId="10" borderId="214" xfId="85" applyFont="1" applyFill="1" applyBorder="1" applyAlignment="1">
      <alignment horizontal="center"/>
    </xf>
    <xf numFmtId="0" fontId="255" fillId="71" borderId="215" xfId="85" applyFont="1" applyFill="1" applyBorder="1" applyAlignment="1">
      <alignment horizontal="center"/>
    </xf>
    <xf numFmtId="0" fontId="255" fillId="71" borderId="141" xfId="85" applyFont="1" applyFill="1" applyBorder="1" applyAlignment="1">
      <alignment horizontal="center"/>
    </xf>
    <xf numFmtId="0" fontId="255" fillId="0" borderId="216" xfId="85" applyFont="1" applyFill="1" applyBorder="1" applyAlignment="1">
      <alignment horizontal="center"/>
    </xf>
    <xf numFmtId="0" fontId="255" fillId="0" borderId="285" xfId="0" applyFont="1" applyFill="1" applyBorder="1" applyAlignment="1">
      <alignment horizontal="center"/>
    </xf>
    <xf numFmtId="0" fontId="255" fillId="0" borderId="143" xfId="0" applyFont="1" applyFill="1" applyBorder="1" applyAlignment="1">
      <alignment horizontal="center"/>
    </xf>
    <xf numFmtId="0" fontId="255" fillId="3" borderId="217" xfId="85" applyFont="1" applyFill="1" applyBorder="1" applyAlignment="1">
      <alignment horizontal="center"/>
    </xf>
    <xf numFmtId="0" fontId="239" fillId="16" borderId="218" xfId="85" applyFont="1" applyFill="1" applyBorder="1" applyAlignment="1">
      <alignment horizontal="center"/>
    </xf>
    <xf numFmtId="0" fontId="239" fillId="16" borderId="149" xfId="85" applyFont="1" applyFill="1" applyBorder="1" applyAlignment="1">
      <alignment horizontal="center"/>
    </xf>
    <xf numFmtId="3" fontId="30" fillId="16" borderId="219" xfId="85" applyNumberFormat="1" applyFont="1" applyFill="1" applyBorder="1"/>
    <xf numFmtId="3" fontId="30" fillId="16" borderId="220" xfId="85" applyNumberFormat="1" applyFont="1" applyFill="1" applyBorder="1"/>
    <xf numFmtId="3" fontId="30" fillId="16" borderId="221" xfId="85" applyNumberFormat="1" applyFont="1" applyFill="1" applyBorder="1"/>
    <xf numFmtId="3" fontId="30" fillId="16" borderId="222" xfId="85" applyNumberFormat="1" applyFont="1" applyFill="1" applyBorder="1"/>
    <xf numFmtId="3" fontId="30" fillId="16" borderId="223" xfId="85" applyNumberFormat="1" applyFont="1" applyFill="1" applyBorder="1"/>
    <xf numFmtId="3" fontId="30" fillId="0" borderId="6" xfId="85" applyNumberFormat="1" applyFont="1" applyBorder="1" applyAlignment="1">
      <alignment horizontal="center"/>
    </xf>
    <xf numFmtId="3" fontId="252" fillId="0" borderId="0" xfId="85" applyNumberFormat="1" applyFont="1" applyBorder="1"/>
    <xf numFmtId="3" fontId="46" fillId="0" borderId="0" xfId="85" applyNumberFormat="1" applyFont="1" applyBorder="1"/>
    <xf numFmtId="3" fontId="86" fillId="0" borderId="0" xfId="85" applyNumberFormat="1" applyFont="1" applyAlignment="1">
      <alignment horizontal="center"/>
    </xf>
    <xf numFmtId="170" fontId="256" fillId="0" borderId="0" xfId="85" applyNumberFormat="1" applyFont="1" applyBorder="1" applyAlignment="1">
      <alignment horizontal="center"/>
    </xf>
    <xf numFmtId="170" fontId="256" fillId="0" borderId="0" xfId="85" applyNumberFormat="1" applyFont="1" applyAlignment="1">
      <alignment horizontal="center"/>
    </xf>
    <xf numFmtId="3" fontId="61" fillId="0" borderId="155" xfId="85" applyNumberFormat="1" applyFont="1" applyBorder="1"/>
    <xf numFmtId="3" fontId="252" fillId="0" borderId="155" xfId="85" applyNumberFormat="1" applyFont="1" applyBorder="1"/>
    <xf numFmtId="3" fontId="253" fillId="0" borderId="0" xfId="85" applyNumberFormat="1" applyFont="1" applyBorder="1"/>
    <xf numFmtId="3" fontId="253" fillId="0" borderId="0" xfId="85" applyNumberFormat="1" applyFont="1"/>
    <xf numFmtId="3" fontId="254" fillId="0" borderId="0" xfId="0" applyNumberFormat="1" applyFont="1" applyFill="1"/>
    <xf numFmtId="0" fontId="255" fillId="95" borderId="72" xfId="0" applyFont="1" applyFill="1" applyBorder="1" applyAlignment="1">
      <alignment horizontal="center"/>
    </xf>
    <xf numFmtId="3" fontId="30" fillId="16" borderId="132" xfId="85" applyNumberFormat="1" applyFont="1" applyFill="1" applyBorder="1"/>
    <xf numFmtId="3" fontId="30" fillId="16" borderId="130" xfId="85" applyNumberFormat="1" applyFont="1" applyFill="1" applyBorder="1"/>
    <xf numFmtId="3" fontId="260" fillId="16" borderId="131" xfId="0" applyNumberFormat="1" applyFont="1" applyFill="1" applyBorder="1"/>
    <xf numFmtId="3" fontId="260" fillId="16" borderId="130" xfId="0" applyNumberFormat="1" applyFont="1" applyFill="1" applyBorder="1"/>
    <xf numFmtId="3" fontId="30" fillId="0" borderId="0" xfId="85" applyNumberFormat="1" applyFont="1" applyBorder="1"/>
    <xf numFmtId="0" fontId="30" fillId="16" borderId="220" xfId="85" applyFont="1" applyFill="1" applyBorder="1"/>
    <xf numFmtId="0" fontId="30" fillId="16" borderId="77" xfId="85" applyFont="1" applyFill="1" applyBorder="1"/>
    <xf numFmtId="3" fontId="30" fillId="16" borderId="131" xfId="0" applyNumberFormat="1" applyFont="1" applyFill="1" applyBorder="1" applyAlignment="1">
      <alignment horizontal="center"/>
    </xf>
    <xf numFmtId="3" fontId="30" fillId="16" borderId="130" xfId="0" applyNumberFormat="1" applyFont="1" applyFill="1" applyBorder="1" applyAlignment="1">
      <alignment horizontal="center"/>
    </xf>
    <xf numFmtId="3" fontId="260" fillId="16" borderId="77" xfId="0" applyNumberFormat="1" applyFont="1" applyFill="1" applyBorder="1" applyAlignment="1">
      <alignment horizontal="center"/>
    </xf>
    <xf numFmtId="3" fontId="260" fillId="16" borderId="100" xfId="0" applyNumberFormat="1" applyFont="1" applyFill="1" applyBorder="1" applyAlignment="1">
      <alignment horizontal="center"/>
    </xf>
    <xf numFmtId="3" fontId="260" fillId="16" borderId="279" xfId="0" applyNumberFormat="1" applyFont="1" applyFill="1" applyBorder="1" applyAlignment="1">
      <alignment horizontal="center"/>
    </xf>
    <xf numFmtId="3" fontId="260" fillId="16" borderId="0" xfId="0" applyNumberFormat="1" applyFont="1" applyFill="1" applyBorder="1" applyAlignment="1">
      <alignment horizontal="center"/>
    </xf>
    <xf numFmtId="0" fontId="86" fillId="0" borderId="0" xfId="85" applyFont="1" applyFill="1"/>
    <xf numFmtId="3" fontId="84" fillId="0" borderId="6" xfId="85" applyNumberFormat="1" applyFont="1" applyFill="1" applyBorder="1" applyAlignment="1">
      <alignment horizontal="center"/>
    </xf>
    <xf numFmtId="3" fontId="86" fillId="0" borderId="0" xfId="85" applyNumberFormat="1" applyFont="1" applyBorder="1"/>
    <xf numFmtId="0" fontId="86" fillId="0" borderId="0" xfId="85" applyFont="1"/>
    <xf numFmtId="3" fontId="30" fillId="16" borderId="224" xfId="85" applyNumberFormat="1" applyFont="1" applyFill="1" applyBorder="1"/>
    <xf numFmtId="3" fontId="86" fillId="0" borderId="0" xfId="0" applyNumberFormat="1" applyFont="1" applyBorder="1"/>
    <xf numFmtId="0" fontId="86" fillId="0" borderId="0" xfId="85" applyFont="1" applyFill="1" applyBorder="1"/>
    <xf numFmtId="0" fontId="86" fillId="0" borderId="37" xfId="85" applyFont="1" applyFill="1" applyBorder="1"/>
    <xf numFmtId="0" fontId="86" fillId="0" borderId="7" xfId="85" applyFont="1" applyFill="1" applyBorder="1"/>
    <xf numFmtId="0" fontId="61" fillId="0" borderId="155" xfId="85" applyFont="1" applyBorder="1"/>
    <xf numFmtId="0" fontId="252" fillId="0" borderId="155" xfId="85" applyFont="1" applyBorder="1"/>
    <xf numFmtId="0" fontId="252" fillId="0" borderId="0" xfId="85" applyFont="1" applyBorder="1"/>
    <xf numFmtId="0" fontId="253" fillId="0" borderId="0" xfId="85" applyFont="1" applyFill="1" applyBorder="1"/>
    <xf numFmtId="0" fontId="258" fillId="0" borderId="149" xfId="85" applyFont="1" applyFill="1" applyBorder="1" applyAlignment="1">
      <alignment horizontal="center"/>
    </xf>
    <xf numFmtId="0" fontId="258" fillId="0" borderId="0" xfId="85" applyFont="1" applyFill="1" applyBorder="1" applyAlignment="1">
      <alignment horizontal="center"/>
    </xf>
    <xf numFmtId="0" fontId="258" fillId="0" borderId="150" xfId="85" applyFont="1" applyFill="1" applyBorder="1" applyAlignment="1">
      <alignment horizontal="center"/>
    </xf>
    <xf numFmtId="0" fontId="239" fillId="16" borderId="225" xfId="85" applyFont="1" applyFill="1" applyBorder="1" applyAlignment="1">
      <alignment horizontal="center"/>
    </xf>
    <xf numFmtId="3" fontId="255" fillId="27" borderId="226" xfId="85" applyNumberFormat="1" applyFont="1" applyFill="1" applyBorder="1"/>
    <xf numFmtId="3" fontId="30" fillId="16" borderId="131" xfId="0" applyNumberFormat="1" applyFont="1" applyFill="1" applyBorder="1"/>
    <xf numFmtId="3" fontId="30" fillId="16" borderId="130" xfId="0" applyNumberFormat="1" applyFont="1" applyFill="1" applyBorder="1"/>
    <xf numFmtId="3" fontId="30" fillId="16" borderId="77" xfId="0" applyNumberFormat="1" applyFont="1" applyFill="1" applyBorder="1"/>
    <xf numFmtId="3" fontId="260" fillId="16" borderId="286" xfId="0" applyNumberFormat="1" applyFont="1" applyFill="1" applyBorder="1"/>
    <xf numFmtId="3" fontId="30" fillId="16" borderId="182" xfId="0" applyNumberFormat="1" applyFont="1" applyFill="1" applyBorder="1"/>
    <xf numFmtId="3" fontId="30" fillId="16" borderId="279" xfId="0" applyNumberFormat="1" applyFont="1" applyFill="1" applyBorder="1"/>
    <xf numFmtId="3" fontId="30" fillId="16" borderId="0" xfId="0" applyNumberFormat="1" applyFont="1" applyFill="1" applyBorder="1"/>
    <xf numFmtId="3" fontId="30" fillId="16" borderId="279" xfId="0" applyNumberFormat="1" applyFont="1" applyFill="1" applyBorder="1" applyAlignment="1">
      <alignment horizontal="right"/>
    </xf>
    <xf numFmtId="3" fontId="30" fillId="16" borderId="0" xfId="0" applyNumberFormat="1" applyFont="1" applyFill="1" applyBorder="1" applyAlignment="1">
      <alignment horizontal="right"/>
    </xf>
    <xf numFmtId="3" fontId="255" fillId="27" borderId="227" xfId="85" applyNumberFormat="1" applyFont="1" applyFill="1" applyBorder="1"/>
    <xf numFmtId="3" fontId="30" fillId="16" borderId="228" xfId="85" applyNumberFormat="1" applyFont="1" applyFill="1" applyBorder="1"/>
    <xf numFmtId="3" fontId="30" fillId="16" borderId="283" xfId="0" applyNumberFormat="1" applyFont="1" applyFill="1" applyBorder="1"/>
    <xf numFmtId="3" fontId="30" fillId="16" borderId="284" xfId="0" applyNumberFormat="1" applyFont="1" applyFill="1" applyBorder="1" applyAlignment="1">
      <alignment horizontal="right"/>
    </xf>
    <xf numFmtId="3" fontId="30" fillId="16" borderId="287" xfId="0" applyNumberFormat="1" applyFont="1" applyFill="1" applyBorder="1" applyAlignment="1">
      <alignment horizontal="right"/>
    </xf>
    <xf numFmtId="0" fontId="258" fillId="0" borderId="0" xfId="85" applyFont="1" applyFill="1"/>
    <xf numFmtId="3" fontId="259" fillId="0" borderId="6" xfId="85" applyNumberFormat="1" applyFont="1" applyBorder="1" applyAlignment="1">
      <alignment horizontal="center"/>
    </xf>
    <xf numFmtId="3" fontId="258" fillId="0" borderId="0" xfId="85" applyNumberFormat="1" applyFont="1" applyBorder="1"/>
    <xf numFmtId="0" fontId="258" fillId="0" borderId="0" xfId="85" applyFont="1" applyBorder="1"/>
    <xf numFmtId="3" fontId="262" fillId="0" borderId="0" xfId="85" applyNumberFormat="1" applyFont="1" applyBorder="1"/>
    <xf numFmtId="3" fontId="262" fillId="0" borderId="0" xfId="0" applyNumberFormat="1" applyFont="1" applyBorder="1"/>
    <xf numFmtId="3" fontId="262" fillId="0" borderId="0" xfId="85" applyNumberFormat="1" applyFont="1" applyFill="1" applyBorder="1"/>
    <xf numFmtId="3" fontId="262" fillId="0" borderId="37" xfId="85" applyNumberFormat="1" applyFont="1" applyFill="1" applyBorder="1"/>
    <xf numFmtId="3" fontId="262" fillId="0" borderId="7" xfId="85" applyNumberFormat="1" applyFont="1" applyFill="1" applyBorder="1"/>
    <xf numFmtId="0" fontId="61" fillId="0" borderId="0" xfId="85" applyFont="1" applyFill="1" applyAlignment="1">
      <alignment vertical="center"/>
    </xf>
    <xf numFmtId="0" fontId="255" fillId="5" borderId="35" xfId="0" applyFont="1" applyFill="1" applyBorder="1" applyAlignment="1">
      <alignment horizontal="center" vertical="center"/>
    </xf>
    <xf numFmtId="0" fontId="255" fillId="5" borderId="29" xfId="0" applyFont="1" applyFill="1" applyBorder="1" applyAlignment="1">
      <alignment horizontal="center" vertical="center"/>
    </xf>
    <xf numFmtId="0" fontId="255" fillId="8" borderId="75" xfId="0" applyFont="1" applyFill="1" applyBorder="1" applyAlignment="1">
      <alignment horizontal="center" vertical="center"/>
    </xf>
    <xf numFmtId="0" fontId="255" fillId="8" borderId="76" xfId="0" applyFont="1" applyFill="1" applyBorder="1" applyAlignment="1">
      <alignment horizontal="center" vertical="center"/>
    </xf>
    <xf numFmtId="0" fontId="255" fillId="8" borderId="379" xfId="0" applyFont="1" applyFill="1" applyBorder="1" applyAlignment="1">
      <alignment horizontal="center" vertical="center"/>
    </xf>
    <xf numFmtId="0" fontId="255" fillId="8" borderId="379" xfId="0" applyFont="1" applyFill="1" applyBorder="1" applyAlignment="1">
      <alignment horizontal="center" vertical="center" wrapText="1"/>
    </xf>
    <xf numFmtId="0" fontId="255" fillId="8" borderId="384" xfId="0" applyFont="1" applyFill="1" applyBorder="1" applyAlignment="1">
      <alignment horizontal="center" vertical="center" wrapText="1"/>
    </xf>
    <xf numFmtId="0" fontId="255" fillId="3" borderId="41" xfId="0" applyFont="1" applyFill="1" applyBorder="1" applyAlignment="1">
      <alignment horizontal="center" vertical="center" wrapText="1"/>
    </xf>
    <xf numFmtId="0" fontId="258" fillId="0" borderId="0" xfId="0" applyFont="1" applyFill="1" applyBorder="1" applyAlignment="1">
      <alignment horizontal="center" vertical="center"/>
    </xf>
    <xf numFmtId="0" fontId="258" fillId="0" borderId="63" xfId="0" applyFont="1" applyFill="1" applyBorder="1" applyAlignment="1">
      <alignment horizontal="center" vertical="center"/>
    </xf>
    <xf numFmtId="0" fontId="258" fillId="0" borderId="23" xfId="0" applyFont="1" applyFill="1" applyBorder="1" applyAlignment="1">
      <alignment horizontal="center" vertical="center"/>
    </xf>
    <xf numFmtId="0" fontId="258" fillId="0" borderId="150" xfId="0" applyFont="1" applyFill="1" applyBorder="1" applyAlignment="1">
      <alignment horizontal="center" vertical="center"/>
    </xf>
    <xf numFmtId="0" fontId="255" fillId="0" borderId="149" xfId="0" applyFont="1" applyFill="1" applyBorder="1" applyAlignment="1">
      <alignment horizontal="center" vertical="center"/>
    </xf>
    <xf numFmtId="0" fontId="255" fillId="0" borderId="0" xfId="0" applyFont="1" applyFill="1" applyBorder="1" applyAlignment="1">
      <alignment horizontal="center" vertical="center"/>
    </xf>
    <xf numFmtId="0" fontId="255" fillId="0" borderId="150" xfId="0" applyFont="1" applyFill="1" applyBorder="1" applyAlignment="1">
      <alignment horizontal="center" vertical="center"/>
    </xf>
    <xf numFmtId="0" fontId="255" fillId="16" borderId="299" xfId="0" applyFont="1" applyFill="1" applyBorder="1" applyAlignment="1">
      <alignment horizontal="center" vertical="center"/>
    </xf>
    <xf numFmtId="0" fontId="255" fillId="16" borderId="152" xfId="0" applyFont="1" applyFill="1" applyBorder="1" applyAlignment="1">
      <alignment horizontal="center" vertical="center"/>
    </xf>
    <xf numFmtId="0" fontId="255" fillId="16" borderId="300" xfId="0" applyFont="1" applyFill="1" applyBorder="1" applyAlignment="1">
      <alignment horizontal="center" vertical="center"/>
    </xf>
    <xf numFmtId="0" fontId="255" fillId="70" borderId="23" xfId="0" applyFont="1" applyFill="1" applyBorder="1" applyAlignment="1">
      <alignment horizontal="center" vertical="center"/>
    </xf>
    <xf numFmtId="0" fontId="255" fillId="70" borderId="0" xfId="0" applyFont="1" applyFill="1" applyBorder="1" applyAlignment="1">
      <alignment horizontal="center" vertical="center"/>
    </xf>
    <xf numFmtId="0" fontId="255" fillId="70" borderId="63" xfId="0" applyFont="1" applyFill="1" applyBorder="1" applyAlignment="1">
      <alignment horizontal="center" vertical="center"/>
    </xf>
    <xf numFmtId="0" fontId="255" fillId="14" borderId="23" xfId="0" applyFont="1" applyFill="1" applyBorder="1" applyAlignment="1">
      <alignment horizontal="center" vertical="center"/>
    </xf>
    <xf numFmtId="0" fontId="255" fillId="14" borderId="0" xfId="0" applyFont="1" applyFill="1" applyBorder="1" applyAlignment="1">
      <alignment horizontal="center" vertical="center"/>
    </xf>
    <xf numFmtId="0" fontId="255" fillId="14" borderId="63" xfId="0" applyFont="1" applyFill="1" applyBorder="1" applyAlignment="1">
      <alignment horizontal="center" vertical="center"/>
    </xf>
    <xf numFmtId="0" fontId="255" fillId="3" borderId="23" xfId="0" applyFont="1" applyFill="1" applyBorder="1" applyAlignment="1">
      <alignment horizontal="center" vertical="center"/>
    </xf>
    <xf numFmtId="0" fontId="255" fillId="3" borderId="0" xfId="0" applyFont="1" applyFill="1" applyBorder="1" applyAlignment="1">
      <alignment horizontal="center" vertical="center"/>
    </xf>
    <xf numFmtId="0" fontId="255" fillId="16" borderId="37" xfId="0" applyFont="1" applyFill="1" applyBorder="1" applyAlignment="1">
      <alignment horizontal="center" vertical="center"/>
    </xf>
    <xf numFmtId="0" fontId="255" fillId="16" borderId="0" xfId="0" applyFont="1" applyFill="1" applyBorder="1" applyAlignment="1">
      <alignment horizontal="center" vertical="center"/>
    </xf>
    <xf numFmtId="0" fontId="259" fillId="0" borderId="129" xfId="0" applyFont="1" applyFill="1" applyBorder="1" applyAlignment="1">
      <alignment horizontal="center" vertical="center"/>
    </xf>
    <xf numFmtId="0" fontId="259" fillId="0" borderId="0" xfId="0" applyFont="1" applyFill="1" applyBorder="1" applyAlignment="1">
      <alignment horizontal="center" vertical="center"/>
    </xf>
    <xf numFmtId="0" fontId="259" fillId="0" borderId="6" xfId="0" applyFont="1" applyFill="1" applyBorder="1" applyAlignment="1">
      <alignment horizontal="center" vertical="center"/>
    </xf>
    <xf numFmtId="0" fontId="259" fillId="26" borderId="6" xfId="0" applyFont="1" applyFill="1" applyBorder="1" applyAlignment="1">
      <alignment horizontal="center" vertical="center"/>
    </xf>
    <xf numFmtId="0" fontId="239" fillId="16" borderId="389" xfId="0" applyFont="1" applyFill="1" applyBorder="1" applyAlignment="1">
      <alignment horizontal="center" vertical="center"/>
    </xf>
    <xf numFmtId="0" fontId="30" fillId="14" borderId="0" xfId="85" applyFont="1" applyFill="1"/>
    <xf numFmtId="0" fontId="61" fillId="31" borderId="391" xfId="85" applyFont="1" applyFill="1" applyBorder="1"/>
    <xf numFmtId="3" fontId="30" fillId="75" borderId="305" xfId="0" applyNumberFormat="1" applyFont="1" applyFill="1" applyBorder="1"/>
    <xf numFmtId="3" fontId="30" fillId="75" borderId="1" xfId="0" applyNumberFormat="1" applyFont="1" applyFill="1" applyBorder="1"/>
    <xf numFmtId="3" fontId="30" fillId="75" borderId="306" xfId="0" applyNumberFormat="1" applyFont="1" applyFill="1" applyBorder="1"/>
    <xf numFmtId="3" fontId="255" fillId="27" borderId="305" xfId="0" applyNumberFormat="1" applyFont="1" applyFill="1" applyBorder="1"/>
    <xf numFmtId="3" fontId="255" fillId="27" borderId="1" xfId="0" applyNumberFormat="1" applyFont="1" applyFill="1" applyBorder="1"/>
    <xf numFmtId="3" fontId="255" fillId="27" borderId="306" xfId="0" applyNumberFormat="1" applyFont="1" applyFill="1" applyBorder="1"/>
    <xf numFmtId="3" fontId="255" fillId="0" borderId="303" xfId="0" applyNumberFormat="1" applyFont="1" applyBorder="1"/>
    <xf numFmtId="3" fontId="255" fillId="0" borderId="73" xfId="0" applyNumberFormat="1" applyFont="1" applyBorder="1"/>
    <xf numFmtId="3" fontId="255" fillId="0" borderId="304" xfId="0" applyNumberFormat="1" applyFont="1" applyBorder="1"/>
    <xf numFmtId="3" fontId="255" fillId="76" borderId="303" xfId="0" applyNumberFormat="1" applyFont="1" applyFill="1" applyBorder="1"/>
    <xf numFmtId="3" fontId="255" fillId="76" borderId="73" xfId="0" applyNumberFormat="1" applyFont="1" applyFill="1" applyBorder="1"/>
    <xf numFmtId="3" fontId="255" fillId="76" borderId="304" xfId="0" applyNumberFormat="1" applyFont="1" applyFill="1" applyBorder="1"/>
    <xf numFmtId="3" fontId="30" fillId="16" borderId="161" xfId="0" applyNumberFormat="1" applyFont="1" applyFill="1" applyBorder="1"/>
    <xf numFmtId="3" fontId="30" fillId="16" borderId="162" xfId="0" applyNumberFormat="1" applyFont="1" applyFill="1" applyBorder="1"/>
    <xf numFmtId="3" fontId="30" fillId="16" borderId="177" xfId="0" applyNumberFormat="1" applyFont="1" applyFill="1" applyBorder="1"/>
    <xf numFmtId="3" fontId="30" fillId="16" borderId="178" xfId="0" applyNumberFormat="1" applyFont="1" applyFill="1" applyBorder="1"/>
    <xf numFmtId="3" fontId="30" fillId="16" borderId="179" xfId="0" applyNumberFormat="1" applyFont="1" applyFill="1" applyBorder="1"/>
    <xf numFmtId="3" fontId="30" fillId="16" borderId="219" xfId="0" applyNumberFormat="1" applyFont="1" applyFill="1" applyBorder="1"/>
    <xf numFmtId="3" fontId="30" fillId="16" borderId="220" xfId="0" applyNumberFormat="1" applyFont="1" applyFill="1" applyBorder="1"/>
    <xf numFmtId="3" fontId="30" fillId="16" borderId="303" xfId="0" applyNumberFormat="1" applyFont="1" applyFill="1" applyBorder="1"/>
    <xf numFmtId="3" fontId="30" fillId="16" borderId="73" xfId="0" applyNumberFormat="1" applyFont="1" applyFill="1" applyBorder="1"/>
    <xf numFmtId="3" fontId="30" fillId="16" borderId="304" xfId="0" applyNumberFormat="1" applyFont="1" applyFill="1" applyBorder="1"/>
    <xf numFmtId="3" fontId="26" fillId="16" borderId="294" xfId="0" applyNumberFormat="1" applyFont="1" applyFill="1" applyBorder="1"/>
    <xf numFmtId="3" fontId="26" fillId="16" borderId="130" xfId="0" applyNumberFormat="1" applyFont="1" applyFill="1" applyBorder="1"/>
    <xf numFmtId="3" fontId="26" fillId="16" borderId="77" xfId="0" applyNumberFormat="1" applyFont="1" applyFill="1" applyBorder="1"/>
    <xf numFmtId="3" fontId="26" fillId="16" borderId="295" xfId="0" applyNumberFormat="1" applyFont="1" applyFill="1" applyBorder="1"/>
    <xf numFmtId="3" fontId="260" fillId="16" borderId="294" xfId="0" applyNumberFormat="1" applyFont="1" applyFill="1" applyBorder="1"/>
    <xf numFmtId="3" fontId="1" fillId="0" borderId="0" xfId="0" applyNumberFormat="1" applyFont="1" applyAlignment="1">
      <alignment vertical="center"/>
    </xf>
    <xf numFmtId="3" fontId="255" fillId="0" borderId="31" xfId="0" applyNumberFormat="1" applyFont="1" applyFill="1" applyBorder="1"/>
    <xf numFmtId="3" fontId="255" fillId="0" borderId="32" xfId="0" applyNumberFormat="1" applyFont="1" applyFill="1" applyBorder="1"/>
    <xf numFmtId="3" fontId="255" fillId="0" borderId="4" xfId="0" applyNumberFormat="1" applyFont="1" applyFill="1" applyBorder="1"/>
    <xf numFmtId="3" fontId="255" fillId="16" borderId="13" xfId="0" applyNumberFormat="1" applyFont="1" applyFill="1" applyBorder="1"/>
    <xf numFmtId="3" fontId="255" fillId="16" borderId="24" xfId="0" applyNumberFormat="1" applyFont="1" applyFill="1" applyBorder="1"/>
    <xf numFmtId="3" fontId="255" fillId="16" borderId="108" xfId="0" applyNumberFormat="1" applyFont="1" applyFill="1" applyBorder="1"/>
    <xf numFmtId="3" fontId="255" fillId="26" borderId="6" xfId="0" applyNumberFormat="1" applyFont="1" applyFill="1" applyBorder="1"/>
    <xf numFmtId="3" fontId="263" fillId="16" borderId="70" xfId="0" applyNumberFormat="1" applyFont="1" applyFill="1" applyBorder="1"/>
    <xf numFmtId="9" fontId="61" fillId="0" borderId="0" xfId="2" applyFont="1" applyFill="1" applyAlignment="1">
      <alignment horizontal="center"/>
    </xf>
    <xf numFmtId="10" fontId="61" fillId="0" borderId="19" xfId="2" applyNumberFormat="1" applyFont="1" applyFill="1" applyBorder="1" applyAlignment="1">
      <alignment horizontal="center" vertical="center"/>
    </xf>
    <xf numFmtId="10" fontId="61" fillId="0" borderId="19" xfId="2" applyNumberFormat="1" applyFont="1" applyFill="1" applyBorder="1"/>
    <xf numFmtId="10" fontId="61" fillId="0" borderId="23" xfId="2" applyNumberFormat="1" applyFont="1" applyFill="1" applyBorder="1"/>
    <xf numFmtId="10" fontId="61" fillId="115" borderId="19" xfId="2" applyNumberFormat="1" applyFont="1" applyFill="1" applyBorder="1"/>
    <xf numFmtId="10" fontId="61" fillId="26" borderId="19" xfId="2" applyNumberFormat="1" applyFont="1" applyFill="1" applyBorder="1"/>
    <xf numFmtId="0" fontId="30" fillId="31" borderId="0" xfId="85" applyFont="1" applyFill="1"/>
    <xf numFmtId="0" fontId="61" fillId="5" borderId="4" xfId="85" applyFont="1" applyFill="1" applyBorder="1"/>
    <xf numFmtId="3" fontId="30" fillId="16" borderId="150" xfId="0" applyNumberFormat="1" applyFont="1" applyFill="1" applyBorder="1"/>
    <xf numFmtId="3" fontId="255" fillId="70" borderId="13" xfId="0" applyNumberFormat="1" applyFont="1" applyFill="1" applyBorder="1"/>
    <xf numFmtId="3" fontId="255" fillId="70" borderId="24" xfId="0" applyNumberFormat="1" applyFont="1" applyFill="1" applyBorder="1"/>
    <xf numFmtId="3" fontId="255" fillId="70" borderId="70" xfId="0" applyNumberFormat="1" applyFont="1" applyFill="1" applyBorder="1"/>
    <xf numFmtId="3" fontId="255" fillId="26" borderId="70" xfId="0" applyNumberFormat="1" applyFont="1" applyFill="1" applyBorder="1"/>
    <xf numFmtId="10" fontId="61" fillId="26" borderId="19" xfId="2" applyNumberFormat="1" applyFont="1" applyFill="1" applyBorder="1" applyAlignment="1">
      <alignment horizontal="center" vertical="center"/>
    </xf>
    <xf numFmtId="3" fontId="255" fillId="16" borderId="70" xfId="0" applyNumberFormat="1" applyFont="1" applyFill="1" applyBorder="1"/>
    <xf numFmtId="0" fontId="61" fillId="0" borderId="4" xfId="85" applyFont="1" applyFill="1" applyBorder="1"/>
    <xf numFmtId="0" fontId="30" fillId="17" borderId="0" xfId="85" applyFont="1" applyFill="1"/>
    <xf numFmtId="3" fontId="30" fillId="75" borderId="23" xfId="0" applyNumberFormat="1" applyFont="1" applyFill="1" applyBorder="1"/>
    <xf numFmtId="3" fontId="30" fillId="75" borderId="0" xfId="0" applyNumberFormat="1" applyFont="1" applyFill="1" applyBorder="1"/>
    <xf numFmtId="3" fontId="30" fillId="75" borderId="63" xfId="0" applyNumberFormat="1" applyFont="1" applyFill="1" applyBorder="1"/>
    <xf numFmtId="0" fontId="61" fillId="0" borderId="320" xfId="85" applyFont="1" applyFill="1" applyBorder="1"/>
    <xf numFmtId="3" fontId="30" fillId="75" borderId="321" xfId="0" applyNumberFormat="1" applyFont="1" applyFill="1" applyBorder="1"/>
    <xf numFmtId="3" fontId="30" fillId="75" borderId="254" xfId="0" applyNumberFormat="1" applyFont="1" applyFill="1" applyBorder="1"/>
    <xf numFmtId="3" fontId="30" fillId="75" borderId="322" xfId="0" applyNumberFormat="1" applyFont="1" applyFill="1" applyBorder="1"/>
    <xf numFmtId="3" fontId="255" fillId="27" borderId="321" xfId="0" applyNumberFormat="1" applyFont="1" applyFill="1" applyBorder="1"/>
    <xf numFmtId="3" fontId="255" fillId="27" borderId="254" xfId="0" applyNumberFormat="1" applyFont="1" applyFill="1" applyBorder="1"/>
    <xf numFmtId="3" fontId="255" fillId="27" borderId="322" xfId="0" applyNumberFormat="1" applyFont="1" applyFill="1" applyBorder="1"/>
    <xf numFmtId="3" fontId="255" fillId="0" borderId="323" xfId="0" applyNumberFormat="1" applyFont="1" applyBorder="1"/>
    <xf numFmtId="3" fontId="255" fillId="0" borderId="324" xfId="0" applyNumberFormat="1" applyFont="1" applyBorder="1"/>
    <xf numFmtId="3" fontId="255" fillId="0" borderId="325" xfId="0" applyNumberFormat="1" applyFont="1" applyBorder="1"/>
    <xf numFmtId="3" fontId="255" fillId="76" borderId="323" xfId="0" applyNumberFormat="1" applyFont="1" applyFill="1" applyBorder="1"/>
    <xf numFmtId="3" fontId="255" fillId="76" borderId="324" xfId="0" applyNumberFormat="1" applyFont="1" applyFill="1" applyBorder="1"/>
    <xf numFmtId="3" fontId="255" fillId="76" borderId="325" xfId="0" applyNumberFormat="1" applyFont="1" applyFill="1" applyBorder="1"/>
    <xf numFmtId="3" fontId="30" fillId="16" borderId="326" xfId="0" applyNumberFormat="1" applyFont="1" applyFill="1" applyBorder="1"/>
    <xf numFmtId="3" fontId="30" fillId="16" borderId="327" xfId="0" applyNumberFormat="1" applyFont="1" applyFill="1" applyBorder="1"/>
    <xf numFmtId="3" fontId="30" fillId="16" borderId="328" xfId="0" applyNumberFormat="1" applyFont="1" applyFill="1" applyBorder="1"/>
    <xf numFmtId="3" fontId="30" fillId="16" borderId="329" xfId="0" applyNumberFormat="1" applyFont="1" applyFill="1" applyBorder="1"/>
    <xf numFmtId="3" fontId="30" fillId="16" borderId="330" xfId="0" applyNumberFormat="1" applyFont="1" applyFill="1" applyBorder="1"/>
    <xf numFmtId="3" fontId="30" fillId="16" borderId="331" xfId="0" applyNumberFormat="1" applyFont="1" applyFill="1" applyBorder="1"/>
    <xf numFmtId="3" fontId="30" fillId="16" borderId="332" xfId="0" applyNumberFormat="1" applyFont="1" applyFill="1" applyBorder="1"/>
    <xf numFmtId="3" fontId="30" fillId="16" borderId="323" xfId="0" applyNumberFormat="1" applyFont="1" applyFill="1" applyBorder="1"/>
    <xf numFmtId="3" fontId="30" fillId="16" borderId="324" xfId="0" applyNumberFormat="1" applyFont="1" applyFill="1" applyBorder="1"/>
    <xf numFmtId="3" fontId="30" fillId="16" borderId="325" xfId="0" applyNumberFormat="1" applyFont="1" applyFill="1" applyBorder="1"/>
    <xf numFmtId="3" fontId="30" fillId="16" borderId="173" xfId="0" applyNumberFormat="1" applyFont="1" applyFill="1" applyBorder="1"/>
    <xf numFmtId="3" fontId="26" fillId="16" borderId="333" xfId="0" applyNumberFormat="1" applyFont="1" applyFill="1" applyBorder="1"/>
    <xf numFmtId="3" fontId="26" fillId="16" borderId="173" xfId="0" applyNumberFormat="1" applyFont="1" applyFill="1" applyBorder="1"/>
    <xf numFmtId="3" fontId="26" fillId="16" borderId="331" xfId="0" applyNumberFormat="1" applyFont="1" applyFill="1" applyBorder="1"/>
    <xf numFmtId="3" fontId="152" fillId="16" borderId="331" xfId="0" applyNumberFormat="1" applyFont="1" applyFill="1" applyBorder="1"/>
    <xf numFmtId="3" fontId="26" fillId="16" borderId="334" xfId="0" applyNumberFormat="1" applyFont="1" applyFill="1" applyBorder="1"/>
    <xf numFmtId="3" fontId="260" fillId="16" borderId="333" xfId="0" applyNumberFormat="1" applyFont="1" applyFill="1" applyBorder="1"/>
    <xf numFmtId="3" fontId="260" fillId="16" borderId="173" xfId="0" applyNumberFormat="1" applyFont="1" applyFill="1" applyBorder="1"/>
    <xf numFmtId="3" fontId="260" fillId="16" borderId="331" xfId="0" applyNumberFormat="1" applyFont="1" applyFill="1" applyBorder="1"/>
    <xf numFmtId="3" fontId="260" fillId="16" borderId="332" xfId="0" applyNumberFormat="1" applyFont="1" applyFill="1" applyBorder="1"/>
    <xf numFmtId="3" fontId="255" fillId="0" borderId="338" xfId="0" applyNumberFormat="1" applyFont="1" applyFill="1" applyBorder="1"/>
    <xf numFmtId="3" fontId="255" fillId="0" borderId="339" xfId="0" applyNumberFormat="1" applyFont="1" applyFill="1" applyBorder="1"/>
    <xf numFmtId="3" fontId="255" fillId="0" borderId="320" xfId="0" applyNumberFormat="1" applyFont="1" applyFill="1" applyBorder="1"/>
    <xf numFmtId="3" fontId="255" fillId="16" borderId="17" xfId="0" applyNumberFormat="1" applyFont="1" applyFill="1" applyBorder="1"/>
    <xf numFmtId="3" fontId="255" fillId="16" borderId="36" xfId="0" applyNumberFormat="1" applyFont="1" applyFill="1" applyBorder="1"/>
    <xf numFmtId="3" fontId="255" fillId="16" borderId="81" xfId="0" applyNumberFormat="1" applyFont="1" applyFill="1" applyBorder="1"/>
    <xf numFmtId="3" fontId="263" fillId="16" borderId="81" xfId="0" applyNumberFormat="1" applyFont="1" applyFill="1" applyBorder="1"/>
    <xf numFmtId="10" fontId="61" fillId="0" borderId="316" xfId="2" applyNumberFormat="1" applyFont="1" applyFill="1" applyBorder="1"/>
    <xf numFmtId="10" fontId="61" fillId="0" borderId="253" xfId="2" applyNumberFormat="1" applyFont="1" applyFill="1" applyBorder="1"/>
    <xf numFmtId="0" fontId="264" fillId="17" borderId="52" xfId="85" applyFont="1" applyFill="1" applyBorder="1"/>
    <xf numFmtId="0" fontId="264" fillId="0" borderId="11" xfId="85" applyFont="1" applyFill="1" applyBorder="1"/>
    <xf numFmtId="0" fontId="265" fillId="0" borderId="340" xfId="85" applyFont="1" applyFill="1" applyBorder="1"/>
    <xf numFmtId="3" fontId="30" fillId="75" borderId="341" xfId="0" applyNumberFormat="1" applyFont="1" applyFill="1" applyBorder="1"/>
    <xf numFmtId="3" fontId="30" fillId="75" borderId="342" xfId="0" applyNumberFormat="1" applyFont="1" applyFill="1" applyBorder="1"/>
    <xf numFmtId="3" fontId="30" fillId="75" borderId="343" xfId="0" applyNumberFormat="1" applyFont="1" applyFill="1" applyBorder="1"/>
    <xf numFmtId="3" fontId="255" fillId="27" borderId="341" xfId="0" applyNumberFormat="1" applyFont="1" applyFill="1" applyBorder="1"/>
    <xf numFmtId="3" fontId="255" fillId="27" borderId="342" xfId="0" applyNumberFormat="1" applyFont="1" applyFill="1" applyBorder="1"/>
    <xf numFmtId="3" fontId="255" fillId="27" borderId="343" xfId="0" applyNumberFormat="1" applyFont="1" applyFill="1" applyBorder="1"/>
    <xf numFmtId="3" fontId="255" fillId="0" borderId="344" xfId="0" applyNumberFormat="1" applyFont="1" applyBorder="1"/>
    <xf numFmtId="3" fontId="255" fillId="0" borderId="97" xfId="0" applyNumberFormat="1" applyFont="1" applyBorder="1"/>
    <xf numFmtId="3" fontId="255" fillId="0" borderId="345" xfId="0" applyNumberFormat="1" applyFont="1" applyBorder="1"/>
    <xf numFmtId="3" fontId="255" fillId="76" borderId="344" xfId="0" applyNumberFormat="1" applyFont="1" applyFill="1" applyBorder="1"/>
    <xf numFmtId="3" fontId="255" fillId="76" borderId="97" xfId="0" applyNumberFormat="1" applyFont="1" applyFill="1" applyBorder="1"/>
    <xf numFmtId="3" fontId="255" fillId="76" borderId="345" xfId="0" applyNumberFormat="1" applyFont="1" applyFill="1" applyBorder="1"/>
    <xf numFmtId="3" fontId="30" fillId="16" borderId="11" xfId="0" applyNumberFormat="1" applyFont="1" applyFill="1" applyBorder="1"/>
    <xf numFmtId="3" fontId="30" fillId="16" borderId="346" xfId="0" applyNumberFormat="1" applyFont="1" applyFill="1" applyBorder="1"/>
    <xf numFmtId="3" fontId="30" fillId="16" borderId="347" xfId="0" applyNumberFormat="1" applyFont="1" applyFill="1" applyBorder="1"/>
    <xf numFmtId="3" fontId="30" fillId="16" borderId="348" xfId="0" applyNumberFormat="1" applyFont="1" applyFill="1" applyBorder="1"/>
    <xf numFmtId="3" fontId="30" fillId="16" borderId="349" xfId="0" applyNumberFormat="1" applyFont="1" applyFill="1" applyBorder="1"/>
    <xf numFmtId="3" fontId="30" fillId="16" borderId="350" xfId="0" applyNumberFormat="1" applyFont="1" applyFill="1" applyBorder="1"/>
    <xf numFmtId="3" fontId="30" fillId="16" borderId="351" xfId="0" applyNumberFormat="1" applyFont="1" applyFill="1" applyBorder="1"/>
    <xf numFmtId="3" fontId="30" fillId="16" borderId="352" xfId="0" applyNumberFormat="1" applyFont="1" applyFill="1" applyBorder="1"/>
    <xf numFmtId="3" fontId="30" fillId="16" borderId="353" xfId="0" applyNumberFormat="1" applyFont="1" applyFill="1" applyBorder="1"/>
    <xf numFmtId="3" fontId="30" fillId="16" borderId="344" xfId="0" applyNumberFormat="1" applyFont="1" applyFill="1" applyBorder="1"/>
    <xf numFmtId="3" fontId="30" fillId="16" borderId="97" xfId="0" applyNumberFormat="1" applyFont="1" applyFill="1" applyBorder="1"/>
    <xf numFmtId="3" fontId="30" fillId="16" borderId="345" xfId="0" applyNumberFormat="1" applyFont="1" applyFill="1" applyBorder="1"/>
    <xf numFmtId="3" fontId="30" fillId="16" borderId="354" xfId="0" applyNumberFormat="1" applyFont="1" applyFill="1" applyBorder="1"/>
    <xf numFmtId="3" fontId="26" fillId="16" borderId="87" xfId="0" applyNumberFormat="1" applyFont="1" applyFill="1" applyBorder="1"/>
    <xf numFmtId="3" fontId="26" fillId="16" borderId="353" xfId="0" applyNumberFormat="1" applyFont="1" applyFill="1" applyBorder="1"/>
    <xf numFmtId="3" fontId="26" fillId="16" borderId="352" xfId="0" applyNumberFormat="1" applyFont="1" applyFill="1" applyBorder="1"/>
    <xf numFmtId="3" fontId="152" fillId="16" borderId="352" xfId="0" applyNumberFormat="1" applyFont="1" applyFill="1" applyBorder="1"/>
    <xf numFmtId="3" fontId="26" fillId="16" borderId="354" xfId="0" applyNumberFormat="1" applyFont="1" applyFill="1" applyBorder="1"/>
    <xf numFmtId="3" fontId="260" fillId="16" borderId="87" xfId="0" applyNumberFormat="1" applyFont="1" applyFill="1" applyBorder="1"/>
    <xf numFmtId="3" fontId="260" fillId="16" borderId="353" xfId="0" applyNumberFormat="1" applyFont="1" applyFill="1" applyBorder="1"/>
    <xf numFmtId="3" fontId="260" fillId="16" borderId="352" xfId="0" applyNumberFormat="1" applyFont="1" applyFill="1" applyBorder="1"/>
    <xf numFmtId="3" fontId="260" fillId="16" borderId="52" xfId="0" applyNumberFormat="1" applyFont="1" applyFill="1" applyBorder="1"/>
    <xf numFmtId="3" fontId="255" fillId="0" borderId="360" xfId="0" applyNumberFormat="1" applyFont="1" applyFill="1" applyBorder="1"/>
    <xf numFmtId="3" fontId="255" fillId="0" borderId="361" xfId="0" applyNumberFormat="1" applyFont="1" applyFill="1" applyBorder="1"/>
    <xf numFmtId="3" fontId="255" fillId="0" borderId="340" xfId="0" applyNumberFormat="1" applyFont="1" applyFill="1" applyBorder="1"/>
    <xf numFmtId="3" fontId="255" fillId="0" borderId="5" xfId="0" applyNumberFormat="1" applyFont="1" applyFill="1" applyBorder="1"/>
    <xf numFmtId="3" fontId="255" fillId="3" borderId="5" xfId="0" applyNumberFormat="1" applyFont="1" applyFill="1" applyBorder="1"/>
    <xf numFmtId="3" fontId="263" fillId="16" borderId="5" xfId="0" applyNumberFormat="1" applyFont="1" applyFill="1" applyBorder="1"/>
    <xf numFmtId="9" fontId="61" fillId="0" borderId="11" xfId="2" applyFont="1" applyFill="1" applyBorder="1" applyAlignment="1">
      <alignment horizontal="center"/>
    </xf>
    <xf numFmtId="10" fontId="61" fillId="0" borderId="11" xfId="2" applyNumberFormat="1" applyFont="1" applyFill="1" applyBorder="1" applyAlignment="1">
      <alignment horizontal="center"/>
    </xf>
    <xf numFmtId="167" fontId="61" fillId="0" borderId="11" xfId="2" applyNumberFormat="1" applyFont="1" applyFill="1" applyBorder="1" applyAlignment="1">
      <alignment horizontal="center"/>
    </xf>
    <xf numFmtId="167" fontId="61" fillId="115" borderId="11" xfId="2" applyNumberFormat="1" applyFont="1" applyFill="1" applyBorder="1" applyAlignment="1">
      <alignment horizontal="center"/>
    </xf>
    <xf numFmtId="167" fontId="61" fillId="26" borderId="11" xfId="2" applyNumberFormat="1" applyFont="1" applyFill="1" applyBorder="1" applyAlignment="1">
      <alignment horizontal="center"/>
    </xf>
    <xf numFmtId="0" fontId="258" fillId="17" borderId="0" xfId="85" applyFont="1" applyFill="1"/>
    <xf numFmtId="3" fontId="61" fillId="0" borderId="0" xfId="85" applyNumberFormat="1" applyFont="1" applyBorder="1" applyAlignment="1">
      <alignment horizontal="center"/>
    </xf>
    <xf numFmtId="9" fontId="262" fillId="0" borderId="37" xfId="2" applyFont="1" applyBorder="1"/>
    <xf numFmtId="9" fontId="262" fillId="0" borderId="0" xfId="2" applyFont="1" applyBorder="1"/>
    <xf numFmtId="9" fontId="262" fillId="0" borderId="0" xfId="2" applyNumberFormat="1" applyFont="1" applyBorder="1"/>
    <xf numFmtId="9" fontId="262" fillId="0" borderId="7" xfId="2" applyNumberFormat="1" applyFont="1" applyBorder="1"/>
    <xf numFmtId="9" fontId="256" fillId="0" borderId="0" xfId="2" applyFont="1" applyBorder="1" applyAlignment="1">
      <alignment horizontal="center"/>
    </xf>
    <xf numFmtId="167" fontId="256" fillId="0" borderId="0" xfId="2" applyNumberFormat="1" applyFont="1" applyBorder="1" applyAlignment="1">
      <alignment horizontal="center"/>
    </xf>
    <xf numFmtId="167" fontId="256" fillId="0" borderId="6" xfId="2" applyNumberFormat="1" applyFont="1" applyBorder="1" applyAlignment="1">
      <alignment horizontal="center"/>
    </xf>
    <xf numFmtId="0" fontId="61" fillId="17" borderId="0" xfId="85" applyFont="1" applyFill="1"/>
    <xf numFmtId="0" fontId="61" fillId="17" borderId="0" xfId="0" applyFont="1" applyFill="1"/>
    <xf numFmtId="0" fontId="61" fillId="17" borderId="37" xfId="0" applyFont="1" applyFill="1" applyBorder="1"/>
    <xf numFmtId="0" fontId="61" fillId="17" borderId="0" xfId="0" applyFont="1" applyFill="1" applyBorder="1"/>
    <xf numFmtId="0" fontId="61" fillId="17" borderId="7" xfId="0" applyFont="1" applyFill="1" applyBorder="1"/>
    <xf numFmtId="0" fontId="253" fillId="17" borderId="0" xfId="85" applyFont="1" applyFill="1"/>
    <xf numFmtId="0" fontId="254" fillId="17" borderId="0" xfId="0" applyFont="1" applyFill="1"/>
    <xf numFmtId="0" fontId="254" fillId="17" borderId="6" xfId="0" applyFont="1" applyFill="1" applyBorder="1"/>
    <xf numFmtId="0" fontId="254" fillId="26" borderId="6" xfId="0" applyFont="1" applyFill="1" applyBorder="1"/>
    <xf numFmtId="0" fontId="266" fillId="0" borderId="0" xfId="85" applyFont="1" applyFill="1" applyBorder="1" applyAlignment="1">
      <alignment horizontal="center" vertical="center"/>
    </xf>
    <xf numFmtId="3" fontId="266" fillId="16" borderId="0" xfId="0" applyNumberFormat="1" applyFont="1" applyFill="1" applyBorder="1" applyAlignment="1">
      <alignment horizontal="center" vertical="center"/>
    </xf>
    <xf numFmtId="3" fontId="266" fillId="0" borderId="0" xfId="85" applyNumberFormat="1" applyFont="1" applyFill="1" applyBorder="1" applyAlignment="1">
      <alignment horizontal="center" vertical="center"/>
    </xf>
    <xf numFmtId="3" fontId="266" fillId="0" borderId="0" xfId="0" applyNumberFormat="1" applyFont="1" applyFill="1" applyBorder="1" applyAlignment="1">
      <alignment horizontal="center" vertical="center"/>
    </xf>
    <xf numFmtId="3" fontId="266" fillId="0" borderId="0" xfId="0" applyNumberFormat="1" applyFont="1" applyFill="1" applyBorder="1" applyAlignment="1">
      <alignment horizontal="center" vertical="center" wrapText="1"/>
    </xf>
    <xf numFmtId="3" fontId="266" fillId="0" borderId="37" xfId="0" applyNumberFormat="1" applyFont="1" applyFill="1" applyBorder="1" applyAlignment="1">
      <alignment horizontal="center" vertical="center"/>
    </xf>
    <xf numFmtId="3" fontId="266" fillId="0" borderId="7" xfId="0" applyNumberFormat="1" applyFont="1" applyFill="1" applyBorder="1" applyAlignment="1">
      <alignment horizontal="center" vertical="center"/>
    </xf>
    <xf numFmtId="3" fontId="266" fillId="117" borderId="0" xfId="0" applyNumberFormat="1" applyFont="1" applyFill="1" applyBorder="1" applyAlignment="1">
      <alignment horizontal="center" vertical="center"/>
    </xf>
    <xf numFmtId="3" fontId="266" fillId="26" borderId="0" xfId="0" applyNumberFormat="1" applyFont="1" applyFill="1" applyBorder="1" applyAlignment="1">
      <alignment horizontal="center" vertical="center"/>
    </xf>
    <xf numFmtId="0" fontId="266" fillId="0" borderId="0" xfId="0" applyFont="1" applyAlignment="1">
      <alignment horizontal="center" vertical="center"/>
    </xf>
    <xf numFmtId="0" fontId="266" fillId="4" borderId="0" xfId="85" applyFont="1" applyFill="1" applyBorder="1" applyAlignment="1">
      <alignment horizontal="center" vertical="center"/>
    </xf>
    <xf numFmtId="0" fontId="266" fillId="4" borderId="0" xfId="0" applyFont="1" applyFill="1" applyBorder="1" applyAlignment="1">
      <alignment horizontal="center" vertical="center"/>
    </xf>
    <xf numFmtId="3" fontId="266" fillId="0" borderId="6" xfId="85" applyNumberFormat="1" applyFont="1" applyFill="1" applyBorder="1" applyAlignment="1">
      <alignment horizontal="center" vertical="center"/>
    </xf>
    <xf numFmtId="0" fontId="266" fillId="0" borderId="0" xfId="85" applyFont="1" applyFill="1" applyAlignment="1">
      <alignment horizontal="center" vertical="center"/>
    </xf>
    <xf numFmtId="0" fontId="61" fillId="5" borderId="0" xfId="85" applyFont="1" applyFill="1" applyBorder="1" applyAlignment="1">
      <alignment wrapText="1"/>
    </xf>
    <xf numFmtId="168" fontId="30" fillId="70" borderId="230" xfId="1" applyNumberFormat="1" applyFont="1" applyFill="1" applyBorder="1" applyAlignment="1">
      <alignment vertical="center" wrapText="1"/>
    </xf>
    <xf numFmtId="168" fontId="30" fillId="70" borderId="231" xfId="1" applyNumberFormat="1" applyFont="1" applyFill="1" applyBorder="1" applyAlignment="1">
      <alignment vertical="center" wrapText="1"/>
    </xf>
    <xf numFmtId="168" fontId="30" fillId="70" borderId="232" xfId="1" applyNumberFormat="1" applyFont="1" applyFill="1" applyBorder="1" applyAlignment="1">
      <alignment vertical="center" wrapText="1"/>
    </xf>
    <xf numFmtId="168" fontId="255" fillId="27" borderId="230" xfId="1" applyNumberFormat="1" applyFont="1" applyFill="1" applyBorder="1" applyAlignment="1">
      <alignment vertical="center" wrapText="1"/>
    </xf>
    <xf numFmtId="168" fontId="255" fillId="27" borderId="231" xfId="1" applyNumberFormat="1" applyFont="1" applyFill="1" applyBorder="1" applyAlignment="1">
      <alignment vertical="center" wrapText="1"/>
    </xf>
    <xf numFmtId="168" fontId="255" fillId="27" borderId="232" xfId="1" applyNumberFormat="1" applyFont="1" applyFill="1" applyBorder="1" applyAlignment="1">
      <alignment vertical="center" wrapText="1"/>
    </xf>
    <xf numFmtId="168" fontId="255" fillId="91" borderId="233" xfId="1" applyNumberFormat="1" applyFont="1" applyFill="1" applyBorder="1" applyAlignment="1">
      <alignment vertical="center" wrapText="1"/>
    </xf>
    <xf numFmtId="168" fontId="255" fillId="91" borderId="234" xfId="1" applyNumberFormat="1" applyFont="1" applyFill="1" applyBorder="1" applyAlignment="1">
      <alignment vertical="center" wrapText="1"/>
    </xf>
    <xf numFmtId="168" fontId="255" fillId="86" borderId="234" xfId="1" applyNumberFormat="1" applyFont="1" applyFill="1" applyBorder="1" applyAlignment="1">
      <alignment vertical="center" wrapText="1"/>
    </xf>
    <xf numFmtId="168" fontId="255" fillId="86" borderId="235" xfId="1" applyNumberFormat="1" applyFont="1" applyFill="1" applyBorder="1" applyAlignment="1">
      <alignment vertical="center" wrapText="1"/>
    </xf>
    <xf numFmtId="168" fontId="30" fillId="71" borderId="236" xfId="1" applyNumberFormat="1" applyFont="1" applyFill="1" applyBorder="1" applyAlignment="1">
      <alignment vertical="center" wrapText="1"/>
    </xf>
    <xf numFmtId="168" fontId="30" fillId="71" borderId="237" xfId="1" applyNumberFormat="1" applyFont="1" applyFill="1" applyBorder="1" applyAlignment="1">
      <alignment vertical="center" wrapText="1"/>
    </xf>
    <xf numFmtId="168" fontId="30" fillId="71" borderId="238" xfId="1" applyNumberFormat="1" applyFont="1" applyFill="1" applyBorder="1" applyAlignment="1">
      <alignment vertical="center" wrapText="1"/>
    </xf>
    <xf numFmtId="168" fontId="30" fillId="10" borderId="239" xfId="1" applyNumberFormat="1" applyFont="1" applyFill="1" applyBorder="1" applyAlignment="1">
      <alignment vertical="center" wrapText="1"/>
    </xf>
    <xf numFmtId="168" fontId="30" fillId="10" borderId="240" xfId="1" applyNumberFormat="1" applyFont="1" applyFill="1" applyBorder="1" applyAlignment="1">
      <alignment vertical="center" wrapText="1"/>
    </xf>
    <xf numFmtId="168" fontId="30" fillId="10" borderId="241" xfId="1" applyNumberFormat="1" applyFont="1" applyFill="1" applyBorder="1" applyAlignment="1">
      <alignment vertical="center" wrapText="1"/>
    </xf>
    <xf numFmtId="168" fontId="30" fillId="10" borderId="242" xfId="1" applyNumberFormat="1" applyFont="1" applyFill="1" applyBorder="1" applyAlignment="1">
      <alignment vertical="center" wrapText="1"/>
    </xf>
    <xf numFmtId="168" fontId="30" fillId="71" borderId="243" xfId="1" applyNumberFormat="1" applyFont="1" applyFill="1" applyBorder="1" applyAlignment="1">
      <alignment vertical="center" wrapText="1"/>
    </xf>
    <xf numFmtId="168" fontId="30" fillId="71" borderId="244" xfId="1" applyNumberFormat="1" applyFont="1" applyFill="1" applyBorder="1" applyAlignment="1">
      <alignment vertical="center" wrapText="1"/>
    </xf>
    <xf numFmtId="168" fontId="30" fillId="71" borderId="245" xfId="1" applyNumberFormat="1" applyFont="1" applyFill="1" applyBorder="1" applyAlignment="1">
      <alignment vertical="center" wrapText="1"/>
    </xf>
    <xf numFmtId="168" fontId="30" fillId="26" borderId="246" xfId="1" applyNumberFormat="1" applyFont="1" applyFill="1" applyBorder="1" applyAlignment="1">
      <alignment vertical="center" wrapText="1"/>
    </xf>
    <xf numFmtId="168" fontId="30" fillId="26" borderId="247" xfId="1" applyNumberFormat="1" applyFont="1" applyFill="1" applyBorder="1" applyAlignment="1">
      <alignment vertical="center" wrapText="1"/>
    </xf>
    <xf numFmtId="168" fontId="30" fillId="26" borderId="248" xfId="1" applyNumberFormat="1" applyFont="1" applyFill="1" applyBorder="1" applyAlignment="1">
      <alignment vertical="center" wrapText="1"/>
    </xf>
    <xf numFmtId="168" fontId="30" fillId="70" borderId="249" xfId="1" applyNumberFormat="1" applyFont="1" applyFill="1" applyBorder="1" applyAlignment="1">
      <alignment vertical="center" wrapText="1"/>
    </xf>
    <xf numFmtId="168" fontId="30" fillId="70" borderId="250" xfId="1" applyNumberFormat="1" applyFont="1" applyFill="1" applyBorder="1" applyAlignment="1">
      <alignment vertical="center" wrapText="1"/>
    </xf>
    <xf numFmtId="168" fontId="30" fillId="70" borderId="251" xfId="1" applyNumberFormat="1" applyFont="1" applyFill="1" applyBorder="1" applyAlignment="1">
      <alignment vertical="center" wrapText="1"/>
    </xf>
    <xf numFmtId="168" fontId="30" fillId="70" borderId="252" xfId="1" applyNumberFormat="1" applyFont="1" applyFill="1" applyBorder="1" applyAlignment="1">
      <alignment vertical="center" wrapText="1"/>
    </xf>
    <xf numFmtId="168" fontId="30" fillId="70" borderId="29" xfId="1" applyNumberFormat="1" applyFont="1" applyFill="1" applyBorder="1" applyAlignment="1">
      <alignment vertical="center" wrapText="1"/>
    </xf>
    <xf numFmtId="168" fontId="26" fillId="14" borderId="49" xfId="1" applyNumberFormat="1" applyFont="1" applyFill="1" applyBorder="1" applyAlignment="1">
      <alignment vertical="center"/>
    </xf>
    <xf numFmtId="168" fontId="26" fillId="14" borderId="50" xfId="1" applyNumberFormat="1" applyFont="1" applyFill="1" applyBorder="1" applyAlignment="1">
      <alignment vertical="center"/>
    </xf>
    <xf numFmtId="168" fontId="26" fillId="14" borderId="87" xfId="1" applyNumberFormat="1" applyFont="1" applyFill="1" applyBorder="1" applyAlignment="1">
      <alignment vertical="center"/>
    </xf>
    <xf numFmtId="168" fontId="26" fillId="16" borderId="49" xfId="1" applyNumberFormat="1" applyFont="1" applyFill="1" applyBorder="1" applyAlignment="1">
      <alignment vertical="center"/>
    </xf>
    <xf numFmtId="168" fontId="26" fillId="16" borderId="50" xfId="1" applyNumberFormat="1" applyFont="1" applyFill="1" applyBorder="1" applyAlignment="1">
      <alignment vertical="center"/>
    </xf>
    <xf numFmtId="168" fontId="26" fillId="16" borderId="51" xfId="1" applyNumberFormat="1" applyFont="1" applyFill="1" applyBorder="1" applyAlignment="1">
      <alignment vertical="center"/>
    </xf>
    <xf numFmtId="168" fontId="26" fillId="17" borderId="0" xfId="1" applyNumberFormat="1" applyFont="1" applyFill="1" applyBorder="1" applyAlignment="1">
      <alignment vertical="center"/>
    </xf>
    <xf numFmtId="168" fontId="26" fillId="5" borderId="49" xfId="1" applyNumberFormat="1" applyFont="1" applyFill="1" applyBorder="1" applyAlignment="1">
      <alignment vertical="center"/>
    </xf>
    <xf numFmtId="168" fontId="26" fillId="5" borderId="50" xfId="1" applyNumberFormat="1" applyFont="1" applyFill="1" applyBorder="1" applyAlignment="1">
      <alignment vertical="center"/>
    </xf>
    <xf numFmtId="168" fontId="26" fillId="5" borderId="51" xfId="1" applyNumberFormat="1" applyFont="1" applyFill="1" applyBorder="1" applyAlignment="1">
      <alignment vertical="center"/>
    </xf>
    <xf numFmtId="168" fontId="26" fillId="17" borderId="0" xfId="1" applyNumberFormat="1" applyFont="1" applyFill="1" applyAlignment="1">
      <alignment vertical="center"/>
    </xf>
    <xf numFmtId="168" fontId="26" fillId="17" borderId="35" xfId="1" applyNumberFormat="1" applyFont="1" applyFill="1" applyBorder="1" applyAlignment="1">
      <alignment vertical="center"/>
    </xf>
    <xf numFmtId="168" fontId="26" fillId="17" borderId="29" xfId="1" applyNumberFormat="1" applyFont="1" applyFill="1" applyBorder="1" applyAlignment="1">
      <alignment vertical="center"/>
    </xf>
    <xf numFmtId="168" fontId="26" fillId="17" borderId="41" xfId="1" applyNumberFormat="1" applyFont="1" applyFill="1" applyBorder="1" applyAlignment="1">
      <alignment vertical="center"/>
    </xf>
    <xf numFmtId="0" fontId="30" fillId="0" borderId="0" xfId="85" applyFont="1" applyFill="1" applyAlignment="1">
      <alignment vertical="center" wrapText="1"/>
    </xf>
    <xf numFmtId="168" fontId="30" fillId="70" borderId="0" xfId="1" applyNumberFormat="1" applyFont="1" applyFill="1" applyBorder="1" applyAlignment="1">
      <alignment vertical="center" wrapText="1"/>
    </xf>
    <xf numFmtId="168" fontId="255" fillId="27" borderId="0" xfId="1" applyNumberFormat="1" applyFont="1" applyFill="1" applyBorder="1" applyAlignment="1">
      <alignment vertical="center" wrapText="1"/>
    </xf>
    <xf numFmtId="168" fontId="255" fillId="91" borderId="0" xfId="1" applyNumberFormat="1" applyFont="1" applyFill="1" applyBorder="1" applyAlignment="1">
      <alignment vertical="center" wrapText="1"/>
    </xf>
    <xf numFmtId="168" fontId="255" fillId="86" borderId="0" xfId="1" applyNumberFormat="1" applyFont="1" applyFill="1" applyBorder="1" applyAlignment="1">
      <alignment vertical="center" wrapText="1"/>
    </xf>
    <xf numFmtId="168" fontId="30" fillId="71" borderId="0" xfId="1" applyNumberFormat="1" applyFont="1" applyFill="1" applyBorder="1" applyAlignment="1">
      <alignment vertical="center" wrapText="1"/>
    </xf>
    <xf numFmtId="168" fontId="30" fillId="10" borderId="0" xfId="1" applyNumberFormat="1" applyFont="1" applyFill="1" applyBorder="1" applyAlignment="1">
      <alignment vertical="center" wrapText="1"/>
    </xf>
    <xf numFmtId="168" fontId="30" fillId="26" borderId="0" xfId="1" applyNumberFormat="1" applyFont="1" applyFill="1" applyBorder="1" applyAlignment="1">
      <alignment vertical="center" wrapText="1"/>
    </xf>
    <xf numFmtId="168" fontId="26" fillId="14" borderId="33" xfId="1" applyNumberFormat="1" applyFont="1" applyFill="1" applyBorder="1" applyAlignment="1">
      <alignment vertical="center"/>
    </xf>
    <xf numFmtId="168" fontId="26" fillId="16" borderId="33" xfId="1" applyNumberFormat="1" applyFont="1" applyFill="1" applyBorder="1" applyAlignment="1">
      <alignment vertical="center"/>
    </xf>
    <xf numFmtId="168" fontId="26" fillId="5" borderId="40" xfId="1" applyNumberFormat="1" applyFont="1" applyFill="1" applyBorder="1" applyAlignment="1">
      <alignment vertical="center"/>
    </xf>
    <xf numFmtId="168" fontId="26" fillId="5" borderId="33" xfId="1" applyNumberFormat="1" applyFont="1" applyFill="1" applyBorder="1" applyAlignment="1">
      <alignment vertical="center"/>
    </xf>
    <xf numFmtId="168" fontId="26" fillId="5" borderId="9" xfId="1" applyNumberFormat="1" applyFont="1" applyFill="1" applyBorder="1" applyAlignment="1">
      <alignment vertical="center"/>
    </xf>
    <xf numFmtId="168" fontId="26" fillId="17" borderId="37" xfId="1" applyNumberFormat="1" applyFont="1" applyFill="1" applyBorder="1" applyAlignment="1">
      <alignment vertical="center"/>
    </xf>
    <xf numFmtId="168" fontId="26" fillId="17" borderId="6" xfId="1" applyNumberFormat="1" applyFont="1" applyFill="1" applyBorder="1" applyAlignment="1">
      <alignment vertical="center"/>
    </xf>
    <xf numFmtId="0" fontId="258" fillId="0" borderId="0" xfId="85" applyFont="1" applyFill="1" applyAlignment="1">
      <alignment vertical="center"/>
    </xf>
    <xf numFmtId="3" fontId="61" fillId="0" borderId="40" xfId="85" applyNumberFormat="1" applyFont="1" applyBorder="1" applyAlignment="1">
      <alignment horizontal="center" vertical="center"/>
    </xf>
    <xf numFmtId="3" fontId="61" fillId="0" borderId="253" xfId="85" applyNumberFormat="1" applyFont="1" applyBorder="1" applyAlignment="1">
      <alignment vertical="center"/>
    </xf>
    <xf numFmtId="0" fontId="61" fillId="0" borderId="33" xfId="85" applyFont="1" applyBorder="1" applyAlignment="1">
      <alignment vertical="center"/>
    </xf>
    <xf numFmtId="9" fontId="61" fillId="0" borderId="40" xfId="2" applyFont="1" applyBorder="1" applyAlignment="1">
      <alignment vertical="center"/>
    </xf>
    <xf numFmtId="9" fontId="256" fillId="0" borderId="33" xfId="2" applyFont="1" applyBorder="1" applyAlignment="1">
      <alignment horizontal="center" vertical="center"/>
    </xf>
    <xf numFmtId="167" fontId="256" fillId="0" borderId="33" xfId="2" applyNumberFormat="1" applyFont="1" applyBorder="1" applyAlignment="1">
      <alignment horizontal="center" vertical="center"/>
    </xf>
    <xf numFmtId="167" fontId="256" fillId="0" borderId="40" xfId="2" applyNumberFormat="1" applyFont="1" applyBorder="1" applyAlignment="1">
      <alignment horizontal="center" vertical="center"/>
    </xf>
    <xf numFmtId="167" fontId="256" fillId="0" borderId="8" xfId="2" applyNumberFormat="1" applyFont="1" applyBorder="1" applyAlignment="1">
      <alignment horizontal="center" vertical="center"/>
    </xf>
    <xf numFmtId="168" fontId="26" fillId="3" borderId="6" xfId="1" applyNumberFormat="1" applyFont="1" applyFill="1" applyBorder="1" applyAlignment="1">
      <alignment vertical="center"/>
    </xf>
    <xf numFmtId="3" fontId="267" fillId="3" borderId="70" xfId="0" applyNumberFormat="1" applyFont="1" applyFill="1" applyBorder="1"/>
    <xf numFmtId="3" fontId="5" fillId="3" borderId="0" xfId="0" applyNumberFormat="1" applyFont="1" applyFill="1"/>
    <xf numFmtId="0" fontId="5" fillId="85" borderId="0" xfId="0" applyFont="1" applyFill="1"/>
    <xf numFmtId="3" fontId="5" fillId="85" borderId="0" xfId="0" applyNumberFormat="1" applyFont="1" applyFill="1"/>
    <xf numFmtId="3" fontId="268" fillId="85" borderId="5" xfId="0" applyNumberFormat="1" applyFont="1" applyFill="1" applyBorder="1"/>
    <xf numFmtId="0" fontId="17" fillId="85" borderId="5" xfId="0" applyFont="1" applyFill="1" applyBorder="1" applyAlignment="1">
      <alignment horizontal="center"/>
    </xf>
    <xf numFmtId="0" fontId="17" fillId="85" borderId="5" xfId="0" applyFont="1" applyFill="1" applyBorder="1" applyAlignment="1">
      <alignment horizontal="center" vertical="center"/>
    </xf>
    <xf numFmtId="0" fontId="1" fillId="85" borderId="0" xfId="0" applyFont="1" applyFill="1"/>
    <xf numFmtId="0" fontId="266" fillId="85" borderId="0" xfId="0" applyFont="1" applyFill="1" applyAlignment="1">
      <alignment horizontal="center" vertical="center"/>
    </xf>
    <xf numFmtId="168" fontId="26" fillId="85" borderId="41" xfId="1" applyNumberFormat="1" applyFont="1" applyFill="1" applyBorder="1" applyAlignment="1">
      <alignment vertical="center"/>
    </xf>
    <xf numFmtId="168" fontId="26" fillId="85" borderId="6" xfId="1" applyNumberFormat="1" applyFont="1" applyFill="1" applyBorder="1" applyAlignment="1">
      <alignment vertical="center"/>
    </xf>
    <xf numFmtId="0" fontId="1" fillId="85" borderId="8" xfId="0" applyFont="1" applyFill="1" applyBorder="1"/>
    <xf numFmtId="0" fontId="31" fillId="0" borderId="0" xfId="0" applyFont="1" applyAlignment="1">
      <alignment vertical="center"/>
    </xf>
    <xf numFmtId="43" fontId="0" fillId="0" borderId="0" xfId="105" applyFont="1"/>
    <xf numFmtId="43" fontId="270" fillId="127" borderId="69" xfId="105" applyFont="1" applyFill="1" applyBorder="1" applyAlignment="1">
      <alignment horizontal="center" vertical="center" wrapText="1"/>
    </xf>
    <xf numFmtId="43" fontId="270" fillId="127" borderId="52" xfId="105" applyFont="1" applyFill="1" applyBorder="1" applyAlignment="1">
      <alignment horizontal="center" vertical="center" wrapText="1"/>
    </xf>
    <xf numFmtId="43" fontId="41" fillId="34" borderId="50" xfId="105" applyFont="1" applyFill="1" applyBorder="1" applyAlignment="1">
      <alignment horizontal="center" vertical="center" wrapText="1"/>
    </xf>
    <xf numFmtId="43" fontId="41" fillId="34" borderId="52" xfId="105" applyFont="1" applyFill="1" applyBorder="1" applyAlignment="1">
      <alignment horizontal="center" vertical="center" wrapText="1"/>
    </xf>
    <xf numFmtId="43" fontId="41" fillId="128" borderId="313" xfId="105" applyFont="1" applyFill="1" applyBorder="1" applyAlignment="1">
      <alignment horizontal="center" vertical="center" wrapText="1"/>
    </xf>
    <xf numFmtId="43" fontId="41" fillId="128" borderId="35" xfId="105" applyFont="1" applyFill="1" applyBorder="1" applyAlignment="1">
      <alignment horizontal="center" vertical="center" wrapText="1"/>
    </xf>
    <xf numFmtId="43" fontId="41" fillId="129" borderId="313" xfId="105" applyFont="1" applyFill="1" applyBorder="1" applyAlignment="1">
      <alignment horizontal="center" vertical="center" wrapText="1"/>
    </xf>
    <xf numFmtId="43" fontId="41" fillId="129" borderId="35" xfId="105" applyFont="1" applyFill="1" applyBorder="1" applyAlignment="1">
      <alignment horizontal="center" vertical="center" wrapText="1"/>
    </xf>
    <xf numFmtId="164" fontId="8" fillId="38" borderId="37" xfId="105" applyNumberFormat="1" applyFont="1" applyFill="1" applyBorder="1" applyAlignment="1">
      <alignment vertical="center" wrapText="1"/>
    </xf>
    <xf numFmtId="164" fontId="8" fillId="38" borderId="8" xfId="105" applyNumberFormat="1" applyFont="1" applyFill="1" applyBorder="1" applyAlignment="1">
      <alignment vertical="center" wrapText="1"/>
    </xf>
    <xf numFmtId="0" fontId="271" fillId="0" borderId="68" xfId="0" applyFont="1" applyBorder="1"/>
    <xf numFmtId="168" fontId="1" fillId="0" borderId="34" xfId="105" applyNumberFormat="1" applyFont="1" applyFill="1" applyBorder="1"/>
    <xf numFmtId="168" fontId="1" fillId="0" borderId="68" xfId="105" applyNumberFormat="1" applyFont="1" applyFill="1" applyBorder="1"/>
    <xf numFmtId="168" fontId="0" fillId="0" borderId="68" xfId="105" applyNumberFormat="1" applyFont="1" applyFill="1" applyBorder="1"/>
    <xf numFmtId="168" fontId="0" fillId="0" borderId="54" xfId="105" applyNumberFormat="1" applyFont="1" applyBorder="1"/>
    <xf numFmtId="168" fontId="0" fillId="0" borderId="68" xfId="105" applyNumberFormat="1" applyFont="1" applyBorder="1"/>
    <xf numFmtId="168" fontId="0" fillId="0" borderId="53" xfId="105" applyNumberFormat="1" applyFont="1" applyBorder="1"/>
    <xf numFmtId="168" fontId="0" fillId="0" borderId="53" xfId="0" applyNumberFormat="1" applyBorder="1"/>
    <xf numFmtId="168" fontId="0" fillId="0" borderId="127" xfId="0" applyNumberFormat="1" applyBorder="1"/>
    <xf numFmtId="0" fontId="271" fillId="0" borderId="70" xfId="0" applyFont="1" applyBorder="1"/>
    <xf numFmtId="168" fontId="1" fillId="0" borderId="25" xfId="105" applyNumberFormat="1" applyFont="1" applyFill="1" applyBorder="1"/>
    <xf numFmtId="168" fontId="1" fillId="0" borderId="70" xfId="105" applyNumberFormat="1" applyFont="1" applyFill="1" applyBorder="1"/>
    <xf numFmtId="168" fontId="0" fillId="0" borderId="70" xfId="105" applyNumberFormat="1" applyFont="1" applyFill="1" applyBorder="1"/>
    <xf numFmtId="168" fontId="0" fillId="0" borderId="25" xfId="105" applyNumberFormat="1" applyFont="1" applyBorder="1"/>
    <xf numFmtId="168" fontId="0" fillId="0" borderId="70" xfId="105" applyNumberFormat="1" applyFont="1" applyBorder="1"/>
    <xf numFmtId="168" fontId="0" fillId="0" borderId="312" xfId="105" applyNumberFormat="1" applyFont="1" applyBorder="1"/>
    <xf numFmtId="168" fontId="0" fillId="0" borderId="312" xfId="0" applyNumberFormat="1" applyBorder="1"/>
    <xf numFmtId="168" fontId="0" fillId="0" borderId="44" xfId="0" applyNumberFormat="1" applyBorder="1"/>
    <xf numFmtId="168" fontId="1" fillId="0" borderId="25" xfId="105" applyNumberFormat="1" applyFont="1" applyBorder="1"/>
    <xf numFmtId="168" fontId="1" fillId="0" borderId="70" xfId="105" applyNumberFormat="1" applyFont="1" applyBorder="1"/>
    <xf numFmtId="0" fontId="272" fillId="0" borderId="81" xfId="0" applyFont="1" applyBorder="1"/>
    <xf numFmtId="168" fontId="1" fillId="0" borderId="27" xfId="105" applyNumberFormat="1" applyFont="1" applyBorder="1"/>
    <xf numFmtId="168" fontId="1" fillId="0" borderId="81" xfId="105" applyNumberFormat="1" applyFont="1" applyBorder="1"/>
    <xf numFmtId="168" fontId="12" fillId="0" borderId="81" xfId="105" applyNumberFormat="1" applyFont="1" applyBorder="1"/>
    <xf numFmtId="168" fontId="12" fillId="0" borderId="25" xfId="105" applyNumberFormat="1" applyFont="1" applyBorder="1"/>
    <xf numFmtId="168" fontId="12" fillId="0" borderId="70" xfId="105" applyNumberFormat="1" applyFont="1" applyBorder="1"/>
    <xf numFmtId="168" fontId="12" fillId="0" borderId="312" xfId="105" applyNumberFormat="1" applyFont="1" applyBorder="1"/>
    <xf numFmtId="0" fontId="272" fillId="0" borderId="71" xfId="0" applyFont="1" applyBorder="1"/>
    <xf numFmtId="168" fontId="1" fillId="0" borderId="71" xfId="105" applyNumberFormat="1" applyFont="1" applyBorder="1"/>
    <xf numFmtId="168" fontId="12" fillId="0" borderId="71" xfId="105" applyNumberFormat="1" applyFont="1" applyBorder="1"/>
    <xf numFmtId="168" fontId="12" fillId="0" borderId="0" xfId="105" applyNumberFormat="1" applyFont="1" applyBorder="1"/>
    <xf numFmtId="168" fontId="1" fillId="0" borderId="6" xfId="105" applyNumberFormat="1" applyFont="1" applyBorder="1"/>
    <xf numFmtId="168" fontId="12" fillId="0" borderId="37" xfId="105" applyNumberFormat="1" applyFont="1" applyBorder="1"/>
    <xf numFmtId="168" fontId="12" fillId="0" borderId="8" xfId="105" applyNumberFormat="1" applyFont="1" applyBorder="1"/>
    <xf numFmtId="168" fontId="0" fillId="0" borderId="37" xfId="0" applyNumberFormat="1" applyBorder="1"/>
    <xf numFmtId="168" fontId="0" fillId="0" borderId="393" xfId="0" applyNumberFormat="1" applyBorder="1"/>
    <xf numFmtId="0" fontId="26" fillId="38" borderId="5" xfId="0" applyFont="1" applyFill="1" applyBorder="1" applyAlignment="1">
      <alignment horizontal="right"/>
    </xf>
    <xf numFmtId="168" fontId="26" fillId="38" borderId="5" xfId="105" applyNumberFormat="1" applyFont="1" applyFill="1" applyBorder="1"/>
    <xf numFmtId="168" fontId="26" fillId="38" borderId="40" xfId="105" applyNumberFormat="1" applyFont="1" applyFill="1" applyBorder="1"/>
    <xf numFmtId="168" fontId="26" fillId="38" borderId="52" xfId="105" applyNumberFormat="1" applyFont="1" applyFill="1" applyBorder="1"/>
    <xf numFmtId="168" fontId="26" fillId="38" borderId="5" xfId="0" applyNumberFormat="1" applyFont="1" applyFill="1" applyBorder="1"/>
    <xf numFmtId="0" fontId="26" fillId="115" borderId="52" xfId="0" applyFont="1" applyFill="1" applyBorder="1" applyAlignment="1">
      <alignment horizontal="right"/>
    </xf>
    <xf numFmtId="164" fontId="0" fillId="0" borderId="0" xfId="105" applyNumberFormat="1" applyFont="1"/>
    <xf numFmtId="0" fontId="61" fillId="3" borderId="19" xfId="0" applyFont="1" applyFill="1" applyBorder="1" applyAlignment="1">
      <alignment horizontal="center" vertical="center" wrapText="1"/>
    </xf>
    <xf numFmtId="0" fontId="61" fillId="117" borderId="19" xfId="0" applyFont="1" applyFill="1" applyBorder="1" applyAlignment="1">
      <alignment horizontal="center" vertical="center" wrapText="1"/>
    </xf>
    <xf numFmtId="0" fontId="61" fillId="0" borderId="0" xfId="0" applyFont="1" applyFill="1" applyAlignment="1">
      <alignment horizontal="center" vertical="center" wrapText="1"/>
    </xf>
    <xf numFmtId="0" fontId="61" fillId="0" borderId="23" xfId="0" applyFont="1" applyFill="1" applyBorder="1" applyAlignment="1">
      <alignment horizontal="center" vertical="center" wrapText="1"/>
    </xf>
    <xf numFmtId="0" fontId="61" fillId="0" borderId="19" xfId="0" applyFont="1" applyFill="1" applyBorder="1" applyAlignment="1">
      <alignment horizontal="center" vertical="center" wrapText="1"/>
    </xf>
    <xf numFmtId="0" fontId="61" fillId="0" borderId="0" xfId="0" applyFont="1" applyFill="1" applyBorder="1" applyAlignment="1">
      <alignment horizontal="center" vertical="center" wrapText="1"/>
    </xf>
    <xf numFmtId="0" fontId="61" fillId="26" borderId="0" xfId="0" applyFont="1" applyFill="1" applyBorder="1" applyAlignment="1">
      <alignment horizontal="center" vertical="center"/>
    </xf>
    <xf numFmtId="0" fontId="263" fillId="3" borderId="108" xfId="0" applyFont="1" applyFill="1" applyBorder="1" applyAlignment="1">
      <alignment horizontal="center" vertical="center"/>
    </xf>
    <xf numFmtId="0" fontId="255" fillId="10" borderId="139" xfId="85" applyFont="1" applyFill="1" applyBorder="1" applyAlignment="1">
      <alignment horizontal="center"/>
    </xf>
    <xf numFmtId="0" fontId="61" fillId="14" borderId="0" xfId="85" applyFont="1" applyFill="1" applyBorder="1" applyAlignment="1">
      <alignment horizontal="center"/>
    </xf>
    <xf numFmtId="0" fontId="255" fillId="9" borderId="0" xfId="85" applyFont="1" applyFill="1" applyAlignment="1">
      <alignment horizontal="center"/>
    </xf>
    <xf numFmtId="0" fontId="256" fillId="8" borderId="0" xfId="85" applyFont="1" applyFill="1" applyBorder="1" applyAlignment="1">
      <alignment horizontal="center"/>
    </xf>
    <xf numFmtId="0" fontId="61" fillId="72" borderId="0" xfId="85" applyFont="1" applyFill="1" applyBorder="1" applyAlignment="1">
      <alignment horizontal="center"/>
    </xf>
    <xf numFmtId="0" fontId="61" fillId="26" borderId="35" xfId="0" applyFont="1" applyFill="1" applyBorder="1" applyAlignment="1">
      <alignment horizontal="center" vertical="center"/>
    </xf>
    <xf numFmtId="0" fontId="61" fillId="26" borderId="29" xfId="0" applyFont="1" applyFill="1" applyBorder="1" applyAlignment="1">
      <alignment horizontal="center" vertical="center"/>
    </xf>
    <xf numFmtId="0" fontId="55" fillId="0" borderId="6" xfId="85" applyFont="1" applyBorder="1" applyAlignment="1">
      <alignment vertical="center"/>
    </xf>
    <xf numFmtId="0" fontId="55" fillId="0" borderId="8" xfId="85" applyFont="1" applyBorder="1" applyAlignment="1">
      <alignment vertical="center"/>
    </xf>
    <xf numFmtId="0" fontId="55" fillId="0" borderId="0" xfId="85" applyFont="1" applyBorder="1" applyAlignment="1">
      <alignment vertical="center"/>
    </xf>
    <xf numFmtId="0" fontId="239" fillId="16" borderId="395" xfId="0" applyFont="1" applyFill="1" applyBorder="1" applyAlignment="1">
      <alignment horizontal="center" vertical="center"/>
    </xf>
    <xf numFmtId="0" fontId="239" fillId="16" borderId="118" xfId="0" applyFont="1" applyFill="1" applyBorder="1" applyAlignment="1">
      <alignment horizontal="center" vertical="center"/>
    </xf>
    <xf numFmtId="0" fontId="239" fillId="16" borderId="396" xfId="0" applyFont="1" applyFill="1" applyBorder="1" applyAlignment="1">
      <alignment horizontal="center" vertical="center"/>
    </xf>
    <xf numFmtId="0" fontId="239" fillId="16" borderId="397" xfId="0" applyFont="1" applyFill="1" applyBorder="1" applyAlignment="1">
      <alignment horizontal="center" vertical="center"/>
    </xf>
    <xf numFmtId="0" fontId="239" fillId="16" borderId="398" xfId="0" applyFont="1" applyFill="1" applyBorder="1" applyAlignment="1">
      <alignment horizontal="center" vertical="center"/>
    </xf>
    <xf numFmtId="0" fontId="61" fillId="16" borderId="399" xfId="0" applyFont="1" applyFill="1" applyBorder="1" applyAlignment="1">
      <alignment horizontal="center" vertical="center"/>
    </xf>
    <xf numFmtId="0" fontId="61" fillId="16" borderId="118" xfId="0" applyFont="1" applyFill="1" applyBorder="1" applyAlignment="1">
      <alignment horizontal="center" vertical="center"/>
    </xf>
    <xf numFmtId="0" fontId="61" fillId="16" borderId="400" xfId="0" applyFont="1" applyFill="1" applyBorder="1" applyAlignment="1">
      <alignment horizontal="center" vertical="center"/>
    </xf>
    <xf numFmtId="0" fontId="61" fillId="16" borderId="401" xfId="0" applyFont="1" applyFill="1" applyBorder="1" applyAlignment="1">
      <alignment horizontal="center" vertical="center"/>
    </xf>
    <xf numFmtId="0" fontId="61" fillId="16" borderId="129" xfId="0" applyFont="1" applyFill="1" applyBorder="1" applyAlignment="1">
      <alignment horizontal="center" vertical="center"/>
    </xf>
    <xf numFmtId="0" fontId="61" fillId="16" borderId="72" xfId="0" applyFont="1" applyFill="1" applyBorder="1" applyAlignment="1">
      <alignment horizontal="center" vertical="center"/>
    </xf>
    <xf numFmtId="0" fontId="61" fillId="4" borderId="129" xfId="0" applyFont="1" applyFill="1" applyBorder="1" applyAlignment="1">
      <alignment horizontal="center" vertical="center"/>
    </xf>
    <xf numFmtId="0" fontId="61" fillId="4" borderId="72" xfId="0" applyFont="1" applyFill="1" applyBorder="1" applyAlignment="1">
      <alignment horizontal="center" vertical="center"/>
    </xf>
    <xf numFmtId="0" fontId="61" fillId="4" borderId="7" xfId="0" applyFont="1" applyFill="1" applyBorder="1" applyAlignment="1">
      <alignment horizontal="center" vertical="center"/>
    </xf>
    <xf numFmtId="0" fontId="241" fillId="0" borderId="156" xfId="0" applyFont="1" applyFill="1" applyBorder="1" applyAlignment="1">
      <alignment horizontal="center" vertical="center"/>
    </xf>
    <xf numFmtId="0" fontId="241" fillId="0" borderId="0" xfId="0" applyFont="1" applyFill="1" applyBorder="1" applyAlignment="1">
      <alignment horizontal="center" vertical="center"/>
    </xf>
    <xf numFmtId="0" fontId="241" fillId="0" borderId="0" xfId="0" applyFont="1" applyFill="1" applyBorder="1" applyAlignment="1">
      <alignment horizontal="center" vertical="center" wrapText="1"/>
    </xf>
    <xf numFmtId="0" fontId="241" fillId="0" borderId="6" xfId="0" applyFont="1" applyFill="1" applyBorder="1" applyAlignment="1">
      <alignment horizontal="center" vertical="center" wrapText="1"/>
    </xf>
    <xf numFmtId="0" fontId="241" fillId="3" borderId="6" xfId="0" applyFont="1" applyFill="1" applyBorder="1" applyAlignment="1">
      <alignment horizontal="center" vertical="center" wrapText="1"/>
    </xf>
    <xf numFmtId="17" fontId="61" fillId="16" borderId="37" xfId="0" applyNumberFormat="1" applyFont="1" applyFill="1" applyBorder="1" applyAlignment="1">
      <alignment horizontal="center" vertical="center"/>
    </xf>
    <xf numFmtId="10" fontId="247" fillId="70" borderId="314" xfId="4" applyNumberFormat="1" applyFont="1" applyFill="1" applyBorder="1" applyAlignment="1" applyProtection="1">
      <alignment horizontal="center" vertical="center" wrapText="1"/>
    </xf>
    <xf numFmtId="10" fontId="247" fillId="70" borderId="45" xfId="4" applyNumberFormat="1" applyFont="1" applyFill="1" applyBorder="1" applyAlignment="1" applyProtection="1">
      <alignment horizontal="center" vertical="center" wrapText="1"/>
    </xf>
    <xf numFmtId="3" fontId="139" fillId="70" borderId="316" xfId="0" applyNumberFormat="1" applyFont="1" applyFill="1" applyBorder="1"/>
    <xf numFmtId="0" fontId="139" fillId="0" borderId="0" xfId="0" applyFont="1" applyFill="1" applyBorder="1"/>
    <xf numFmtId="3" fontId="131" fillId="0" borderId="0" xfId="0" applyNumberFormat="1" applyFont="1" applyFill="1" applyBorder="1"/>
    <xf numFmtId="0" fontId="52" fillId="0" borderId="0" xfId="7" applyFont="1"/>
    <xf numFmtId="3" fontId="52" fillId="0" borderId="0" xfId="7" applyNumberFormat="1" applyFont="1"/>
    <xf numFmtId="3" fontId="273" fillId="0" borderId="0" xfId="7" applyNumberFormat="1" applyFont="1"/>
    <xf numFmtId="0" fontId="41" fillId="0" borderId="0" xfId="7" applyFont="1"/>
    <xf numFmtId="0" fontId="243" fillId="0" borderId="0" xfId="7" applyFont="1" applyFill="1"/>
    <xf numFmtId="0" fontId="243" fillId="0" borderId="0" xfId="7" applyFont="1" applyFill="1" applyAlignment="1">
      <alignment horizontal="center"/>
    </xf>
    <xf numFmtId="0" fontId="176" fillId="0" borderId="20" xfId="0" applyFont="1" applyBorder="1" applyAlignment="1">
      <alignment wrapText="1"/>
    </xf>
    <xf numFmtId="0" fontId="16" fillId="0" borderId="402" xfId="0" applyFont="1" applyFill="1" applyBorder="1" applyAlignment="1">
      <alignment horizontal="center" vertical="center"/>
    </xf>
    <xf numFmtId="168" fontId="5" fillId="0" borderId="403" xfId="1" applyNumberFormat="1" applyFont="1" applyFill="1" applyBorder="1" applyAlignment="1">
      <alignment horizontal="center" vertical="center"/>
    </xf>
    <xf numFmtId="0" fontId="5" fillId="0" borderId="29" xfId="0" applyFont="1" applyFill="1" applyBorder="1"/>
    <xf numFmtId="0" fontId="5" fillId="0" borderId="30" xfId="0" applyFont="1" applyFill="1" applyBorder="1"/>
    <xf numFmtId="9" fontId="5" fillId="0" borderId="0" xfId="2" applyFont="1" applyFill="1" applyBorder="1"/>
    <xf numFmtId="0" fontId="5" fillId="0" borderId="7" xfId="0" applyFont="1" applyFill="1" applyBorder="1"/>
    <xf numFmtId="0" fontId="5" fillId="0" borderId="37" xfId="0" applyFont="1" applyFill="1" applyBorder="1" applyAlignment="1">
      <alignment horizontal="center" vertical="center"/>
    </xf>
    <xf numFmtId="0" fontId="5" fillId="0" borderId="40" xfId="0" applyFont="1" applyFill="1" applyBorder="1" applyAlignment="1">
      <alignment horizontal="center" vertical="center"/>
    </xf>
    <xf numFmtId="0" fontId="7" fillId="124" borderId="33" xfId="0" applyFont="1" applyFill="1" applyBorder="1" applyAlignment="1">
      <alignment horizontal="center" vertical="center"/>
    </xf>
    <xf numFmtId="168" fontId="7" fillId="124" borderId="33" xfId="1" applyNumberFormat="1" applyFont="1" applyFill="1" applyBorder="1" applyAlignment="1">
      <alignment horizontal="center" vertical="center"/>
    </xf>
    <xf numFmtId="0" fontId="176" fillId="124" borderId="33" xfId="0" applyFont="1" applyFill="1" applyBorder="1" applyAlignment="1">
      <alignment horizontal="center" wrapText="1"/>
    </xf>
    <xf numFmtId="9" fontId="7" fillId="124" borderId="33" xfId="2" applyFont="1" applyFill="1" applyBorder="1" applyAlignment="1">
      <alignment vertical="center"/>
    </xf>
    <xf numFmtId="0" fontId="7" fillId="124" borderId="9" xfId="0" applyFont="1" applyFill="1" applyBorder="1" applyAlignment="1">
      <alignment horizontal="center" vertical="center"/>
    </xf>
    <xf numFmtId="0" fontId="26" fillId="0" borderId="11" xfId="0" applyFont="1" applyFill="1" applyBorder="1" applyAlignment="1">
      <alignment horizontal="center"/>
    </xf>
    <xf numFmtId="0" fontId="26" fillId="0" borderId="52" xfId="0" applyFont="1" applyFill="1" applyBorder="1" applyAlignment="1">
      <alignment horizontal="center"/>
    </xf>
    <xf numFmtId="168" fontId="0" fillId="0" borderId="20" xfId="1" applyNumberFormat="1" applyFont="1" applyBorder="1" applyAlignment="1">
      <alignment horizontal="center"/>
    </xf>
    <xf numFmtId="168" fontId="0" fillId="0" borderId="20" xfId="1" applyNumberFormat="1" applyFont="1" applyFill="1" applyBorder="1"/>
    <xf numFmtId="168" fontId="0" fillId="0" borderId="13" xfId="1" applyNumberFormat="1" applyFont="1" applyBorder="1" applyAlignment="1">
      <alignment horizontal="center"/>
    </xf>
    <xf numFmtId="168" fontId="0" fillId="0" borderId="13" xfId="1" applyNumberFormat="1" applyFont="1" applyFill="1" applyBorder="1" applyAlignment="1">
      <alignment horizontal="center"/>
    </xf>
    <xf numFmtId="168" fontId="86" fillId="92" borderId="13" xfId="1" applyNumberFormat="1" applyFont="1" applyFill="1" applyBorder="1" applyAlignment="1">
      <alignment horizontal="center"/>
    </xf>
    <xf numFmtId="171" fontId="7" fillId="16" borderId="0" xfId="0" applyNumberFormat="1" applyFont="1" applyFill="1" applyBorder="1" applyAlignment="1">
      <alignment horizontal="left" vertical="center" wrapText="1"/>
    </xf>
    <xf numFmtId="0" fontId="12" fillId="0" borderId="29" xfId="0" applyFont="1" applyFill="1" applyBorder="1" applyAlignment="1">
      <alignment horizontal="left" vertical="center"/>
    </xf>
    <xf numFmtId="0" fontId="12" fillId="0" borderId="0" xfId="0" applyFont="1" applyFill="1" applyBorder="1" applyAlignment="1">
      <alignment horizontal="left" vertical="center"/>
    </xf>
    <xf numFmtId="0" fontId="206" fillId="0" borderId="257" xfId="0" applyFont="1" applyFill="1" applyBorder="1" applyAlignment="1">
      <alignment horizontal="center" vertical="center"/>
    </xf>
    <xf numFmtId="168" fontId="206" fillId="0" borderId="258" xfId="1" applyNumberFormat="1" applyFont="1" applyFill="1" applyBorder="1" applyAlignment="1">
      <alignment horizontal="center" vertical="center"/>
    </xf>
    <xf numFmtId="0" fontId="274" fillId="0" borderId="0" xfId="0" applyFont="1" applyFill="1" applyBorder="1" applyAlignment="1">
      <alignment horizontal="center" vertical="center"/>
    </xf>
    <xf numFmtId="9" fontId="206" fillId="0" borderId="0" xfId="2" applyFont="1" applyFill="1" applyBorder="1"/>
    <xf numFmtId="0" fontId="206" fillId="0" borderId="7" xfId="0" applyFont="1" applyFill="1" applyBorder="1" applyAlignment="1">
      <alignment horizontal="center" vertical="center"/>
    </xf>
    <xf numFmtId="9" fontId="206" fillId="0" borderId="0" xfId="2" applyFont="1" applyFill="1" applyBorder="1" applyAlignment="1">
      <alignment vertical="center"/>
    </xf>
    <xf numFmtId="168" fontId="206" fillId="117" borderId="258" xfId="1" applyNumberFormat="1" applyFont="1" applyFill="1" applyBorder="1" applyAlignment="1">
      <alignment horizontal="center" vertical="center"/>
    </xf>
    <xf numFmtId="171" fontId="127" fillId="3" borderId="0" xfId="0" applyNumberFormat="1" applyFont="1" applyFill="1" applyBorder="1" applyAlignment="1">
      <alignment horizontal="center" vertical="center"/>
    </xf>
    <xf numFmtId="0" fontId="0" fillId="0" borderId="30" xfId="0" applyFont="1" applyBorder="1" applyAlignment="1">
      <alignment horizontal="center" vertical="center" wrapText="1"/>
    </xf>
    <xf numFmtId="0" fontId="61" fillId="0" borderId="7" xfId="0" applyFont="1" applyBorder="1" applyAlignment="1">
      <alignment horizontal="center" vertical="center"/>
    </xf>
    <xf numFmtId="2" fontId="64" fillId="13" borderId="52" xfId="0" applyNumberFormat="1" applyFont="1" applyFill="1" applyBorder="1" applyAlignment="1">
      <alignment horizontal="center"/>
    </xf>
    <xf numFmtId="2" fontId="64" fillId="13" borderId="83" xfId="0" applyNumberFormat="1" applyFont="1" applyFill="1" applyBorder="1" applyAlignment="1">
      <alignment horizontal="center"/>
    </xf>
    <xf numFmtId="171" fontId="64" fillId="0" borderId="37" xfId="0" applyNumberFormat="1" applyFont="1" applyFill="1" applyBorder="1" applyAlignment="1">
      <alignment horizontal="center"/>
    </xf>
    <xf numFmtId="171" fontId="64" fillId="0" borderId="7" xfId="0" applyNumberFormat="1" applyFont="1" applyFill="1" applyBorder="1" applyAlignment="1">
      <alignment horizontal="center"/>
    </xf>
    <xf numFmtId="171" fontId="64" fillId="0" borderId="40" xfId="0" applyNumberFormat="1" applyFont="1" applyFill="1" applyBorder="1" applyAlignment="1">
      <alignment horizontal="center"/>
    </xf>
    <xf numFmtId="171" fontId="64" fillId="0" borderId="9" xfId="0" applyNumberFormat="1" applyFont="1" applyFill="1" applyBorder="1" applyAlignment="1">
      <alignment horizontal="center"/>
    </xf>
    <xf numFmtId="0" fontId="32" fillId="71" borderId="0" xfId="0" applyFont="1" applyFill="1" applyAlignment="1">
      <alignment vertical="center" wrapText="1"/>
    </xf>
    <xf numFmtId="168" fontId="0" fillId="3" borderId="269" xfId="14" applyNumberFormat="1" applyFont="1" applyFill="1" applyBorder="1" applyAlignment="1">
      <alignment horizontal="center" vertical="center" wrapText="1"/>
    </xf>
    <xf numFmtId="168" fontId="0" fillId="3" borderId="20" xfId="14" applyNumberFormat="1" applyFont="1" applyFill="1" applyBorder="1" applyAlignment="1">
      <alignment horizontal="center" vertical="center" wrapText="1"/>
    </xf>
    <xf numFmtId="9" fontId="0" fillId="3" borderId="55" xfId="2" applyFont="1" applyFill="1" applyBorder="1" applyAlignment="1">
      <alignment horizontal="center" vertical="center" wrapText="1"/>
    </xf>
    <xf numFmtId="168" fontId="0" fillId="3" borderId="44" xfId="14" applyNumberFormat="1" applyFont="1" applyFill="1" applyBorder="1" applyAlignment="1">
      <alignment horizontal="center" vertical="center" wrapText="1"/>
    </xf>
    <xf numFmtId="168" fontId="0" fillId="3" borderId="13" xfId="14" applyNumberFormat="1" applyFont="1" applyFill="1" applyBorder="1" applyAlignment="1">
      <alignment horizontal="center" vertical="center" wrapText="1"/>
    </xf>
    <xf numFmtId="9" fontId="0" fillId="3" borderId="45" xfId="2" applyFont="1" applyFill="1" applyBorder="1" applyAlignment="1">
      <alignment horizontal="center" vertical="center" wrapText="1"/>
    </xf>
    <xf numFmtId="168" fontId="0" fillId="3" borderId="318" xfId="14" applyNumberFormat="1" applyFont="1" applyFill="1" applyBorder="1" applyAlignment="1">
      <alignment horizontal="center" vertical="center" wrapText="1"/>
    </xf>
    <xf numFmtId="168" fontId="0" fillId="3" borderId="17" xfId="14" applyNumberFormat="1" applyFont="1" applyFill="1" applyBorder="1" applyAlignment="1">
      <alignment horizontal="center" vertical="center" wrapText="1"/>
    </xf>
    <xf numFmtId="9" fontId="0" fillId="3" borderId="319" xfId="2" applyFont="1" applyFill="1" applyBorder="1" applyAlignment="1">
      <alignment horizontal="center" vertical="center" wrapText="1"/>
    </xf>
    <xf numFmtId="168" fontId="61" fillId="3" borderId="44" xfId="1" applyNumberFormat="1" applyFont="1" applyFill="1" applyBorder="1" applyAlignment="1">
      <alignment horizontal="center" vertical="center" wrapText="1"/>
    </xf>
    <xf numFmtId="168" fontId="61" fillId="3" borderId="13" xfId="1" applyNumberFormat="1" applyFont="1" applyFill="1" applyBorder="1" applyAlignment="1">
      <alignment horizontal="center" vertical="center" wrapText="1"/>
    </xf>
    <xf numFmtId="168" fontId="61" fillId="3" borderId="45" xfId="1" applyNumberFormat="1" applyFont="1" applyFill="1" applyBorder="1" applyAlignment="1">
      <alignment horizontal="center" vertical="center" wrapText="1"/>
    </xf>
    <xf numFmtId="168" fontId="61" fillId="3" borderId="318" xfId="1" applyNumberFormat="1" applyFont="1" applyFill="1" applyBorder="1" applyAlignment="1">
      <alignment horizontal="center" vertical="center" wrapText="1"/>
    </xf>
    <xf numFmtId="168" fontId="61" fillId="3" borderId="17" xfId="1" applyNumberFormat="1" applyFont="1" applyFill="1" applyBorder="1" applyAlignment="1">
      <alignment horizontal="center" vertical="center" wrapText="1"/>
    </xf>
    <xf numFmtId="168" fontId="61" fillId="3" borderId="319" xfId="1" applyNumberFormat="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17" xfId="0" applyFill="1" applyBorder="1" applyAlignment="1">
      <alignment horizontal="center" vertical="center" wrapText="1"/>
    </xf>
    <xf numFmtId="0" fontId="110" fillId="0" borderId="0" xfId="0" applyFont="1" applyFill="1" applyAlignment="1">
      <alignment horizontal="center"/>
    </xf>
    <xf numFmtId="167" fontId="26" fillId="0" borderId="0" xfId="2" applyNumberFormat="1" applyFont="1" applyFill="1" applyAlignment="1">
      <alignment horizontal="center"/>
    </xf>
    <xf numFmtId="167" fontId="225" fillId="28" borderId="0" xfId="2" applyNumberFormat="1" applyFont="1" applyFill="1" applyAlignment="1">
      <alignment horizontal="center" vertical="center"/>
    </xf>
    <xf numFmtId="9" fontId="225" fillId="28" borderId="0" xfId="2" applyNumberFormat="1" applyFont="1" applyFill="1" applyAlignment="1">
      <alignment horizontal="center" vertical="center"/>
    </xf>
    <xf numFmtId="0" fontId="61" fillId="26" borderId="0" xfId="0" applyFont="1" applyFill="1" applyAlignment="1">
      <alignment horizontal="left" vertical="center" indent="2"/>
    </xf>
    <xf numFmtId="2" fontId="30" fillId="26" borderId="0" xfId="0" applyNumberFormat="1" applyFont="1" applyFill="1"/>
    <xf numFmtId="167" fontId="11" fillId="130" borderId="37" xfId="2" applyNumberFormat="1" applyFont="1" applyFill="1" applyBorder="1" applyAlignment="1">
      <alignment horizontal="center" vertical="center" wrapText="1"/>
    </xf>
    <xf numFmtId="167" fontId="12" fillId="130" borderId="128" xfId="2" applyNumberFormat="1" applyFont="1" applyFill="1" applyBorder="1" applyAlignment="1">
      <alignment horizontal="center" wrapText="1"/>
    </xf>
    <xf numFmtId="167" fontId="12" fillId="130" borderId="6" xfId="2" applyNumberFormat="1" applyFont="1" applyFill="1" applyBorder="1" applyAlignment="1">
      <alignment horizontal="center"/>
    </xf>
    <xf numFmtId="167" fontId="12" fillId="130" borderId="37" xfId="2" applyNumberFormat="1" applyFont="1" applyFill="1" applyBorder="1" applyAlignment="1">
      <alignment horizontal="center"/>
    </xf>
    <xf numFmtId="167" fontId="12" fillId="130" borderId="37" xfId="2" applyNumberFormat="1" applyFont="1" applyFill="1" applyBorder="1" applyAlignment="1"/>
    <xf numFmtId="167" fontId="12" fillId="130" borderId="0" xfId="2" applyNumberFormat="1" applyFont="1" applyFill="1" applyBorder="1" applyAlignment="1"/>
    <xf numFmtId="0" fontId="12" fillId="130" borderId="0" xfId="0" applyFont="1" applyFill="1" applyBorder="1"/>
    <xf numFmtId="168" fontId="135" fillId="130" borderId="0" xfId="1" applyNumberFormat="1" applyFont="1" applyFill="1" applyBorder="1" applyAlignment="1">
      <alignment horizontal="center" vertical="center"/>
    </xf>
    <xf numFmtId="167" fontId="12" fillId="130" borderId="19" xfId="2" applyNumberFormat="1" applyFont="1" applyFill="1" applyBorder="1" applyAlignment="1"/>
    <xf numFmtId="167" fontId="12" fillId="130" borderId="23" xfId="2" applyNumberFormat="1" applyFont="1" applyFill="1" applyBorder="1" applyAlignment="1"/>
    <xf numFmtId="168" fontId="135" fillId="130" borderId="89" xfId="1" applyNumberFormat="1" applyFont="1" applyFill="1" applyBorder="1" applyAlignment="1">
      <alignment horizontal="center" vertical="center"/>
    </xf>
    <xf numFmtId="168" fontId="11" fillId="130" borderId="273" xfId="1" applyNumberFormat="1" applyFont="1" applyFill="1" applyBorder="1" applyAlignment="1">
      <alignment horizontal="center" vertical="center"/>
    </xf>
    <xf numFmtId="167" fontId="11" fillId="130" borderId="52" xfId="2" applyNumberFormat="1" applyFont="1" applyFill="1" applyBorder="1" applyAlignment="1">
      <alignment horizontal="right" vertical="center" wrapText="1"/>
    </xf>
    <xf numFmtId="168" fontId="11" fillId="130" borderId="5" xfId="1" applyNumberFormat="1" applyFont="1" applyFill="1" applyBorder="1"/>
    <xf numFmtId="167" fontId="11" fillId="130" borderId="5" xfId="2" applyNumberFormat="1" applyFont="1" applyFill="1" applyBorder="1"/>
    <xf numFmtId="0" fontId="12" fillId="130" borderId="29" xfId="0" applyFont="1" applyFill="1" applyBorder="1"/>
    <xf numFmtId="168" fontId="135" fillId="130" borderId="29" xfId="1" applyNumberFormat="1" applyFont="1" applyFill="1" applyBorder="1" applyAlignment="1">
      <alignment horizontal="center" vertical="center"/>
    </xf>
    <xf numFmtId="168" fontId="11" fillId="130" borderId="263" xfId="1" applyNumberFormat="1" applyFont="1" applyFill="1" applyBorder="1" applyAlignment="1">
      <alignment horizontal="center" vertical="center"/>
    </xf>
    <xf numFmtId="168" fontId="11" fillId="130" borderId="393" xfId="1" applyNumberFormat="1" applyFont="1" applyFill="1" applyBorder="1" applyAlignment="1">
      <alignment horizontal="center" vertical="center"/>
    </xf>
    <xf numFmtId="167" fontId="11" fillId="130" borderId="40" xfId="2" applyNumberFormat="1" applyFont="1" applyFill="1" applyBorder="1" applyAlignment="1">
      <alignment horizontal="right" vertical="center" wrapText="1"/>
    </xf>
    <xf numFmtId="168" fontId="11" fillId="130" borderId="8" xfId="1" applyNumberFormat="1" applyFont="1" applyFill="1" applyBorder="1"/>
    <xf numFmtId="167" fontId="11" fillId="130" borderId="8" xfId="2" applyNumberFormat="1" applyFont="1" applyFill="1" applyBorder="1"/>
    <xf numFmtId="167" fontId="11" fillId="130" borderId="8" xfId="2" applyNumberFormat="1" applyFont="1" applyFill="1" applyBorder="1" applyAlignment="1">
      <alignment horizontal="center"/>
    </xf>
    <xf numFmtId="0" fontId="12" fillId="130" borderId="33" xfId="0" applyFont="1" applyFill="1" applyBorder="1"/>
    <xf numFmtId="168" fontId="135" fillId="130" borderId="33" xfId="1" applyNumberFormat="1" applyFont="1" applyFill="1" applyBorder="1" applyAlignment="1">
      <alignment horizontal="center" vertical="center"/>
    </xf>
    <xf numFmtId="168" fontId="11" fillId="130" borderId="317" xfId="1" applyNumberFormat="1" applyFont="1" applyFill="1" applyBorder="1" applyAlignment="1">
      <alignment horizontal="center" vertical="center"/>
    </xf>
    <xf numFmtId="0" fontId="61" fillId="0" borderId="59" xfId="0" applyFont="1" applyBorder="1" applyAlignment="1">
      <alignment vertical="center"/>
    </xf>
    <xf numFmtId="166" fontId="63" fillId="14" borderId="58" xfId="1" applyFont="1" applyFill="1" applyBorder="1" applyAlignment="1">
      <alignment vertical="center"/>
    </xf>
    <xf numFmtId="166" fontId="63" fillId="26" borderId="13" xfId="1" applyFont="1" applyFill="1" applyBorder="1" applyAlignment="1">
      <alignment vertical="center"/>
    </xf>
    <xf numFmtId="2" fontId="0" fillId="23" borderId="404" xfId="0" applyNumberFormat="1" applyFont="1" applyFill="1" applyBorder="1" applyAlignment="1">
      <alignment horizontal="center"/>
    </xf>
    <xf numFmtId="2" fontId="26" fillId="71" borderId="405" xfId="0" applyNumberFormat="1" applyFont="1" applyFill="1" applyBorder="1" applyAlignment="1">
      <alignment horizontal="center"/>
    </xf>
    <xf numFmtId="0" fontId="17" fillId="23" borderId="41" xfId="0" applyFont="1" applyFill="1" applyBorder="1" applyAlignment="1">
      <alignment horizontal="center"/>
    </xf>
    <xf numFmtId="3" fontId="17" fillId="23" borderId="6" xfId="0" applyNumberFormat="1" applyFont="1" applyFill="1" applyBorder="1" applyAlignment="1">
      <alignment horizontal="center"/>
    </xf>
    <xf numFmtId="2" fontId="17" fillId="23" borderId="6" xfId="0" applyNumberFormat="1" applyFont="1" applyFill="1" applyBorder="1" applyAlignment="1">
      <alignment horizontal="center"/>
    </xf>
    <xf numFmtId="0" fontId="17" fillId="23" borderId="6" xfId="0" applyFont="1" applyFill="1" applyBorder="1" applyAlignment="1">
      <alignment horizontal="center"/>
    </xf>
    <xf numFmtId="0" fontId="126" fillId="23" borderId="6" xfId="0" applyFont="1" applyFill="1" applyBorder="1" applyAlignment="1">
      <alignment horizontal="center"/>
    </xf>
    <xf numFmtId="2" fontId="0" fillId="23" borderId="406" xfId="0" applyNumberFormat="1" applyFont="1" applyFill="1" applyBorder="1" applyAlignment="1">
      <alignment horizontal="center"/>
    </xf>
    <xf numFmtId="2" fontId="26" fillId="71" borderId="5" xfId="0" applyNumberFormat="1" applyFont="1" applyFill="1" applyBorder="1" applyAlignment="1">
      <alignment horizontal="center"/>
    </xf>
    <xf numFmtId="0" fontId="151" fillId="24" borderId="35" xfId="0" applyFont="1" applyFill="1" applyBorder="1" applyAlignment="1">
      <alignment horizontal="left" vertical="center"/>
    </xf>
    <xf numFmtId="0" fontId="200" fillId="25" borderId="29" xfId="0" applyFont="1" applyFill="1" applyBorder="1" applyAlignment="1">
      <alignment horizontal="right"/>
    </xf>
    <xf numFmtId="2" fontId="0" fillId="23" borderId="407" xfId="0" applyNumberFormat="1" applyFont="1" applyFill="1" applyBorder="1" applyAlignment="1">
      <alignment horizontal="center"/>
    </xf>
    <xf numFmtId="2" fontId="0" fillId="23" borderId="408" xfId="0" applyNumberFormat="1" applyFont="1" applyFill="1" applyBorder="1" applyAlignment="1">
      <alignment horizontal="center"/>
    </xf>
    <xf numFmtId="2" fontId="0" fillId="0" borderId="409" xfId="0" applyNumberFormat="1" applyFont="1" applyFill="1" applyBorder="1" applyAlignment="1">
      <alignment horizontal="center"/>
    </xf>
    <xf numFmtId="2" fontId="0" fillId="3" borderId="409" xfId="0" applyNumberFormat="1" applyFont="1" applyFill="1" applyBorder="1" applyAlignment="1">
      <alignment horizontal="center"/>
    </xf>
    <xf numFmtId="2" fontId="0" fillId="23" borderId="410" xfId="0" applyNumberFormat="1" applyFont="1" applyFill="1" applyBorder="1" applyAlignment="1">
      <alignment horizontal="center"/>
    </xf>
    <xf numFmtId="2" fontId="0" fillId="23" borderId="411" xfId="0" applyNumberFormat="1" applyFont="1" applyFill="1" applyBorder="1" applyAlignment="1">
      <alignment horizontal="center"/>
    </xf>
    <xf numFmtId="0" fontId="151" fillId="24" borderId="40" xfId="0" applyFont="1" applyFill="1" applyBorder="1" applyAlignment="1">
      <alignment horizontal="left" vertical="center"/>
    </xf>
    <xf numFmtId="0" fontId="200" fillId="25" borderId="33" xfId="0" applyFont="1" applyFill="1" applyBorder="1" applyAlignment="1">
      <alignment horizontal="right"/>
    </xf>
    <xf numFmtId="2" fontId="0" fillId="23" borderId="412" xfId="0" applyNumberFormat="1" applyFont="1" applyFill="1" applyBorder="1" applyAlignment="1">
      <alignment horizontal="center"/>
    </xf>
    <xf numFmtId="2" fontId="0" fillId="23" borderId="413" xfId="0" applyNumberFormat="1" applyFont="1" applyFill="1" applyBorder="1" applyAlignment="1">
      <alignment horizontal="center"/>
    </xf>
    <xf numFmtId="2" fontId="0" fillId="0" borderId="414" xfId="0" applyNumberFormat="1" applyFont="1" applyFill="1" applyBorder="1" applyAlignment="1">
      <alignment horizontal="center"/>
    </xf>
    <xf numFmtId="2" fontId="0" fillId="3" borderId="414" xfId="0" applyNumberFormat="1" applyFont="1" applyFill="1" applyBorder="1" applyAlignment="1">
      <alignment horizontal="center"/>
    </xf>
    <xf numFmtId="2" fontId="0" fillId="23" borderId="415" xfId="0" applyNumberFormat="1" applyFont="1" applyFill="1" applyBorder="1" applyAlignment="1">
      <alignment horizontal="center"/>
    </xf>
    <xf numFmtId="2" fontId="0" fillId="23" borderId="416" xfId="0" applyNumberFormat="1" applyFont="1" applyFill="1" applyBorder="1" applyAlignment="1">
      <alignment horizontal="center"/>
    </xf>
    <xf numFmtId="0" fontId="17" fillId="3" borderId="41" xfId="0" applyFont="1" applyFill="1" applyBorder="1" applyAlignment="1">
      <alignment horizontal="center"/>
    </xf>
    <xf numFmtId="3" fontId="17" fillId="3" borderId="6" xfId="0" applyNumberFormat="1" applyFont="1" applyFill="1" applyBorder="1" applyAlignment="1">
      <alignment horizontal="center"/>
    </xf>
    <xf numFmtId="2" fontId="17" fillId="3" borderId="6" xfId="0" applyNumberFormat="1" applyFont="1" applyFill="1" applyBorder="1" applyAlignment="1">
      <alignment horizontal="center"/>
    </xf>
    <xf numFmtId="0" fontId="17" fillId="3" borderId="6" xfId="0" applyFont="1" applyFill="1" applyBorder="1" applyAlignment="1">
      <alignment horizontal="center"/>
    </xf>
    <xf numFmtId="2" fontId="0" fillId="3" borderId="411" xfId="0" applyNumberFormat="1" applyFont="1" applyFill="1" applyBorder="1" applyAlignment="1">
      <alignment horizontal="center"/>
    </xf>
    <xf numFmtId="2" fontId="0" fillId="3" borderId="406" xfId="0" applyNumberFormat="1" applyFont="1" applyFill="1" applyBorder="1" applyAlignment="1">
      <alignment horizontal="center"/>
    </xf>
    <xf numFmtId="2" fontId="0" fillId="3" borderId="416" xfId="0" applyNumberFormat="1" applyFont="1" applyFill="1" applyBorder="1" applyAlignment="1">
      <alignment horizontal="center"/>
    </xf>
    <xf numFmtId="2" fontId="26" fillId="3" borderId="5" xfId="0" applyNumberFormat="1" applyFont="1" applyFill="1" applyBorder="1" applyAlignment="1">
      <alignment horizontal="center"/>
    </xf>
    <xf numFmtId="0" fontId="26" fillId="0" borderId="0" xfId="0" applyFont="1" applyAlignment="1">
      <alignment horizontal="left"/>
    </xf>
    <xf numFmtId="0" fontId="89" fillId="0" borderId="0" xfId="83"/>
    <xf numFmtId="0" fontId="86" fillId="16" borderId="0" xfId="0" applyFont="1" applyFill="1" applyAlignment="1">
      <alignment horizontal="center" vertical="center"/>
    </xf>
    <xf numFmtId="0" fontId="86" fillId="16" borderId="0" xfId="0" applyFont="1" applyFill="1"/>
    <xf numFmtId="0" fontId="0" fillId="0" borderId="0" xfId="0" applyAlignment="1">
      <alignment horizontal="left"/>
    </xf>
    <xf numFmtId="0" fontId="0" fillId="16" borderId="0" xfId="0" applyFill="1" applyAlignment="1">
      <alignment horizontal="left"/>
    </xf>
    <xf numFmtId="0" fontId="0" fillId="0" borderId="0" xfId="0" pivotButton="1"/>
    <xf numFmtId="0" fontId="0" fillId="0" borderId="0" xfId="0" applyNumberFormat="1"/>
    <xf numFmtId="0" fontId="0" fillId="0" borderId="0" xfId="0" applyNumberFormat="1" applyAlignment="1">
      <alignment horizontal="center" vertical="center"/>
    </xf>
    <xf numFmtId="166" fontId="100" fillId="85" borderId="37" xfId="1" applyFont="1" applyFill="1" applyBorder="1" applyAlignment="1">
      <alignment horizontal="center" vertical="center"/>
    </xf>
    <xf numFmtId="3" fontId="236" fillId="0" borderId="0" xfId="0" applyNumberFormat="1" applyFont="1" applyAlignment="1">
      <alignment horizontal="center"/>
    </xf>
    <xf numFmtId="0" fontId="123" fillId="131" borderId="5" xfId="0" applyFont="1" applyFill="1" applyBorder="1" applyAlignment="1">
      <alignment horizontal="center" vertical="center" wrapText="1"/>
    </xf>
    <xf numFmtId="3" fontId="275" fillId="3" borderId="6" xfId="67" applyNumberFormat="1" applyFont="1" applyFill="1" applyBorder="1" applyAlignment="1">
      <alignment horizontal="right"/>
    </xf>
    <xf numFmtId="3" fontId="276" fillId="3" borderId="5" xfId="67" applyNumberFormat="1" applyFont="1" applyFill="1" applyBorder="1" applyAlignment="1">
      <alignment horizontal="right"/>
    </xf>
    <xf numFmtId="0" fontId="139" fillId="131" borderId="273" xfId="0" applyFont="1" applyFill="1" applyBorder="1" applyAlignment="1">
      <alignment horizontal="center" vertical="center" wrapText="1"/>
    </xf>
    <xf numFmtId="0" fontId="131" fillId="131" borderId="314" xfId="0" applyFont="1" applyFill="1" applyBorder="1" applyAlignment="1">
      <alignment horizontal="center" vertical="center" wrapText="1"/>
    </xf>
    <xf numFmtId="3" fontId="139" fillId="70" borderId="393" xfId="0" applyNumberFormat="1" applyFont="1" applyFill="1" applyBorder="1"/>
    <xf numFmtId="166" fontId="139" fillId="70" borderId="316" xfId="1" applyFont="1" applyFill="1" applyBorder="1"/>
    <xf numFmtId="10" fontId="277" fillId="70" borderId="381" xfId="4" applyNumberFormat="1" applyFont="1" applyFill="1" applyBorder="1" applyAlignment="1" applyProtection="1">
      <alignment horizontal="center" vertical="center" wrapText="1"/>
    </xf>
    <xf numFmtId="3" fontId="139" fillId="131" borderId="49" xfId="0" applyNumberFormat="1" applyFont="1" applyFill="1" applyBorder="1"/>
    <xf numFmtId="3" fontId="139" fillId="131" borderId="50" xfId="0" applyNumberFormat="1" applyFont="1" applyFill="1" applyBorder="1"/>
    <xf numFmtId="3" fontId="278" fillId="14" borderId="127" xfId="67" applyNumberFormat="1" applyFont="1" applyFill="1" applyBorder="1" applyAlignment="1">
      <alignment horizontal="right"/>
    </xf>
    <xf numFmtId="3" fontId="278" fillId="14" borderId="42" xfId="67" applyNumberFormat="1" applyFont="1" applyFill="1" applyBorder="1" applyAlignment="1">
      <alignment horizontal="right"/>
    </xf>
    <xf numFmtId="3" fontId="278" fillId="14" borderId="269" xfId="67" applyNumberFormat="1" applyFont="1" applyFill="1" applyBorder="1" applyAlignment="1">
      <alignment horizontal="right"/>
    </xf>
    <xf numFmtId="3" fontId="278" fillId="14" borderId="20" xfId="67" applyNumberFormat="1" applyFont="1" applyFill="1" applyBorder="1" applyAlignment="1">
      <alignment horizontal="right"/>
    </xf>
    <xf numFmtId="3" fontId="278" fillId="14" borderId="393" xfId="0" applyNumberFormat="1" applyFont="1" applyFill="1" applyBorder="1"/>
    <xf numFmtId="166" fontId="278" fillId="14" borderId="316" xfId="1" applyFont="1" applyFill="1" applyBorder="1"/>
    <xf numFmtId="3" fontId="278" fillId="14" borderId="316" xfId="0" applyNumberFormat="1" applyFont="1" applyFill="1" applyBorder="1"/>
    <xf numFmtId="10" fontId="277" fillId="14" borderId="314" xfId="4" applyNumberFormat="1" applyFont="1" applyFill="1" applyBorder="1" applyAlignment="1" applyProtection="1">
      <alignment horizontal="center" vertical="center" wrapText="1"/>
    </xf>
    <xf numFmtId="10" fontId="277" fillId="14" borderId="45" xfId="4" applyNumberFormat="1" applyFont="1" applyFill="1" applyBorder="1" applyAlignment="1" applyProtection="1">
      <alignment horizontal="center" vertical="center" wrapText="1"/>
    </xf>
    <xf numFmtId="166" fontId="227" fillId="14" borderId="42" xfId="1" applyFont="1" applyFill="1" applyBorder="1" applyAlignment="1">
      <alignment horizontal="right"/>
    </xf>
    <xf numFmtId="166" fontId="227" fillId="14" borderId="20" xfId="1" applyFont="1" applyFill="1" applyBorder="1" applyAlignment="1">
      <alignment horizontal="right"/>
    </xf>
    <xf numFmtId="167" fontId="131" fillId="14" borderId="7" xfId="2" applyNumberFormat="1" applyFont="1" applyFill="1" applyBorder="1"/>
    <xf numFmtId="3" fontId="131" fillId="31" borderId="52" xfId="0" applyNumberFormat="1" applyFont="1" applyFill="1" applyBorder="1"/>
    <xf numFmtId="167" fontId="131" fillId="31" borderId="11" xfId="2" applyNumberFormat="1" applyFont="1" applyFill="1" applyBorder="1"/>
    <xf numFmtId="167" fontId="131" fillId="31" borderId="83" xfId="2" applyNumberFormat="1" applyFont="1" applyFill="1" applyBorder="1"/>
    <xf numFmtId="3" fontId="279" fillId="14" borderId="37" xfId="0" applyNumberFormat="1" applyFont="1" applyFill="1" applyBorder="1"/>
    <xf numFmtId="167" fontId="280" fillId="14" borderId="0" xfId="2" applyNumberFormat="1" applyFont="1" applyFill="1" applyBorder="1"/>
    <xf numFmtId="0" fontId="280" fillId="5" borderId="35" xfId="0" applyFont="1" applyFill="1" applyBorder="1" applyAlignment="1">
      <alignment horizontal="center" vertical="center" wrapText="1"/>
    </xf>
    <xf numFmtId="0" fontId="280" fillId="5" borderId="29" xfId="0" applyFont="1" applyFill="1" applyBorder="1" applyAlignment="1">
      <alignment horizontal="center" vertical="center" wrapText="1"/>
    </xf>
    <xf numFmtId="0" fontId="280" fillId="5" borderId="30" xfId="0" applyFont="1" applyFill="1" applyBorder="1" applyAlignment="1">
      <alignment horizontal="center" vertical="center" wrapText="1"/>
    </xf>
    <xf numFmtId="0" fontId="97" fillId="31" borderId="0" xfId="0" applyFont="1" applyFill="1" applyAlignment="1">
      <alignment horizontal="center" vertical="center" wrapText="1"/>
    </xf>
    <xf numFmtId="0" fontId="159" fillId="31" borderId="5" xfId="0" applyFont="1" applyFill="1" applyBorder="1" applyAlignment="1">
      <alignment horizontal="center" vertical="center" wrapText="1"/>
    </xf>
    <xf numFmtId="0" fontId="5" fillId="0" borderId="13" xfId="0" applyFont="1" applyBorder="1" applyAlignment="1">
      <alignment horizontal="center" vertical="center" wrapText="1"/>
    </xf>
    <xf numFmtId="10" fontId="30" fillId="70" borderId="13" xfId="2" applyNumberFormat="1" applyFont="1" applyFill="1" applyBorder="1" applyAlignment="1">
      <alignment horizontal="center" vertical="center"/>
    </xf>
    <xf numFmtId="168" fontId="61" fillId="16" borderId="25" xfId="1" applyNumberFormat="1" applyFont="1" applyFill="1" applyBorder="1" applyAlignment="1">
      <alignment horizontal="center" vertical="center"/>
    </xf>
    <xf numFmtId="0" fontId="11" fillId="0" borderId="13" xfId="0" applyFont="1" applyFill="1" applyBorder="1" applyAlignment="1">
      <alignment vertical="center" wrapText="1"/>
    </xf>
    <xf numFmtId="0" fontId="5" fillId="16" borderId="0" xfId="0" applyFont="1" applyFill="1" applyAlignment="1">
      <alignment horizontal="center" vertical="center"/>
    </xf>
    <xf numFmtId="0" fontId="5" fillId="3" borderId="383" xfId="0" applyFont="1" applyFill="1" applyBorder="1" applyAlignment="1">
      <alignment horizontal="left"/>
    </xf>
    <xf numFmtId="0" fontId="5" fillId="3" borderId="383" xfId="0" applyFont="1" applyFill="1" applyBorder="1" applyAlignment="1">
      <alignment horizontal="center"/>
    </xf>
    <xf numFmtId="0" fontId="5" fillId="3" borderId="54" xfId="0" applyFont="1" applyFill="1" applyBorder="1" applyAlignment="1">
      <alignment horizontal="center"/>
    </xf>
    <xf numFmtId="17" fontId="5" fillId="132" borderId="44" xfId="0" applyNumberFormat="1" applyFont="1" applyFill="1" applyBorder="1"/>
    <xf numFmtId="17" fontId="5" fillId="132" borderId="13" xfId="0" applyNumberFormat="1" applyFont="1" applyFill="1" applyBorder="1"/>
    <xf numFmtId="17" fontId="5" fillId="132" borderId="24" xfId="0" applyNumberFormat="1" applyFont="1" applyFill="1" applyBorder="1"/>
    <xf numFmtId="17" fontId="5" fillId="0" borderId="417" xfId="0" applyNumberFormat="1" applyFont="1" applyBorder="1"/>
    <xf numFmtId="17" fontId="5" fillId="0" borderId="13" xfId="0" applyNumberFormat="1" applyFont="1" applyBorder="1"/>
    <xf numFmtId="17" fontId="5" fillId="0" borderId="24" xfId="0" applyNumberFormat="1" applyFont="1" applyBorder="1"/>
    <xf numFmtId="17" fontId="5" fillId="80" borderId="417" xfId="0" applyNumberFormat="1" applyFont="1" applyFill="1" applyBorder="1"/>
    <xf numFmtId="17" fontId="5" fillId="80" borderId="13" xfId="0" applyNumberFormat="1" applyFont="1" applyFill="1" applyBorder="1"/>
    <xf numFmtId="17" fontId="5" fillId="3" borderId="13" xfId="0" applyNumberFormat="1" applyFont="1" applyFill="1" applyBorder="1"/>
    <xf numFmtId="17" fontId="5" fillId="3" borderId="24" xfId="0" applyNumberFormat="1" applyFont="1" applyFill="1" applyBorder="1"/>
    <xf numFmtId="0" fontId="5" fillId="16" borderId="13" xfId="0" applyFont="1" applyFill="1" applyBorder="1"/>
    <xf numFmtId="0" fontId="5" fillId="16" borderId="13" xfId="0" applyFont="1" applyFill="1" applyBorder="1" applyAlignment="1">
      <alignment horizontal="center" vertical="center"/>
    </xf>
    <xf numFmtId="0" fontId="5" fillId="38" borderId="13" xfId="0" applyFont="1" applyFill="1" applyBorder="1" applyAlignment="1">
      <alignment horizontal="center" vertical="center"/>
    </xf>
    <xf numFmtId="0" fontId="5" fillId="38" borderId="13" xfId="0" applyFont="1" applyFill="1" applyBorder="1"/>
    <xf numFmtId="0" fontId="5" fillId="0" borderId="13" xfId="0" applyFont="1" applyBorder="1"/>
    <xf numFmtId="0" fontId="5" fillId="16" borderId="24" xfId="0" applyFont="1" applyFill="1" applyBorder="1" applyAlignment="1">
      <alignment horizontal="center" vertical="center"/>
    </xf>
    <xf numFmtId="0" fontId="5" fillId="132" borderId="44" xfId="0" applyFont="1" applyFill="1" applyBorder="1"/>
    <xf numFmtId="0" fontId="5" fillId="132" borderId="13" xfId="0" applyFont="1" applyFill="1" applyBorder="1"/>
    <xf numFmtId="0" fontId="5" fillId="132" borderId="24" xfId="0" applyFont="1" applyFill="1" applyBorder="1"/>
    <xf numFmtId="0" fontId="5" fillId="132" borderId="417" xfId="0" applyFont="1" applyFill="1" applyBorder="1"/>
    <xf numFmtId="0" fontId="5" fillId="3" borderId="13" xfId="0" applyFont="1" applyFill="1" applyBorder="1"/>
    <xf numFmtId="0" fontId="5" fillId="3" borderId="24" xfId="0" applyFont="1" applyFill="1" applyBorder="1"/>
    <xf numFmtId="0" fontId="17" fillId="132" borderId="417" xfId="0" applyFont="1" applyFill="1" applyBorder="1" applyAlignment="1">
      <alignment horizontal="center" vertical="center"/>
    </xf>
    <xf numFmtId="0" fontId="17" fillId="132" borderId="13" xfId="0" applyFont="1" applyFill="1" applyBorder="1" applyAlignment="1">
      <alignment horizontal="center" vertical="center"/>
    </xf>
    <xf numFmtId="0" fontId="17" fillId="3" borderId="13" xfId="0" applyFont="1" applyFill="1" applyBorder="1" applyAlignment="1">
      <alignment horizontal="center" vertical="center"/>
    </xf>
    <xf numFmtId="0" fontId="5" fillId="132" borderId="13" xfId="0" applyFont="1" applyFill="1" applyBorder="1" applyAlignment="1">
      <alignment horizontal="center" vertical="center"/>
    </xf>
    <xf numFmtId="0" fontId="5" fillId="132" borderId="13" xfId="0" applyFont="1" applyFill="1" applyBorder="1" applyAlignment="1">
      <alignment horizontal="left" vertical="center"/>
    </xf>
    <xf numFmtId="43" fontId="5" fillId="132" borderId="13" xfId="105" applyFont="1" applyFill="1" applyBorder="1" applyAlignment="1">
      <alignment horizontal="center" vertical="center"/>
    </xf>
    <xf numFmtId="43" fontId="5" fillId="132" borderId="0" xfId="105" applyFont="1" applyFill="1" applyBorder="1" applyAlignment="1">
      <alignment horizontal="center" vertical="center"/>
    </xf>
    <xf numFmtId="166" fontId="5" fillId="132" borderId="13" xfId="0" applyNumberFormat="1" applyFont="1" applyFill="1" applyBorder="1"/>
    <xf numFmtId="43" fontId="5" fillId="132" borderId="13" xfId="105" applyFont="1" applyFill="1" applyBorder="1"/>
    <xf numFmtId="166" fontId="5" fillId="132" borderId="24" xfId="0" applyNumberFormat="1" applyFont="1" applyFill="1" applyBorder="1"/>
    <xf numFmtId="166" fontId="5" fillId="132" borderId="44" xfId="0" applyNumberFormat="1" applyFont="1" applyFill="1" applyBorder="1"/>
    <xf numFmtId="166" fontId="5" fillId="132" borderId="417" xfId="0" applyNumberFormat="1" applyFont="1" applyFill="1" applyBorder="1"/>
    <xf numFmtId="166" fontId="5" fillId="3" borderId="13" xfId="0" applyNumberFormat="1" applyFont="1" applyFill="1" applyBorder="1"/>
    <xf numFmtId="166" fontId="5" fillId="3" borderId="24" xfId="0" applyNumberFormat="1" applyFont="1" applyFill="1" applyBorder="1"/>
    <xf numFmtId="166" fontId="17" fillId="132" borderId="417" xfId="0" applyNumberFormat="1" applyFont="1" applyFill="1" applyBorder="1" applyAlignment="1">
      <alignment horizontal="center" vertical="center"/>
    </xf>
    <xf numFmtId="166" fontId="17" fillId="132" borderId="13" xfId="0" applyNumberFormat="1" applyFont="1" applyFill="1" applyBorder="1" applyAlignment="1">
      <alignment horizontal="center" vertical="center"/>
    </xf>
    <xf numFmtId="166" fontId="17" fillId="3" borderId="13" xfId="0" applyNumberFormat="1" applyFont="1" applyFill="1" applyBorder="1" applyAlignment="1">
      <alignment horizontal="center" vertical="center"/>
    </xf>
    <xf numFmtId="167" fontId="5" fillId="132" borderId="0" xfId="2" applyNumberFormat="1" applyFont="1" applyFill="1"/>
    <xf numFmtId="0" fontId="5" fillId="79" borderId="13" xfId="0" applyFont="1" applyFill="1" applyBorder="1"/>
    <xf numFmtId="0" fontId="5" fillId="79" borderId="13" xfId="0" applyFont="1" applyFill="1" applyBorder="1" applyAlignment="1">
      <alignment horizontal="center" vertical="center"/>
    </xf>
    <xf numFmtId="0" fontId="5" fillId="79" borderId="13" xfId="0" applyFont="1" applyFill="1" applyBorder="1" applyAlignment="1">
      <alignment horizontal="left" vertical="center"/>
    </xf>
    <xf numFmtId="43" fontId="5" fillId="79" borderId="13" xfId="105" applyFont="1" applyFill="1" applyBorder="1" applyAlignment="1">
      <alignment horizontal="center" vertical="center"/>
    </xf>
    <xf numFmtId="43" fontId="5" fillId="79" borderId="0" xfId="105" applyFont="1" applyFill="1" applyBorder="1" applyAlignment="1">
      <alignment horizontal="center" vertical="center"/>
    </xf>
    <xf numFmtId="166" fontId="5" fillId="79" borderId="13" xfId="0" applyNumberFormat="1" applyFont="1" applyFill="1" applyBorder="1"/>
    <xf numFmtId="43" fontId="5" fillId="79" borderId="13" xfId="105" applyFont="1" applyFill="1" applyBorder="1"/>
    <xf numFmtId="166" fontId="5" fillId="79" borderId="24" xfId="0" applyNumberFormat="1" applyFont="1" applyFill="1" applyBorder="1"/>
    <xf numFmtId="166" fontId="5" fillId="79" borderId="44" xfId="0" applyNumberFormat="1" applyFont="1" applyFill="1" applyBorder="1"/>
    <xf numFmtId="166" fontId="5" fillId="79" borderId="417" xfId="0" applyNumberFormat="1" applyFont="1" applyFill="1" applyBorder="1"/>
    <xf numFmtId="166" fontId="17" fillId="79" borderId="417" xfId="0" applyNumberFormat="1" applyFont="1" applyFill="1" applyBorder="1" applyAlignment="1">
      <alignment horizontal="center" vertical="center"/>
    </xf>
    <xf numFmtId="166" fontId="17" fillId="79" borderId="13" xfId="0" applyNumberFormat="1" applyFont="1" applyFill="1" applyBorder="1" applyAlignment="1">
      <alignment horizontal="center" vertical="center"/>
    </xf>
    <xf numFmtId="167" fontId="5" fillId="79" borderId="0" xfId="2" applyNumberFormat="1" applyFont="1" applyFill="1"/>
    <xf numFmtId="0" fontId="5" fillId="29" borderId="13" xfId="0" applyFont="1" applyFill="1" applyBorder="1"/>
    <xf numFmtId="0" fontId="5" fillId="29" borderId="13" xfId="0" applyFont="1" applyFill="1" applyBorder="1" applyAlignment="1">
      <alignment horizontal="center" vertical="center"/>
    </xf>
    <xf numFmtId="43" fontId="5" fillId="29" borderId="13" xfId="105" applyFont="1" applyFill="1" applyBorder="1" applyAlignment="1">
      <alignment horizontal="center" vertical="center"/>
    </xf>
    <xf numFmtId="43" fontId="5" fillId="29" borderId="0" xfId="105" applyFont="1" applyFill="1" applyBorder="1" applyAlignment="1">
      <alignment horizontal="center" vertical="center"/>
    </xf>
    <xf numFmtId="166" fontId="5" fillId="29" borderId="13" xfId="0" applyNumberFormat="1" applyFont="1" applyFill="1" applyBorder="1"/>
    <xf numFmtId="43" fontId="5" fillId="29" borderId="13" xfId="105" applyFont="1" applyFill="1" applyBorder="1"/>
    <xf numFmtId="166" fontId="5" fillId="29" borderId="24" xfId="0" applyNumberFormat="1" applyFont="1" applyFill="1" applyBorder="1"/>
    <xf numFmtId="166" fontId="5" fillId="29" borderId="44" xfId="0" applyNumberFormat="1" applyFont="1" applyFill="1" applyBorder="1"/>
    <xf numFmtId="166" fontId="5" fillId="29" borderId="417" xfId="0" applyNumberFormat="1" applyFont="1" applyFill="1" applyBorder="1"/>
    <xf numFmtId="166" fontId="17" fillId="29" borderId="417" xfId="0" applyNumberFormat="1" applyFont="1" applyFill="1" applyBorder="1" applyAlignment="1">
      <alignment horizontal="center" vertical="center"/>
    </xf>
    <xf numFmtId="166" fontId="17" fillId="29" borderId="13" xfId="0" applyNumberFormat="1" applyFont="1" applyFill="1" applyBorder="1" applyAlignment="1">
      <alignment horizontal="center" vertical="center"/>
    </xf>
    <xf numFmtId="167" fontId="5" fillId="29" borderId="0" xfId="2" applyNumberFormat="1" applyFont="1" applyFill="1"/>
    <xf numFmtId="0" fontId="5" fillId="119" borderId="13" xfId="0" applyFont="1" applyFill="1" applyBorder="1"/>
    <xf numFmtId="0" fontId="5" fillId="119" borderId="13" xfId="0" applyFont="1" applyFill="1" applyBorder="1" applyAlignment="1">
      <alignment horizontal="center" vertical="center"/>
    </xf>
    <xf numFmtId="0" fontId="5" fillId="119" borderId="13" xfId="0" applyFont="1" applyFill="1" applyBorder="1" applyAlignment="1">
      <alignment horizontal="left" vertical="center"/>
    </xf>
    <xf numFmtId="43" fontId="5" fillId="119" borderId="13" xfId="105" applyFont="1" applyFill="1" applyBorder="1" applyAlignment="1">
      <alignment horizontal="center" vertical="center"/>
    </xf>
    <xf numFmtId="43" fontId="5" fillId="119" borderId="0" xfId="105" applyFont="1" applyFill="1" applyBorder="1" applyAlignment="1">
      <alignment horizontal="center" vertical="center"/>
    </xf>
    <xf numFmtId="166" fontId="5" fillId="119" borderId="13" xfId="0" applyNumberFormat="1" applyFont="1" applyFill="1" applyBorder="1"/>
    <xf numFmtId="43" fontId="5" fillId="119" borderId="13" xfId="105" applyFont="1" applyFill="1" applyBorder="1"/>
    <xf numFmtId="166" fontId="5" fillId="119" borderId="24" xfId="0" applyNumberFormat="1" applyFont="1" applyFill="1" applyBorder="1"/>
    <xf numFmtId="166" fontId="5" fillId="119" borderId="44" xfId="0" applyNumberFormat="1" applyFont="1" applyFill="1" applyBorder="1"/>
    <xf numFmtId="166" fontId="5" fillId="119" borderId="417" xfId="0" applyNumberFormat="1" applyFont="1" applyFill="1" applyBorder="1"/>
    <xf numFmtId="166" fontId="17" fillId="119" borderId="417" xfId="0" applyNumberFormat="1" applyFont="1" applyFill="1" applyBorder="1" applyAlignment="1">
      <alignment horizontal="center" vertical="center"/>
    </xf>
    <xf numFmtId="166" fontId="17" fillId="119" borderId="13" xfId="0" applyNumberFormat="1" applyFont="1" applyFill="1" applyBorder="1" applyAlignment="1">
      <alignment horizontal="center" vertical="center"/>
    </xf>
    <xf numFmtId="167" fontId="5" fillId="16" borderId="0" xfId="2" applyNumberFormat="1" applyFont="1" applyFill="1"/>
    <xf numFmtId="0" fontId="5" fillId="133" borderId="0" xfId="0" applyFont="1" applyFill="1"/>
    <xf numFmtId="0" fontId="5" fillId="133" borderId="0" xfId="0" applyFont="1" applyFill="1" applyAlignment="1">
      <alignment horizontal="center" vertical="center"/>
    </xf>
    <xf numFmtId="166" fontId="5" fillId="133" borderId="13" xfId="0" applyNumberFormat="1" applyFont="1" applyFill="1" applyBorder="1"/>
    <xf numFmtId="166" fontId="5" fillId="133" borderId="0" xfId="0" applyNumberFormat="1" applyFont="1" applyFill="1"/>
    <xf numFmtId="166" fontId="5" fillId="133" borderId="24" xfId="0" applyNumberFormat="1" applyFont="1" applyFill="1" applyBorder="1"/>
    <xf numFmtId="166" fontId="5" fillId="133" borderId="46" xfId="0" applyNumberFormat="1" applyFont="1" applyFill="1" applyBorder="1"/>
    <xf numFmtId="166" fontId="5" fillId="133" borderId="47" xfId="0" applyNumberFormat="1" applyFont="1" applyFill="1" applyBorder="1"/>
    <xf numFmtId="166" fontId="5" fillId="133" borderId="317" xfId="0" applyNumberFormat="1" applyFont="1" applyFill="1" applyBorder="1"/>
    <xf numFmtId="166" fontId="5" fillId="133" borderId="418" xfId="0" applyNumberFormat="1" applyFont="1" applyFill="1" applyBorder="1"/>
    <xf numFmtId="166" fontId="5" fillId="133" borderId="417" xfId="0" applyNumberFormat="1" applyFont="1" applyFill="1" applyBorder="1"/>
    <xf numFmtId="167" fontId="5" fillId="133" borderId="0" xfId="2" applyNumberFormat="1" applyFont="1" applyFill="1"/>
    <xf numFmtId="166" fontId="5" fillId="16" borderId="0" xfId="0" applyNumberFormat="1" applyFont="1" applyFill="1"/>
    <xf numFmtId="166" fontId="5" fillId="16" borderId="419" xfId="0" applyNumberFormat="1" applyFont="1" applyFill="1" applyBorder="1"/>
    <xf numFmtId="166" fontId="5" fillId="3" borderId="0" xfId="0" applyNumberFormat="1" applyFont="1" applyFill="1"/>
    <xf numFmtId="0" fontId="5" fillId="16" borderId="419" xfId="0" applyFont="1" applyFill="1" applyBorder="1"/>
    <xf numFmtId="43" fontId="5" fillId="119" borderId="0" xfId="105" applyFont="1" applyFill="1"/>
    <xf numFmtId="43" fontId="5" fillId="119" borderId="419" xfId="105" applyFont="1" applyFill="1" applyBorder="1"/>
    <xf numFmtId="43" fontId="5" fillId="16" borderId="0" xfId="105" applyFont="1" applyFill="1"/>
    <xf numFmtId="43" fontId="5" fillId="16" borderId="419" xfId="105" applyFont="1" applyFill="1" applyBorder="1"/>
    <xf numFmtId="43" fontId="5" fillId="3" borderId="0" xfId="105" applyFont="1" applyFill="1"/>
    <xf numFmtId="0" fontId="5" fillId="0" borderId="419" xfId="0" applyFont="1" applyBorder="1"/>
    <xf numFmtId="0" fontId="5" fillId="3" borderId="34" xfId="0" applyFont="1" applyFill="1" applyBorder="1" applyAlignment="1">
      <alignment horizontal="left"/>
    </xf>
    <xf numFmtId="0" fontId="5" fillId="3" borderId="34" xfId="0" applyFont="1" applyFill="1" applyBorder="1" applyAlignment="1">
      <alignment horizontal="center"/>
    </xf>
    <xf numFmtId="0" fontId="5" fillId="0" borderId="420" xfId="0" applyFont="1" applyBorder="1" applyAlignment="1">
      <alignment horizontal="center" vertical="center"/>
    </xf>
    <xf numFmtId="0" fontId="5" fillId="0" borderId="68" xfId="0" applyFont="1" applyBorder="1" applyAlignment="1">
      <alignment horizontal="center" vertical="center"/>
    </xf>
    <xf numFmtId="0" fontId="5" fillId="0" borderId="54" xfId="0" applyFont="1" applyBorder="1" applyAlignment="1">
      <alignment horizontal="center" vertical="center"/>
    </xf>
    <xf numFmtId="0" fontId="5" fillId="3" borderId="68" xfId="0" applyFont="1" applyFill="1" applyBorder="1" applyAlignment="1">
      <alignment horizontal="center" vertical="center"/>
    </xf>
    <xf numFmtId="17" fontId="5" fillId="0" borderId="127" xfId="0" applyNumberFormat="1" applyFont="1" applyBorder="1" applyAlignment="1">
      <alignment horizontal="center" vertical="center"/>
    </xf>
    <xf numFmtId="17" fontId="5" fillId="0" borderId="42" xfId="0" applyNumberFormat="1" applyFont="1" applyBorder="1" applyAlignment="1">
      <alignment horizontal="center" vertical="center"/>
    </xf>
    <xf numFmtId="17" fontId="5" fillId="0" borderId="263" xfId="0" applyNumberFormat="1" applyFont="1" applyBorder="1" applyAlignment="1">
      <alignment horizontal="center" vertical="center"/>
    </xf>
    <xf numFmtId="17" fontId="5" fillId="0" borderId="421" xfId="0" applyNumberFormat="1" applyFont="1" applyBorder="1" applyAlignment="1">
      <alignment horizontal="center" vertical="center"/>
    </xf>
    <xf numFmtId="17" fontId="5" fillId="0" borderId="417" xfId="0" applyNumberFormat="1" applyFont="1" applyBorder="1" applyAlignment="1">
      <alignment horizontal="center" vertical="center"/>
    </xf>
    <xf numFmtId="17" fontId="5" fillId="0" borderId="13" xfId="0" applyNumberFormat="1" applyFont="1" applyBorder="1" applyAlignment="1">
      <alignment horizontal="center" vertical="center"/>
    </xf>
    <xf numFmtId="17" fontId="5" fillId="0" borderId="24" xfId="0" applyNumberFormat="1" applyFont="1" applyBorder="1" applyAlignment="1">
      <alignment horizontal="center" vertical="center"/>
    </xf>
    <xf numFmtId="17" fontId="5" fillId="3" borderId="24" xfId="0" applyNumberFormat="1" applyFont="1" applyFill="1" applyBorder="1" applyAlignment="1">
      <alignment horizontal="center" vertical="center"/>
    </xf>
    <xf numFmtId="17" fontId="5" fillId="0" borderId="422" xfId="0" applyNumberFormat="1" applyFont="1" applyBorder="1" applyAlignment="1">
      <alignment horizontal="center" vertical="center"/>
    </xf>
    <xf numFmtId="17" fontId="5" fillId="0" borderId="70" xfId="0" applyNumberFormat="1" applyFont="1" applyBorder="1" applyAlignment="1">
      <alignment horizontal="center" vertical="center"/>
    </xf>
    <xf numFmtId="17" fontId="5" fillId="0" borderId="25" xfId="0" applyNumberFormat="1" applyFont="1" applyBorder="1" applyAlignment="1">
      <alignment horizontal="center" vertical="center"/>
    </xf>
    <xf numFmtId="17" fontId="5" fillId="3" borderId="70" xfId="0" applyNumberFormat="1" applyFont="1" applyFill="1" applyBorder="1" applyAlignment="1">
      <alignment horizontal="center" vertical="center"/>
    </xf>
    <xf numFmtId="0" fontId="5" fillId="0" borderId="13" xfId="0" applyFont="1" applyBorder="1" applyAlignment="1">
      <alignment horizontal="center" vertical="center"/>
    </xf>
    <xf numFmtId="0" fontId="5" fillId="0" borderId="24" xfId="0" applyFont="1" applyBorder="1" applyAlignment="1">
      <alignment horizontal="center" vertical="center"/>
    </xf>
    <xf numFmtId="0" fontId="5" fillId="0" borderId="44" xfId="0" applyFont="1" applyBorder="1" applyAlignment="1">
      <alignment horizontal="center" vertical="center"/>
    </xf>
    <xf numFmtId="0" fontId="5" fillId="0" borderId="417" xfId="0" applyFont="1" applyBorder="1" applyAlignment="1">
      <alignment horizontal="center" vertical="center"/>
    </xf>
    <xf numFmtId="0" fontId="5" fillId="3" borderId="24" xfId="0" applyFont="1" applyFill="1" applyBorder="1" applyAlignment="1">
      <alignment horizontal="center" vertical="center"/>
    </xf>
    <xf numFmtId="0" fontId="5" fillId="0" borderId="423" xfId="0" applyFont="1" applyBorder="1" applyAlignment="1">
      <alignment horizontal="center" vertical="center"/>
    </xf>
    <xf numFmtId="0" fontId="5" fillId="0" borderId="71" xfId="0" applyFont="1" applyBorder="1" applyAlignment="1">
      <alignment horizontal="center" vertical="center"/>
    </xf>
    <xf numFmtId="0" fontId="5" fillId="0" borderId="57" xfId="0" applyFont="1" applyBorder="1" applyAlignment="1">
      <alignment horizontal="center" vertical="center"/>
    </xf>
    <xf numFmtId="0" fontId="5" fillId="3" borderId="71" xfId="0" applyFont="1" applyFill="1" applyBorder="1" applyAlignment="1">
      <alignment horizontal="center" vertical="center"/>
    </xf>
    <xf numFmtId="0" fontId="5" fillId="5" borderId="0" xfId="0" applyFont="1" applyFill="1" applyAlignment="1">
      <alignment horizontal="center"/>
    </xf>
    <xf numFmtId="43" fontId="5" fillId="5" borderId="13" xfId="105" applyFont="1" applyFill="1" applyBorder="1"/>
    <xf numFmtId="43" fontId="5" fillId="5" borderId="24" xfId="105" applyFont="1" applyFill="1" applyBorder="1"/>
    <xf numFmtId="43" fontId="5" fillId="5" borderId="44" xfId="105" applyFont="1" applyFill="1" applyBorder="1"/>
    <xf numFmtId="43" fontId="5" fillId="5" borderId="417" xfId="105" applyFont="1" applyFill="1" applyBorder="1"/>
    <xf numFmtId="43" fontId="5" fillId="3" borderId="13" xfId="105" applyFont="1" applyFill="1" applyBorder="1"/>
    <xf numFmtId="43" fontId="5" fillId="3" borderId="24" xfId="105" applyFont="1" applyFill="1" applyBorder="1"/>
    <xf numFmtId="43" fontId="5" fillId="5" borderId="424" xfId="105" applyFont="1" applyFill="1" applyBorder="1"/>
    <xf numFmtId="43" fontId="5" fillId="5" borderId="108" xfId="105" applyFont="1" applyFill="1" applyBorder="1"/>
    <xf numFmtId="43" fontId="5" fillId="5" borderId="34" xfId="105" applyFont="1" applyFill="1" applyBorder="1"/>
    <xf numFmtId="43" fontId="5" fillId="3" borderId="108" xfId="105" applyFont="1" applyFill="1" applyBorder="1"/>
    <xf numFmtId="0" fontId="5" fillId="29" borderId="0" xfId="0" applyFont="1" applyFill="1" applyAlignment="1">
      <alignment horizontal="center"/>
    </xf>
    <xf numFmtId="43" fontId="5" fillId="29" borderId="24" xfId="105" applyFont="1" applyFill="1" applyBorder="1"/>
    <xf numFmtId="43" fontId="5" fillId="29" borderId="44" xfId="105" applyFont="1" applyFill="1" applyBorder="1"/>
    <xf numFmtId="43" fontId="5" fillId="29" borderId="417" xfId="105" applyFont="1" applyFill="1" applyBorder="1"/>
    <xf numFmtId="43" fontId="5" fillId="29" borderId="422" xfId="105" applyFont="1" applyFill="1" applyBorder="1"/>
    <xf numFmtId="43" fontId="5" fillId="29" borderId="70" xfId="105" applyFont="1" applyFill="1" applyBorder="1"/>
    <xf numFmtId="43" fontId="5" fillId="29" borderId="25" xfId="105" applyFont="1" applyFill="1" applyBorder="1"/>
    <xf numFmtId="43" fontId="5" fillId="3" borderId="70" xfId="105" applyFont="1" applyFill="1" applyBorder="1"/>
    <xf numFmtId="0" fontId="5" fillId="13" borderId="0" xfId="0" applyFont="1" applyFill="1" applyAlignment="1">
      <alignment horizontal="center"/>
    </xf>
    <xf numFmtId="43" fontId="5" fillId="13" borderId="13" xfId="105" applyFont="1" applyFill="1" applyBorder="1"/>
    <xf numFmtId="43" fontId="5" fillId="13" borderId="24" xfId="105" applyFont="1" applyFill="1" applyBorder="1"/>
    <xf numFmtId="43" fontId="5" fillId="13" borderId="44" xfId="105" applyFont="1" applyFill="1" applyBorder="1"/>
    <xf numFmtId="43" fontId="5" fillId="13" borderId="417" xfId="105" applyFont="1" applyFill="1" applyBorder="1"/>
    <xf numFmtId="43" fontId="5" fillId="13" borderId="422" xfId="105" applyFont="1" applyFill="1" applyBorder="1"/>
    <xf numFmtId="43" fontId="5" fillId="13" borderId="70" xfId="105" applyFont="1" applyFill="1" applyBorder="1"/>
    <xf numFmtId="43" fontId="5" fillId="13" borderId="25" xfId="105" applyFont="1" applyFill="1" applyBorder="1"/>
    <xf numFmtId="0" fontId="5" fillId="79" borderId="38" xfId="0" applyFont="1" applyFill="1" applyBorder="1" applyAlignment="1">
      <alignment horizontal="center"/>
    </xf>
    <xf numFmtId="43" fontId="5" fillId="79" borderId="24" xfId="105" applyFont="1" applyFill="1" applyBorder="1"/>
    <xf numFmtId="43" fontId="5" fillId="79" borderId="318" xfId="105" applyFont="1" applyFill="1" applyBorder="1"/>
    <xf numFmtId="43" fontId="5" fillId="79" borderId="417" xfId="105" applyFont="1" applyFill="1" applyBorder="1"/>
    <xf numFmtId="43" fontId="5" fillId="79" borderId="422" xfId="105" applyFont="1" applyFill="1" applyBorder="1"/>
    <xf numFmtId="43" fontId="5" fillId="79" borderId="70" xfId="105" applyFont="1" applyFill="1" applyBorder="1"/>
    <xf numFmtId="43" fontId="5" fillId="79" borderId="25" xfId="105" applyFont="1" applyFill="1" applyBorder="1"/>
    <xf numFmtId="43" fontId="5" fillId="0" borderId="13" xfId="0" applyNumberFormat="1" applyFont="1" applyBorder="1"/>
    <xf numFmtId="43" fontId="5" fillId="0" borderId="17" xfId="0" applyNumberFormat="1" applyFont="1" applyBorder="1"/>
    <xf numFmtId="43" fontId="5" fillId="0" borderId="24" xfId="0" applyNumberFormat="1" applyFont="1" applyBorder="1"/>
    <xf numFmtId="43" fontId="5" fillId="0" borderId="5" xfId="0" applyNumberFormat="1" applyFont="1" applyBorder="1"/>
    <xf numFmtId="43" fontId="5" fillId="0" borderId="52" xfId="0" applyNumberFormat="1" applyFont="1" applyBorder="1"/>
    <xf numFmtId="43" fontId="5" fillId="0" borderId="425" xfId="0" applyNumberFormat="1" applyFont="1" applyBorder="1"/>
    <xf numFmtId="43" fontId="5" fillId="3" borderId="5" xfId="0" applyNumberFormat="1" applyFont="1" applyFill="1" applyBorder="1"/>
    <xf numFmtId="43" fontId="5" fillId="3" borderId="52" xfId="0" applyNumberFormat="1" applyFont="1" applyFill="1" applyBorder="1"/>
    <xf numFmtId="0" fontId="17" fillId="28" borderId="0" xfId="0" applyFont="1" applyFill="1" applyAlignment="1">
      <alignment horizontal="center"/>
    </xf>
    <xf numFmtId="43" fontId="17" fillId="28" borderId="5" xfId="0" applyNumberFormat="1" applyFont="1" applyFill="1" applyBorder="1"/>
    <xf numFmtId="0" fontId="17" fillId="71" borderId="0" xfId="0" applyFont="1" applyFill="1" applyAlignment="1">
      <alignment horizontal="center"/>
    </xf>
    <xf numFmtId="43" fontId="17" fillId="71" borderId="52" xfId="0" applyNumberFormat="1" applyFont="1" applyFill="1" applyBorder="1"/>
    <xf numFmtId="43" fontId="17" fillId="0" borderId="0" xfId="0" applyNumberFormat="1" applyFont="1"/>
    <xf numFmtId="0" fontId="17" fillId="3" borderId="0" xfId="0" applyFont="1" applyFill="1" applyAlignment="1">
      <alignment horizontal="center"/>
    </xf>
    <xf numFmtId="43" fontId="17" fillId="3" borderId="52" xfId="0" applyNumberFormat="1" applyFont="1" applyFill="1" applyBorder="1"/>
    <xf numFmtId="9" fontId="5" fillId="3" borderId="0" xfId="2" applyFont="1" applyFill="1"/>
    <xf numFmtId="0" fontId="5" fillId="3" borderId="0" xfId="0" applyFont="1" applyFill="1"/>
    <xf numFmtId="0" fontId="93" fillId="28" borderId="0" xfId="0" applyFont="1" applyFill="1" applyAlignment="1">
      <alignment horizontal="center" vertical="center"/>
    </xf>
    <xf numFmtId="0" fontId="93" fillId="71" borderId="0" xfId="0" applyFont="1" applyFill="1" applyAlignment="1">
      <alignment horizontal="center" vertical="center"/>
    </xf>
    <xf numFmtId="0" fontId="93" fillId="3" borderId="0" xfId="0" applyFont="1" applyFill="1" applyAlignment="1">
      <alignment horizontal="center" vertical="center"/>
    </xf>
    <xf numFmtId="0" fontId="110" fillId="28" borderId="0" xfId="0" applyFont="1" applyFill="1" applyAlignment="1">
      <alignment horizontal="center" vertical="center" wrapText="1"/>
    </xf>
    <xf numFmtId="0" fontId="110" fillId="71" borderId="0" xfId="0" applyFont="1" applyFill="1" applyAlignment="1">
      <alignment horizontal="center" vertical="center" wrapText="1"/>
    </xf>
    <xf numFmtId="0" fontId="110" fillId="3" borderId="0" xfId="0" applyFont="1" applyFill="1" applyAlignment="1">
      <alignment horizontal="center" vertical="center" wrapText="1"/>
    </xf>
    <xf numFmtId="0" fontId="5" fillId="5" borderId="0" xfId="0" applyFont="1" applyFill="1"/>
    <xf numFmtId="43" fontId="93" fillId="28" borderId="0" xfId="105" applyFont="1" applyFill="1"/>
    <xf numFmtId="43" fontId="93" fillId="71" borderId="0" xfId="105" applyFont="1" applyFill="1"/>
    <xf numFmtId="43" fontId="93" fillId="3" borderId="0" xfId="105" applyFont="1" applyFill="1"/>
    <xf numFmtId="0" fontId="5" fillId="29" borderId="0" xfId="0" applyFont="1" applyFill="1"/>
    <xf numFmtId="0" fontId="5" fillId="79" borderId="0" xfId="0" applyFont="1" applyFill="1"/>
    <xf numFmtId="0" fontId="5" fillId="0" borderId="52" xfId="0" applyFont="1" applyBorder="1" applyAlignment="1">
      <alignment horizontal="center"/>
    </xf>
    <xf numFmtId="43" fontId="93" fillId="28" borderId="83" xfId="105" applyFont="1" applyFill="1" applyBorder="1"/>
    <xf numFmtId="43" fontId="93" fillId="71" borderId="11" xfId="105" applyFont="1" applyFill="1" applyBorder="1"/>
    <xf numFmtId="43" fontId="93" fillId="3" borderId="11" xfId="105" applyFont="1" applyFill="1" applyBorder="1"/>
    <xf numFmtId="0" fontId="281" fillId="92" borderId="0" xfId="0" applyFont="1" applyFill="1" applyAlignment="1">
      <alignment horizontal="center"/>
    </xf>
    <xf numFmtId="43" fontId="281" fillId="92" borderId="0" xfId="0" applyNumberFormat="1" applyFont="1" applyFill="1" applyAlignment="1">
      <alignment horizontal="center"/>
    </xf>
    <xf numFmtId="43" fontId="5" fillId="5" borderId="422" xfId="105" applyFont="1" applyFill="1" applyBorder="1"/>
    <xf numFmtId="10" fontId="5" fillId="13" borderId="269" xfId="2" applyNumberFormat="1" applyFont="1" applyFill="1" applyBorder="1"/>
    <xf numFmtId="43" fontId="5" fillId="13" borderId="38" xfId="0" applyNumberFormat="1" applyFont="1" applyFill="1" applyBorder="1"/>
    <xf numFmtId="10" fontId="5" fillId="28" borderId="127" xfId="2" applyNumberFormat="1" applyFont="1" applyFill="1" applyBorder="1"/>
    <xf numFmtId="43" fontId="5" fillId="0" borderId="43" xfId="0" applyNumberFormat="1" applyFont="1" applyBorder="1"/>
    <xf numFmtId="43" fontId="5" fillId="0" borderId="263" xfId="0" applyNumberFormat="1" applyFont="1" applyBorder="1"/>
    <xf numFmtId="10" fontId="5" fillId="13" borderId="44" xfId="2" applyNumberFormat="1" applyFont="1" applyFill="1" applyBorder="1"/>
    <xf numFmtId="43" fontId="5" fillId="13" borderId="24" xfId="0" applyNumberFormat="1" applyFont="1" applyFill="1" applyBorder="1"/>
    <xf numFmtId="10" fontId="5" fillId="28" borderId="44" xfId="2" applyNumberFormat="1" applyFont="1" applyFill="1" applyBorder="1"/>
    <xf numFmtId="43" fontId="5" fillId="0" borderId="45" xfId="0" applyNumberFormat="1" applyFont="1" applyBorder="1"/>
    <xf numFmtId="43" fontId="5" fillId="79" borderId="426" xfId="105" applyFont="1" applyFill="1" applyBorder="1"/>
    <xf numFmtId="10" fontId="5" fillId="13" borderId="318" xfId="2" applyNumberFormat="1" applyFont="1" applyFill="1" applyBorder="1"/>
    <xf numFmtId="43" fontId="5" fillId="13" borderId="36" xfId="0" applyNumberFormat="1" applyFont="1" applyFill="1" applyBorder="1"/>
    <xf numFmtId="10" fontId="5" fillId="28" borderId="318" xfId="2" applyNumberFormat="1" applyFont="1" applyFill="1" applyBorder="1"/>
    <xf numFmtId="43" fontId="5" fillId="0" borderId="319" xfId="0" applyNumberFormat="1" applyFont="1" applyBorder="1"/>
    <xf numFmtId="43" fontId="5" fillId="79" borderId="36" xfId="105" applyFont="1" applyFill="1" applyBorder="1"/>
    <xf numFmtId="43" fontId="5" fillId="0" borderId="36" xfId="0" applyNumberFormat="1" applyFont="1" applyBorder="1"/>
    <xf numFmtId="0" fontId="5" fillId="0" borderId="427" xfId="0" applyFont="1" applyBorder="1" applyAlignment="1">
      <alignment horizontal="center"/>
    </xf>
    <xf numFmtId="10" fontId="5" fillId="13" borderId="49" xfId="2" applyNumberFormat="1" applyFont="1" applyFill="1" applyBorder="1"/>
    <xf numFmtId="43" fontId="5" fillId="13" borderId="87" xfId="0" applyNumberFormat="1" applyFont="1" applyFill="1" applyBorder="1"/>
    <xf numFmtId="10" fontId="5" fillId="28" borderId="49" xfId="2" applyNumberFormat="1" applyFont="1" applyFill="1" applyBorder="1"/>
    <xf numFmtId="43" fontId="5" fillId="0" borderId="51" xfId="0" applyNumberFormat="1" applyFont="1" applyBorder="1"/>
    <xf numFmtId="43" fontId="5" fillId="0" borderId="87" xfId="0" applyNumberFormat="1" applyFont="1" applyBorder="1"/>
    <xf numFmtId="0" fontId="17" fillId="116" borderId="256" xfId="0" applyFont="1" applyFill="1" applyBorder="1" applyAlignment="1">
      <alignment horizontal="center" vertical="center" wrapText="1"/>
    </xf>
    <xf numFmtId="0" fontId="17" fillId="116" borderId="0" xfId="0" applyFont="1" applyFill="1" applyAlignment="1">
      <alignment horizontal="center" vertical="center" wrapText="1"/>
    </xf>
    <xf numFmtId="17" fontId="282" fillId="0" borderId="0" xfId="0" applyNumberFormat="1" applyFont="1" applyAlignment="1">
      <alignment vertical="top" wrapText="1"/>
    </xf>
    <xf numFmtId="43" fontId="5" fillId="0" borderId="0" xfId="105" applyFont="1" applyAlignment="1">
      <alignment vertical="top" wrapText="1"/>
    </xf>
    <xf numFmtId="43" fontId="282" fillId="0" borderId="0" xfId="105" applyFont="1" applyBorder="1" applyAlignment="1">
      <alignment vertical="top" wrapText="1"/>
    </xf>
    <xf numFmtId="43" fontId="5" fillId="0" borderId="0" xfId="105" applyFont="1" applyBorder="1" applyAlignment="1">
      <alignment vertical="top" wrapText="1"/>
    </xf>
    <xf numFmtId="167" fontId="5" fillId="0" borderId="0" xfId="2" applyNumberFormat="1" applyFont="1" applyBorder="1" applyAlignment="1">
      <alignment vertical="top" wrapText="1"/>
    </xf>
    <xf numFmtId="0" fontId="5" fillId="0" borderId="0" xfId="0" applyFont="1" applyAlignment="1">
      <alignment vertical="top" wrapText="1"/>
    </xf>
    <xf numFmtId="0" fontId="5" fillId="0" borderId="13" xfId="0" applyFont="1" applyBorder="1" applyAlignment="1">
      <alignment vertical="top"/>
    </xf>
    <xf numFmtId="43" fontId="5" fillId="0" borderId="13" xfId="0" applyNumberFormat="1" applyFont="1" applyBorder="1" applyAlignment="1">
      <alignment vertical="top" wrapText="1"/>
    </xf>
    <xf numFmtId="166" fontId="5" fillId="0" borderId="0" xfId="0" applyNumberFormat="1" applyFont="1" applyAlignment="1">
      <alignment vertical="top" wrapText="1"/>
    </xf>
    <xf numFmtId="43" fontId="5" fillId="0" borderId="0" xfId="105" applyFont="1" applyAlignment="1">
      <alignment vertical="top"/>
    </xf>
    <xf numFmtId="10" fontId="5" fillId="0" borderId="13" xfId="2" applyNumberFormat="1" applyFont="1" applyBorder="1" applyAlignment="1">
      <alignment vertical="top" wrapText="1"/>
    </xf>
    <xf numFmtId="0" fontId="5" fillId="0" borderId="0" xfId="0" applyFont="1" applyAlignment="1">
      <alignment vertical="top"/>
    </xf>
    <xf numFmtId="0" fontId="5" fillId="3" borderId="13" xfId="0" applyFont="1" applyFill="1" applyBorder="1" applyAlignment="1">
      <alignment vertical="top"/>
    </xf>
    <xf numFmtId="10" fontId="5" fillId="0" borderId="0" xfId="2" applyNumberFormat="1" applyFont="1" applyBorder="1" applyAlignment="1">
      <alignment vertical="top" wrapText="1"/>
    </xf>
    <xf numFmtId="17" fontId="282" fillId="0" borderId="34" xfId="0" applyNumberFormat="1" applyFont="1" applyBorder="1" applyAlignment="1">
      <alignment vertical="top" wrapText="1"/>
    </xf>
    <xf numFmtId="43" fontId="282" fillId="0" borderId="34" xfId="105" applyFont="1" applyBorder="1" applyAlignment="1">
      <alignment vertical="top" wrapText="1"/>
    </xf>
    <xf numFmtId="43" fontId="5" fillId="0" borderId="34" xfId="105" applyFont="1" applyBorder="1" applyAlignment="1">
      <alignment vertical="top" wrapText="1"/>
    </xf>
    <xf numFmtId="167" fontId="5" fillId="0" borderId="34" xfId="2" applyNumberFormat="1" applyFont="1" applyBorder="1" applyAlignment="1">
      <alignment vertical="top" wrapText="1"/>
    </xf>
    <xf numFmtId="17" fontId="282" fillId="0" borderId="27" xfId="0" applyNumberFormat="1" applyFont="1" applyBorder="1" applyAlignment="1">
      <alignment vertical="top" wrapText="1"/>
    </xf>
    <xf numFmtId="43" fontId="282" fillId="0" borderId="27" xfId="105" applyFont="1" applyBorder="1" applyAlignment="1">
      <alignment vertical="top" wrapText="1"/>
    </xf>
    <xf numFmtId="43" fontId="5" fillId="0" borderId="27" xfId="105" applyFont="1" applyBorder="1" applyAlignment="1">
      <alignment vertical="top" wrapText="1"/>
    </xf>
    <xf numFmtId="167" fontId="5" fillId="0" borderId="27" xfId="2" applyNumberFormat="1" applyFont="1" applyBorder="1" applyAlignment="1">
      <alignment vertical="top" wrapText="1"/>
    </xf>
    <xf numFmtId="167" fontId="5" fillId="0" borderId="13" xfId="2" applyNumberFormat="1" applyFont="1" applyBorder="1" applyAlignment="1">
      <alignment vertical="top" wrapText="1"/>
    </xf>
    <xf numFmtId="17" fontId="5" fillId="0" borderId="0" xfId="0" applyNumberFormat="1" applyFont="1" applyAlignment="1">
      <alignment vertical="top" wrapText="1"/>
    </xf>
    <xf numFmtId="167" fontId="5" fillId="0" borderId="0" xfId="2" applyNumberFormat="1" applyFont="1" applyAlignment="1">
      <alignment vertical="top" wrapText="1"/>
    </xf>
    <xf numFmtId="43" fontId="5" fillId="0" borderId="0" xfId="0" applyNumberFormat="1" applyFont="1" applyAlignment="1">
      <alignment vertical="top" wrapText="1"/>
    </xf>
    <xf numFmtId="43" fontId="5" fillId="3" borderId="0" xfId="105" applyFont="1" applyFill="1" applyAlignment="1">
      <alignment horizontal="center" vertical="top"/>
    </xf>
    <xf numFmtId="43" fontId="5" fillId="0" borderId="0" xfId="105" applyFont="1" applyFill="1" applyAlignment="1">
      <alignment vertical="top" wrapText="1"/>
    </xf>
    <xf numFmtId="167" fontId="5" fillId="0" borderId="0" xfId="2" applyNumberFormat="1" applyFont="1" applyFill="1" applyAlignment="1">
      <alignment vertical="top" wrapText="1"/>
    </xf>
    <xf numFmtId="17" fontId="5" fillId="3" borderId="0" xfId="0" applyNumberFormat="1" applyFont="1" applyFill="1" applyAlignment="1">
      <alignment vertical="top" wrapText="1"/>
    </xf>
    <xf numFmtId="43" fontId="5" fillId="3" borderId="0" xfId="105" applyFont="1" applyFill="1" applyAlignment="1">
      <alignment vertical="top" wrapText="1"/>
    </xf>
    <xf numFmtId="0" fontId="5" fillId="3" borderId="0" xfId="0" applyFont="1" applyFill="1" applyAlignment="1">
      <alignment vertical="top" wrapText="1"/>
    </xf>
    <xf numFmtId="167" fontId="5" fillId="3" borderId="0" xfId="2" applyNumberFormat="1" applyFont="1" applyFill="1" applyAlignment="1">
      <alignment vertical="top" wrapText="1"/>
    </xf>
    <xf numFmtId="43" fontId="5" fillId="0" borderId="0" xfId="105" applyFont="1"/>
    <xf numFmtId="9" fontId="61" fillId="14" borderId="25" xfId="2" applyFont="1" applyFill="1" applyBorder="1" applyAlignment="1">
      <alignment horizontal="center" vertical="center"/>
    </xf>
    <xf numFmtId="9" fontId="61" fillId="26" borderId="25" xfId="2" applyFont="1" applyFill="1" applyBorder="1" applyAlignment="1">
      <alignment horizontal="center" vertical="center"/>
    </xf>
    <xf numFmtId="10" fontId="61" fillId="26" borderId="25" xfId="2" applyNumberFormat="1" applyFont="1" applyFill="1" applyBorder="1" applyAlignment="1">
      <alignment horizontal="center" vertical="center"/>
    </xf>
    <xf numFmtId="10" fontId="61" fillId="14" borderId="25" xfId="2" applyNumberFormat="1" applyFont="1" applyFill="1" applyBorder="1" applyAlignment="1">
      <alignment horizontal="center" vertical="center"/>
    </xf>
    <xf numFmtId="0" fontId="73" fillId="26" borderId="312" xfId="0" applyFont="1" applyFill="1" applyBorder="1" applyAlignment="1">
      <alignment horizontal="center" vertical="center"/>
    </xf>
    <xf numFmtId="0" fontId="61" fillId="16" borderId="312" xfId="0" applyFont="1" applyFill="1" applyBorder="1" applyAlignment="1">
      <alignment horizontal="center" vertical="center"/>
    </xf>
    <xf numFmtId="0" fontId="63" fillId="26" borderId="312" xfId="0" applyFont="1" applyFill="1" applyBorder="1" applyAlignment="1">
      <alignment horizontal="center" vertical="center"/>
    </xf>
    <xf numFmtId="0" fontId="63" fillId="0" borderId="0" xfId="0" applyFont="1" applyFill="1" applyBorder="1" applyAlignment="1">
      <alignment horizontal="center" vertical="center"/>
    </xf>
    <xf numFmtId="168" fontId="30" fillId="83" borderId="25" xfId="1" applyNumberFormat="1" applyFont="1" applyFill="1" applyBorder="1" applyAlignment="1">
      <alignment horizontal="center" vertical="center"/>
    </xf>
    <xf numFmtId="168" fontId="30" fillId="84" borderId="25" xfId="1" applyNumberFormat="1" applyFont="1" applyFill="1" applyBorder="1" applyAlignment="1">
      <alignment horizontal="center" vertical="center"/>
    </xf>
    <xf numFmtId="168" fontId="63" fillId="16" borderId="25" xfId="1" applyNumberFormat="1" applyFont="1" applyFill="1" applyBorder="1" applyAlignment="1">
      <alignment horizontal="center" vertical="center"/>
    </xf>
    <xf numFmtId="168" fontId="63" fillId="14" borderId="25" xfId="1" applyNumberFormat="1" applyFont="1" applyFill="1" applyBorder="1" applyAlignment="1">
      <alignment horizontal="center" vertical="center"/>
    </xf>
    <xf numFmtId="168" fontId="63" fillId="26" borderId="25" xfId="1" applyNumberFormat="1" applyFont="1" applyFill="1" applyBorder="1" applyAlignment="1">
      <alignment horizontal="center" vertical="center"/>
    </xf>
    <xf numFmtId="0" fontId="63" fillId="0" borderId="45" xfId="0" applyFont="1" applyFill="1" applyBorder="1" applyAlignment="1">
      <alignment horizontal="center" vertical="center"/>
    </xf>
    <xf numFmtId="0" fontId="153" fillId="0" borderId="25" xfId="0" applyFont="1" applyBorder="1" applyAlignment="1">
      <alignment horizontal="center" vertical="center" wrapText="1"/>
    </xf>
    <xf numFmtId="168" fontId="153" fillId="16" borderId="25" xfId="1" applyNumberFormat="1" applyFont="1" applyFill="1" applyBorder="1" applyAlignment="1">
      <alignment horizontal="center" vertical="center" wrapText="1"/>
    </xf>
    <xf numFmtId="0" fontId="63" fillId="0" borderId="312" xfId="0" applyFont="1" applyBorder="1" applyAlignment="1">
      <alignment horizontal="center" vertical="center" wrapText="1"/>
    </xf>
    <xf numFmtId="0" fontId="63" fillId="0" borderId="0" xfId="0" applyFont="1" applyFill="1" applyAlignment="1">
      <alignment horizontal="center" vertical="center"/>
    </xf>
    <xf numFmtId="0" fontId="30" fillId="0" borderId="0" xfId="0" applyFont="1" applyFill="1" applyAlignment="1">
      <alignment horizontal="center" vertical="center"/>
    </xf>
    <xf numFmtId="9" fontId="61" fillId="16" borderId="25" xfId="2" applyFont="1" applyFill="1" applyBorder="1" applyAlignment="1">
      <alignment horizontal="center" vertical="center"/>
    </xf>
    <xf numFmtId="9" fontId="61" fillId="71" borderId="25" xfId="2" applyFont="1" applyFill="1" applyBorder="1" applyAlignment="1">
      <alignment horizontal="center" vertical="center"/>
    </xf>
    <xf numFmtId="168" fontId="73" fillId="71" borderId="25" xfId="1" applyNumberFormat="1" applyFont="1" applyFill="1" applyBorder="1" applyAlignment="1">
      <alignment horizontal="center" vertical="center"/>
    </xf>
    <xf numFmtId="168" fontId="63" fillId="71" borderId="25" xfId="1" applyNumberFormat="1" applyFont="1" applyFill="1" applyBorder="1" applyAlignment="1">
      <alignment horizontal="center" vertical="center"/>
    </xf>
    <xf numFmtId="0" fontId="11" fillId="0" borderId="0" xfId="0" applyFont="1" applyAlignment="1">
      <alignment vertical="center"/>
    </xf>
    <xf numFmtId="0" fontId="159" fillId="0" borderId="0" xfId="0" applyFont="1" applyFill="1" applyAlignment="1">
      <alignment vertical="center"/>
    </xf>
    <xf numFmtId="0" fontId="159" fillId="0" borderId="0" xfId="0" applyFont="1" applyFill="1" applyAlignment="1">
      <alignment horizontal="center" vertical="center"/>
    </xf>
    <xf numFmtId="0" fontId="30" fillId="34" borderId="394" xfId="0" applyFont="1" applyFill="1" applyBorder="1" applyAlignment="1">
      <alignment horizontal="center" wrapText="1"/>
    </xf>
    <xf numFmtId="43" fontId="269" fillId="127" borderId="11" xfId="105" applyFont="1" applyFill="1" applyBorder="1" applyAlignment="1">
      <alignment vertical="center" wrapText="1"/>
    </xf>
    <xf numFmtId="43" fontId="8" fillId="34" borderId="11" xfId="105" applyFont="1" applyFill="1" applyBorder="1" applyAlignment="1">
      <alignment vertical="center" wrapText="1"/>
    </xf>
    <xf numFmtId="43" fontId="91" fillId="128" borderId="11" xfId="105" applyFont="1" applyFill="1" applyBorder="1" applyAlignment="1">
      <alignment vertical="center" wrapText="1"/>
    </xf>
    <xf numFmtId="43" fontId="8" fillId="129" borderId="11" xfId="105" applyFont="1" applyFill="1" applyBorder="1" applyAlignment="1">
      <alignment vertical="center" wrapText="1"/>
    </xf>
    <xf numFmtId="164" fontId="8" fillId="38" borderId="52" xfId="105" applyNumberFormat="1" applyFont="1" applyFill="1" applyBorder="1" applyAlignment="1">
      <alignment vertical="center" wrapText="1"/>
    </xf>
    <xf numFmtId="164" fontId="8" fillId="38" borderId="83" xfId="105" applyNumberFormat="1" applyFont="1" applyFill="1" applyBorder="1" applyAlignment="1">
      <alignment vertical="center" wrapText="1"/>
    </xf>
    <xf numFmtId="168" fontId="26" fillId="115" borderId="52" xfId="1" applyNumberFormat="1" applyFont="1" applyFill="1" applyBorder="1" applyAlignment="1"/>
    <xf numFmtId="168" fontId="26" fillId="115" borderId="83" xfId="1" applyNumberFormat="1" applyFont="1" applyFill="1" applyBorder="1" applyAlignment="1"/>
    <xf numFmtId="168" fontId="26" fillId="78" borderId="52" xfId="1" applyNumberFormat="1" applyFont="1" applyFill="1" applyBorder="1" applyAlignment="1"/>
    <xf numFmtId="168" fontId="26" fillId="78" borderId="83" xfId="1" applyNumberFormat="1" applyFont="1" applyFill="1" applyBorder="1" applyAlignment="1"/>
    <xf numFmtId="0" fontId="248" fillId="0" borderId="0" xfId="0" applyFont="1" applyAlignment="1">
      <alignment vertical="top" wrapText="1"/>
    </xf>
    <xf numFmtId="0" fontId="17" fillId="85" borderId="0" xfId="0" applyFont="1" applyFill="1" applyAlignment="1">
      <alignment horizontal="center" vertical="center" wrapText="1"/>
    </xf>
    <xf numFmtId="0" fontId="248" fillId="0" borderId="0" xfId="0" applyFont="1" applyAlignment="1">
      <alignment horizontal="center" vertical="center" wrapText="1"/>
    </xf>
    <xf numFmtId="9" fontId="5" fillId="3" borderId="0" xfId="2" applyFont="1" applyFill="1" applyAlignment="1">
      <alignment horizontal="center"/>
    </xf>
    <xf numFmtId="0" fontId="248" fillId="0" borderId="0" xfId="0" applyFont="1" applyAlignment="1">
      <alignment horizontal="left"/>
    </xf>
    <xf numFmtId="165" fontId="5" fillId="3" borderId="70" xfId="3" applyFont="1" applyFill="1" applyBorder="1" applyAlignment="1">
      <alignment horizontal="left"/>
    </xf>
    <xf numFmtId="43" fontId="270" fillId="127" borderId="49" xfId="105" applyFont="1" applyFill="1" applyBorder="1" applyAlignment="1">
      <alignment horizontal="center" vertical="center" wrapText="1"/>
    </xf>
    <xf numFmtId="43" fontId="270" fillId="127" borderId="5" xfId="105" applyFont="1" applyFill="1" applyBorder="1" applyAlignment="1">
      <alignment horizontal="center" vertical="center" wrapText="1"/>
    </xf>
    <xf numFmtId="43" fontId="41" fillId="34" borderId="49" xfId="105" applyFont="1" applyFill="1" applyBorder="1" applyAlignment="1">
      <alignment horizontal="center" vertical="center" wrapText="1"/>
    </xf>
    <xf numFmtId="43" fontId="41" fillId="34" borderId="5" xfId="105" applyFont="1" applyFill="1" applyBorder="1" applyAlignment="1">
      <alignment horizontal="center" vertical="center" wrapText="1"/>
    </xf>
    <xf numFmtId="43" fontId="41" fillId="128" borderId="49" xfId="105" applyFont="1" applyFill="1" applyBorder="1" applyAlignment="1">
      <alignment horizontal="center" vertical="center" wrapText="1"/>
    </xf>
    <xf numFmtId="43" fontId="41" fillId="128" borderId="5" xfId="105" applyFont="1" applyFill="1" applyBorder="1" applyAlignment="1">
      <alignment horizontal="center" vertical="center" wrapText="1"/>
    </xf>
    <xf numFmtId="43" fontId="41" fillId="129" borderId="49" xfId="105" applyFont="1" applyFill="1" applyBorder="1" applyAlignment="1">
      <alignment horizontal="center" vertical="center" wrapText="1"/>
    </xf>
    <xf numFmtId="43" fontId="41" fillId="129" borderId="5" xfId="105" applyFont="1" applyFill="1" applyBorder="1" applyAlignment="1">
      <alignment horizontal="center" vertical="center" wrapText="1"/>
    </xf>
    <xf numFmtId="0" fontId="283" fillId="115" borderId="393" xfId="0" applyFont="1" applyFill="1" applyBorder="1" applyAlignment="1">
      <alignment horizontal="center"/>
    </xf>
    <xf numFmtId="0" fontId="283" fillId="115" borderId="381" xfId="0" applyFont="1" applyFill="1" applyBorder="1" applyAlignment="1">
      <alignment horizontal="center"/>
    </xf>
    <xf numFmtId="164" fontId="41" fillId="38" borderId="40" xfId="105" applyNumberFormat="1" applyFont="1" applyFill="1" applyBorder="1" applyAlignment="1">
      <alignment horizontal="center" vertical="center" wrapText="1"/>
    </xf>
    <xf numFmtId="164" fontId="41" fillId="38" borderId="8" xfId="105" applyNumberFormat="1" applyFont="1" applyFill="1" applyBorder="1" applyAlignment="1">
      <alignment horizontal="center" vertical="center" wrapText="1"/>
    </xf>
    <xf numFmtId="0" fontId="271" fillId="0" borderId="24" xfId="0" applyFont="1" applyBorder="1"/>
    <xf numFmtId="0" fontId="0" fillId="0" borderId="263" xfId="0" applyBorder="1"/>
    <xf numFmtId="0" fontId="0" fillId="0" borderId="13" xfId="0" applyBorder="1"/>
    <xf numFmtId="0" fontId="0" fillId="0" borderId="269" xfId="0" applyBorder="1"/>
    <xf numFmtId="0" fontId="0" fillId="0" borderId="55" xfId="0" applyBorder="1"/>
    <xf numFmtId="0" fontId="0" fillId="0" borderId="24" xfId="0" applyBorder="1"/>
    <xf numFmtId="0" fontId="0" fillId="0" borderId="44" xfId="0" applyBorder="1"/>
    <xf numFmtId="0" fontId="0" fillId="0" borderId="45" xfId="0" applyBorder="1"/>
    <xf numFmtId="0" fontId="272" fillId="0" borderId="24" xfId="0" applyFont="1" applyBorder="1"/>
    <xf numFmtId="0" fontId="272" fillId="0" borderId="36" xfId="0" applyFont="1" applyBorder="1"/>
    <xf numFmtId="0" fontId="26" fillId="38" borderId="56" xfId="0" applyFont="1" applyFill="1" applyBorder="1" applyAlignment="1">
      <alignment horizontal="right"/>
    </xf>
    <xf numFmtId="0" fontId="26" fillId="38" borderId="48" xfId="0" applyFont="1" applyFill="1" applyBorder="1" applyAlignment="1">
      <alignment horizontal="right"/>
    </xf>
    <xf numFmtId="0" fontId="26" fillId="115" borderId="5" xfId="0" applyFont="1" applyFill="1" applyBorder="1" applyAlignment="1">
      <alignment horizontal="right"/>
    </xf>
    <xf numFmtId="0" fontId="26" fillId="0" borderId="0" xfId="0" applyFont="1" applyAlignment="1">
      <alignment horizontal="right"/>
    </xf>
    <xf numFmtId="0" fontId="26" fillId="115" borderId="49" xfId="0" applyFont="1" applyFill="1" applyBorder="1" applyAlignment="1">
      <alignment wrapText="1"/>
    </xf>
    <xf numFmtId="0" fontId="26" fillId="115" borderId="51" xfId="0" applyFont="1" applyFill="1" applyBorder="1" applyAlignment="1">
      <alignment wrapText="1"/>
    </xf>
    <xf numFmtId="43" fontId="269" fillId="127" borderId="52" xfId="105" applyFont="1" applyFill="1" applyBorder="1" applyAlignment="1">
      <alignment vertical="center" wrapText="1"/>
    </xf>
    <xf numFmtId="43" fontId="269" fillId="127" borderId="83" xfId="105" applyFont="1" applyFill="1" applyBorder="1" applyAlignment="1">
      <alignment vertical="center" wrapText="1"/>
    </xf>
    <xf numFmtId="43" fontId="8" fillId="34" borderId="52" xfId="105" applyFont="1" applyFill="1" applyBorder="1" applyAlignment="1">
      <alignment vertical="center" wrapText="1"/>
    </xf>
    <xf numFmtId="43" fontId="8" fillId="34" borderId="83" xfId="105" applyFont="1" applyFill="1" applyBorder="1" applyAlignment="1">
      <alignment vertical="center" wrapText="1"/>
    </xf>
    <xf numFmtId="43" fontId="91" fillId="128" borderId="52" xfId="105" applyFont="1" applyFill="1" applyBorder="1" applyAlignment="1">
      <alignment vertical="center" wrapText="1"/>
    </xf>
    <xf numFmtId="43" fontId="91" fillId="128" borderId="83" xfId="105" applyFont="1" applyFill="1" applyBorder="1" applyAlignment="1">
      <alignment vertical="center" wrapText="1"/>
    </xf>
    <xf numFmtId="43" fontId="8" fillId="129" borderId="52" xfId="105" applyFont="1" applyFill="1" applyBorder="1" applyAlignment="1">
      <alignment vertical="center" wrapText="1"/>
    </xf>
    <xf numFmtId="43" fontId="8" fillId="129" borderId="83" xfId="105" applyFont="1" applyFill="1" applyBorder="1" applyAlignment="1">
      <alignment vertical="center" wrapText="1"/>
    </xf>
    <xf numFmtId="168" fontId="26" fillId="115" borderId="11" xfId="1" applyNumberFormat="1" applyFont="1" applyFill="1" applyBorder="1" applyAlignment="1"/>
    <xf numFmtId="168" fontId="26" fillId="38" borderId="56" xfId="1" applyNumberFormat="1" applyFont="1" applyFill="1" applyBorder="1" applyAlignment="1"/>
    <xf numFmtId="168" fontId="26" fillId="38" borderId="380" xfId="1" applyNumberFormat="1" applyFont="1" applyFill="1" applyBorder="1" applyAlignment="1"/>
    <xf numFmtId="3" fontId="61" fillId="0" borderId="269" xfId="0" applyNumberFormat="1" applyFont="1" applyBorder="1"/>
    <xf numFmtId="3" fontId="61" fillId="0" borderId="20" xfId="0" applyNumberFormat="1" applyFont="1" applyBorder="1"/>
    <xf numFmtId="9" fontId="237" fillId="26" borderId="37" xfId="2" applyFont="1" applyFill="1" applyBorder="1" applyAlignment="1">
      <alignment horizontal="center" vertical="center" wrapText="1"/>
    </xf>
    <xf numFmtId="168" fontId="132" fillId="0" borderId="35" xfId="1" applyNumberFormat="1" applyFont="1" applyFill="1" applyBorder="1" applyAlignment="1">
      <alignment horizontal="center" vertical="center"/>
    </xf>
    <xf numFmtId="168" fontId="132" fillId="0" borderId="30" xfId="1" applyNumberFormat="1" applyFont="1" applyFill="1" applyBorder="1" applyAlignment="1">
      <alignment horizontal="center" vertical="center"/>
    </xf>
    <xf numFmtId="167" fontId="132" fillId="0" borderId="40" xfId="2" applyNumberFormat="1" applyFont="1" applyFill="1" applyBorder="1" applyAlignment="1">
      <alignment horizontal="center" vertical="center"/>
    </xf>
    <xf numFmtId="167" fontId="132" fillId="0" borderId="9" xfId="2" applyNumberFormat="1" applyFont="1" applyFill="1" applyBorder="1" applyAlignment="1">
      <alignment horizontal="center" vertical="center"/>
    </xf>
    <xf numFmtId="168" fontId="61" fillId="16" borderId="25" xfId="1" applyNumberFormat="1" applyFont="1" applyFill="1" applyBorder="1" applyAlignment="1">
      <alignment horizontal="center" vertical="center"/>
    </xf>
    <xf numFmtId="0" fontId="259" fillId="26" borderId="0" xfId="0" applyFont="1" applyFill="1" applyBorder="1" applyAlignment="1">
      <alignment horizontal="center" vertical="center"/>
    </xf>
    <xf numFmtId="0" fontId="241" fillId="3" borderId="0" xfId="0" applyFont="1" applyFill="1" applyBorder="1" applyAlignment="1">
      <alignment horizontal="center" vertical="center" wrapText="1"/>
    </xf>
    <xf numFmtId="3" fontId="255" fillId="26" borderId="0" xfId="0" applyNumberFormat="1" applyFont="1" applyFill="1" applyBorder="1"/>
    <xf numFmtId="0" fontId="61" fillId="0" borderId="0" xfId="0" applyFont="1" applyFill="1" applyBorder="1" applyAlignment="1">
      <alignment horizontal="center" vertical="center" wrapText="1"/>
    </xf>
    <xf numFmtId="0" fontId="30" fillId="37" borderId="6" xfId="0" applyFont="1" applyFill="1" applyBorder="1" applyAlignment="1">
      <alignment horizontal="left" vertical="center"/>
    </xf>
    <xf numFmtId="168" fontId="7" fillId="71" borderId="25" xfId="1" applyNumberFormat="1" applyFont="1" applyFill="1" applyBorder="1" applyAlignment="1">
      <alignment horizontal="center" vertical="center" wrapText="1"/>
    </xf>
    <xf numFmtId="171" fontId="30" fillId="14" borderId="0" xfId="0" applyNumberFormat="1" applyFont="1" applyFill="1" applyBorder="1" applyAlignment="1">
      <alignment horizontal="center" vertical="center"/>
    </xf>
    <xf numFmtId="171" fontId="30" fillId="70" borderId="94" xfId="0" applyNumberFormat="1" applyFont="1" applyFill="1" applyBorder="1" applyAlignment="1">
      <alignment horizontal="center"/>
    </xf>
    <xf numFmtId="171" fontId="30" fillId="70" borderId="92" xfId="0" applyNumberFormat="1" applyFont="1" applyFill="1" applyBorder="1" applyAlignment="1">
      <alignment horizontal="center"/>
    </xf>
    <xf numFmtId="171" fontId="30" fillId="70" borderId="92" xfId="22" applyNumberFormat="1" applyFont="1" applyFill="1" applyBorder="1" applyAlignment="1">
      <alignment horizontal="center"/>
    </xf>
    <xf numFmtId="171" fontId="30" fillId="70" borderId="428" xfId="0" applyNumberFormat="1" applyFont="1" applyFill="1" applyBorder="1" applyAlignment="1">
      <alignment horizontal="center"/>
    </xf>
    <xf numFmtId="171" fontId="30" fillId="70" borderId="429" xfId="0" applyNumberFormat="1" applyFont="1" applyFill="1" applyBorder="1" applyAlignment="1">
      <alignment horizontal="center"/>
    </xf>
    <xf numFmtId="171" fontId="30" fillId="70" borderId="429" xfId="22" applyNumberFormat="1" applyFont="1" applyFill="1" applyBorder="1" applyAlignment="1">
      <alignment horizontal="center"/>
    </xf>
    <xf numFmtId="171" fontId="152" fillId="70" borderId="429" xfId="22" applyNumberFormat="1" applyFont="1" applyFill="1" applyBorder="1" applyAlignment="1">
      <alignment horizontal="center"/>
    </xf>
    <xf numFmtId="0" fontId="61" fillId="0" borderId="35" xfId="0" applyFont="1" applyBorder="1" applyAlignment="1">
      <alignment vertical="center"/>
    </xf>
    <xf numFmtId="0" fontId="61" fillId="0" borderId="0" xfId="0" applyFont="1" applyAlignment="1">
      <alignment horizontal="left" vertical="top"/>
    </xf>
    <xf numFmtId="0" fontId="60" fillId="16" borderId="0" xfId="0" applyFont="1" applyFill="1" applyAlignment="1">
      <alignment vertical="center"/>
    </xf>
    <xf numFmtId="171" fontId="24" fillId="16" borderId="0" xfId="0" applyNumberFormat="1" applyFont="1" applyFill="1" applyAlignment="1">
      <alignment horizontal="center" vertical="center"/>
    </xf>
    <xf numFmtId="171" fontId="64" fillId="16" borderId="0" xfId="0" applyNumberFormat="1" applyFont="1" applyFill="1" applyAlignment="1">
      <alignment horizontal="center" vertical="center"/>
    </xf>
    <xf numFmtId="0" fontId="61" fillId="0" borderId="37" xfId="0" applyFont="1" applyBorder="1" applyAlignment="1">
      <alignment horizontal="center" vertical="center" wrapText="1"/>
    </xf>
    <xf numFmtId="0" fontId="61" fillId="16" borderId="0" xfId="0" applyFont="1" applyFill="1" applyAlignment="1">
      <alignment vertical="center"/>
    </xf>
    <xf numFmtId="0" fontId="21" fillId="16" borderId="0" xfId="109" applyFill="1" applyBorder="1" applyAlignment="1" applyProtection="1">
      <alignment vertical="center"/>
    </xf>
    <xf numFmtId="0" fontId="173" fillId="16" borderId="0" xfId="0" applyFont="1" applyFill="1" applyAlignment="1">
      <alignment vertical="center"/>
    </xf>
    <xf numFmtId="171" fontId="174" fillId="16" borderId="0" xfId="0" applyNumberFormat="1" applyFont="1" applyFill="1" applyAlignment="1">
      <alignment horizontal="center" vertical="center"/>
    </xf>
    <xf numFmtId="0" fontId="61" fillId="0" borderId="0" xfId="0" applyFont="1" applyAlignment="1">
      <alignment horizontal="center" vertical="center" wrapText="1"/>
    </xf>
    <xf numFmtId="171" fontId="30" fillId="14" borderId="0" xfId="0" applyNumberFormat="1" applyFont="1" applyFill="1" applyAlignment="1">
      <alignment horizontal="center" vertical="center"/>
    </xf>
    <xf numFmtId="0" fontId="60" fillId="11" borderId="0" xfId="0" applyFont="1" applyFill="1"/>
    <xf numFmtId="171" fontId="6" fillId="16" borderId="0" xfId="0" applyNumberFormat="1" applyFont="1" applyFill="1" applyAlignment="1">
      <alignment horizontal="left" vertical="center"/>
    </xf>
    <xf numFmtId="171" fontId="7" fillId="16" borderId="0" xfId="0" applyNumberFormat="1" applyFont="1" applyFill="1" applyAlignment="1">
      <alignment horizontal="center" vertical="center"/>
    </xf>
    <xf numFmtId="171" fontId="6" fillId="16" borderId="0" xfId="0" applyNumberFormat="1" applyFont="1" applyFill="1" applyAlignment="1">
      <alignment horizontal="center" vertical="center"/>
    </xf>
    <xf numFmtId="171" fontId="30" fillId="16" borderId="0" xfId="0" applyNumberFormat="1" applyFont="1" applyFill="1" applyAlignment="1">
      <alignment horizontal="center"/>
    </xf>
    <xf numFmtId="0" fontId="0" fillId="16" borderId="0" xfId="0" applyFill="1" applyAlignment="1">
      <alignment vertical="center"/>
    </xf>
    <xf numFmtId="171" fontId="30" fillId="38" borderId="0" xfId="0" applyNumberFormat="1" applyFont="1" applyFill="1" applyAlignment="1">
      <alignment horizontal="center"/>
    </xf>
    <xf numFmtId="171" fontId="61" fillId="16" borderId="0" xfId="0" applyNumberFormat="1" applyFont="1" applyFill="1" applyAlignment="1">
      <alignment horizontal="center"/>
    </xf>
    <xf numFmtId="0" fontId="0" fillId="0" borderId="41" xfId="0" applyBorder="1" applyAlignment="1">
      <alignment vertical="center"/>
    </xf>
    <xf numFmtId="0" fontId="61" fillId="0" borderId="6" xfId="0" applyFont="1" applyBorder="1" applyAlignment="1">
      <alignment horizontal="center" vertical="center" wrapText="1"/>
    </xf>
    <xf numFmtId="171" fontId="30" fillId="0" borderId="264" xfId="0" applyNumberFormat="1" applyFont="1" applyBorder="1" applyAlignment="1">
      <alignment horizontal="center" vertical="center"/>
    </xf>
    <xf numFmtId="2" fontId="97" fillId="0" borderId="51" xfId="0" applyNumberFormat="1" applyFont="1" applyBorder="1" applyAlignment="1">
      <alignment horizontal="center" vertical="center"/>
    </xf>
    <xf numFmtId="2" fontId="178" fillId="0" borderId="51" xfId="0" applyNumberFormat="1" applyFont="1" applyBorder="1" applyAlignment="1">
      <alignment horizontal="center" vertical="center"/>
    </xf>
    <xf numFmtId="2" fontId="61" fillId="0" borderId="314" xfId="0" applyNumberFormat="1" applyFont="1" applyBorder="1" applyAlignment="1">
      <alignment horizontal="center" vertical="center"/>
    </xf>
    <xf numFmtId="2" fontId="160" fillId="0" borderId="55" xfId="0" applyNumberFormat="1" applyFont="1" applyBorder="1" applyAlignment="1">
      <alignment horizontal="center" vertical="center"/>
    </xf>
    <xf numFmtId="2" fontId="96" fillId="0" borderId="363" xfId="0" applyNumberFormat="1" applyFont="1" applyBorder="1" applyAlignment="1">
      <alignment horizontal="center" vertical="center"/>
    </xf>
    <xf numFmtId="171" fontId="11" fillId="0" borderId="264" xfId="0" applyNumberFormat="1" applyFont="1" applyBorder="1" applyAlignment="1">
      <alignment horizontal="center" vertical="center" wrapText="1"/>
    </xf>
    <xf numFmtId="9" fontId="19" fillId="27" borderId="44" xfId="2" applyFont="1" applyFill="1" applyBorder="1" applyAlignment="1">
      <alignment horizontal="center" vertical="center"/>
    </xf>
    <xf numFmtId="2" fontId="178" fillId="0" borderId="45" xfId="0" applyNumberFormat="1" applyFont="1" applyBorder="1" applyAlignment="1">
      <alignment horizontal="center" vertical="center"/>
    </xf>
    <xf numFmtId="2" fontId="97" fillId="0" borderId="319" xfId="0" applyNumberFormat="1" applyFont="1" applyBorder="1" applyAlignment="1">
      <alignment horizontal="center" vertical="center"/>
    </xf>
    <xf numFmtId="2" fontId="97" fillId="0" borderId="48" xfId="0" applyNumberFormat="1" applyFont="1" applyBorder="1" applyAlignment="1">
      <alignment horizontal="center" vertical="center"/>
    </xf>
    <xf numFmtId="171" fontId="30" fillId="16" borderId="0" xfId="0" applyNumberFormat="1" applyFont="1" applyFill="1" applyAlignment="1">
      <alignment horizontal="center" vertical="center" wrapText="1"/>
    </xf>
    <xf numFmtId="0" fontId="55" fillId="9" borderId="0" xfId="0" applyFont="1" applyFill="1" applyAlignment="1">
      <alignment horizontal="center" vertical="center"/>
    </xf>
    <xf numFmtId="0" fontId="55" fillId="9" borderId="0" xfId="0" applyFont="1" applyFill="1" applyAlignment="1">
      <alignment horizontal="center"/>
    </xf>
    <xf numFmtId="0" fontId="0" fillId="31" borderId="0" xfId="0" applyFill="1" applyAlignment="1">
      <alignment horizontal="center" vertical="center"/>
    </xf>
    <xf numFmtId="171" fontId="29" fillId="0" borderId="0" xfId="0" applyNumberFormat="1" applyFont="1" applyAlignment="1">
      <alignment horizontal="center"/>
    </xf>
    <xf numFmtId="171" fontId="24" fillId="16" borderId="0" xfId="0" applyNumberFormat="1" applyFont="1" applyFill="1" applyAlignment="1">
      <alignment horizontal="center" vertical="center" wrapText="1"/>
    </xf>
    <xf numFmtId="171" fontId="108" fillId="13" borderId="0" xfId="0" applyNumberFormat="1" applyFont="1" applyFill="1" applyAlignment="1">
      <alignment horizontal="center" vertical="center" wrapText="1"/>
    </xf>
    <xf numFmtId="0" fontId="21" fillId="0" borderId="0" xfId="109" applyAlignment="1" applyProtection="1"/>
    <xf numFmtId="166" fontId="30" fillId="16" borderId="0" xfId="110" applyFont="1" applyFill="1" applyBorder="1" applyAlignment="1">
      <alignment horizontal="center" vertical="center"/>
    </xf>
    <xf numFmtId="171" fontId="30" fillId="10" borderId="0" xfId="0" applyNumberFormat="1" applyFont="1" applyFill="1" applyAlignment="1">
      <alignment horizontal="center" vertical="center"/>
    </xf>
    <xf numFmtId="171" fontId="163" fillId="16" borderId="0" xfId="0" applyNumberFormat="1" applyFont="1" applyFill="1" applyAlignment="1">
      <alignment horizontal="center"/>
    </xf>
    <xf numFmtId="171" fontId="30" fillId="16" borderId="0" xfId="22" applyNumberFormat="1" applyFont="1" applyFill="1" applyAlignment="1">
      <alignment horizontal="center"/>
    </xf>
    <xf numFmtId="171" fontId="58" fillId="16" borderId="0" xfId="0" applyNumberFormat="1" applyFont="1" applyFill="1" applyAlignment="1">
      <alignment horizontal="center" vertical="top"/>
    </xf>
    <xf numFmtId="171" fontId="164" fillId="16" borderId="0" xfId="22" applyNumberFormat="1" applyFont="1" applyFill="1" applyAlignment="1">
      <alignment horizontal="center"/>
    </xf>
    <xf numFmtId="171" fontId="30" fillId="29" borderId="0" xfId="0" applyNumberFormat="1" applyFont="1" applyFill="1" applyAlignment="1">
      <alignment horizontal="center"/>
    </xf>
    <xf numFmtId="171" fontId="63" fillId="16" borderId="0" xfId="22" applyNumberFormat="1" applyFont="1" applyFill="1" applyAlignment="1">
      <alignment horizontal="center"/>
    </xf>
    <xf numFmtId="1" fontId="58" fillId="98" borderId="35" xfId="0" applyNumberFormat="1" applyFont="1" applyFill="1" applyBorder="1"/>
    <xf numFmtId="1" fontId="58" fillId="98" borderId="29" xfId="0" applyNumberFormat="1" applyFont="1" applyFill="1" applyBorder="1"/>
    <xf numFmtId="1" fontId="58" fillId="98" borderId="30" xfId="0" applyNumberFormat="1" applyFont="1" applyFill="1" applyBorder="1"/>
    <xf numFmtId="171" fontId="58" fillId="0" borderId="37" xfId="0" applyNumberFormat="1" applyFont="1" applyBorder="1" applyAlignment="1">
      <alignment horizontal="center"/>
    </xf>
    <xf numFmtId="171" fontId="58" fillId="0" borderId="0" xfId="0" applyNumberFormat="1" applyFont="1" applyAlignment="1">
      <alignment horizontal="center"/>
    </xf>
    <xf numFmtId="171" fontId="58" fillId="0" borderId="7" xfId="0" applyNumberFormat="1" applyFont="1" applyBorder="1" applyAlignment="1">
      <alignment horizontal="center"/>
    </xf>
    <xf numFmtId="171" fontId="165" fillId="98" borderId="0" xfId="0" applyNumberFormat="1" applyFont="1" applyFill="1" applyAlignment="1">
      <alignment horizontal="center"/>
    </xf>
    <xf numFmtId="1" fontId="166" fillId="88" borderId="35" xfId="0" applyNumberFormat="1" applyFont="1" applyFill="1" applyBorder="1"/>
    <xf numFmtId="1" fontId="166" fillId="88" borderId="29" xfId="0" applyNumberFormat="1" applyFont="1" applyFill="1" applyBorder="1"/>
    <xf numFmtId="171" fontId="59" fillId="22" borderId="0" xfId="0" applyNumberFormat="1" applyFont="1" applyFill="1" applyAlignment="1">
      <alignment horizontal="center"/>
    </xf>
    <xf numFmtId="1" fontId="59" fillId="22" borderId="35" xfId="0" applyNumberFormat="1" applyFont="1" applyFill="1" applyBorder="1"/>
    <xf numFmtId="1" fontId="59" fillId="22" borderId="29" xfId="0" applyNumberFormat="1" applyFont="1" applyFill="1" applyBorder="1"/>
    <xf numFmtId="1" fontId="59" fillId="22" borderId="30" xfId="0" applyNumberFormat="1" applyFont="1" applyFill="1" applyBorder="1"/>
    <xf numFmtId="171" fontId="59" fillId="4" borderId="0" xfId="0" applyNumberFormat="1" applyFont="1" applyFill="1" applyAlignment="1">
      <alignment horizontal="center"/>
    </xf>
    <xf numFmtId="171" fontId="168" fillId="4" borderId="0" xfId="0" applyNumberFormat="1" applyFont="1" applyFill="1" applyAlignment="1">
      <alignment horizontal="center"/>
    </xf>
    <xf numFmtId="1" fontId="161" fillId="15" borderId="35" xfId="0" applyNumberFormat="1" applyFont="1" applyFill="1" applyBorder="1"/>
    <xf numFmtId="1" fontId="161" fillId="15" borderId="29" xfId="0" applyNumberFormat="1" applyFont="1" applyFill="1" applyBorder="1"/>
    <xf numFmtId="1" fontId="161" fillId="15" borderId="30" xfId="0" applyNumberFormat="1" applyFont="1" applyFill="1" applyBorder="1"/>
    <xf numFmtId="171" fontId="62" fillId="0" borderId="37" xfId="0" applyNumberFormat="1" applyFont="1" applyBorder="1" applyAlignment="1">
      <alignment horizontal="center"/>
    </xf>
    <xf numFmtId="171" fontId="62" fillId="0" borderId="0" xfId="0" applyNumberFormat="1" applyFont="1" applyAlignment="1">
      <alignment horizontal="center"/>
    </xf>
    <xf numFmtId="171" fontId="62" fillId="0" borderId="7" xfId="0" applyNumberFormat="1" applyFont="1" applyBorder="1" applyAlignment="1">
      <alignment horizontal="center"/>
    </xf>
    <xf numFmtId="171" fontId="63" fillId="15" borderId="0" xfId="0" applyNumberFormat="1" applyFont="1" applyFill="1" applyAlignment="1">
      <alignment horizontal="center"/>
    </xf>
    <xf numFmtId="171" fontId="161" fillId="15" borderId="0" xfId="0" applyNumberFormat="1" applyFont="1" applyFill="1" applyAlignment="1">
      <alignment horizontal="center"/>
    </xf>
    <xf numFmtId="171" fontId="30" fillId="4" borderId="0" xfId="0" applyNumberFormat="1" applyFont="1" applyFill="1" applyAlignment="1">
      <alignment horizontal="center"/>
    </xf>
    <xf numFmtId="171" fontId="97" fillId="4" borderId="0" xfId="0" applyNumberFormat="1" applyFont="1" applyFill="1" applyAlignment="1">
      <alignment horizontal="center"/>
    </xf>
    <xf numFmtId="0" fontId="30" fillId="15" borderId="29" xfId="0" applyFont="1" applyFill="1" applyBorder="1" applyAlignment="1">
      <alignment horizontal="center"/>
    </xf>
    <xf numFmtId="171" fontId="30" fillId="0" borderId="37" xfId="0" applyNumberFormat="1" applyFont="1" applyBorder="1" applyAlignment="1">
      <alignment horizontal="center"/>
    </xf>
    <xf numFmtId="171" fontId="30" fillId="0" borderId="0" xfId="0" applyNumberFormat="1" applyFont="1" applyAlignment="1">
      <alignment horizontal="center"/>
    </xf>
    <xf numFmtId="171" fontId="30" fillId="0" borderId="7" xfId="0" applyNumberFormat="1" applyFont="1" applyBorder="1" applyAlignment="1">
      <alignment horizontal="center"/>
    </xf>
    <xf numFmtId="171" fontId="30" fillId="15" borderId="0" xfId="0" applyNumberFormat="1" applyFont="1" applyFill="1" applyAlignment="1">
      <alignment horizontal="center"/>
    </xf>
    <xf numFmtId="171" fontId="97" fillId="15" borderId="0" xfId="0" applyNumberFormat="1" applyFont="1" applyFill="1" applyAlignment="1">
      <alignment horizontal="center"/>
    </xf>
    <xf numFmtId="0" fontId="30" fillId="4" borderId="29" xfId="0" applyFont="1" applyFill="1" applyBorder="1" applyAlignment="1">
      <alignment horizontal="center"/>
    </xf>
    <xf numFmtId="171" fontId="30" fillId="14" borderId="37" xfId="0" applyNumberFormat="1" applyFont="1" applyFill="1" applyBorder="1" applyAlignment="1">
      <alignment horizontal="center" vertical="center"/>
    </xf>
    <xf numFmtId="0" fontId="30" fillId="82" borderId="52" xfId="0" applyFont="1" applyFill="1" applyBorder="1" applyAlignment="1">
      <alignment horizontal="center" vertical="center"/>
    </xf>
    <xf numFmtId="43" fontId="30" fillId="14" borderId="49" xfId="105" applyFont="1" applyFill="1" applyBorder="1" applyAlignment="1">
      <alignment horizontal="center" vertical="center"/>
    </xf>
    <xf numFmtId="43" fontId="30" fillId="14" borderId="50" xfId="105" applyFont="1" applyFill="1" applyBorder="1" applyAlignment="1">
      <alignment horizontal="center" vertical="center"/>
    </xf>
    <xf numFmtId="43" fontId="152" fillId="14" borderId="50" xfId="105" applyFont="1" applyFill="1" applyBorder="1" applyAlignment="1">
      <alignment horizontal="center" vertical="center"/>
    </xf>
    <xf numFmtId="43" fontId="63" fillId="14" borderId="50" xfId="105" applyFont="1" applyFill="1" applyBorder="1" applyAlignment="1">
      <alignment horizontal="center" vertical="center"/>
    </xf>
    <xf numFmtId="43" fontId="63" fillId="14" borderId="51" xfId="105" applyFont="1" applyFill="1" applyBorder="1" applyAlignment="1">
      <alignment horizontal="center" vertical="center"/>
    </xf>
    <xf numFmtId="43" fontId="61" fillId="14" borderId="269" xfId="105" applyFont="1" applyFill="1" applyBorder="1" applyAlignment="1">
      <alignment horizontal="center"/>
    </xf>
    <xf numFmtId="43" fontId="61" fillId="14" borderId="20" xfId="105" applyFont="1" applyFill="1" applyBorder="1" applyAlignment="1">
      <alignment horizontal="center"/>
    </xf>
    <xf numFmtId="43" fontId="61" fillId="14" borderId="55" xfId="105" applyFont="1" applyFill="1" applyBorder="1" applyAlignment="1">
      <alignment horizontal="center"/>
    </xf>
    <xf numFmtId="43" fontId="61" fillId="14" borderId="44" xfId="105" applyFont="1" applyFill="1" applyBorder="1" applyAlignment="1">
      <alignment horizontal="center"/>
    </xf>
    <xf numFmtId="43" fontId="61" fillId="14" borderId="13" xfId="105" applyFont="1" applyFill="1" applyBorder="1" applyAlignment="1">
      <alignment horizontal="center"/>
    </xf>
    <xf numFmtId="43" fontId="61" fillId="14" borderId="45" xfId="105" applyFont="1" applyFill="1" applyBorder="1" applyAlignment="1">
      <alignment horizontal="center"/>
    </xf>
    <xf numFmtId="43" fontId="61" fillId="14" borderId="46" xfId="105" applyFont="1" applyFill="1" applyBorder="1" applyAlignment="1">
      <alignment horizontal="center"/>
    </xf>
    <xf numFmtId="43" fontId="61" fillId="14" borderId="47" xfId="105" applyFont="1" applyFill="1" applyBorder="1" applyAlignment="1">
      <alignment horizontal="center"/>
    </xf>
    <xf numFmtId="43" fontId="61" fillId="14" borderId="48" xfId="105" applyFont="1" applyFill="1" applyBorder="1" applyAlignment="1">
      <alignment horizontal="center"/>
    </xf>
    <xf numFmtId="9" fontId="159" fillId="16" borderId="83" xfId="2" applyFont="1" applyFill="1" applyBorder="1" applyAlignment="1">
      <alignment horizontal="center" vertical="center"/>
    </xf>
    <xf numFmtId="171" fontId="30" fillId="0" borderId="0" xfId="0" applyNumberFormat="1" applyFont="1" applyAlignment="1">
      <alignment horizontal="center" vertical="center"/>
    </xf>
    <xf numFmtId="171" fontId="30" fillId="38" borderId="66" xfId="0" applyNumberFormat="1" applyFont="1" applyFill="1" applyBorder="1" applyAlignment="1">
      <alignment horizontal="center"/>
    </xf>
    <xf numFmtId="171" fontId="30" fillId="38" borderId="34" xfId="0" applyNumberFormat="1" applyFont="1" applyFill="1" applyBorder="1" applyAlignment="1">
      <alignment horizontal="center"/>
    </xf>
    <xf numFmtId="171" fontId="30" fillId="38" borderId="67" xfId="0" applyNumberFormat="1" applyFont="1" applyFill="1" applyBorder="1" applyAlignment="1">
      <alignment horizontal="center"/>
    </xf>
    <xf numFmtId="171" fontId="30" fillId="38" borderId="7" xfId="0" applyNumberFormat="1" applyFont="1" applyFill="1" applyBorder="1" applyAlignment="1">
      <alignment horizontal="center"/>
    </xf>
    <xf numFmtId="0" fontId="30" fillId="81" borderId="52" xfId="0" applyFont="1" applyFill="1" applyBorder="1" applyAlignment="1">
      <alignment horizontal="center" vertical="center"/>
    </xf>
    <xf numFmtId="43" fontId="30" fillId="70" borderId="96" xfId="105" applyFont="1" applyFill="1" applyBorder="1" applyAlignment="1">
      <alignment horizontal="center" vertical="center"/>
    </xf>
    <xf numFmtId="43" fontId="30" fillId="70" borderId="97" xfId="105" applyFont="1" applyFill="1" applyBorder="1" applyAlignment="1">
      <alignment horizontal="center" vertical="center"/>
    </xf>
    <xf numFmtId="43" fontId="152" fillId="70" borderId="97" xfId="105" applyFont="1" applyFill="1" applyBorder="1" applyAlignment="1">
      <alignment horizontal="center" vertical="center"/>
    </xf>
    <xf numFmtId="43" fontId="30" fillId="70" borderId="98" xfId="105" applyFont="1" applyFill="1" applyBorder="1" applyAlignment="1">
      <alignment horizontal="center" vertical="center"/>
    </xf>
    <xf numFmtId="43" fontId="30" fillId="70" borderId="94" xfId="105" applyFont="1" applyFill="1" applyBorder="1" applyAlignment="1">
      <alignment horizontal="center"/>
    </xf>
    <xf numFmtId="43" fontId="30" fillId="70" borderId="92" xfId="105" applyFont="1" applyFill="1" applyBorder="1" applyAlignment="1">
      <alignment horizontal="center"/>
    </xf>
    <xf numFmtId="43" fontId="30" fillId="70" borderId="95" xfId="105" applyFont="1" applyFill="1" applyBorder="1" applyAlignment="1">
      <alignment horizontal="center"/>
    </xf>
    <xf numFmtId="43" fontId="30" fillId="70" borderId="84" xfId="105" applyFont="1" applyFill="1" applyBorder="1" applyAlignment="1">
      <alignment horizontal="center"/>
    </xf>
    <xf numFmtId="43" fontId="30" fillId="70" borderId="73" xfId="105" applyFont="1" applyFill="1" applyBorder="1" applyAlignment="1">
      <alignment horizontal="center"/>
    </xf>
    <xf numFmtId="43" fontId="30" fillId="70" borderId="88" xfId="105" applyFont="1" applyFill="1" applyBorder="1" applyAlignment="1">
      <alignment horizontal="center"/>
    </xf>
    <xf numFmtId="43" fontId="30" fillId="70" borderId="430" xfId="105" applyFont="1" applyFill="1" applyBorder="1" applyAlignment="1">
      <alignment horizontal="center"/>
    </xf>
    <xf numFmtId="43" fontId="30" fillId="70" borderId="85" xfId="105" applyFont="1" applyFill="1" applyBorder="1" applyAlignment="1">
      <alignment horizontal="center"/>
    </xf>
    <xf numFmtId="43" fontId="30" fillId="70" borderId="86" xfId="105" applyFont="1" applyFill="1" applyBorder="1" applyAlignment="1">
      <alignment horizontal="center"/>
    </xf>
    <xf numFmtId="43" fontId="30" fillId="70" borderId="260" xfId="105" applyFont="1" applyFill="1" applyBorder="1" applyAlignment="1">
      <alignment horizontal="center"/>
    </xf>
    <xf numFmtId="43" fontId="30" fillId="70" borderId="431" xfId="105" applyFont="1" applyFill="1" applyBorder="1" applyAlignment="1">
      <alignment horizontal="center"/>
    </xf>
    <xf numFmtId="171" fontId="30" fillId="3" borderId="17" xfId="0" applyNumberFormat="1" applyFont="1" applyFill="1" applyBorder="1" applyAlignment="1">
      <alignment horizontal="center" vertical="center"/>
    </xf>
    <xf numFmtId="171" fontId="30" fillId="0" borderId="264" xfId="0" applyNumberFormat="1" applyFont="1" applyBorder="1" applyAlignment="1">
      <alignment horizontal="center" vertical="center" wrapText="1"/>
    </xf>
    <xf numFmtId="43" fontId="30" fillId="70" borderId="49" xfId="105" applyFont="1" applyFill="1" applyBorder="1" applyAlignment="1">
      <alignment horizontal="center" vertical="center"/>
    </xf>
    <xf numFmtId="43" fontId="30" fillId="70" borderId="50" xfId="105" applyFont="1" applyFill="1" applyBorder="1" applyAlignment="1">
      <alignment horizontal="center" vertical="center"/>
    </xf>
    <xf numFmtId="43" fontId="30" fillId="70" borderId="51" xfId="105" applyFont="1" applyFill="1" applyBorder="1" applyAlignment="1">
      <alignment horizontal="center" vertical="center"/>
    </xf>
    <xf numFmtId="0" fontId="61" fillId="130" borderId="35" xfId="0" applyFont="1" applyFill="1" applyBorder="1" applyAlignment="1">
      <alignment horizontal="center" vertical="center"/>
    </xf>
    <xf numFmtId="0" fontId="61" fillId="130" borderId="29" xfId="0" applyFont="1" applyFill="1" applyBorder="1" applyAlignment="1">
      <alignment horizontal="center" vertical="center"/>
    </xf>
    <xf numFmtId="0" fontId="61" fillId="130" borderId="37" xfId="0" applyFont="1" applyFill="1" applyBorder="1" applyAlignment="1">
      <alignment horizontal="center" vertical="center"/>
    </xf>
    <xf numFmtId="0" fontId="61" fillId="130" borderId="0" xfId="0" applyFont="1" applyFill="1" applyBorder="1" applyAlignment="1">
      <alignment horizontal="center" vertical="center"/>
    </xf>
    <xf numFmtId="3" fontId="61" fillId="38" borderId="0" xfId="0" applyNumberFormat="1" applyFont="1" applyFill="1" applyBorder="1"/>
    <xf numFmtId="3" fontId="61" fillId="38" borderId="11" xfId="0" applyNumberFormat="1" applyFont="1" applyFill="1" applyBorder="1"/>
    <xf numFmtId="0" fontId="61" fillId="4" borderId="72" xfId="0" applyFont="1" applyFill="1" applyBorder="1" applyAlignment="1">
      <alignment vertical="center"/>
    </xf>
    <xf numFmtId="0" fontId="61" fillId="0" borderId="72" xfId="0" applyFont="1" applyFill="1" applyBorder="1" applyAlignment="1">
      <alignment horizontal="center" vertical="center"/>
    </xf>
    <xf numFmtId="0" fontId="61" fillId="4" borderId="72" xfId="0" applyFont="1" applyFill="1" applyBorder="1"/>
    <xf numFmtId="0" fontId="61" fillId="4" borderId="359" xfId="0" applyFont="1" applyFill="1" applyBorder="1"/>
    <xf numFmtId="0" fontId="61" fillId="130" borderId="30" xfId="0" applyFont="1" applyFill="1" applyBorder="1" applyAlignment="1">
      <alignment horizontal="center" vertical="center"/>
    </xf>
    <xf numFmtId="0" fontId="61" fillId="130" borderId="7" xfId="0" applyFont="1" applyFill="1" applyBorder="1" applyAlignment="1">
      <alignment horizontal="center" vertical="center"/>
    </xf>
    <xf numFmtId="3" fontId="61" fillId="38" borderId="37" xfId="0" applyNumberFormat="1" applyFont="1" applyFill="1" applyBorder="1"/>
    <xf numFmtId="3" fontId="61" fillId="38" borderId="7" xfId="0" applyNumberFormat="1" applyFont="1" applyFill="1" applyBorder="1"/>
    <xf numFmtId="3" fontId="61" fillId="38" borderId="52" xfId="0" applyNumberFormat="1" applyFont="1" applyFill="1" applyBorder="1"/>
    <xf numFmtId="3" fontId="61" fillId="38" borderId="83" xfId="0" applyNumberFormat="1" applyFont="1" applyFill="1" applyBorder="1"/>
    <xf numFmtId="3" fontId="61" fillId="0" borderId="263" xfId="0" applyNumberFormat="1" applyFont="1" applyBorder="1"/>
    <xf numFmtId="3" fontId="61" fillId="0" borderId="38" xfId="0" applyNumberFormat="1" applyFont="1" applyBorder="1"/>
    <xf numFmtId="3" fontId="61" fillId="16" borderId="8" xfId="0" applyNumberFormat="1" applyFont="1" applyFill="1" applyBorder="1"/>
    <xf numFmtId="0" fontId="61" fillId="5" borderId="13" xfId="85" applyFont="1" applyFill="1" applyBorder="1"/>
    <xf numFmtId="0" fontId="61" fillId="0" borderId="13" xfId="85" applyFont="1" applyFill="1" applyBorder="1"/>
    <xf numFmtId="168" fontId="61" fillId="117" borderId="13" xfId="1" applyNumberFormat="1" applyFont="1" applyFill="1" applyBorder="1"/>
    <xf numFmtId="0" fontId="61" fillId="5" borderId="44" xfId="85" applyFont="1" applyFill="1" applyBorder="1"/>
    <xf numFmtId="0" fontId="61" fillId="5" borderId="45" xfId="85" applyFont="1" applyFill="1" applyBorder="1"/>
    <xf numFmtId="0" fontId="61" fillId="0" borderId="44" xfId="85" applyFont="1" applyFill="1" applyBorder="1"/>
    <xf numFmtId="0" fontId="61" fillId="0" borderId="45" xfId="85" applyFont="1" applyFill="1" applyBorder="1"/>
    <xf numFmtId="168" fontId="61" fillId="117" borderId="44" xfId="1" applyNumberFormat="1" applyFont="1" applyFill="1" applyBorder="1"/>
    <xf numFmtId="168" fontId="61" fillId="117" borderId="45" xfId="1" applyNumberFormat="1" applyFont="1" applyFill="1" applyBorder="1"/>
    <xf numFmtId="17" fontId="61" fillId="130" borderId="52" xfId="0" applyNumberFormat="1" applyFont="1" applyFill="1" applyBorder="1" applyAlignment="1">
      <alignment horizontal="center" vertical="center"/>
    </xf>
    <xf numFmtId="17" fontId="61" fillId="130" borderId="5" xfId="0" applyNumberFormat="1" applyFont="1" applyFill="1" applyBorder="1" applyAlignment="1">
      <alignment horizontal="center" vertical="center"/>
    </xf>
    <xf numFmtId="9" fontId="61" fillId="26" borderId="52" xfId="2" applyNumberFormat="1" applyFont="1" applyFill="1" applyBorder="1"/>
    <xf numFmtId="9" fontId="61" fillId="26" borderId="11" xfId="2" applyNumberFormat="1" applyFont="1" applyFill="1" applyBorder="1"/>
    <xf numFmtId="9" fontId="61" fillId="26" borderId="83" xfId="2" applyNumberFormat="1" applyFont="1" applyFill="1" applyBorder="1"/>
    <xf numFmtId="183" fontId="255" fillId="119" borderId="41" xfId="0" applyNumberFormat="1" applyFont="1" applyFill="1" applyBorder="1" applyAlignment="1">
      <alignment horizontal="center" vertical="center" wrapText="1"/>
    </xf>
    <xf numFmtId="3" fontId="61" fillId="14" borderId="37" xfId="0" applyNumberFormat="1" applyFont="1" applyFill="1" applyBorder="1"/>
    <xf numFmtId="3" fontId="61" fillId="14" borderId="7" xfId="0" applyNumberFormat="1" applyFont="1" applyFill="1" applyBorder="1"/>
    <xf numFmtId="0" fontId="61" fillId="119" borderId="19" xfId="0" applyFont="1" applyFill="1" applyBorder="1" applyAlignment="1">
      <alignment horizontal="center" vertical="center" wrapText="1"/>
    </xf>
    <xf numFmtId="166" fontId="266" fillId="0" borderId="6" xfId="1" applyFont="1" applyFill="1" applyBorder="1" applyAlignment="1">
      <alignment horizontal="center" vertical="center"/>
    </xf>
    <xf numFmtId="10" fontId="61" fillId="0" borderId="0" xfId="2" applyNumberFormat="1" applyFont="1" applyFill="1" applyAlignment="1">
      <alignment horizontal="center"/>
    </xf>
    <xf numFmtId="0" fontId="26" fillId="0" borderId="0" xfId="0" applyFont="1" applyAlignment="1">
      <alignment horizontal="center"/>
    </xf>
    <xf numFmtId="0" fontId="17" fillId="0" borderId="29" xfId="0" applyFont="1" applyBorder="1" applyAlignment="1">
      <alignment horizontal="center" vertical="center" wrapText="1"/>
    </xf>
    <xf numFmtId="166" fontId="132" fillId="0" borderId="0" xfId="1" applyFont="1" applyFill="1"/>
    <xf numFmtId="0" fontId="12" fillId="0" borderId="0" xfId="0" applyFont="1" applyAlignment="1">
      <alignment horizontal="center" vertical="center" wrapText="1"/>
    </xf>
    <xf numFmtId="0" fontId="20" fillId="0" borderId="29" xfId="0" applyFont="1" applyBorder="1" applyAlignment="1">
      <alignment horizontal="center" vertical="center" wrapText="1"/>
    </xf>
    <xf numFmtId="0" fontId="17" fillId="0" borderId="41" xfId="0" applyFont="1" applyBorder="1" applyAlignment="1">
      <alignment horizontal="center" vertical="center" wrapText="1"/>
    </xf>
    <xf numFmtId="0" fontId="28" fillId="73" borderId="41" xfId="0" applyFont="1" applyFill="1" applyBorder="1" applyAlignment="1">
      <alignment horizontal="center" vertical="center" wrapText="1"/>
    </xf>
    <xf numFmtId="0" fontId="28" fillId="73" borderId="5" xfId="0" applyFont="1" applyFill="1" applyBorder="1" applyAlignment="1">
      <alignment horizontal="center" vertical="center" wrapText="1"/>
    </xf>
    <xf numFmtId="0" fontId="12" fillId="27" borderId="35" xfId="0" applyFont="1" applyFill="1" applyBorder="1" applyAlignment="1">
      <alignment horizontal="center" vertical="center" wrapText="1"/>
    </xf>
    <xf numFmtId="0" fontId="10" fillId="27" borderId="29" xfId="0" applyFont="1" applyFill="1" applyBorder="1" applyAlignment="1">
      <alignment vertical="center" wrapText="1"/>
    </xf>
    <xf numFmtId="0" fontId="12" fillId="27" borderId="29" xfId="0" applyFont="1" applyFill="1" applyBorder="1" applyAlignment="1">
      <alignment horizontal="center" vertical="center" wrapText="1"/>
    </xf>
    <xf numFmtId="168" fontId="10" fillId="27" borderId="41" xfId="1" applyNumberFormat="1" applyFont="1" applyFill="1" applyBorder="1" applyAlignment="1">
      <alignment vertical="center" wrapText="1"/>
    </xf>
    <xf numFmtId="168" fontId="10" fillId="27" borderId="29" xfId="1" applyNumberFormat="1" applyFont="1" applyFill="1" applyBorder="1" applyAlignment="1">
      <alignment horizontal="center" vertical="center" wrapText="1"/>
    </xf>
    <xf numFmtId="168" fontId="10" fillId="27" borderId="29" xfId="1" applyNumberFormat="1" applyFont="1" applyFill="1" applyBorder="1" applyAlignment="1">
      <alignment vertical="center" wrapText="1"/>
    </xf>
    <xf numFmtId="168" fontId="28" fillId="27" borderId="41" xfId="0" applyNumberFormat="1" applyFont="1" applyFill="1" applyBorder="1" applyAlignment="1">
      <alignment vertical="center" wrapText="1"/>
    </xf>
    <xf numFmtId="0" fontId="10" fillId="0" borderId="6" xfId="0" applyFont="1" applyBorder="1" applyAlignment="1">
      <alignment vertical="center" wrapText="1"/>
    </xf>
    <xf numFmtId="0" fontId="12" fillId="27" borderId="40" xfId="0" applyFont="1" applyFill="1" applyBorder="1" applyAlignment="1">
      <alignment horizontal="center" vertical="center" wrapText="1"/>
    </xf>
    <xf numFmtId="0" fontId="10" fillId="27" borderId="33" xfId="0" applyFont="1" applyFill="1" applyBorder="1" applyAlignment="1">
      <alignment vertical="center" wrapText="1"/>
    </xf>
    <xf numFmtId="0" fontId="12" fillId="27" borderId="33" xfId="0" applyFont="1" applyFill="1" applyBorder="1" applyAlignment="1">
      <alignment horizontal="center" vertical="center" wrapText="1"/>
    </xf>
    <xf numFmtId="168" fontId="10" fillId="27" borderId="8" xfId="1" applyNumberFormat="1" applyFont="1" applyFill="1" applyBorder="1" applyAlignment="1">
      <alignment vertical="center" wrapText="1"/>
    </xf>
    <xf numFmtId="168" fontId="10" fillId="27" borderId="33" xfId="1" applyNumberFormat="1" applyFont="1" applyFill="1" applyBorder="1" applyAlignment="1">
      <alignment vertical="center" wrapText="1"/>
    </xf>
    <xf numFmtId="168" fontId="28" fillId="27" borderId="8" xfId="0" applyNumberFormat="1" applyFont="1" applyFill="1" applyBorder="1" applyAlignment="1">
      <alignment vertical="center" wrapText="1"/>
    </xf>
    <xf numFmtId="0" fontId="12" fillId="71" borderId="35" xfId="0" applyFont="1" applyFill="1" applyBorder="1" applyAlignment="1">
      <alignment horizontal="center" vertical="center" wrapText="1"/>
    </xf>
    <xf numFmtId="0" fontId="10" fillId="71" borderId="29" xfId="0" applyFont="1" applyFill="1" applyBorder="1" applyAlignment="1">
      <alignment vertical="center" wrapText="1"/>
    </xf>
    <xf numFmtId="0" fontId="12" fillId="71" borderId="29" xfId="0" applyFont="1" applyFill="1" applyBorder="1" applyAlignment="1">
      <alignment horizontal="center" vertical="center" wrapText="1"/>
    </xf>
    <xf numFmtId="168" fontId="10" fillId="71" borderId="41" xfId="1" applyNumberFormat="1" applyFont="1" applyFill="1" applyBorder="1" applyAlignment="1">
      <alignment vertical="center" wrapText="1"/>
    </xf>
    <xf numFmtId="168" fontId="10" fillId="71" borderId="29" xfId="1" applyNumberFormat="1" applyFont="1" applyFill="1" applyBorder="1" applyAlignment="1">
      <alignment horizontal="center" vertical="center" wrapText="1"/>
    </xf>
    <xf numFmtId="168" fontId="10" fillId="71" borderId="29" xfId="1" applyNumberFormat="1" applyFont="1" applyFill="1" applyBorder="1" applyAlignment="1">
      <alignment vertical="center" wrapText="1"/>
    </xf>
    <xf numFmtId="168" fontId="28" fillId="71" borderId="41" xfId="0" applyNumberFormat="1" applyFont="1" applyFill="1" applyBorder="1" applyAlignment="1">
      <alignment vertical="center" wrapText="1"/>
    </xf>
    <xf numFmtId="9" fontId="10" fillId="0" borderId="41" xfId="2" applyFont="1" applyBorder="1" applyAlignment="1">
      <alignment vertical="center" wrapText="1"/>
    </xf>
    <xf numFmtId="0" fontId="12" fillId="71" borderId="37" xfId="0" applyFont="1" applyFill="1" applyBorder="1" applyAlignment="1">
      <alignment horizontal="center" vertical="center" wrapText="1"/>
    </xf>
    <xf numFmtId="0" fontId="10" fillId="71" borderId="0" xfId="0" applyFont="1" applyFill="1" applyAlignment="1">
      <alignment vertical="center" wrapText="1"/>
    </xf>
    <xf numFmtId="0" fontId="12" fillId="71" borderId="0" xfId="0" applyFont="1" applyFill="1" applyAlignment="1">
      <alignment horizontal="center" vertical="center" wrapText="1"/>
    </xf>
    <xf numFmtId="168" fontId="10" fillId="71" borderId="6" xfId="1" applyNumberFormat="1" applyFont="1" applyFill="1" applyBorder="1" applyAlignment="1">
      <alignment vertical="center" wrapText="1"/>
    </xf>
    <xf numFmtId="168" fontId="10" fillId="71" borderId="0" xfId="1" applyNumberFormat="1" applyFont="1" applyFill="1" applyBorder="1" applyAlignment="1">
      <alignment vertical="center" wrapText="1"/>
    </xf>
    <xf numFmtId="168" fontId="28" fillId="71" borderId="6" xfId="0" applyNumberFormat="1" applyFont="1" applyFill="1" applyBorder="1" applyAlignment="1">
      <alignment vertical="center" wrapText="1"/>
    </xf>
    <xf numFmtId="9" fontId="10" fillId="0" borderId="6" xfId="2" applyFont="1" applyBorder="1" applyAlignment="1">
      <alignment vertical="center" wrapText="1"/>
    </xf>
    <xf numFmtId="0" fontId="12" fillId="70" borderId="35" xfId="0" applyFont="1" applyFill="1" applyBorder="1" applyAlignment="1">
      <alignment horizontal="center" vertical="center" wrapText="1"/>
    </xf>
    <xf numFmtId="0" fontId="10" fillId="70" borderId="29" xfId="0" applyFont="1" applyFill="1" applyBorder="1" applyAlignment="1">
      <alignment vertical="center" wrapText="1"/>
    </xf>
    <xf numFmtId="0" fontId="12" fillId="70" borderId="29" xfId="0" applyFont="1" applyFill="1" applyBorder="1" applyAlignment="1">
      <alignment horizontal="center" vertical="center" wrapText="1"/>
    </xf>
    <xf numFmtId="168" fontId="10" fillId="70" borderId="41" xfId="1" applyNumberFormat="1" applyFont="1" applyFill="1" applyBorder="1" applyAlignment="1">
      <alignment vertical="center" wrapText="1"/>
    </xf>
    <xf numFmtId="168" fontId="10" fillId="70" borderId="29" xfId="1" applyNumberFormat="1" applyFont="1" applyFill="1" applyBorder="1" applyAlignment="1">
      <alignment horizontal="center" vertical="center" wrapText="1"/>
    </xf>
    <xf numFmtId="168" fontId="10" fillId="70" borderId="29" xfId="1" applyNumberFormat="1" applyFont="1" applyFill="1" applyBorder="1" applyAlignment="1">
      <alignment vertical="center" wrapText="1"/>
    </xf>
    <xf numFmtId="168" fontId="28" fillId="70" borderId="41" xfId="0" applyNumberFormat="1" applyFont="1" applyFill="1" applyBorder="1" applyAlignment="1">
      <alignment vertical="center" wrapText="1"/>
    </xf>
    <xf numFmtId="9" fontId="10" fillId="0" borderId="30" xfId="2" applyFont="1" applyBorder="1" applyAlignment="1">
      <alignment vertical="center" wrapText="1"/>
    </xf>
    <xf numFmtId="168" fontId="10" fillId="0" borderId="0" xfId="0" applyNumberFormat="1" applyFont="1"/>
    <xf numFmtId="0" fontId="12" fillId="70" borderId="37" xfId="0" applyFont="1" applyFill="1" applyBorder="1" applyAlignment="1">
      <alignment horizontal="center" vertical="center" wrapText="1"/>
    </xf>
    <xf numFmtId="0" fontId="10" fillId="70" borderId="25" xfId="0" applyFont="1" applyFill="1" applyBorder="1" applyAlignment="1">
      <alignment vertical="center" wrapText="1"/>
    </xf>
    <xf numFmtId="0" fontId="12" fillId="70" borderId="25" xfId="0" applyFont="1" applyFill="1" applyBorder="1" applyAlignment="1">
      <alignment horizontal="center" vertical="center" wrapText="1"/>
    </xf>
    <xf numFmtId="168" fontId="10" fillId="70" borderId="70" xfId="1" applyNumberFormat="1" applyFont="1" applyFill="1" applyBorder="1" applyAlignment="1">
      <alignment vertical="center" wrapText="1"/>
    </xf>
    <xf numFmtId="168" fontId="10" fillId="70" borderId="25" xfId="1" applyNumberFormat="1" applyFont="1" applyFill="1" applyBorder="1" applyAlignment="1">
      <alignment vertical="center" wrapText="1"/>
    </xf>
    <xf numFmtId="168" fontId="28" fillId="70" borderId="70" xfId="0" applyNumberFormat="1" applyFont="1" applyFill="1" applyBorder="1" applyAlignment="1">
      <alignment vertical="center" wrapText="1"/>
    </xf>
    <xf numFmtId="9" fontId="10" fillId="0" borderId="363" xfId="2" applyFont="1" applyBorder="1" applyAlignment="1">
      <alignment vertical="center" wrapText="1"/>
    </xf>
    <xf numFmtId="0" fontId="10" fillId="70" borderId="0" xfId="0" applyFont="1" applyFill="1" applyAlignment="1">
      <alignment vertical="center" wrapText="1"/>
    </xf>
    <xf numFmtId="0" fontId="12" fillId="70" borderId="0" xfId="0" applyFont="1" applyFill="1" applyAlignment="1">
      <alignment horizontal="center" vertical="center" wrapText="1"/>
    </xf>
    <xf numFmtId="168" fontId="10" fillId="70" borderId="6" xfId="1" applyNumberFormat="1" applyFont="1" applyFill="1" applyBorder="1" applyAlignment="1">
      <alignment vertical="center" wrapText="1"/>
    </xf>
    <xf numFmtId="168" fontId="10" fillId="70" borderId="0" xfId="1" applyNumberFormat="1" applyFont="1" applyFill="1" applyBorder="1" applyAlignment="1">
      <alignment vertical="center" wrapText="1"/>
    </xf>
    <xf numFmtId="168" fontId="28" fillId="70" borderId="6" xfId="0" applyNumberFormat="1" applyFont="1" applyFill="1" applyBorder="1" applyAlignment="1">
      <alignment vertical="center" wrapText="1"/>
    </xf>
    <xf numFmtId="9" fontId="10" fillId="0" borderId="7" xfId="2" applyFont="1" applyBorder="1" applyAlignment="1">
      <alignment vertical="center" wrapText="1"/>
    </xf>
    <xf numFmtId="0" fontId="12" fillId="26" borderId="35" xfId="0" applyFont="1" applyFill="1" applyBorder="1" applyAlignment="1">
      <alignment horizontal="center" vertical="center" wrapText="1"/>
    </xf>
    <xf numFmtId="0" fontId="10" fillId="26" borderId="29" xfId="0" applyFont="1" applyFill="1" applyBorder="1" applyAlignment="1">
      <alignment vertical="center" wrapText="1"/>
    </xf>
    <xf numFmtId="0" fontId="12" fillId="26" borderId="29" xfId="0" applyFont="1" applyFill="1" applyBorder="1" applyAlignment="1">
      <alignment horizontal="center" vertical="center" wrapText="1"/>
    </xf>
    <xf numFmtId="168" fontId="10" fillId="26" borderId="41" xfId="1" applyNumberFormat="1" applyFont="1" applyFill="1" applyBorder="1" applyAlignment="1">
      <alignment vertical="center" wrapText="1"/>
    </xf>
    <xf numFmtId="168" fontId="10" fillId="26" borderId="29" xfId="1" applyNumberFormat="1" applyFont="1" applyFill="1" applyBorder="1" applyAlignment="1">
      <alignment horizontal="center" vertical="center" wrapText="1"/>
    </xf>
    <xf numFmtId="168" fontId="10" fillId="26" borderId="29" xfId="1" applyNumberFormat="1" applyFont="1" applyFill="1" applyBorder="1" applyAlignment="1">
      <alignment vertical="center" wrapText="1"/>
    </xf>
    <xf numFmtId="168" fontId="28" fillId="28" borderId="41" xfId="0" applyNumberFormat="1" applyFont="1" applyFill="1" applyBorder="1" applyAlignment="1">
      <alignment vertical="center" wrapText="1"/>
    </xf>
    <xf numFmtId="9" fontId="10" fillId="28" borderId="30" xfId="2" applyFont="1" applyFill="1" applyBorder="1" applyAlignment="1">
      <alignment vertical="center" wrapText="1"/>
    </xf>
    <xf numFmtId="0" fontId="12" fillId="26" borderId="37" xfId="0" applyFont="1" applyFill="1" applyBorder="1" applyAlignment="1">
      <alignment horizontal="center" vertical="center" wrapText="1"/>
    </xf>
    <xf numFmtId="0" fontId="10" fillId="26" borderId="25" xfId="0" applyFont="1" applyFill="1" applyBorder="1" applyAlignment="1">
      <alignment vertical="center" wrapText="1"/>
    </xf>
    <xf numFmtId="0" fontId="12" fillId="26" borderId="25" xfId="0" applyFont="1" applyFill="1" applyBorder="1" applyAlignment="1">
      <alignment horizontal="center" vertical="center" wrapText="1"/>
    </xf>
    <xf numFmtId="168" fontId="10" fillId="26" borderId="70" xfId="1" applyNumberFormat="1" applyFont="1" applyFill="1" applyBorder="1" applyAlignment="1">
      <alignment vertical="center" wrapText="1"/>
    </xf>
    <xf numFmtId="168" fontId="10" fillId="26" borderId="25" xfId="1" applyNumberFormat="1" applyFont="1" applyFill="1" applyBorder="1" applyAlignment="1">
      <alignment vertical="center" wrapText="1"/>
    </xf>
    <xf numFmtId="168" fontId="28" fillId="28" borderId="70" xfId="0" applyNumberFormat="1" applyFont="1" applyFill="1" applyBorder="1" applyAlignment="1">
      <alignment vertical="center" wrapText="1"/>
    </xf>
    <xf numFmtId="9" fontId="10" fillId="28" borderId="363" xfId="2" applyFont="1" applyFill="1" applyBorder="1" applyAlignment="1">
      <alignment vertical="center" wrapText="1"/>
    </xf>
    <xf numFmtId="0" fontId="12" fillId="26" borderId="40" xfId="0" applyFont="1" applyFill="1" applyBorder="1" applyAlignment="1">
      <alignment horizontal="center" vertical="center" wrapText="1"/>
    </xf>
    <xf numFmtId="0" fontId="10" fillId="26" borderId="33" xfId="0" applyFont="1" applyFill="1" applyBorder="1" applyAlignment="1">
      <alignment vertical="center" wrapText="1"/>
    </xf>
    <xf numFmtId="0" fontId="12" fillId="26" borderId="33" xfId="0" applyFont="1" applyFill="1" applyBorder="1" applyAlignment="1">
      <alignment horizontal="center" vertical="center" wrapText="1"/>
    </xf>
    <xf numFmtId="168" fontId="10" fillId="26" borderId="8" xfId="1" applyNumberFormat="1" applyFont="1" applyFill="1" applyBorder="1" applyAlignment="1">
      <alignment vertical="center" wrapText="1"/>
    </xf>
    <xf numFmtId="168" fontId="10" fillId="26" borderId="33" xfId="1" applyNumberFormat="1" applyFont="1" applyFill="1" applyBorder="1" applyAlignment="1">
      <alignment vertical="center" wrapText="1"/>
    </xf>
    <xf numFmtId="168" fontId="28" fillId="28" borderId="8" xfId="0" applyNumberFormat="1" applyFont="1" applyFill="1" applyBorder="1" applyAlignment="1">
      <alignment vertical="center" wrapText="1"/>
    </xf>
    <xf numFmtId="9" fontId="10" fillId="28" borderId="9" xfId="2" applyFont="1" applyFill="1" applyBorder="1" applyAlignment="1">
      <alignment vertical="center" wrapText="1"/>
    </xf>
    <xf numFmtId="0" fontId="12" fillId="28" borderId="35" xfId="0" applyFont="1" applyFill="1" applyBorder="1" applyAlignment="1">
      <alignment horizontal="center" vertical="center" wrapText="1"/>
    </xf>
    <xf numFmtId="0" fontId="10" fillId="28" borderId="29" xfId="0" applyFont="1" applyFill="1" applyBorder="1" applyAlignment="1">
      <alignment vertical="center" wrapText="1"/>
    </xf>
    <xf numFmtId="0" fontId="12" fillId="28" borderId="29" xfId="0" applyFont="1" applyFill="1" applyBorder="1" applyAlignment="1">
      <alignment horizontal="center" vertical="center" wrapText="1"/>
    </xf>
    <xf numFmtId="168" fontId="10" fillId="28" borderId="41" xfId="1" applyNumberFormat="1" applyFont="1" applyFill="1" applyBorder="1" applyAlignment="1">
      <alignment vertical="center" wrapText="1"/>
    </xf>
    <xf numFmtId="168" fontId="10" fillId="28" borderId="29" xfId="1" applyNumberFormat="1" applyFont="1" applyFill="1" applyBorder="1" applyAlignment="1">
      <alignment horizontal="center" vertical="center" wrapText="1"/>
    </xf>
    <xf numFmtId="168" fontId="10" fillId="28" borderId="29" xfId="1" applyNumberFormat="1" applyFont="1" applyFill="1" applyBorder="1" applyAlignment="1">
      <alignment vertical="center" wrapText="1"/>
    </xf>
    <xf numFmtId="0" fontId="12" fillId="28" borderId="37" xfId="0" applyFont="1" applyFill="1" applyBorder="1" applyAlignment="1">
      <alignment horizontal="center" vertical="center" wrapText="1"/>
    </xf>
    <xf numFmtId="0" fontId="10" fillId="28" borderId="25" xfId="0" applyFont="1" applyFill="1" applyBorder="1" applyAlignment="1">
      <alignment vertical="center" wrapText="1"/>
    </xf>
    <xf numFmtId="0" fontId="12" fillId="28" borderId="25" xfId="0" applyFont="1" applyFill="1" applyBorder="1" applyAlignment="1">
      <alignment horizontal="center" vertical="center" wrapText="1"/>
    </xf>
    <xf numFmtId="168" fontId="10" fillId="28" borderId="70" xfId="1" applyNumberFormat="1" applyFont="1" applyFill="1" applyBorder="1" applyAlignment="1">
      <alignment vertical="center" wrapText="1"/>
    </xf>
    <xf numFmtId="168" fontId="10" fillId="28" borderId="25" xfId="1" applyNumberFormat="1" applyFont="1" applyFill="1" applyBorder="1" applyAlignment="1">
      <alignment vertical="center" wrapText="1"/>
    </xf>
    <xf numFmtId="0" fontId="12" fillId="28" borderId="40" xfId="0" applyFont="1" applyFill="1" applyBorder="1" applyAlignment="1">
      <alignment horizontal="center" vertical="center" wrapText="1"/>
    </xf>
    <xf numFmtId="0" fontId="10" fillId="28" borderId="33" xfId="0" applyFont="1" applyFill="1" applyBorder="1" applyAlignment="1">
      <alignment vertical="center" wrapText="1"/>
    </xf>
    <xf numFmtId="0" fontId="12" fillId="28" borderId="33" xfId="0" applyFont="1" applyFill="1" applyBorder="1" applyAlignment="1">
      <alignment horizontal="center" vertical="center" wrapText="1"/>
    </xf>
    <xf numFmtId="168" fontId="10" fillId="28" borderId="8" xfId="1" applyNumberFormat="1" applyFont="1" applyFill="1" applyBorder="1" applyAlignment="1">
      <alignment vertical="center" wrapText="1"/>
    </xf>
    <xf numFmtId="168" fontId="10" fillId="28" borderId="33" xfId="1" applyNumberFormat="1" applyFont="1" applyFill="1" applyBorder="1" applyAlignment="1">
      <alignment vertical="center" wrapText="1"/>
    </xf>
    <xf numFmtId="0" fontId="12" fillId="0" borderId="0" xfId="0" applyFont="1" applyAlignment="1">
      <alignment vertical="center" wrapText="1"/>
    </xf>
    <xf numFmtId="0" fontId="10" fillId="0" borderId="0" xfId="0" applyFont="1" applyAlignment="1">
      <alignment vertical="center" wrapText="1"/>
    </xf>
    <xf numFmtId="168" fontId="10" fillId="0" borderId="0" xfId="0" applyNumberFormat="1" applyFont="1" applyAlignment="1">
      <alignment vertical="center" wrapText="1"/>
    </xf>
    <xf numFmtId="0" fontId="0" fillId="26" borderId="127" xfId="0" applyFill="1" applyBorder="1"/>
    <xf numFmtId="0" fontId="12" fillId="26" borderId="42" xfId="0" applyFont="1" applyFill="1" applyBorder="1" applyAlignment="1">
      <alignment vertical="center" wrapText="1"/>
    </xf>
    <xf numFmtId="0" fontId="10" fillId="26" borderId="42" xfId="0" applyFont="1" applyFill="1" applyBorder="1" applyAlignment="1">
      <alignment vertical="center" wrapText="1"/>
    </xf>
    <xf numFmtId="0" fontId="12" fillId="26" borderId="42" xfId="0" applyFont="1" applyFill="1" applyBorder="1" applyAlignment="1">
      <alignment horizontal="center" vertical="center" wrapText="1"/>
    </xf>
    <xf numFmtId="9" fontId="10" fillId="26" borderId="42" xfId="2" applyFont="1" applyFill="1" applyBorder="1" applyAlignment="1">
      <alignment vertical="center" wrapText="1"/>
    </xf>
    <xf numFmtId="0" fontId="10" fillId="26" borderId="43" xfId="0" applyFont="1" applyFill="1" applyBorder="1" applyAlignment="1">
      <alignment vertical="center" wrapText="1"/>
    </xf>
    <xf numFmtId="0" fontId="0" fillId="26" borderId="46" xfId="0" applyFill="1" applyBorder="1"/>
    <xf numFmtId="0" fontId="12" fillId="26" borderId="47" xfId="0" applyFont="1" applyFill="1" applyBorder="1" applyAlignment="1">
      <alignment vertical="center" wrapText="1"/>
    </xf>
    <xf numFmtId="0" fontId="10" fillId="26" borderId="47" xfId="0" applyFont="1" applyFill="1" applyBorder="1" applyAlignment="1">
      <alignment vertical="center" wrapText="1"/>
    </xf>
    <xf numFmtId="0" fontId="12" fillId="26" borderId="47" xfId="0" applyFont="1" applyFill="1" applyBorder="1" applyAlignment="1">
      <alignment horizontal="center" vertical="center" wrapText="1"/>
    </xf>
    <xf numFmtId="9" fontId="10" fillId="26" borderId="47" xfId="2" applyFont="1" applyFill="1" applyBorder="1" applyAlignment="1">
      <alignment vertical="center" wrapText="1"/>
    </xf>
    <xf numFmtId="0" fontId="10" fillId="26" borderId="48" xfId="0" applyFont="1" applyFill="1" applyBorder="1" applyAlignment="1">
      <alignment vertical="center" wrapText="1"/>
    </xf>
    <xf numFmtId="9" fontId="10" fillId="26" borderId="43" xfId="2" applyFont="1" applyFill="1" applyBorder="1" applyAlignment="1">
      <alignment vertical="center" wrapText="1"/>
    </xf>
    <xf numFmtId="0" fontId="0" fillId="26" borderId="44" xfId="0" applyFill="1" applyBorder="1"/>
    <xf numFmtId="0" fontId="12" fillId="26" borderId="13" xfId="0" applyFont="1" applyFill="1" applyBorder="1" applyAlignment="1">
      <alignment vertical="center" wrapText="1"/>
    </xf>
    <xf numFmtId="0" fontId="10" fillId="26" borderId="13" xfId="0" applyFont="1" applyFill="1" applyBorder="1" applyAlignment="1">
      <alignment vertical="center" wrapText="1"/>
    </xf>
    <xf numFmtId="0" fontId="12" fillId="26" borderId="13" xfId="0" applyFont="1" applyFill="1" applyBorder="1" applyAlignment="1">
      <alignment horizontal="center" vertical="center" wrapText="1"/>
    </xf>
    <xf numFmtId="9" fontId="10" fillId="26" borderId="13" xfId="2" applyFont="1" applyFill="1" applyBorder="1" applyAlignment="1">
      <alignment vertical="center" wrapText="1"/>
    </xf>
    <xf numFmtId="9" fontId="10" fillId="26" borderId="45" xfId="2" applyFont="1" applyFill="1" applyBorder="1" applyAlignment="1">
      <alignment vertical="center" wrapText="1"/>
    </xf>
    <xf numFmtId="9" fontId="10" fillId="26" borderId="48" xfId="2" applyFont="1" applyFill="1" applyBorder="1" applyAlignment="1">
      <alignment vertical="center" wrapText="1"/>
    </xf>
    <xf numFmtId="0" fontId="28" fillId="0" borderId="49" xfId="0" applyFont="1" applyBorder="1" applyAlignment="1">
      <alignment horizontal="center" vertical="center" wrapText="1"/>
    </xf>
    <xf numFmtId="0" fontId="28" fillId="0" borderId="50" xfId="0" applyFont="1" applyBorder="1" applyAlignment="1">
      <alignment horizontal="center" vertical="center" wrapText="1"/>
    </xf>
    <xf numFmtId="0" fontId="28" fillId="0" borderId="51" xfId="0" applyFont="1" applyBorder="1" applyAlignment="1">
      <alignment horizontal="center" vertical="center" wrapText="1"/>
    </xf>
    <xf numFmtId="0" fontId="12" fillId="27" borderId="13" xfId="0" applyFont="1" applyFill="1" applyBorder="1" applyAlignment="1">
      <alignment horizontal="center" vertical="center" wrapText="1"/>
    </xf>
    <xf numFmtId="168" fontId="10" fillId="27" borderId="13" xfId="0" applyNumberFormat="1" applyFont="1" applyFill="1" applyBorder="1" applyAlignment="1">
      <alignment vertical="center" wrapText="1"/>
    </xf>
    <xf numFmtId="168" fontId="10" fillId="27" borderId="24" xfId="0" applyNumberFormat="1" applyFont="1" applyFill="1" applyBorder="1" applyAlignment="1">
      <alignment vertical="center" wrapText="1"/>
    </xf>
    <xf numFmtId="168" fontId="28" fillId="0" borderId="269" xfId="0" applyNumberFormat="1" applyFont="1" applyBorder="1" applyAlignment="1">
      <alignment horizontal="center" vertical="center" wrapText="1"/>
    </xf>
    <xf numFmtId="168" fontId="28" fillId="0" borderId="20" xfId="0" applyNumberFormat="1" applyFont="1" applyBorder="1" applyAlignment="1">
      <alignment horizontal="center" vertical="center" wrapText="1"/>
    </xf>
    <xf numFmtId="0" fontId="28" fillId="0" borderId="55" xfId="0" applyFont="1" applyBorder="1" applyAlignment="1">
      <alignment horizontal="center"/>
    </xf>
    <xf numFmtId="0" fontId="12" fillId="71" borderId="13" xfId="0" applyFont="1" applyFill="1" applyBorder="1" applyAlignment="1">
      <alignment horizontal="center" vertical="center" wrapText="1"/>
    </xf>
    <xf numFmtId="168" fontId="10" fillId="71" borderId="13" xfId="0" applyNumberFormat="1" applyFont="1" applyFill="1" applyBorder="1" applyAlignment="1">
      <alignment vertical="center" wrapText="1"/>
    </xf>
    <xf numFmtId="168" fontId="10" fillId="71" borderId="24" xfId="0" applyNumberFormat="1" applyFont="1" applyFill="1" applyBorder="1" applyAlignment="1">
      <alignment vertical="center" wrapText="1"/>
    </xf>
    <xf numFmtId="168" fontId="28" fillId="0" borderId="44" xfId="0" applyNumberFormat="1" applyFont="1" applyBorder="1" applyAlignment="1">
      <alignment horizontal="center" vertical="center" wrapText="1"/>
    </xf>
    <xf numFmtId="168" fontId="28" fillId="0" borderId="13" xfId="0" applyNumberFormat="1" applyFont="1" applyBorder="1" applyAlignment="1">
      <alignment horizontal="center" vertical="center" wrapText="1"/>
    </xf>
    <xf numFmtId="9" fontId="28" fillId="0" borderId="45" xfId="2" applyFont="1" applyBorder="1" applyAlignment="1">
      <alignment horizontal="center" vertical="center" wrapText="1"/>
    </xf>
    <xf numFmtId="0" fontId="12" fillId="70" borderId="13" xfId="0" applyFont="1" applyFill="1" applyBorder="1" applyAlignment="1">
      <alignment horizontal="center" vertical="center" wrapText="1"/>
    </xf>
    <xf numFmtId="168" fontId="10" fillId="70" borderId="13" xfId="0" applyNumberFormat="1" applyFont="1" applyFill="1" applyBorder="1" applyAlignment="1">
      <alignment vertical="center" wrapText="1"/>
    </xf>
    <xf numFmtId="168" fontId="10" fillId="70" borderId="24" xfId="0" applyNumberFormat="1" applyFont="1" applyFill="1" applyBorder="1" applyAlignment="1">
      <alignment vertical="center" wrapText="1"/>
    </xf>
    <xf numFmtId="168" fontId="10" fillId="26" borderId="13" xfId="0" applyNumberFormat="1" applyFont="1" applyFill="1" applyBorder="1" applyAlignment="1">
      <alignment vertical="center" wrapText="1"/>
    </xf>
    <xf numFmtId="168" fontId="10" fillId="26" borderId="24" xfId="0" applyNumberFormat="1" applyFont="1" applyFill="1" applyBorder="1" applyAlignment="1">
      <alignment vertical="center" wrapText="1"/>
    </xf>
    <xf numFmtId="0" fontId="12" fillId="28" borderId="13" xfId="0" applyFont="1" applyFill="1" applyBorder="1" applyAlignment="1">
      <alignment horizontal="center" vertical="center" wrapText="1"/>
    </xf>
    <xf numFmtId="168" fontId="10" fillId="28" borderId="13" xfId="0" applyNumberFormat="1" applyFont="1" applyFill="1" applyBorder="1" applyAlignment="1">
      <alignment vertical="center" wrapText="1"/>
    </xf>
    <xf numFmtId="168" fontId="10" fillId="28" borderId="24" xfId="0" applyNumberFormat="1" applyFont="1" applyFill="1" applyBorder="1" applyAlignment="1">
      <alignment vertical="center" wrapText="1"/>
    </xf>
    <xf numFmtId="168" fontId="28" fillId="0" borderId="46" xfId="0" applyNumberFormat="1" applyFont="1" applyBorder="1" applyAlignment="1">
      <alignment horizontal="center" vertical="center" wrapText="1"/>
    </xf>
    <xf numFmtId="168" fontId="28" fillId="0" borderId="47" xfId="0" applyNumberFormat="1" applyFont="1" applyBorder="1" applyAlignment="1">
      <alignment horizontal="center" vertical="center" wrapText="1"/>
    </xf>
    <xf numFmtId="9" fontId="28" fillId="0" borderId="48" xfId="2" applyFont="1" applyBorder="1" applyAlignment="1">
      <alignment horizontal="center" vertical="center" wrapText="1"/>
    </xf>
    <xf numFmtId="165" fontId="10" fillId="0" borderId="0" xfId="3" applyFont="1" applyAlignment="1">
      <alignment vertical="center" wrapText="1"/>
    </xf>
    <xf numFmtId="10" fontId="10" fillId="71" borderId="13" xfId="2" applyNumberFormat="1" applyFont="1" applyFill="1" applyBorder="1" applyAlignment="1">
      <alignment vertical="center" wrapText="1"/>
    </xf>
    <xf numFmtId="10" fontId="10" fillId="70" borderId="13" xfId="2" applyNumberFormat="1" applyFont="1" applyFill="1" applyBorder="1" applyAlignment="1">
      <alignment vertical="center" wrapText="1"/>
    </xf>
    <xf numFmtId="10" fontId="10" fillId="26" borderId="13" xfId="2" applyNumberFormat="1" applyFont="1" applyFill="1" applyBorder="1" applyAlignment="1">
      <alignment vertical="center" wrapText="1"/>
    </xf>
    <xf numFmtId="10" fontId="10" fillId="28" borderId="13" xfId="2" applyNumberFormat="1" applyFont="1" applyFill="1" applyBorder="1" applyAlignment="1">
      <alignment vertical="center" wrapText="1"/>
    </xf>
    <xf numFmtId="0" fontId="284" fillId="0" borderId="35" xfId="0" applyFont="1" applyBorder="1" applyAlignment="1">
      <alignment horizontal="left" vertical="center"/>
    </xf>
    <xf numFmtId="0" fontId="284" fillId="0" borderId="29" xfId="0" applyFont="1" applyBorder="1" applyAlignment="1">
      <alignment horizontal="left" vertical="center"/>
    </xf>
    <xf numFmtId="0" fontId="26" fillId="0" borderId="29" xfId="0" applyFont="1" applyBorder="1"/>
    <xf numFmtId="0" fontId="26" fillId="0" borderId="30" xfId="0" applyFont="1" applyBorder="1"/>
    <xf numFmtId="0" fontId="285" fillId="0" borderId="35" xfId="0" applyFont="1" applyBorder="1" applyAlignment="1">
      <alignment horizontal="left" vertical="center"/>
    </xf>
    <xf numFmtId="0" fontId="285" fillId="0" borderId="29" xfId="0" applyFont="1" applyBorder="1" applyAlignment="1">
      <alignment horizontal="center" vertical="center"/>
    </xf>
    <xf numFmtId="0" fontId="285" fillId="0" borderId="29" xfId="0" applyFont="1" applyBorder="1" applyAlignment="1">
      <alignment horizontal="left" vertical="center"/>
    </xf>
    <xf numFmtId="0" fontId="284" fillId="0" borderId="37" xfId="0" applyFont="1" applyBorder="1" applyAlignment="1">
      <alignment horizontal="left" vertical="center"/>
    </xf>
    <xf numFmtId="0" fontId="284" fillId="0" borderId="0" xfId="0" applyFont="1" applyAlignment="1">
      <alignment horizontal="left" vertical="center"/>
    </xf>
    <xf numFmtId="0" fontId="26" fillId="0" borderId="7" xfId="0" applyFont="1" applyBorder="1"/>
    <xf numFmtId="0" fontId="285" fillId="0" borderId="37" xfId="0" applyFont="1" applyBorder="1" applyAlignment="1">
      <alignment horizontal="left" vertical="center"/>
    </xf>
    <xf numFmtId="0" fontId="285" fillId="0" borderId="0" xfId="0" applyFont="1" applyAlignment="1">
      <alignment horizontal="center" vertical="center"/>
    </xf>
    <xf numFmtId="0" fontId="285" fillId="0" borderId="0" xfId="0" applyFont="1" applyAlignment="1">
      <alignment horizontal="left" vertical="center"/>
    </xf>
    <xf numFmtId="0" fontId="0" fillId="0" borderId="37" xfId="0" applyBorder="1" applyAlignment="1">
      <alignment horizontal="center" vertical="top" wrapText="1"/>
    </xf>
    <xf numFmtId="0" fontId="0" fillId="0" borderId="0" xfId="0" applyAlignment="1">
      <alignment horizontal="center" vertical="top" wrapText="1"/>
    </xf>
    <xf numFmtId="0" fontId="157" fillId="0" borderId="0" xfId="0" applyFont="1" applyAlignment="1">
      <alignment horizontal="center" vertical="center" wrapText="1"/>
    </xf>
    <xf numFmtId="0" fontId="157" fillId="0" borderId="7" xfId="0" applyFont="1" applyBorder="1" applyAlignment="1">
      <alignment horizontal="center" vertical="center" wrapText="1"/>
    </xf>
    <xf numFmtId="0" fontId="0" fillId="0" borderId="37" xfId="0" applyBorder="1" applyAlignment="1">
      <alignment horizontal="center" wrapText="1"/>
    </xf>
    <xf numFmtId="0" fontId="157" fillId="26" borderId="0" xfId="0" applyFont="1" applyFill="1" applyAlignment="1">
      <alignment horizontal="center" vertical="center" wrapText="1"/>
    </xf>
    <xf numFmtId="0" fontId="157" fillId="28" borderId="0" xfId="0" applyFont="1" applyFill="1" applyAlignment="1">
      <alignment horizontal="center" vertical="center" wrapText="1"/>
    </xf>
    <xf numFmtId="0" fontId="0" fillId="0" borderId="37" xfId="0" applyBorder="1" applyAlignment="1">
      <alignment horizontal="center" vertical="center"/>
    </xf>
    <xf numFmtId="0" fontId="26" fillId="0" borderId="0" xfId="0" applyFont="1" applyAlignment="1">
      <alignment horizontal="center" vertical="center"/>
    </xf>
    <xf numFmtId="0" fontId="157" fillId="3" borderId="0" xfId="0" applyFont="1" applyFill="1" applyAlignment="1">
      <alignment horizontal="center" vertical="center" wrapText="1"/>
    </xf>
    <xf numFmtId="0" fontId="157" fillId="134" borderId="37" xfId="0" applyFont="1" applyFill="1" applyBorder="1" applyAlignment="1">
      <alignment vertical="center"/>
    </xf>
    <xf numFmtId="0" fontId="157" fillId="134" borderId="0" xfId="0" applyFont="1" applyFill="1" applyAlignment="1">
      <alignment vertical="center"/>
    </xf>
    <xf numFmtId="3" fontId="138" fillId="134" borderId="0" xfId="0" applyNumberFormat="1" applyFont="1" applyFill="1" applyAlignment="1">
      <alignment horizontal="right" vertical="center"/>
    </xf>
    <xf numFmtId="3" fontId="138" fillId="26" borderId="0" xfId="0" applyNumberFormat="1" applyFont="1" applyFill="1" applyAlignment="1">
      <alignment horizontal="right" vertical="center"/>
    </xf>
    <xf numFmtId="3" fontId="138" fillId="28" borderId="0" xfId="0" applyNumberFormat="1" applyFont="1" applyFill="1" applyAlignment="1">
      <alignment horizontal="right" vertical="center"/>
    </xf>
    <xf numFmtId="3" fontId="138" fillId="0" borderId="0" xfId="0" applyNumberFormat="1" applyFont="1" applyAlignment="1">
      <alignment horizontal="right" vertical="center"/>
    </xf>
    <xf numFmtId="3" fontId="138" fillId="134" borderId="7" xfId="0" applyNumberFormat="1" applyFont="1" applyFill="1" applyBorder="1" applyAlignment="1">
      <alignment horizontal="right" vertical="center"/>
    </xf>
    <xf numFmtId="0" fontId="157" fillId="134" borderId="0" xfId="0" applyFont="1" applyFill="1" applyAlignment="1">
      <alignment horizontal="center" vertical="center"/>
    </xf>
    <xf numFmtId="168" fontId="138" fillId="134" borderId="0" xfId="1" applyNumberFormat="1" applyFont="1" applyFill="1" applyBorder="1" applyAlignment="1">
      <alignment vertical="center"/>
    </xf>
    <xf numFmtId="168" fontId="138" fillId="134" borderId="0" xfId="1" applyNumberFormat="1" applyFont="1" applyFill="1" applyBorder="1" applyAlignment="1">
      <alignment horizontal="right" vertical="center"/>
    </xf>
    <xf numFmtId="168" fontId="138" fillId="26" borderId="0" xfId="1" applyNumberFormat="1" applyFont="1" applyFill="1" applyBorder="1" applyAlignment="1">
      <alignment horizontal="right" vertical="center"/>
    </xf>
    <xf numFmtId="168" fontId="138" fillId="28" borderId="0" xfId="1" applyNumberFormat="1" applyFont="1" applyFill="1" applyBorder="1" applyAlignment="1">
      <alignment horizontal="right" vertical="center"/>
    </xf>
    <xf numFmtId="168" fontId="138" fillId="0" borderId="0" xfId="1" applyNumberFormat="1" applyFont="1" applyFill="1" applyBorder="1" applyAlignment="1">
      <alignment horizontal="right" vertical="center"/>
    </xf>
    <xf numFmtId="168" fontId="138" fillId="134" borderId="7" xfId="1" applyNumberFormat="1" applyFont="1" applyFill="1" applyBorder="1" applyAlignment="1">
      <alignment horizontal="right" vertical="center"/>
    </xf>
    <xf numFmtId="0" fontId="0" fillId="26" borderId="0" xfId="0" applyFill="1"/>
    <xf numFmtId="0" fontId="0" fillId="28" borderId="0" xfId="0" applyFill="1"/>
    <xf numFmtId="0" fontId="0" fillId="0" borderId="7" xfId="0" applyBorder="1"/>
    <xf numFmtId="0" fontId="0" fillId="0" borderId="37" xfId="0" applyBorder="1" applyAlignment="1">
      <alignment horizontal="right"/>
    </xf>
    <xf numFmtId="168" fontId="26" fillId="0" borderId="0" xfId="1" applyNumberFormat="1" applyFont="1" applyBorder="1"/>
    <xf numFmtId="168" fontId="26" fillId="26" borderId="0" xfId="1" applyNumberFormat="1" applyFont="1" applyFill="1" applyBorder="1"/>
    <xf numFmtId="168" fontId="26" fillId="28" borderId="0" xfId="1" applyNumberFormat="1" applyFont="1" applyFill="1" applyBorder="1"/>
    <xf numFmtId="168" fontId="26" fillId="0" borderId="0" xfId="1" applyNumberFormat="1" applyFont="1" applyFill="1" applyBorder="1"/>
    <xf numFmtId="168" fontId="26" fillId="0" borderId="7" xfId="1" applyNumberFormat="1" applyFont="1" applyBorder="1"/>
    <xf numFmtId="43" fontId="0" fillId="0" borderId="0" xfId="0" applyNumberFormat="1"/>
    <xf numFmtId="0" fontId="157" fillId="0" borderId="37" xfId="0" applyFont="1" applyBorder="1" applyAlignment="1">
      <alignment vertical="center"/>
    </xf>
    <xf numFmtId="0" fontId="157" fillId="0" borderId="0" xfId="0" applyFont="1" applyAlignment="1">
      <alignment vertical="center"/>
    </xf>
    <xf numFmtId="9" fontId="0" fillId="0" borderId="0" xfId="2" applyFont="1" applyBorder="1"/>
    <xf numFmtId="9" fontId="0" fillId="0" borderId="0" xfId="2" applyFont="1" applyFill="1" applyBorder="1" applyAlignment="1">
      <alignment horizontal="center"/>
    </xf>
    <xf numFmtId="167" fontId="26" fillId="0" borderId="0" xfId="2" applyNumberFormat="1" applyFont="1" applyBorder="1"/>
    <xf numFmtId="167" fontId="26" fillId="26" borderId="0" xfId="2" applyNumberFormat="1" applyFont="1" applyFill="1" applyBorder="1"/>
    <xf numFmtId="167" fontId="26" fillId="28" borderId="0" xfId="2" applyNumberFormat="1" applyFont="1" applyFill="1" applyBorder="1"/>
    <xf numFmtId="167" fontId="26" fillId="0" borderId="0" xfId="2" applyNumberFormat="1" applyFont="1" applyFill="1" applyBorder="1"/>
    <xf numFmtId="167" fontId="26" fillId="0" borderId="7" xfId="2" applyNumberFormat="1" applyFont="1" applyBorder="1"/>
    <xf numFmtId="0" fontId="287" fillId="0" borderId="37" xfId="0" applyFont="1" applyBorder="1" applyAlignment="1">
      <alignment vertical="center"/>
    </xf>
    <xf numFmtId="0" fontId="287" fillId="0" borderId="0" xfId="0" applyFont="1" applyAlignment="1">
      <alignment vertical="center"/>
    </xf>
    <xf numFmtId="3" fontId="287" fillId="0" borderId="0" xfId="0" applyNumberFormat="1" applyFont="1" applyAlignment="1">
      <alignment horizontal="right" vertical="center"/>
    </xf>
    <xf numFmtId="9" fontId="287" fillId="0" borderId="0" xfId="2" applyFont="1" applyBorder="1"/>
    <xf numFmtId="166" fontId="287" fillId="0" borderId="0" xfId="1" applyFont="1" applyBorder="1"/>
    <xf numFmtId="168" fontId="287" fillId="0" borderId="0" xfId="1" applyNumberFormat="1" applyFont="1" applyBorder="1"/>
    <xf numFmtId="168" fontId="287" fillId="0" borderId="0" xfId="1" applyNumberFormat="1" applyFont="1" applyFill="1" applyBorder="1" applyAlignment="1">
      <alignment horizontal="center"/>
    </xf>
    <xf numFmtId="166" fontId="287" fillId="0" borderId="7" xfId="1" applyFont="1" applyBorder="1"/>
    <xf numFmtId="0" fontId="287" fillId="0" borderId="0" xfId="0" applyFont="1"/>
    <xf numFmtId="0" fontId="287" fillId="0" borderId="37" xfId="0" applyFont="1" applyBorder="1" applyAlignment="1">
      <alignment horizontal="right"/>
    </xf>
    <xf numFmtId="0" fontId="287" fillId="0" borderId="0" xfId="0" applyFont="1" applyAlignment="1">
      <alignment horizontal="center"/>
    </xf>
    <xf numFmtId="168" fontId="287" fillId="0" borderId="0" xfId="2" applyNumberFormat="1" applyFont="1" applyBorder="1"/>
    <xf numFmtId="168" fontId="287" fillId="26" borderId="0" xfId="2" applyNumberFormat="1" applyFont="1" applyFill="1" applyBorder="1"/>
    <xf numFmtId="168" fontId="287" fillId="28" borderId="0" xfId="2" applyNumberFormat="1" applyFont="1" applyFill="1" applyBorder="1"/>
    <xf numFmtId="168" fontId="287" fillId="0" borderId="0" xfId="2" applyNumberFormat="1" applyFont="1" applyFill="1" applyBorder="1"/>
    <xf numFmtId="168" fontId="287" fillId="0" borderId="7" xfId="2" applyNumberFormat="1" applyFont="1" applyBorder="1"/>
    <xf numFmtId="0" fontId="288" fillId="0" borderId="0" xfId="0" applyFont="1" applyAlignment="1">
      <alignment horizontal="left" vertical="center" wrapText="1"/>
    </xf>
    <xf numFmtId="0" fontId="288" fillId="0" borderId="0" xfId="0" applyFont="1" applyAlignment="1">
      <alignment horizontal="center" vertical="center" wrapText="1"/>
    </xf>
    <xf numFmtId="0" fontId="288" fillId="0" borderId="7" xfId="0" applyFont="1" applyBorder="1" applyAlignment="1">
      <alignment horizontal="left" vertical="center" wrapText="1"/>
    </xf>
    <xf numFmtId="0" fontId="290" fillId="26" borderId="0" xfId="0" applyFont="1" applyFill="1" applyAlignment="1">
      <alignment horizontal="center" vertical="center" wrapText="1"/>
    </xf>
    <xf numFmtId="0" fontId="290" fillId="28" borderId="0" xfId="0" applyFont="1" applyFill="1" applyAlignment="1">
      <alignment horizontal="center" vertical="center" wrapText="1"/>
    </xf>
    <xf numFmtId="0" fontId="290" fillId="0" borderId="0" xfId="0" applyFont="1" applyAlignment="1">
      <alignment horizontal="center" vertical="center" wrapText="1"/>
    </xf>
    <xf numFmtId="0" fontId="12" fillId="0" borderId="7" xfId="0" applyFont="1" applyBorder="1" applyAlignment="1">
      <alignment horizontal="center" vertical="center"/>
    </xf>
    <xf numFmtId="0" fontId="157" fillId="26" borderId="37" xfId="0" applyFont="1" applyFill="1" applyBorder="1" applyAlignment="1">
      <alignment vertical="center"/>
    </xf>
    <xf numFmtId="0" fontId="157" fillId="26" borderId="0" xfId="0" applyFont="1" applyFill="1" applyAlignment="1">
      <alignment vertical="center"/>
    </xf>
    <xf numFmtId="3" fontId="138" fillId="0" borderId="0" xfId="0" applyNumberFormat="1" applyFont="1" applyAlignment="1">
      <alignment horizontal="center" vertical="center"/>
    </xf>
    <xf numFmtId="3" fontId="138" fillId="0" borderId="7" xfId="0" applyNumberFormat="1" applyFont="1" applyBorder="1" applyAlignment="1">
      <alignment horizontal="right" vertical="center"/>
    </xf>
    <xf numFmtId="0" fontId="157" fillId="26" borderId="0" xfId="0" applyFont="1" applyFill="1" applyAlignment="1">
      <alignment horizontal="center" vertical="center"/>
    </xf>
    <xf numFmtId="168" fontId="157" fillId="26" borderId="0" xfId="1" applyNumberFormat="1" applyFont="1" applyFill="1" applyBorder="1" applyAlignment="1">
      <alignment vertical="center"/>
    </xf>
    <xf numFmtId="168" fontId="157" fillId="28" borderId="0" xfId="1" applyNumberFormat="1" applyFont="1" applyFill="1" applyBorder="1" applyAlignment="1">
      <alignment vertical="center"/>
    </xf>
    <xf numFmtId="168" fontId="157" fillId="26" borderId="7" xfId="1" applyNumberFormat="1" applyFont="1" applyFill="1" applyBorder="1" applyAlignment="1">
      <alignment vertical="center"/>
    </xf>
    <xf numFmtId="0" fontId="157" fillId="0" borderId="0" xfId="0" applyFont="1" applyAlignment="1">
      <alignment horizontal="center" vertical="center"/>
    </xf>
    <xf numFmtId="168" fontId="157" fillId="0" borderId="0" xfId="1" applyNumberFormat="1" applyFont="1" applyFill="1" applyBorder="1" applyAlignment="1">
      <alignment vertical="center"/>
    </xf>
    <xf numFmtId="168" fontId="157" fillId="0" borderId="7" xfId="1" applyNumberFormat="1" applyFont="1" applyFill="1" applyBorder="1" applyAlignment="1">
      <alignment vertical="center"/>
    </xf>
    <xf numFmtId="0" fontId="0" fillId="28" borderId="37" xfId="0" applyFill="1" applyBorder="1" applyAlignment="1">
      <alignment wrapText="1"/>
    </xf>
    <xf numFmtId="0" fontId="157" fillId="28" borderId="0" xfId="0" applyFont="1" applyFill="1" applyAlignment="1">
      <alignment horizontal="center" vertical="center"/>
    </xf>
    <xf numFmtId="168" fontId="0" fillId="28" borderId="0" xfId="1" applyNumberFormat="1" applyFont="1" applyFill="1" applyBorder="1" applyAlignment="1">
      <alignment wrapText="1"/>
    </xf>
    <xf numFmtId="168" fontId="157" fillId="28" borderId="7" xfId="1" applyNumberFormat="1" applyFont="1" applyFill="1" applyBorder="1" applyAlignment="1">
      <alignment vertical="center"/>
    </xf>
    <xf numFmtId="0" fontId="0" fillId="28" borderId="37" xfId="0" applyFill="1" applyBorder="1"/>
    <xf numFmtId="0" fontId="12" fillId="28" borderId="0" xfId="0" applyFont="1" applyFill="1"/>
    <xf numFmtId="0" fontId="0" fillId="0" borderId="40" xfId="0" applyBorder="1"/>
    <xf numFmtId="0" fontId="0" fillId="0" borderId="33" xfId="0" applyBorder="1"/>
    <xf numFmtId="0" fontId="0" fillId="0" borderId="9" xfId="0" applyBorder="1"/>
    <xf numFmtId="0" fontId="291" fillId="0" borderId="33" xfId="0" applyFont="1" applyBorder="1" applyAlignment="1">
      <alignment horizontal="center" vertical="center"/>
    </xf>
    <xf numFmtId="168" fontId="0" fillId="0" borderId="0" xfId="1" applyNumberFormat="1" applyFont="1" applyAlignment="1">
      <alignment vertical="center"/>
    </xf>
    <xf numFmtId="0" fontId="0" fillId="0" borderId="37" xfId="0" applyBorder="1" applyAlignment="1">
      <alignment horizontal="center" vertical="top"/>
    </xf>
    <xf numFmtId="0" fontId="157" fillId="0" borderId="7" xfId="0" applyFont="1" applyBorder="1" applyAlignment="1">
      <alignment horizontal="center" vertical="center"/>
    </xf>
    <xf numFmtId="0" fontId="12" fillId="0" borderId="37" xfId="0" applyFont="1" applyBorder="1" applyAlignment="1">
      <alignment horizontal="center" vertical="top" wrapText="1"/>
    </xf>
    <xf numFmtId="0" fontId="292" fillId="0" borderId="0" xfId="0" applyFont="1" applyAlignment="1">
      <alignment horizontal="center" vertical="center" wrapText="1"/>
    </xf>
    <xf numFmtId="0" fontId="292" fillId="0" borderId="7" xfId="0" applyFont="1" applyBorder="1" applyAlignment="1">
      <alignment horizontal="center" vertical="center" wrapText="1"/>
    </xf>
    <xf numFmtId="0" fontId="12" fillId="0" borderId="0" xfId="0" applyFont="1" applyAlignment="1">
      <alignment horizontal="center" wrapText="1"/>
    </xf>
    <xf numFmtId="0" fontId="12" fillId="0" borderId="37" xfId="0" applyFont="1" applyBorder="1" applyAlignment="1">
      <alignment horizontal="center" wrapText="1"/>
    </xf>
    <xf numFmtId="0" fontId="292" fillId="26" borderId="0" xfId="0" applyFont="1" applyFill="1" applyAlignment="1">
      <alignment horizontal="center" vertical="center" wrapText="1"/>
    </xf>
    <xf numFmtId="0" fontId="292" fillId="3" borderId="0" xfId="0" applyFont="1" applyFill="1" applyAlignment="1">
      <alignment horizontal="center" vertical="center" wrapText="1"/>
    </xf>
    <xf numFmtId="0" fontId="292" fillId="105" borderId="0" xfId="0" applyFont="1" applyFill="1" applyAlignment="1">
      <alignment horizontal="center" vertical="center" wrapText="1"/>
    </xf>
    <xf numFmtId="0" fontId="292" fillId="28" borderId="0" xfId="0" applyFont="1" applyFill="1" applyAlignment="1">
      <alignment horizontal="center" vertical="center" wrapText="1"/>
    </xf>
    <xf numFmtId="0" fontId="157" fillId="134" borderId="37" xfId="0" applyFont="1" applyFill="1" applyBorder="1" applyAlignment="1">
      <alignment vertical="center" wrapText="1"/>
    </xf>
    <xf numFmtId="3" fontId="157" fillId="134" borderId="0" xfId="0" applyNumberFormat="1" applyFont="1" applyFill="1" applyAlignment="1">
      <alignment horizontal="right" vertical="center"/>
    </xf>
    <xf numFmtId="3" fontId="157" fillId="105" borderId="0" xfId="0" applyNumberFormat="1" applyFont="1" applyFill="1" applyAlignment="1">
      <alignment horizontal="right" vertical="center"/>
    </xf>
    <xf numFmtId="3" fontId="157" fillId="28" borderId="0" xfId="0" applyNumberFormat="1" applyFont="1" applyFill="1" applyAlignment="1">
      <alignment horizontal="right" vertical="center"/>
    </xf>
    <xf numFmtId="3" fontId="157" fillId="134" borderId="7" xfId="0" applyNumberFormat="1" applyFont="1" applyFill="1" applyBorder="1" applyAlignment="1">
      <alignment horizontal="right" vertical="center"/>
    </xf>
    <xf numFmtId="0" fontId="0" fillId="0" borderId="37" xfId="0" applyBorder="1" applyAlignment="1">
      <alignment wrapText="1"/>
    </xf>
    <xf numFmtId="0" fontId="288" fillId="105" borderId="0" xfId="0" applyFont="1" applyFill="1" applyAlignment="1">
      <alignment horizontal="left" vertical="center" wrapText="1"/>
    </xf>
    <xf numFmtId="0" fontId="288" fillId="28" borderId="0" xfId="0" applyFont="1" applyFill="1" applyAlignment="1">
      <alignment horizontal="left" vertical="center" wrapText="1"/>
    </xf>
    <xf numFmtId="0" fontId="157" fillId="134" borderId="0" xfId="0" applyFont="1" applyFill="1" applyAlignment="1">
      <alignment vertical="center" wrapText="1"/>
    </xf>
    <xf numFmtId="168" fontId="138" fillId="134" borderId="0" xfId="1" applyNumberFormat="1" applyFont="1" applyFill="1" applyBorder="1" applyAlignment="1">
      <alignment vertical="center" wrapText="1"/>
    </xf>
    <xf numFmtId="168" fontId="138" fillId="134" borderId="0" xfId="1" applyNumberFormat="1" applyFont="1" applyFill="1" applyBorder="1" applyAlignment="1">
      <alignment horizontal="right" vertical="center" wrapText="1"/>
    </xf>
    <xf numFmtId="168" fontId="138" fillId="26" borderId="0" xfId="1" applyNumberFormat="1" applyFont="1" applyFill="1" applyBorder="1" applyAlignment="1">
      <alignment horizontal="right" vertical="center" wrapText="1"/>
    </xf>
    <xf numFmtId="168" fontId="138" fillId="28" borderId="0" xfId="1" applyNumberFormat="1" applyFont="1" applyFill="1" applyBorder="1" applyAlignment="1">
      <alignment horizontal="right" vertical="center" wrapText="1"/>
    </xf>
    <xf numFmtId="168" fontId="138" fillId="134" borderId="7" xfId="1" applyNumberFormat="1" applyFont="1" applyFill="1" applyBorder="1" applyAlignment="1">
      <alignment horizontal="right" vertical="center" wrapText="1"/>
    </xf>
    <xf numFmtId="0" fontId="0" fillId="105" borderId="0" xfId="0" applyFill="1"/>
    <xf numFmtId="0" fontId="0" fillId="0" borderId="0" xfId="0" applyAlignment="1">
      <alignment horizontal="right"/>
    </xf>
    <xf numFmtId="9" fontId="0" fillId="105" borderId="0" xfId="2" applyFont="1" applyFill="1" applyBorder="1"/>
    <xf numFmtId="9" fontId="0" fillId="28" borderId="0" xfId="2" applyFont="1" applyFill="1" applyBorder="1"/>
    <xf numFmtId="9" fontId="26" fillId="0" borderId="0" xfId="2" applyFont="1" applyBorder="1"/>
    <xf numFmtId="9" fontId="26" fillId="28" borderId="0" xfId="2" applyFont="1" applyFill="1" applyBorder="1"/>
    <xf numFmtId="9" fontId="26" fillId="0" borderId="7" xfId="2" applyFont="1" applyBorder="1"/>
    <xf numFmtId="0" fontId="289" fillId="0" borderId="0" xfId="0" applyFont="1" applyAlignment="1">
      <alignment wrapText="1"/>
    </xf>
    <xf numFmtId="0" fontId="289" fillId="26" borderId="0" xfId="0" applyFont="1" applyFill="1" applyAlignment="1">
      <alignment wrapText="1"/>
    </xf>
    <xf numFmtId="0" fontId="289" fillId="28" borderId="0" xfId="0" applyFont="1" applyFill="1" applyAlignment="1">
      <alignment wrapText="1"/>
    </xf>
    <xf numFmtId="0" fontId="289" fillId="0" borderId="7" xfId="0" applyFont="1" applyBorder="1" applyAlignment="1">
      <alignment wrapText="1"/>
    </xf>
    <xf numFmtId="0" fontId="291" fillId="0" borderId="0" xfId="0" applyFont="1" applyAlignment="1">
      <alignment horizontal="center" vertical="center" wrapText="1"/>
    </xf>
    <xf numFmtId="0" fontId="26" fillId="0" borderId="37" xfId="0" applyFont="1" applyBorder="1" applyAlignment="1">
      <alignment vertical="center"/>
    </xf>
    <xf numFmtId="0" fontId="157" fillId="26" borderId="37" xfId="0" applyFont="1" applyFill="1" applyBorder="1" applyAlignment="1">
      <alignment vertical="center" wrapText="1"/>
    </xf>
    <xf numFmtId="168" fontId="157" fillId="105" borderId="0" xfId="1" applyNumberFormat="1" applyFont="1" applyFill="1" applyBorder="1" applyAlignment="1">
      <alignment vertical="center"/>
    </xf>
    <xf numFmtId="0" fontId="291" fillId="0" borderId="33" xfId="0" applyFont="1" applyBorder="1" applyAlignment="1">
      <alignment horizontal="left" vertical="center"/>
    </xf>
    <xf numFmtId="0" fontId="0" fillId="0" borderId="0" xfId="0" applyAlignment="1">
      <alignment horizontal="center" vertical="top"/>
    </xf>
    <xf numFmtId="0" fontId="12" fillId="0" borderId="0" xfId="0" applyFont="1" applyAlignment="1">
      <alignment horizontal="center" vertical="top" wrapText="1"/>
    </xf>
    <xf numFmtId="168" fontId="0" fillId="26" borderId="0" xfId="1" applyNumberFormat="1" applyFont="1" applyFill="1" applyBorder="1"/>
    <xf numFmtId="168" fontId="0" fillId="28" borderId="0" xfId="1" applyNumberFormat="1" applyFont="1" applyFill="1" applyBorder="1"/>
    <xf numFmtId="168" fontId="0" fillId="0" borderId="0" xfId="1" applyNumberFormat="1" applyFont="1" applyFill="1" applyBorder="1"/>
    <xf numFmtId="168" fontId="0" fillId="0" borderId="7" xfId="1" applyNumberFormat="1" applyFont="1" applyBorder="1"/>
    <xf numFmtId="168" fontId="288" fillId="0" borderId="0" xfId="1" applyNumberFormat="1" applyFont="1" applyBorder="1" applyAlignment="1">
      <alignment horizontal="left" vertical="center" wrapText="1"/>
    </xf>
    <xf numFmtId="168" fontId="288" fillId="26" borderId="0" xfId="1" applyNumberFormat="1" applyFont="1" applyFill="1" applyBorder="1" applyAlignment="1">
      <alignment horizontal="left" vertical="center" wrapText="1"/>
    </xf>
    <xf numFmtId="168" fontId="288" fillId="28" borderId="0" xfId="1" applyNumberFormat="1" applyFont="1" applyFill="1" applyBorder="1" applyAlignment="1">
      <alignment horizontal="left" vertical="center" wrapText="1"/>
    </xf>
    <xf numFmtId="168" fontId="288" fillId="0" borderId="7" xfId="1" applyNumberFormat="1" applyFont="1" applyBorder="1" applyAlignment="1">
      <alignment horizontal="left" vertical="center" wrapText="1"/>
    </xf>
    <xf numFmtId="168" fontId="138" fillId="0" borderId="0" xfId="1" applyNumberFormat="1" applyFont="1" applyBorder="1" applyAlignment="1">
      <alignment horizontal="right" vertical="center"/>
    </xf>
    <xf numFmtId="168" fontId="291" fillId="0" borderId="0" xfId="1" applyNumberFormat="1" applyFont="1" applyBorder="1" applyAlignment="1">
      <alignment horizontal="left" vertical="center" wrapText="1"/>
    </xf>
    <xf numFmtId="168" fontId="291" fillId="26" borderId="0" xfId="1" applyNumberFormat="1" applyFont="1" applyFill="1" applyBorder="1" applyAlignment="1">
      <alignment horizontal="left" vertical="center" wrapText="1"/>
    </xf>
    <xf numFmtId="168" fontId="291" fillId="28" borderId="0" xfId="1" applyNumberFormat="1" applyFont="1" applyFill="1" applyBorder="1" applyAlignment="1">
      <alignment horizontal="left" vertical="center" wrapText="1"/>
    </xf>
    <xf numFmtId="168" fontId="291" fillId="0" borderId="0" xfId="1" applyNumberFormat="1" applyFont="1" applyFill="1" applyBorder="1" applyAlignment="1">
      <alignment horizontal="left" vertical="center" wrapText="1"/>
    </xf>
    <xf numFmtId="168" fontId="291" fillId="0" borderId="7" xfId="1" applyNumberFormat="1" applyFont="1" applyBorder="1" applyAlignment="1">
      <alignment horizontal="left" vertical="center" wrapText="1"/>
    </xf>
    <xf numFmtId="168" fontId="291" fillId="0" borderId="0" xfId="1" applyNumberFormat="1" applyFont="1" applyBorder="1" applyAlignment="1">
      <alignment horizontal="center" vertical="center" wrapText="1"/>
    </xf>
    <xf numFmtId="168" fontId="291" fillId="26" borderId="0" xfId="1" applyNumberFormat="1" applyFont="1" applyFill="1" applyBorder="1" applyAlignment="1">
      <alignment horizontal="center" vertical="center" wrapText="1"/>
    </xf>
    <xf numFmtId="168" fontId="291" fillId="28" borderId="0" xfId="1" applyNumberFormat="1" applyFont="1" applyFill="1" applyBorder="1" applyAlignment="1">
      <alignment horizontal="center" vertical="center" wrapText="1"/>
    </xf>
    <xf numFmtId="168" fontId="291" fillId="0" borderId="0" xfId="1" applyNumberFormat="1" applyFont="1" applyFill="1" applyBorder="1" applyAlignment="1">
      <alignment horizontal="center" vertical="center" wrapText="1"/>
    </xf>
    <xf numFmtId="168" fontId="291" fillId="0" borderId="7" xfId="1" applyNumberFormat="1" applyFont="1" applyBorder="1" applyAlignment="1">
      <alignment horizontal="center" vertical="center" wrapText="1"/>
    </xf>
    <xf numFmtId="168" fontId="138" fillId="0" borderId="7" xfId="1" applyNumberFormat="1" applyFont="1" applyBorder="1" applyAlignment="1">
      <alignment horizontal="right" vertical="center"/>
    </xf>
    <xf numFmtId="168" fontId="138" fillId="2" borderId="0" xfId="1" applyNumberFormat="1" applyFont="1" applyFill="1" applyBorder="1" applyAlignment="1">
      <alignment horizontal="right" vertical="center"/>
    </xf>
    <xf numFmtId="3" fontId="138" fillId="0" borderId="33" xfId="0" applyNumberFormat="1" applyFont="1" applyBorder="1" applyAlignment="1">
      <alignment horizontal="right" vertical="center"/>
    </xf>
    <xf numFmtId="0" fontId="26" fillId="0" borderId="0" xfId="0" applyFont="1" applyAlignment="1">
      <alignment horizontal="center" wrapText="1"/>
    </xf>
    <xf numFmtId="0" fontId="26" fillId="0" borderId="7" xfId="0" applyFont="1" applyBorder="1" applyAlignment="1">
      <alignment horizontal="center" wrapText="1"/>
    </xf>
    <xf numFmtId="0" fontId="10" fillId="0" borderId="37" xfId="0" applyFont="1" applyBorder="1" applyAlignment="1">
      <alignment horizontal="center" vertical="top"/>
    </xf>
    <xf numFmtId="0" fontId="10" fillId="0" borderId="0" xfId="0" applyFont="1" applyAlignment="1">
      <alignment horizontal="center" vertical="top"/>
    </xf>
    <xf numFmtId="0" fontId="293" fillId="0" borderId="0" xfId="0" applyFont="1" applyAlignment="1">
      <alignment horizontal="center" vertical="center"/>
    </xf>
    <xf numFmtId="0" fontId="28" fillId="0" borderId="0" xfId="0" applyFont="1" applyAlignment="1">
      <alignment horizontal="center" wrapText="1"/>
    </xf>
    <xf numFmtId="0" fontId="28" fillId="0" borderId="7" xfId="0" applyFont="1" applyBorder="1" applyAlignment="1">
      <alignment horizontal="center" wrapText="1"/>
    </xf>
    <xf numFmtId="0" fontId="10" fillId="0" borderId="0" xfId="0" applyFont="1" applyAlignment="1">
      <alignment horizontal="center"/>
    </xf>
    <xf numFmtId="0" fontId="10" fillId="0" borderId="37" xfId="0" applyFont="1" applyBorder="1" applyAlignment="1">
      <alignment horizontal="center"/>
    </xf>
    <xf numFmtId="0" fontId="28" fillId="26" borderId="0" xfId="0" applyFont="1" applyFill="1" applyAlignment="1">
      <alignment horizontal="center" wrapText="1"/>
    </xf>
    <xf numFmtId="0" fontId="28" fillId="3" borderId="0" xfId="0" applyFont="1" applyFill="1" applyAlignment="1">
      <alignment horizontal="center" wrapText="1"/>
    </xf>
    <xf numFmtId="0" fontId="28" fillId="28" borderId="0" xfId="0" applyFont="1" applyFill="1" applyAlignment="1">
      <alignment horizontal="center" wrapText="1"/>
    </xf>
    <xf numFmtId="168" fontId="26" fillId="0" borderId="0" xfId="1" applyNumberFormat="1" applyFont="1" applyBorder="1" applyAlignment="1">
      <alignment vertical="center"/>
    </xf>
    <xf numFmtId="168" fontId="26" fillId="26" borderId="0" xfId="1" applyNumberFormat="1" applyFont="1" applyFill="1" applyBorder="1" applyAlignment="1">
      <alignment vertical="center"/>
    </xf>
    <xf numFmtId="168" fontId="26" fillId="28" borderId="0" xfId="1" applyNumberFormat="1" applyFont="1" applyFill="1" applyBorder="1" applyAlignment="1">
      <alignment vertical="center"/>
    </xf>
    <xf numFmtId="0" fontId="291" fillId="26" borderId="0" xfId="0" applyFont="1" applyFill="1" applyAlignment="1">
      <alignment horizontal="center" vertical="center" wrapText="1"/>
    </xf>
    <xf numFmtId="0" fontId="291" fillId="28" borderId="0" xfId="0" applyFont="1" applyFill="1" applyAlignment="1">
      <alignment horizontal="center" vertical="center" wrapText="1"/>
    </xf>
    <xf numFmtId="0" fontId="291" fillId="0" borderId="7" xfId="0" applyFont="1" applyBorder="1" applyAlignment="1">
      <alignment horizontal="center" vertical="center" wrapText="1"/>
    </xf>
    <xf numFmtId="168" fontId="138" fillId="2" borderId="7" xfId="1" applyNumberFormat="1" applyFont="1" applyFill="1" applyBorder="1" applyAlignment="1">
      <alignment horizontal="right" vertical="center"/>
    </xf>
    <xf numFmtId="0" fontId="293" fillId="0" borderId="7" xfId="0" applyFont="1" applyBorder="1" applyAlignment="1">
      <alignment horizontal="center" vertical="center"/>
    </xf>
    <xf numFmtId="0" fontId="293" fillId="26" borderId="0" xfId="0" applyFont="1" applyFill="1" applyAlignment="1">
      <alignment horizontal="center" vertical="center"/>
    </xf>
    <xf numFmtId="0" fontId="293" fillId="28" borderId="0" xfId="0" applyFont="1" applyFill="1" applyAlignment="1">
      <alignment horizontal="center" vertical="center"/>
    </xf>
    <xf numFmtId="0" fontId="291" fillId="0" borderId="0" xfId="0" applyFont="1" applyAlignment="1">
      <alignment horizontal="left" vertical="center" wrapText="1"/>
    </xf>
    <xf numFmtId="3" fontId="26" fillId="0" borderId="0" xfId="0" applyNumberFormat="1" applyFont="1"/>
    <xf numFmtId="3" fontId="26" fillId="0" borderId="0" xfId="0" applyNumberFormat="1" applyFont="1" applyAlignment="1">
      <alignment horizontal="center"/>
    </xf>
    <xf numFmtId="3" fontId="26" fillId="0" borderId="7" xfId="0" applyNumberFormat="1" applyFont="1" applyBorder="1"/>
    <xf numFmtId="9" fontId="0" fillId="0" borderId="7" xfId="2" applyFont="1" applyFill="1" applyBorder="1"/>
    <xf numFmtId="9" fontId="0" fillId="26" borderId="0" xfId="2" applyFont="1" applyFill="1" applyBorder="1"/>
    <xf numFmtId="9" fontId="0" fillId="0" borderId="0" xfId="2" applyFont="1" applyFill="1" applyBorder="1"/>
    <xf numFmtId="168" fontId="288" fillId="0" borderId="0" xfId="1" applyNumberFormat="1" applyFont="1" applyFill="1" applyBorder="1" applyAlignment="1">
      <alignment horizontal="left" vertical="center" wrapText="1"/>
    </xf>
    <xf numFmtId="168" fontId="288" fillId="0" borderId="7" xfId="1" applyNumberFormat="1" applyFont="1" applyFill="1" applyBorder="1" applyAlignment="1">
      <alignment horizontal="left" vertical="center" wrapText="1"/>
    </xf>
    <xf numFmtId="0" fontId="291" fillId="26" borderId="0" xfId="0" applyFont="1" applyFill="1" applyAlignment="1">
      <alignment horizontal="left" vertical="center" wrapText="1"/>
    </xf>
    <xf numFmtId="0" fontId="291" fillId="28" borderId="0" xfId="0" applyFont="1" applyFill="1" applyAlignment="1">
      <alignment horizontal="left" vertical="center" wrapText="1"/>
    </xf>
    <xf numFmtId="0" fontId="291" fillId="0" borderId="7" xfId="0" applyFont="1" applyBorder="1" applyAlignment="1">
      <alignment horizontal="left" vertical="center" wrapText="1"/>
    </xf>
    <xf numFmtId="0" fontId="0" fillId="26" borderId="40" xfId="0" applyFill="1" applyBorder="1" applyAlignment="1">
      <alignment horizontal="center"/>
    </xf>
    <xf numFmtId="0" fontId="26" fillId="0" borderId="35" xfId="0" applyFont="1" applyBorder="1" applyAlignment="1">
      <alignment horizontal="center" vertical="center"/>
    </xf>
    <xf numFmtId="0" fontId="10" fillId="0" borderId="29" xfId="0" applyFont="1" applyBorder="1" applyAlignment="1">
      <alignment horizontal="center" vertical="center"/>
    </xf>
    <xf numFmtId="0" fontId="28" fillId="0" borderId="29" xfId="0" applyFont="1" applyBorder="1" applyAlignment="1">
      <alignment horizontal="center" vertical="center" wrapText="1"/>
    </xf>
    <xf numFmtId="0" fontId="28" fillId="0" borderId="30" xfId="0" applyFont="1" applyBorder="1" applyAlignment="1">
      <alignment horizontal="center" vertical="center" wrapText="1"/>
    </xf>
    <xf numFmtId="0" fontId="10" fillId="0" borderId="0" xfId="0" applyFont="1" applyAlignment="1">
      <alignment horizontal="center" vertical="center"/>
    </xf>
    <xf numFmtId="0" fontId="26" fillId="0" borderId="37" xfId="0" applyFont="1" applyBorder="1" applyAlignment="1">
      <alignment horizontal="center" vertical="center"/>
    </xf>
    <xf numFmtId="0" fontId="28" fillId="0" borderId="0" xfId="0" applyFont="1" applyAlignment="1">
      <alignment horizontal="center" vertical="center" wrapText="1"/>
    </xf>
    <xf numFmtId="0" fontId="28" fillId="0" borderId="7" xfId="0" applyFont="1" applyBorder="1" applyAlignment="1">
      <alignment horizontal="center" vertical="center" wrapText="1"/>
    </xf>
    <xf numFmtId="0" fontId="28" fillId="26" borderId="0" xfId="0" applyFont="1" applyFill="1" applyAlignment="1">
      <alignment horizontal="center" vertical="center" wrapText="1"/>
    </xf>
    <xf numFmtId="0" fontId="10" fillId="26" borderId="0" xfId="0" applyFont="1" applyFill="1" applyAlignment="1">
      <alignment horizontal="center" wrapText="1"/>
    </xf>
    <xf numFmtId="0" fontId="10" fillId="0" borderId="7" xfId="0" applyFont="1" applyBorder="1" applyAlignment="1">
      <alignment horizontal="center" wrapText="1"/>
    </xf>
    <xf numFmtId="168" fontId="0" fillId="0" borderId="262" xfId="1" applyNumberFormat="1" applyFont="1" applyBorder="1"/>
    <xf numFmtId="168" fontId="0" fillId="26" borderId="262" xfId="1" applyNumberFormat="1" applyFont="1" applyFill="1" applyBorder="1"/>
    <xf numFmtId="168" fontId="0" fillId="0" borderId="432" xfId="1" applyNumberFormat="1" applyFont="1" applyBorder="1"/>
    <xf numFmtId="168" fontId="0" fillId="0" borderId="0" xfId="0" applyNumberFormat="1"/>
    <xf numFmtId="168" fontId="0" fillId="26" borderId="0" xfId="0" applyNumberFormat="1" applyFill="1"/>
    <xf numFmtId="168" fontId="0" fillId="0" borderId="7" xfId="0" applyNumberFormat="1" applyBorder="1"/>
    <xf numFmtId="168" fontId="0" fillId="0" borderId="33" xfId="0" applyNumberFormat="1" applyBorder="1"/>
    <xf numFmtId="168" fontId="12" fillId="0" borderId="33" xfId="0" applyNumberFormat="1" applyFont="1" applyBorder="1"/>
    <xf numFmtId="168" fontId="12" fillId="26" borderId="33" xfId="0" applyNumberFormat="1" applyFont="1" applyFill="1" applyBorder="1"/>
    <xf numFmtId="168" fontId="0" fillId="0" borderId="9" xfId="0" applyNumberFormat="1" applyBorder="1"/>
    <xf numFmtId="0" fontId="10" fillId="26" borderId="0" xfId="0" applyFont="1" applyFill="1" applyAlignment="1">
      <alignment horizontal="center" vertical="center" wrapText="1"/>
    </xf>
    <xf numFmtId="0" fontId="10" fillId="28" borderId="0" xfId="0" applyFont="1" applyFill="1" applyAlignment="1">
      <alignment horizontal="center" vertical="center" wrapText="1"/>
    </xf>
    <xf numFmtId="0" fontId="28" fillId="28" borderId="0" xfId="0" applyFont="1" applyFill="1" applyAlignment="1">
      <alignment horizontal="center" vertical="center" wrapText="1"/>
    </xf>
    <xf numFmtId="168" fontId="294" fillId="134" borderId="0" xfId="1" applyNumberFormat="1" applyFont="1" applyFill="1" applyBorder="1" applyAlignment="1">
      <alignment vertical="center"/>
    </xf>
    <xf numFmtId="168" fontId="294" fillId="26" borderId="0" xfId="1" applyNumberFormat="1" applyFont="1" applyFill="1" applyBorder="1" applyAlignment="1">
      <alignment vertical="center"/>
    </xf>
    <xf numFmtId="168" fontId="138" fillId="26" borderId="0" xfId="1" applyNumberFormat="1" applyFont="1" applyFill="1" applyBorder="1" applyAlignment="1">
      <alignment vertical="center"/>
    </xf>
    <xf numFmtId="168" fontId="294" fillId="28" borderId="0" xfId="1" applyNumberFormat="1" applyFont="1" applyFill="1" applyBorder="1" applyAlignment="1">
      <alignment vertical="center"/>
    </xf>
    <xf numFmtId="168" fontId="138" fillId="28" borderId="0" xfId="1" applyNumberFormat="1" applyFont="1" applyFill="1" applyBorder="1" applyAlignment="1">
      <alignment vertical="center"/>
    </xf>
    <xf numFmtId="3" fontId="28" fillId="0" borderId="0" xfId="0" applyNumberFormat="1" applyFont="1"/>
    <xf numFmtId="3" fontId="28" fillId="26" borderId="0" xfId="0" applyNumberFormat="1" applyFont="1" applyFill="1"/>
    <xf numFmtId="3" fontId="26" fillId="26" borderId="0" xfId="0" applyNumberFormat="1" applyFont="1" applyFill="1"/>
    <xf numFmtId="3" fontId="28" fillId="28" borderId="0" xfId="0" applyNumberFormat="1" applyFont="1" applyFill="1"/>
    <xf numFmtId="3" fontId="26" fillId="28" borderId="0" xfId="0" applyNumberFormat="1" applyFont="1" applyFill="1"/>
    <xf numFmtId="0" fontId="291" fillId="0" borderId="0" xfId="0" applyFont="1" applyAlignment="1">
      <alignment horizontal="center" vertical="center"/>
    </xf>
    <xf numFmtId="3" fontId="291" fillId="0" borderId="0" xfId="0" applyNumberFormat="1" applyFont="1" applyAlignment="1">
      <alignment horizontal="center" vertical="center"/>
    </xf>
    <xf numFmtId="0" fontId="291" fillId="26" borderId="0" xfId="0" applyFont="1" applyFill="1" applyAlignment="1">
      <alignment horizontal="center" vertical="center"/>
    </xf>
    <xf numFmtId="3" fontId="291" fillId="26" borderId="0" xfId="0" applyNumberFormat="1" applyFont="1" applyFill="1" applyAlignment="1">
      <alignment horizontal="center" vertical="center"/>
    </xf>
    <xf numFmtId="0" fontId="291" fillId="28" borderId="0" xfId="0" applyFont="1" applyFill="1" applyAlignment="1">
      <alignment horizontal="center" vertical="center"/>
    </xf>
    <xf numFmtId="3" fontId="291" fillId="28" borderId="0" xfId="0" applyNumberFormat="1" applyFont="1" applyFill="1" applyAlignment="1">
      <alignment horizontal="center" vertical="center"/>
    </xf>
    <xf numFmtId="0" fontId="292" fillId="0" borderId="37" xfId="0" applyFont="1" applyBorder="1" applyAlignment="1">
      <alignment vertical="center"/>
    </xf>
    <xf numFmtId="9" fontId="292" fillId="0" borderId="0" xfId="2" applyFont="1" applyBorder="1" applyAlignment="1">
      <alignment horizontal="right" vertical="center"/>
    </xf>
    <xf numFmtId="9" fontId="292" fillId="26" borderId="0" xfId="2" applyFont="1" applyFill="1" applyBorder="1" applyAlignment="1">
      <alignment horizontal="right" vertical="center"/>
    </xf>
    <xf numFmtId="9" fontId="292" fillId="28" borderId="0" xfId="2" applyFont="1" applyFill="1" applyBorder="1" applyAlignment="1">
      <alignment horizontal="right" vertical="center"/>
    </xf>
    <xf numFmtId="9" fontId="20" fillId="0" borderId="7" xfId="2" applyFont="1" applyBorder="1"/>
    <xf numFmtId="0" fontId="20" fillId="0" borderId="37" xfId="0" applyFont="1" applyBorder="1" applyAlignment="1">
      <alignment horizontal="right"/>
    </xf>
    <xf numFmtId="9" fontId="20" fillId="0" borderId="0" xfId="2" applyFont="1" applyBorder="1" applyAlignment="1">
      <alignment horizontal="center"/>
    </xf>
    <xf numFmtId="0" fontId="20" fillId="26" borderId="0" xfId="0" applyFont="1" applyFill="1" applyAlignment="1">
      <alignment horizontal="center"/>
    </xf>
    <xf numFmtId="9" fontId="20" fillId="26" borderId="0" xfId="2" applyFont="1" applyFill="1" applyBorder="1" applyAlignment="1">
      <alignment horizontal="center"/>
    </xf>
    <xf numFmtId="0" fontId="20" fillId="28" borderId="0" xfId="0" applyFont="1" applyFill="1" applyAlignment="1">
      <alignment horizontal="center"/>
    </xf>
    <xf numFmtId="9" fontId="20" fillId="28" borderId="0" xfId="2" applyFont="1" applyFill="1" applyBorder="1" applyAlignment="1">
      <alignment horizontal="center"/>
    </xf>
    <xf numFmtId="9" fontId="20" fillId="0" borderId="0" xfId="2" applyFont="1" applyBorder="1"/>
    <xf numFmtId="0" fontId="289" fillId="0" borderId="7" xfId="0" applyFont="1" applyBorder="1" applyAlignment="1">
      <alignment horizontal="center" vertical="center" wrapText="1"/>
    </xf>
    <xf numFmtId="9" fontId="138" fillId="0" borderId="0" xfId="2" applyFont="1" applyBorder="1" applyAlignment="1">
      <alignment horizontal="right" vertical="center"/>
    </xf>
    <xf numFmtId="9" fontId="138" fillId="26" borderId="0" xfId="2" applyFont="1" applyFill="1" applyBorder="1" applyAlignment="1">
      <alignment horizontal="right" vertical="center"/>
    </xf>
    <xf numFmtId="9" fontId="138" fillId="28" borderId="0" xfId="2" applyFont="1" applyFill="1" applyBorder="1" applyAlignment="1">
      <alignment horizontal="right" vertical="center"/>
    </xf>
    <xf numFmtId="0" fontId="292" fillId="26" borderId="37" xfId="0" applyFont="1" applyFill="1" applyBorder="1" applyAlignment="1">
      <alignment horizontal="right" vertical="center"/>
    </xf>
    <xf numFmtId="3" fontId="148" fillId="0" borderId="0" xfId="0" applyNumberFormat="1" applyFont="1" applyAlignment="1">
      <alignment horizontal="right" vertical="center"/>
    </xf>
    <xf numFmtId="9" fontId="148" fillId="26" borderId="0" xfId="2" applyFont="1" applyFill="1" applyBorder="1" applyAlignment="1">
      <alignment horizontal="right" vertical="center"/>
    </xf>
    <xf numFmtId="9" fontId="148" fillId="28" borderId="0" xfId="2" applyFont="1" applyFill="1" applyBorder="1" applyAlignment="1">
      <alignment horizontal="right" vertical="center"/>
    </xf>
    <xf numFmtId="3" fontId="148" fillId="26" borderId="0" xfId="0" applyNumberFormat="1" applyFont="1" applyFill="1" applyAlignment="1">
      <alignment horizontal="right" vertical="center"/>
    </xf>
    <xf numFmtId="3" fontId="148" fillId="28" borderId="0" xfId="0" applyNumberFormat="1" applyFont="1" applyFill="1" applyAlignment="1">
      <alignment horizontal="right" vertical="center"/>
    </xf>
    <xf numFmtId="0" fontId="12" fillId="0" borderId="7" xfId="0" applyFont="1" applyBorder="1"/>
    <xf numFmtId="168" fontId="12" fillId="0" borderId="7" xfId="1" applyNumberFormat="1" applyFont="1" applyBorder="1"/>
    <xf numFmtId="0" fontId="20" fillId="0" borderId="40" xfId="0" applyFont="1" applyBorder="1"/>
    <xf numFmtId="0" fontId="20" fillId="0" borderId="33" xfId="0" applyFont="1" applyBorder="1"/>
    <xf numFmtId="0" fontId="20" fillId="0" borderId="9" xfId="0" applyFont="1" applyBorder="1"/>
    <xf numFmtId="0" fontId="20" fillId="0" borderId="40" xfId="0" applyFont="1" applyBorder="1" applyAlignment="1">
      <alignment horizontal="right"/>
    </xf>
    <xf numFmtId="9" fontId="20" fillId="0" borderId="33" xfId="2" applyFont="1" applyBorder="1"/>
    <xf numFmtId="0" fontId="157" fillId="3" borderId="0" xfId="0" applyFont="1" applyFill="1" applyAlignment="1">
      <alignment horizontal="center" vertical="center"/>
    </xf>
    <xf numFmtId="0" fontId="26" fillId="15" borderId="0" xfId="0" applyFont="1" applyFill="1" applyAlignment="1">
      <alignment horizontal="center"/>
    </xf>
    <xf numFmtId="0" fontId="0" fillId="15" borderId="0" xfId="0" applyFill="1" applyAlignment="1">
      <alignment horizontal="center"/>
    </xf>
    <xf numFmtId="0" fontId="0" fillId="26" borderId="0" xfId="0" applyFill="1" applyAlignment="1">
      <alignment horizontal="center"/>
    </xf>
    <xf numFmtId="0" fontId="26" fillId="26" borderId="0" xfId="0" applyFont="1" applyFill="1" applyAlignment="1">
      <alignment horizontal="center"/>
    </xf>
    <xf numFmtId="0" fontId="0" fillId="28" borderId="0" xfId="0" applyFill="1" applyAlignment="1">
      <alignment horizontal="center"/>
    </xf>
    <xf numFmtId="0" fontId="26" fillId="28" borderId="0" xfId="0" applyFont="1" applyFill="1" applyAlignment="1">
      <alignment horizontal="center"/>
    </xf>
    <xf numFmtId="0" fontId="26" fillId="0" borderId="7" xfId="0" applyFont="1" applyBorder="1" applyAlignment="1">
      <alignment horizontal="center"/>
    </xf>
    <xf numFmtId="168" fontId="0" fillId="15" borderId="0" xfId="1" applyNumberFormat="1" applyFont="1" applyFill="1" applyBorder="1"/>
    <xf numFmtId="168" fontId="0" fillId="0" borderId="7" xfId="1" applyNumberFormat="1" applyFont="1" applyFill="1" applyBorder="1"/>
    <xf numFmtId="168" fontId="0" fillId="0" borderId="0" xfId="1" applyNumberFormat="1" applyFont="1" applyFill="1" applyBorder="1" applyAlignment="1">
      <alignment vertical="center"/>
    </xf>
    <xf numFmtId="0" fontId="0" fillId="15" borderId="0" xfId="0" applyFill="1"/>
    <xf numFmtId="9" fontId="0" fillId="15" borderId="0" xfId="2" applyFont="1" applyFill="1" applyBorder="1"/>
    <xf numFmtId="0" fontId="289" fillId="0" borderId="0" xfId="0" applyFont="1" applyAlignment="1">
      <alignment horizontal="center" vertical="center" wrapText="1"/>
    </xf>
    <xf numFmtId="0" fontId="289" fillId="28" borderId="0" xfId="0" applyFont="1" applyFill="1" applyAlignment="1">
      <alignment horizontal="center" vertical="center" wrapText="1"/>
    </xf>
    <xf numFmtId="0" fontId="288" fillId="0" borderId="0" xfId="0" applyFont="1" applyAlignment="1">
      <alignment horizontal="left" vertical="center"/>
    </xf>
    <xf numFmtId="0" fontId="157" fillId="27" borderId="37" xfId="0" applyFont="1" applyFill="1" applyBorder="1" applyAlignment="1">
      <alignment vertical="center"/>
    </xf>
    <xf numFmtId="3" fontId="157" fillId="27" borderId="0" xfId="0" applyNumberFormat="1" applyFont="1" applyFill="1" applyAlignment="1">
      <alignment horizontal="right" vertical="center"/>
    </xf>
    <xf numFmtId="3" fontId="138" fillId="27" borderId="0" xfId="0" applyNumberFormat="1" applyFont="1" applyFill="1" applyAlignment="1">
      <alignment horizontal="right" vertical="center"/>
    </xf>
    <xf numFmtId="1" fontId="0" fillId="27" borderId="0" xfId="0" applyNumberFormat="1" applyFill="1" applyAlignment="1">
      <alignment horizontal="center" vertical="center"/>
    </xf>
    <xf numFmtId="1" fontId="0" fillId="27" borderId="7" xfId="0" applyNumberFormat="1" applyFill="1" applyBorder="1" applyAlignment="1">
      <alignment horizontal="center" vertical="center"/>
    </xf>
    <xf numFmtId="0" fontId="157" fillId="14" borderId="37" xfId="0" applyFont="1" applyFill="1" applyBorder="1" applyAlignment="1">
      <alignment vertical="center"/>
    </xf>
    <xf numFmtId="3" fontId="157" fillId="14" borderId="0" xfId="0" applyNumberFormat="1" applyFont="1" applyFill="1" applyAlignment="1">
      <alignment horizontal="right" vertical="center"/>
    </xf>
    <xf numFmtId="3" fontId="138" fillId="14" borderId="0" xfId="0" applyNumberFormat="1" applyFont="1" applyFill="1" applyAlignment="1">
      <alignment horizontal="right" vertical="center"/>
    </xf>
    <xf numFmtId="1" fontId="0" fillId="14" borderId="0" xfId="0" applyNumberFormat="1" applyFill="1" applyAlignment="1">
      <alignment horizontal="center" vertical="center"/>
    </xf>
    <xf numFmtId="0" fontId="0" fillId="14" borderId="0" xfId="0" applyFill="1" applyAlignment="1">
      <alignment horizontal="center" vertical="center"/>
    </xf>
    <xf numFmtId="0" fontId="0" fillId="14" borderId="7" xfId="0" applyFill="1" applyBorder="1" applyAlignment="1">
      <alignment horizontal="center" vertical="center"/>
    </xf>
    <xf numFmtId="0" fontId="104" fillId="0" borderId="0" xfId="0" applyFont="1"/>
    <xf numFmtId="0" fontId="291" fillId="0" borderId="0" xfId="0" applyFont="1" applyAlignment="1">
      <alignment horizontal="left" vertical="center"/>
    </xf>
    <xf numFmtId="0" fontId="26" fillId="12" borderId="0" xfId="0" applyFont="1" applyFill="1" applyAlignment="1">
      <alignment horizontal="center"/>
    </xf>
    <xf numFmtId="3" fontId="138" fillId="12" borderId="0" xfId="0" applyNumberFormat="1" applyFont="1" applyFill="1" applyAlignment="1">
      <alignment horizontal="right" vertical="center"/>
    </xf>
    <xf numFmtId="3" fontId="0" fillId="26" borderId="0" xfId="0" applyNumberFormat="1" applyFill="1"/>
    <xf numFmtId="3" fontId="0" fillId="28" borderId="0" xfId="0" applyNumberFormat="1" applyFill="1"/>
    <xf numFmtId="9" fontId="138" fillId="0" borderId="0" xfId="2" applyFont="1" applyFill="1" applyBorder="1" applyAlignment="1">
      <alignment horizontal="right" vertical="center"/>
    </xf>
    <xf numFmtId="9" fontId="26" fillId="26" borderId="0" xfId="2" applyFont="1" applyFill="1" applyBorder="1"/>
    <xf numFmtId="168" fontId="291" fillId="0" borderId="0" xfId="1" applyNumberFormat="1" applyFont="1" applyBorder="1" applyAlignment="1">
      <alignment vertical="center" wrapText="1"/>
    </xf>
    <xf numFmtId="168" fontId="291" fillId="28" borderId="0" xfId="1" applyNumberFormat="1" applyFont="1" applyFill="1" applyBorder="1" applyAlignment="1">
      <alignment vertical="center" wrapText="1"/>
    </xf>
    <xf numFmtId="3" fontId="157" fillId="26" borderId="0" xfId="0" applyNumberFormat="1" applyFont="1" applyFill="1" applyAlignment="1">
      <alignment horizontal="right" vertical="center"/>
    </xf>
    <xf numFmtId="0" fontId="104" fillId="0" borderId="0" xfId="0" applyFont="1" applyAlignment="1">
      <alignment vertical="top" wrapText="1"/>
    </xf>
    <xf numFmtId="0" fontId="104" fillId="26" borderId="0" xfId="0" applyFont="1" applyFill="1" applyAlignment="1">
      <alignment horizontal="center" vertical="center" wrapText="1"/>
    </xf>
    <xf numFmtId="0" fontId="104" fillId="28" borderId="0" xfId="0" applyFont="1" applyFill="1" applyAlignment="1">
      <alignment horizontal="center" vertical="center" wrapText="1"/>
    </xf>
    <xf numFmtId="166" fontId="10" fillId="0" borderId="0" xfId="1" applyFont="1"/>
    <xf numFmtId="43" fontId="10" fillId="0" borderId="0" xfId="0" applyNumberFormat="1" applyFont="1"/>
    <xf numFmtId="168" fontId="0" fillId="28" borderId="0" xfId="0" applyNumberFormat="1" applyFill="1"/>
    <xf numFmtId="9" fontId="26" fillId="0" borderId="0" xfId="2" applyFont="1" applyFill="1" applyBorder="1"/>
    <xf numFmtId="168" fontId="291" fillId="0" borderId="0" xfId="1" applyNumberFormat="1" applyFont="1" applyFill="1" applyBorder="1" applyAlignment="1">
      <alignment vertical="center" wrapText="1"/>
    </xf>
    <xf numFmtId="0" fontId="153" fillId="0" borderId="41" xfId="0" applyFont="1" applyBorder="1" applyAlignment="1">
      <alignment horizontal="center" vertical="center" wrapText="1"/>
    </xf>
    <xf numFmtId="168" fontId="295" fillId="27" borderId="41" xfId="1" applyNumberFormat="1" applyFont="1" applyFill="1" applyBorder="1" applyAlignment="1">
      <alignment vertical="center" wrapText="1"/>
    </xf>
    <xf numFmtId="168" fontId="295" fillId="27" borderId="8" xfId="1" applyNumberFormat="1" applyFont="1" applyFill="1" applyBorder="1" applyAlignment="1">
      <alignment vertical="center" wrapText="1"/>
    </xf>
    <xf numFmtId="168" fontId="295" fillId="71" borderId="41" xfId="1" applyNumberFormat="1" applyFont="1" applyFill="1" applyBorder="1" applyAlignment="1">
      <alignment vertical="center" wrapText="1"/>
    </xf>
    <xf numFmtId="168" fontId="295" fillId="71" borderId="6" xfId="1" applyNumberFormat="1" applyFont="1" applyFill="1" applyBorder="1" applyAlignment="1">
      <alignment vertical="center" wrapText="1"/>
    </xf>
    <xf numFmtId="168" fontId="295" fillId="70" borderId="41" xfId="1" applyNumberFormat="1" applyFont="1" applyFill="1" applyBorder="1" applyAlignment="1">
      <alignment vertical="center" wrapText="1"/>
    </xf>
    <xf numFmtId="168" fontId="295" fillId="70" borderId="70" xfId="1" applyNumberFormat="1" applyFont="1" applyFill="1" applyBorder="1" applyAlignment="1">
      <alignment vertical="center" wrapText="1"/>
    </xf>
    <xf numFmtId="168" fontId="295" fillId="70" borderId="6" xfId="1" applyNumberFormat="1" applyFont="1" applyFill="1" applyBorder="1" applyAlignment="1">
      <alignment vertical="center" wrapText="1"/>
    </xf>
    <xf numFmtId="168" fontId="295" fillId="26" borderId="41" xfId="1" applyNumberFormat="1" applyFont="1" applyFill="1" applyBorder="1" applyAlignment="1">
      <alignment vertical="center" wrapText="1"/>
    </xf>
    <xf numFmtId="168" fontId="295" fillId="26" borderId="70" xfId="1" applyNumberFormat="1" applyFont="1" applyFill="1" applyBorder="1" applyAlignment="1">
      <alignment vertical="center" wrapText="1"/>
    </xf>
    <xf numFmtId="168" fontId="295" fillId="26" borderId="8" xfId="1" applyNumberFormat="1" applyFont="1" applyFill="1" applyBorder="1" applyAlignment="1">
      <alignment vertical="center" wrapText="1"/>
    </xf>
    <xf numFmtId="168" fontId="295" fillId="28" borderId="41" xfId="1" applyNumberFormat="1" applyFont="1" applyFill="1" applyBorder="1" applyAlignment="1">
      <alignment vertical="center" wrapText="1"/>
    </xf>
    <xf numFmtId="168" fontId="295" fillId="28" borderId="70" xfId="1" applyNumberFormat="1" applyFont="1" applyFill="1" applyBorder="1" applyAlignment="1">
      <alignment vertical="center" wrapText="1"/>
    </xf>
    <xf numFmtId="168" fontId="295" fillId="28" borderId="8" xfId="1" applyNumberFormat="1" applyFont="1" applyFill="1" applyBorder="1" applyAlignment="1">
      <alignment vertical="center" wrapText="1"/>
    </xf>
    <xf numFmtId="0" fontId="295" fillId="0" borderId="0" xfId="0" applyFont="1" applyAlignment="1">
      <alignment vertical="center" wrapText="1"/>
    </xf>
    <xf numFmtId="9" fontId="295" fillId="26" borderId="42" xfId="2" applyFont="1" applyFill="1" applyBorder="1" applyAlignment="1">
      <alignment vertical="center" wrapText="1"/>
    </xf>
    <xf numFmtId="9" fontId="295" fillId="26" borderId="47" xfId="2" applyFont="1" applyFill="1" applyBorder="1" applyAlignment="1">
      <alignment vertical="center" wrapText="1"/>
    </xf>
    <xf numFmtId="9" fontId="295" fillId="26" borderId="13" xfId="2" applyFont="1" applyFill="1" applyBorder="1" applyAlignment="1">
      <alignment vertical="center" wrapText="1"/>
    </xf>
    <xf numFmtId="168" fontId="295" fillId="27" borderId="24" xfId="0" applyNumberFormat="1" applyFont="1" applyFill="1" applyBorder="1" applyAlignment="1">
      <alignment vertical="center" wrapText="1"/>
    </xf>
    <xf numFmtId="168" fontId="295" fillId="71" borderId="24" xfId="0" applyNumberFormat="1" applyFont="1" applyFill="1" applyBorder="1" applyAlignment="1">
      <alignment vertical="center" wrapText="1"/>
    </xf>
    <xf numFmtId="168" fontId="295" fillId="70" borderId="24" xfId="0" applyNumberFormat="1" applyFont="1" applyFill="1" applyBorder="1" applyAlignment="1">
      <alignment vertical="center" wrapText="1"/>
    </xf>
    <xf numFmtId="168" fontId="295" fillId="26" borderId="24" xfId="0" applyNumberFormat="1" applyFont="1" applyFill="1" applyBorder="1" applyAlignment="1">
      <alignment vertical="center" wrapText="1"/>
    </xf>
    <xf numFmtId="168" fontId="295" fillId="28" borderId="24" xfId="0" applyNumberFormat="1" applyFont="1" applyFill="1" applyBorder="1" applyAlignment="1">
      <alignment vertical="center" wrapText="1"/>
    </xf>
    <xf numFmtId="0" fontId="108" fillId="0" borderId="0" xfId="0" applyFont="1"/>
    <xf numFmtId="168" fontId="295" fillId="27" borderId="13" xfId="0" applyNumberFormat="1" applyFont="1" applyFill="1" applyBorder="1" applyAlignment="1">
      <alignment vertical="center" wrapText="1"/>
    </xf>
    <xf numFmtId="168" fontId="295" fillId="71" borderId="13" xfId="0" applyNumberFormat="1" applyFont="1" applyFill="1" applyBorder="1" applyAlignment="1">
      <alignment vertical="center" wrapText="1"/>
    </xf>
    <xf numFmtId="168" fontId="295" fillId="70" borderId="13" xfId="0" applyNumberFormat="1" applyFont="1" applyFill="1" applyBorder="1" applyAlignment="1">
      <alignment vertical="center" wrapText="1"/>
    </xf>
    <xf numFmtId="168" fontId="295" fillId="26" borderId="13" xfId="0" applyNumberFormat="1" applyFont="1" applyFill="1" applyBorder="1" applyAlignment="1">
      <alignment vertical="center" wrapText="1"/>
    </xf>
    <xf numFmtId="168" fontId="295" fillId="28" borderId="13" xfId="0" applyNumberFormat="1" applyFont="1" applyFill="1" applyBorder="1" applyAlignment="1">
      <alignment vertical="center" wrapText="1"/>
    </xf>
    <xf numFmtId="0" fontId="73" fillId="0" borderId="0" xfId="0" applyFont="1"/>
    <xf numFmtId="3" fontId="209" fillId="26" borderId="0" xfId="0" applyNumberFormat="1" applyFont="1" applyFill="1" applyBorder="1" applyAlignment="1">
      <alignment horizontal="center" vertical="center" wrapText="1"/>
    </xf>
    <xf numFmtId="3" fontId="278" fillId="3" borderId="269" xfId="67" applyNumberFormat="1" applyFont="1" applyFill="1" applyBorder="1" applyAlignment="1">
      <alignment horizontal="right"/>
    </xf>
    <xf numFmtId="3" fontId="296" fillId="16" borderId="35" xfId="0" applyNumberFormat="1" applyFont="1" applyFill="1" applyBorder="1" applyAlignment="1">
      <alignment horizontal="center" vertical="center" wrapText="1"/>
    </xf>
    <xf numFmtId="168" fontId="106" fillId="0" borderId="30" xfId="1" applyNumberFormat="1" applyFont="1" applyFill="1" applyBorder="1" applyAlignment="1">
      <alignment horizontal="center" vertical="center"/>
    </xf>
    <xf numFmtId="3" fontId="12" fillId="0" borderId="37" xfId="0" applyNumberFormat="1" applyFont="1" applyBorder="1"/>
    <xf numFmtId="167" fontId="106" fillId="0" borderId="40" xfId="2" applyNumberFormat="1" applyFont="1" applyFill="1" applyBorder="1" applyAlignment="1">
      <alignment horizontal="center" vertical="center"/>
    </xf>
    <xf numFmtId="167" fontId="106" fillId="0" borderId="9" xfId="2" applyNumberFormat="1" applyFont="1" applyFill="1" applyBorder="1" applyAlignment="1">
      <alignment horizontal="center" vertical="center"/>
    </xf>
    <xf numFmtId="166" fontId="126" fillId="0" borderId="37" xfId="0" applyNumberFormat="1" applyFont="1" applyBorder="1"/>
    <xf numFmtId="0" fontId="61" fillId="0" borderId="0" xfId="0" applyFont="1" applyFill="1" applyAlignment="1">
      <alignment horizontal="center" vertical="center" wrapText="1"/>
    </xf>
    <xf numFmtId="9" fontId="159" fillId="31" borderId="11" xfId="2" applyFont="1" applyFill="1" applyBorder="1" applyAlignment="1">
      <alignment vertical="center"/>
    </xf>
    <xf numFmtId="9" fontId="11" fillId="31" borderId="11" xfId="2" applyFont="1" applyFill="1" applyBorder="1" applyAlignment="1">
      <alignment vertical="center" wrapText="1"/>
    </xf>
    <xf numFmtId="171" fontId="63" fillId="3" borderId="42" xfId="0" applyNumberFormat="1" applyFont="1" applyFill="1" applyBorder="1" applyAlignment="1">
      <alignment horizontal="center"/>
    </xf>
    <xf numFmtId="0" fontId="0" fillId="0" borderId="17" xfId="0" applyBorder="1" applyAlignment="1">
      <alignment wrapText="1"/>
    </xf>
    <xf numFmtId="0" fontId="0" fillId="0" borderId="20" xfId="0" applyBorder="1" applyAlignment="1">
      <alignment wrapText="1"/>
    </xf>
    <xf numFmtId="0" fontId="7" fillId="14" borderId="13" xfId="0" applyFont="1" applyFill="1" applyBorder="1" applyAlignment="1">
      <alignment vertical="center" wrapText="1"/>
    </xf>
    <xf numFmtId="0" fontId="7" fillId="14" borderId="17" xfId="0" applyFont="1" applyFill="1" applyBorder="1" applyAlignment="1">
      <alignment vertical="center" wrapText="1"/>
    </xf>
    <xf numFmtId="0" fontId="0" fillId="0" borderId="17" xfId="0" applyBorder="1" applyAlignment="1">
      <alignment vertical="center" wrapText="1"/>
    </xf>
    <xf numFmtId="0" fontId="0" fillId="0" borderId="20" xfId="0" applyBorder="1" applyAlignment="1">
      <alignment vertical="center" wrapText="1"/>
    </xf>
    <xf numFmtId="3" fontId="109" fillId="0" borderId="13" xfId="0" applyNumberFormat="1" applyFont="1" applyFill="1" applyBorder="1" applyAlignment="1">
      <alignment horizontal="center" vertical="center" wrapText="1"/>
    </xf>
    <xf numFmtId="0" fontId="7" fillId="0" borderId="13" xfId="0" applyFont="1" applyFill="1" applyBorder="1" applyAlignment="1">
      <alignment vertical="center" wrapText="1"/>
    </xf>
    <xf numFmtId="0" fontId="7" fillId="16" borderId="13" xfId="0" applyFont="1" applyFill="1" applyBorder="1" applyAlignment="1">
      <alignment vertical="center" wrapText="1"/>
    </xf>
    <xf numFmtId="3" fontId="109" fillId="28" borderId="13" xfId="0" applyNumberFormat="1" applyFont="1" applyFill="1" applyBorder="1" applyAlignment="1">
      <alignment horizontal="center" vertical="center" wrapText="1"/>
    </xf>
    <xf numFmtId="0" fontId="109" fillId="0" borderId="13" xfId="0" applyFont="1" applyBorder="1" applyAlignment="1">
      <alignment horizontal="center" vertical="center" wrapText="1"/>
    </xf>
    <xf numFmtId="0" fontId="7" fillId="71" borderId="13" xfId="0" applyFont="1" applyFill="1" applyBorder="1" applyAlignment="1">
      <alignment vertical="center" wrapText="1"/>
    </xf>
    <xf numFmtId="0" fontId="7" fillId="118" borderId="13" xfId="0" applyFont="1" applyFill="1" applyBorder="1" applyAlignment="1">
      <alignment vertical="center" wrapText="1"/>
    </xf>
    <xf numFmtId="0" fontId="7" fillId="70" borderId="13" xfId="0" applyFont="1" applyFill="1" applyBorder="1" applyAlignment="1">
      <alignment vertical="center" wrapText="1"/>
    </xf>
    <xf numFmtId="3" fontId="7" fillId="0" borderId="13" xfId="0" applyNumberFormat="1" applyFont="1" applyFill="1" applyBorder="1" applyAlignment="1">
      <alignment horizontal="center" vertical="center" wrapText="1"/>
    </xf>
    <xf numFmtId="3" fontId="7" fillId="28" borderId="13" xfId="0" applyNumberFormat="1" applyFont="1" applyFill="1" applyBorder="1" applyAlignment="1">
      <alignment horizontal="center" vertical="center" wrapText="1"/>
    </xf>
    <xf numFmtId="0" fontId="7" fillId="28" borderId="13" xfId="0" applyFont="1" applyFill="1" applyBorder="1" applyAlignment="1">
      <alignment vertical="center" wrapText="1"/>
    </xf>
    <xf numFmtId="0" fontId="7" fillId="0" borderId="13" xfId="0" applyFont="1" applyBorder="1" applyAlignment="1">
      <alignment vertical="center" wrapText="1"/>
    </xf>
    <xf numFmtId="0" fontId="7" fillId="0" borderId="13" xfId="0" applyFont="1" applyBorder="1" applyAlignment="1">
      <alignment horizontal="center" vertical="center" wrapText="1"/>
    </xf>
    <xf numFmtId="0" fontId="7" fillId="0" borderId="20" xfId="0" applyFont="1" applyFill="1" applyBorder="1" applyAlignment="1">
      <alignment vertical="center" wrapText="1"/>
    </xf>
    <xf numFmtId="0" fontId="11" fillId="0" borderId="27" xfId="0" applyFont="1" applyBorder="1" applyAlignment="1">
      <alignment horizontal="left" vertical="center" wrapText="1"/>
    </xf>
    <xf numFmtId="0" fontId="11" fillId="0" borderId="0" xfId="0" applyFont="1" applyBorder="1" applyAlignment="1">
      <alignment horizontal="left" vertical="center" wrapText="1"/>
    </xf>
    <xf numFmtId="0" fontId="7" fillId="0" borderId="59" xfId="0" applyFont="1" applyBorder="1" applyAlignment="1">
      <alignment horizontal="center" vertical="center" wrapText="1"/>
    </xf>
    <xf numFmtId="0" fontId="7" fillId="0" borderId="63" xfId="0" applyFont="1" applyBorder="1" applyAlignment="1">
      <alignment horizontal="center" vertical="center" wrapText="1"/>
    </xf>
    <xf numFmtId="0" fontId="7" fillId="0" borderId="39"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0" xfId="0" applyFont="1" applyBorder="1" applyAlignment="1">
      <alignment horizontal="center" vertical="center" wrapText="1"/>
    </xf>
    <xf numFmtId="0" fontId="7" fillId="0" borderId="34"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0" xfId="0" applyFont="1" applyBorder="1" applyAlignment="1">
      <alignment horizontal="center" vertical="center" wrapText="1"/>
    </xf>
    <xf numFmtId="3" fontId="7" fillId="28" borderId="17" xfId="0" applyNumberFormat="1" applyFont="1" applyFill="1" applyBorder="1" applyAlignment="1">
      <alignment horizontal="center" vertical="center" wrapText="1"/>
    </xf>
    <xf numFmtId="3" fontId="7" fillId="28" borderId="19" xfId="0" applyNumberFormat="1" applyFont="1" applyFill="1" applyBorder="1" applyAlignment="1">
      <alignment horizontal="center" vertical="center" wrapText="1"/>
    </xf>
    <xf numFmtId="3" fontId="7" fillId="28" borderId="20" xfId="0" applyNumberFormat="1" applyFont="1" applyFill="1" applyBorder="1" applyAlignment="1">
      <alignment horizontal="center" vertical="center" wrapText="1"/>
    </xf>
    <xf numFmtId="0" fontId="192" fillId="0" borderId="0" xfId="4" applyFont="1" applyBorder="1" applyAlignment="1" applyProtection="1">
      <alignment horizontal="center" vertical="center" wrapText="1"/>
    </xf>
    <xf numFmtId="0" fontId="63" fillId="0" borderId="319" xfId="0" applyFont="1" applyFill="1" applyBorder="1" applyAlignment="1">
      <alignment horizontal="center" vertical="center"/>
    </xf>
    <xf numFmtId="0" fontId="63" fillId="0" borderId="55" xfId="0" applyFont="1" applyFill="1" applyBorder="1" applyAlignment="1">
      <alignment horizontal="center" vertical="center"/>
    </xf>
    <xf numFmtId="0" fontId="61" fillId="0" borderId="319" xfId="0" applyFont="1" applyFill="1" applyBorder="1" applyAlignment="1">
      <alignment horizontal="center" vertical="center"/>
    </xf>
    <xf numFmtId="0" fontId="61" fillId="0" borderId="55" xfId="0" applyFont="1" applyFill="1" applyBorder="1" applyAlignment="1">
      <alignment horizontal="center" vertical="center"/>
    </xf>
    <xf numFmtId="0" fontId="194" fillId="0" borderId="13" xfId="0" applyFont="1" applyBorder="1" applyAlignment="1">
      <alignment vertical="center" wrapText="1"/>
    </xf>
    <xf numFmtId="0" fontId="194" fillId="0" borderId="17" xfId="0" applyFont="1" applyBorder="1" applyAlignment="1">
      <alignment horizontal="center" vertical="center" wrapText="1"/>
    </xf>
    <xf numFmtId="0" fontId="194" fillId="0" borderId="19" xfId="0" applyFont="1" applyBorder="1" applyAlignment="1">
      <alignment horizontal="center" vertical="center" wrapText="1"/>
    </xf>
    <xf numFmtId="0" fontId="194" fillId="0" borderId="20" xfId="0" applyFont="1" applyBorder="1" applyAlignment="1">
      <alignment horizontal="center" vertical="center" wrapText="1"/>
    </xf>
    <xf numFmtId="0" fontId="194" fillId="0" borderId="13" xfId="0" applyFont="1" applyFill="1" applyBorder="1" applyAlignment="1">
      <alignment horizontal="center" vertical="center" wrapText="1"/>
    </xf>
    <xf numFmtId="168" fontId="61" fillId="28" borderId="25" xfId="1" applyNumberFormat="1" applyFont="1" applyFill="1" applyBorder="1" applyAlignment="1">
      <alignment horizontal="center" vertical="top" wrapText="1"/>
    </xf>
    <xf numFmtId="168" fontId="61" fillId="28" borderId="58" xfId="1" applyNumberFormat="1" applyFont="1" applyFill="1" applyBorder="1" applyAlignment="1">
      <alignment horizontal="center" vertical="top" wrapText="1"/>
    </xf>
    <xf numFmtId="0" fontId="30" fillId="28" borderId="25" xfId="1" applyNumberFormat="1" applyFont="1" applyFill="1" applyBorder="1" applyAlignment="1">
      <alignment horizontal="center" vertical="center"/>
    </xf>
    <xf numFmtId="0" fontId="30" fillId="28" borderId="363" xfId="1" applyNumberFormat="1" applyFont="1" applyFill="1" applyBorder="1" applyAlignment="1">
      <alignment horizontal="center" vertical="center"/>
    </xf>
    <xf numFmtId="0" fontId="11" fillId="0" borderId="36" xfId="0" applyFont="1" applyFill="1" applyBorder="1" applyAlignment="1">
      <alignment horizontal="left" vertical="center" wrapText="1"/>
    </xf>
    <xf numFmtId="0" fontId="11" fillId="0" borderId="27" xfId="0" applyFont="1" applyFill="1" applyBorder="1" applyAlignment="1">
      <alignment horizontal="left" vertical="center" wrapText="1"/>
    </xf>
    <xf numFmtId="0" fontId="11" fillId="0" borderId="59" xfId="0" applyFont="1" applyFill="1" applyBorder="1" applyAlignment="1">
      <alignment horizontal="left" vertical="center" wrapText="1"/>
    </xf>
    <xf numFmtId="0" fontId="11" fillId="0" borderId="23"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63" xfId="0" applyFont="1" applyFill="1" applyBorder="1" applyAlignment="1">
      <alignment horizontal="left" vertical="center" wrapText="1"/>
    </xf>
    <xf numFmtId="0" fontId="11" fillId="0" borderId="38" xfId="0" applyFont="1" applyFill="1" applyBorder="1" applyAlignment="1">
      <alignment horizontal="left" vertical="center" wrapText="1"/>
    </xf>
    <xf numFmtId="0" fontId="11" fillId="0" borderId="34" xfId="0" applyFont="1" applyFill="1" applyBorder="1" applyAlignment="1">
      <alignment horizontal="left" vertical="center" wrapText="1"/>
    </xf>
    <xf numFmtId="0" fontId="11" fillId="0" borderId="39" xfId="0" applyFont="1" applyFill="1" applyBorder="1" applyAlignment="1">
      <alignment horizontal="left" vertical="center" wrapText="1"/>
    </xf>
    <xf numFmtId="0" fontId="61" fillId="70" borderId="24" xfId="1" applyNumberFormat="1" applyFont="1" applyFill="1" applyBorder="1" applyAlignment="1">
      <alignment horizontal="center" vertical="top" wrapText="1"/>
    </xf>
    <xf numFmtId="0" fontId="61" fillId="70" borderId="25" xfId="1" applyNumberFormat="1" applyFont="1" applyFill="1" applyBorder="1" applyAlignment="1">
      <alignment horizontal="center" vertical="top" wrapText="1"/>
    </xf>
    <xf numFmtId="0" fontId="61" fillId="70" borderId="58" xfId="1" applyNumberFormat="1" applyFont="1" applyFill="1" applyBorder="1" applyAlignment="1">
      <alignment horizontal="center" vertical="top" wrapText="1"/>
    </xf>
    <xf numFmtId="0" fontId="61" fillId="70" borderId="363" xfId="1" applyNumberFormat="1" applyFont="1" applyFill="1" applyBorder="1" applyAlignment="1">
      <alignment horizontal="center" vertical="top" wrapText="1"/>
    </xf>
    <xf numFmtId="10" fontId="30" fillId="0" borderId="13" xfId="2" applyNumberFormat="1" applyFont="1" applyFill="1" applyBorder="1" applyAlignment="1">
      <alignment horizontal="center" vertical="center"/>
    </xf>
    <xf numFmtId="10" fontId="61" fillId="0" borderId="13" xfId="2" applyNumberFormat="1" applyFont="1" applyFill="1" applyBorder="1" applyAlignment="1">
      <alignment horizontal="right" vertical="center"/>
    </xf>
    <xf numFmtId="0" fontId="192" fillId="0" borderId="24" xfId="4" applyFont="1" applyFill="1" applyBorder="1" applyAlignment="1" applyProtection="1">
      <alignment horizontal="left" vertical="center"/>
    </xf>
    <xf numFmtId="0" fontId="192" fillId="0" borderId="25" xfId="4" applyFont="1" applyFill="1" applyBorder="1" applyAlignment="1" applyProtection="1">
      <alignment horizontal="left" vertical="center"/>
    </xf>
    <xf numFmtId="0" fontId="192" fillId="0" borderId="58" xfId="4" applyFont="1" applyFill="1" applyBorder="1" applyAlignment="1" applyProtection="1">
      <alignment horizontal="left" vertical="center"/>
    </xf>
    <xf numFmtId="0" fontId="61" fillId="0" borderId="89" xfId="0" applyFont="1" applyFill="1" applyBorder="1" applyAlignment="1">
      <alignment horizontal="center" vertical="center"/>
    </xf>
    <xf numFmtId="0" fontId="61" fillId="0" borderId="13" xfId="0" applyFont="1" applyBorder="1" applyAlignment="1">
      <alignment horizontal="center" vertical="center" wrapText="1"/>
    </xf>
    <xf numFmtId="0" fontId="61" fillId="0" borderId="319" xfId="0" applyFont="1" applyFill="1" applyBorder="1" applyAlignment="1">
      <alignment horizontal="center" vertical="center" wrapText="1"/>
    </xf>
    <xf numFmtId="0" fontId="61" fillId="0" borderId="89" xfId="0" applyFont="1" applyFill="1" applyBorder="1" applyAlignment="1">
      <alignment horizontal="center" vertical="center" wrapText="1"/>
    </xf>
    <xf numFmtId="0" fontId="61" fillId="0" borderId="55" xfId="0" applyFont="1" applyFill="1" applyBorder="1" applyAlignment="1">
      <alignment horizontal="center" vertical="center" wrapText="1"/>
    </xf>
    <xf numFmtId="0" fontId="11" fillId="0" borderId="17" xfId="0" applyFont="1" applyFill="1" applyBorder="1" applyAlignment="1">
      <alignment horizontal="center" vertical="center" wrapText="1"/>
    </xf>
    <xf numFmtId="0" fontId="11" fillId="0" borderId="19"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11" fillId="0" borderId="17" xfId="0" applyFont="1" applyFill="1" applyBorder="1" applyAlignment="1">
      <alignment horizontal="center" vertical="center"/>
    </xf>
    <xf numFmtId="0" fontId="11" fillId="0" borderId="19" xfId="0" applyFont="1" applyFill="1" applyBorder="1" applyAlignment="1">
      <alignment horizontal="center" vertical="center"/>
    </xf>
    <xf numFmtId="0" fontId="11" fillId="0" borderId="20" xfId="0" applyFont="1" applyFill="1" applyBorder="1" applyAlignment="1">
      <alignment horizontal="center" vertical="center"/>
    </xf>
    <xf numFmtId="0" fontId="192" fillId="0" borderId="36" xfId="4" applyFont="1" applyFill="1" applyBorder="1" applyAlignment="1" applyProtection="1">
      <alignment horizontal="center" vertical="center" wrapText="1"/>
    </xf>
    <xf numFmtId="0" fontId="192" fillId="0" borderId="27" xfId="4" applyFont="1" applyFill="1" applyBorder="1" applyAlignment="1" applyProtection="1">
      <alignment horizontal="center" vertical="center" wrapText="1"/>
    </xf>
    <xf numFmtId="0" fontId="192" fillId="0" borderId="59" xfId="4" applyFont="1" applyFill="1" applyBorder="1" applyAlignment="1" applyProtection="1">
      <alignment horizontal="center" vertical="center" wrapText="1"/>
    </xf>
    <xf numFmtId="0" fontId="192" fillId="0" borderId="23" xfId="4" applyFont="1" applyFill="1" applyBorder="1" applyAlignment="1" applyProtection="1">
      <alignment horizontal="center" vertical="center" wrapText="1"/>
    </xf>
    <xf numFmtId="0" fontId="192" fillId="0" borderId="0" xfId="4" applyFont="1" applyFill="1" applyBorder="1" applyAlignment="1" applyProtection="1">
      <alignment horizontal="center" vertical="center" wrapText="1"/>
    </xf>
    <xf numFmtId="0" fontId="192" fillId="0" borderId="63" xfId="4" applyFont="1" applyFill="1" applyBorder="1" applyAlignment="1" applyProtection="1">
      <alignment horizontal="center" vertical="center" wrapText="1"/>
    </xf>
    <xf numFmtId="0" fontId="192" fillId="0" borderId="38" xfId="4" applyFont="1" applyFill="1" applyBorder="1" applyAlignment="1" applyProtection="1">
      <alignment horizontal="center" vertical="center" wrapText="1"/>
    </xf>
    <xf numFmtId="0" fontId="192" fillId="0" borderId="34" xfId="4" applyFont="1" applyFill="1" applyBorder="1" applyAlignment="1" applyProtection="1">
      <alignment horizontal="center" vertical="center" wrapText="1"/>
    </xf>
    <xf numFmtId="0" fontId="192" fillId="0" borderId="39" xfId="4" applyFont="1" applyFill="1" applyBorder="1" applyAlignment="1" applyProtection="1">
      <alignment horizontal="center" vertical="center" wrapText="1"/>
    </xf>
    <xf numFmtId="0" fontId="128" fillId="0" borderId="35" xfId="0" applyFont="1" applyFill="1" applyBorder="1" applyAlignment="1">
      <alignment horizontal="center" vertical="center"/>
    </xf>
    <xf numFmtId="0" fontId="128" fillId="0" borderId="29" xfId="0" applyFont="1" applyFill="1" applyBorder="1" applyAlignment="1">
      <alignment horizontal="center" vertical="center"/>
    </xf>
    <xf numFmtId="0" fontId="128" fillId="0" borderId="30" xfId="0" applyFont="1" applyFill="1" applyBorder="1" applyAlignment="1">
      <alignment horizontal="center" vertical="center"/>
    </xf>
    <xf numFmtId="0" fontId="191" fillId="0" borderId="37" xfId="0" applyFont="1" applyFill="1" applyBorder="1" applyAlignment="1">
      <alignment horizontal="center" vertical="center" wrapText="1"/>
    </xf>
    <xf numFmtId="0" fontId="191" fillId="0" borderId="0" xfId="0" applyFont="1" applyFill="1" applyBorder="1" applyAlignment="1">
      <alignment horizontal="center" vertical="center" wrapText="1"/>
    </xf>
    <xf numFmtId="0" fontId="191" fillId="0" borderId="7" xfId="0" applyFont="1" applyFill="1" applyBorder="1" applyAlignment="1">
      <alignment horizontal="center" vertical="center" wrapText="1"/>
    </xf>
    <xf numFmtId="0" fontId="61" fillId="0" borderId="34" xfId="0" applyFont="1" applyBorder="1" applyAlignment="1">
      <alignment horizontal="left" vertical="center" wrapText="1"/>
    </xf>
    <xf numFmtId="0" fontId="61" fillId="0" borderId="39" xfId="0" applyFont="1" applyBorder="1" applyAlignment="1">
      <alignment horizontal="left" vertical="center" wrapText="1"/>
    </xf>
    <xf numFmtId="0" fontId="192" fillId="0" borderId="13" xfId="4" applyFont="1" applyFill="1" applyBorder="1" applyAlignment="1" applyProtection="1">
      <alignment horizontal="center" vertical="center" wrapText="1"/>
    </xf>
    <xf numFmtId="0" fontId="21" fillId="0" borderId="13" xfId="4" applyFill="1" applyBorder="1" applyAlignment="1" applyProtection="1">
      <alignment horizontal="center" vertical="center" wrapText="1"/>
    </xf>
    <xf numFmtId="0" fontId="11" fillId="0" borderId="13" xfId="0" applyFont="1" applyFill="1" applyBorder="1" applyAlignment="1">
      <alignment vertical="center" wrapText="1"/>
    </xf>
    <xf numFmtId="0" fontId="11" fillId="0" borderId="24" xfId="0" applyFont="1" applyFill="1" applyBorder="1" applyAlignment="1">
      <alignment horizontal="left" vertical="center" wrapText="1"/>
    </xf>
    <xf numFmtId="0" fontId="11" fillId="0" borderId="25" xfId="0" applyFont="1" applyFill="1" applyBorder="1" applyAlignment="1">
      <alignment horizontal="left" vertical="center" wrapText="1"/>
    </xf>
    <xf numFmtId="0" fontId="11" fillId="0" borderId="58" xfId="0" applyFont="1" applyFill="1" applyBorder="1" applyAlignment="1">
      <alignment horizontal="left" vertical="center" wrapText="1"/>
    </xf>
    <xf numFmtId="10" fontId="61" fillId="70" borderId="13" xfId="2" applyNumberFormat="1" applyFont="1" applyFill="1" applyBorder="1" applyAlignment="1">
      <alignment horizontal="center" vertical="center"/>
    </xf>
    <xf numFmtId="0" fontId="30" fillId="0" borderId="274" xfId="0" applyFont="1" applyBorder="1" applyAlignment="1">
      <alignment horizontal="center" vertical="top"/>
    </xf>
    <xf numFmtId="0" fontId="30" fillId="0" borderId="37" xfId="0" applyFont="1" applyBorder="1" applyAlignment="1">
      <alignment horizontal="center" vertical="top"/>
    </xf>
    <xf numFmtId="0" fontId="30" fillId="0" borderId="66" xfId="0" applyFont="1" applyBorder="1" applyAlignment="1">
      <alignment horizontal="center" vertical="top"/>
    </xf>
    <xf numFmtId="0" fontId="30" fillId="0" borderId="27" xfId="0" applyFont="1" applyBorder="1" applyAlignment="1">
      <alignment horizontal="left" vertical="center" wrapText="1"/>
    </xf>
    <xf numFmtId="0" fontId="30" fillId="0" borderId="59" xfId="0" applyFont="1" applyBorder="1" applyAlignment="1">
      <alignment horizontal="left" vertical="center" wrapText="1"/>
    </xf>
    <xf numFmtId="0" fontId="30" fillId="0" borderId="34" xfId="0" applyFont="1" applyBorder="1" applyAlignment="1">
      <alignment horizontal="left" vertical="center" wrapText="1"/>
    </xf>
    <xf numFmtId="0" fontId="30" fillId="0" borderId="39" xfId="0" applyFont="1" applyBorder="1" applyAlignment="1">
      <alignment horizontal="left" vertical="center" wrapText="1"/>
    </xf>
    <xf numFmtId="0" fontId="30" fillId="0" borderId="52" xfId="0" applyFont="1" applyFill="1" applyBorder="1" applyAlignment="1">
      <alignment horizontal="center" vertical="center" wrapText="1"/>
    </xf>
    <xf numFmtId="0" fontId="30" fillId="0" borderId="11" xfId="0" applyFont="1" applyFill="1" applyBorder="1" applyAlignment="1">
      <alignment horizontal="center" vertical="center" wrapText="1"/>
    </xf>
    <xf numFmtId="0" fontId="30" fillId="0" borderId="69" xfId="0" applyFont="1" applyFill="1" applyBorder="1" applyAlignment="1">
      <alignment horizontal="center" vertical="center" wrapText="1"/>
    </xf>
    <xf numFmtId="0" fontId="30" fillId="0" borderId="29" xfId="0" applyFont="1" applyBorder="1" applyAlignment="1">
      <alignment horizontal="left" vertical="center" wrapText="1"/>
    </xf>
    <xf numFmtId="0" fontId="30" fillId="0" borderId="377" xfId="0" applyFont="1" applyBorder="1" applyAlignment="1">
      <alignment horizontal="left" vertical="center" wrapText="1"/>
    </xf>
    <xf numFmtId="0" fontId="30" fillId="0" borderId="0" xfId="0" applyFont="1" applyBorder="1" applyAlignment="1">
      <alignment horizontal="left" vertical="center" wrapText="1"/>
    </xf>
    <xf numFmtId="0" fontId="30" fillId="0" borderId="63" xfId="0" applyFont="1" applyBorder="1" applyAlignment="1">
      <alignment horizontal="left" vertical="center" wrapText="1"/>
    </xf>
    <xf numFmtId="0" fontId="30" fillId="0" borderId="25" xfId="0" applyFont="1" applyBorder="1" applyAlignment="1">
      <alignment horizontal="left" vertical="center" wrapText="1"/>
    </xf>
    <xf numFmtId="0" fontId="30" fillId="0" borderId="58" xfId="0" applyFont="1" applyBorder="1" applyAlignment="1">
      <alignment horizontal="left" vertical="center" wrapText="1"/>
    </xf>
    <xf numFmtId="0" fontId="30" fillId="26" borderId="274" xfId="0" applyFont="1" applyFill="1" applyBorder="1" applyAlignment="1">
      <alignment horizontal="center" vertical="top" wrapText="1"/>
    </xf>
    <xf numFmtId="0" fontId="30" fillId="26" borderId="37" xfId="0" applyFont="1" applyFill="1" applyBorder="1" applyAlignment="1">
      <alignment horizontal="center" vertical="top"/>
    </xf>
    <xf numFmtId="0" fontId="30" fillId="26" borderId="66" xfId="0" applyFont="1" applyFill="1" applyBorder="1" applyAlignment="1">
      <alignment horizontal="center" vertical="top"/>
    </xf>
    <xf numFmtId="0" fontId="11" fillId="0" borderId="13" xfId="0" applyFont="1" applyFill="1" applyBorder="1" applyAlignment="1">
      <alignment horizontal="left" vertical="center" wrapText="1"/>
    </xf>
    <xf numFmtId="0" fontId="61" fillId="0" borderId="27" xfId="0" applyFont="1" applyBorder="1" applyAlignment="1">
      <alignment horizontal="left" vertical="center" wrapText="1"/>
    </xf>
    <xf numFmtId="0" fontId="61" fillId="0" borderId="59" xfId="0" applyFont="1" applyBorder="1" applyAlignment="1">
      <alignment horizontal="left" vertical="center" wrapText="1"/>
    </xf>
    <xf numFmtId="0" fontId="30" fillId="26" borderId="52" xfId="0" applyFont="1" applyFill="1" applyBorder="1" applyAlignment="1">
      <alignment horizontal="center" vertical="center"/>
    </xf>
    <xf numFmtId="0" fontId="30" fillId="26" borderId="11" xfId="0" applyFont="1" applyFill="1" applyBorder="1" applyAlignment="1">
      <alignment horizontal="center" vertical="center"/>
    </xf>
    <xf numFmtId="0" fontId="30" fillId="26" borderId="83" xfId="0" applyFont="1" applyFill="1" applyBorder="1" applyAlignment="1">
      <alignment horizontal="center" vertical="center"/>
    </xf>
    <xf numFmtId="4" fontId="61" fillId="26" borderId="263" xfId="0" applyNumberFormat="1" applyFont="1" applyFill="1" applyBorder="1" applyAlignment="1">
      <alignment horizontal="center" vertical="center"/>
    </xf>
    <xf numFmtId="4" fontId="61" fillId="26" borderId="54" xfId="0" applyNumberFormat="1" applyFont="1" applyFill="1" applyBorder="1" applyAlignment="1">
      <alignment horizontal="center" vertical="center"/>
    </xf>
    <xf numFmtId="4" fontId="61" fillId="26" borderId="383" xfId="0" applyNumberFormat="1" applyFont="1" applyFill="1" applyBorder="1" applyAlignment="1">
      <alignment horizontal="center" vertical="center"/>
    </xf>
    <xf numFmtId="3" fontId="61" fillId="26" borderId="36" xfId="0" applyNumberFormat="1" applyFont="1" applyFill="1" applyBorder="1" applyAlignment="1">
      <alignment horizontal="center" vertical="center"/>
    </xf>
    <xf numFmtId="3" fontId="61" fillId="26" borderId="27" xfId="0" applyNumberFormat="1" applyFont="1" applyFill="1" applyBorder="1" applyAlignment="1">
      <alignment horizontal="center" vertical="center"/>
    </xf>
    <xf numFmtId="3" fontId="61" fillId="26" borderId="59" xfId="0" applyNumberFormat="1" applyFont="1" applyFill="1" applyBorder="1" applyAlignment="1">
      <alignment horizontal="center" vertical="center"/>
    </xf>
    <xf numFmtId="3" fontId="61" fillId="26" borderId="38" xfId="0" applyNumberFormat="1" applyFont="1" applyFill="1" applyBorder="1" applyAlignment="1">
      <alignment horizontal="center" vertical="center" wrapText="1"/>
    </xf>
    <xf numFmtId="3" fontId="61" fillId="26" borderId="34" xfId="0" applyNumberFormat="1" applyFont="1" applyFill="1" applyBorder="1" applyAlignment="1">
      <alignment horizontal="center" vertical="center" wrapText="1"/>
    </xf>
    <xf numFmtId="3" fontId="61" fillId="26" borderId="39" xfId="0" applyNumberFormat="1" applyFont="1" applyFill="1" applyBorder="1" applyAlignment="1">
      <alignment horizontal="center" vertical="center" wrapText="1"/>
    </xf>
    <xf numFmtId="3" fontId="61" fillId="26" borderId="24" xfId="0" applyNumberFormat="1" applyFont="1" applyFill="1" applyBorder="1" applyAlignment="1">
      <alignment horizontal="center" vertical="center"/>
    </xf>
    <xf numFmtId="3" fontId="61" fillId="26" borderId="25" xfId="0" applyNumberFormat="1" applyFont="1" applyFill="1" applyBorder="1" applyAlignment="1">
      <alignment horizontal="center" vertical="center"/>
    </xf>
    <xf numFmtId="3" fontId="61" fillId="26" borderId="58" xfId="0" applyNumberFormat="1" applyFont="1" applyFill="1" applyBorder="1" applyAlignment="1">
      <alignment horizontal="center" vertical="center"/>
    </xf>
    <xf numFmtId="0" fontId="7" fillId="0" borderId="36"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38" xfId="0" applyFont="1" applyBorder="1" applyAlignment="1">
      <alignment horizontal="center" vertical="center" wrapText="1"/>
    </xf>
    <xf numFmtId="0" fontId="7" fillId="0" borderId="29" xfId="0" applyFont="1" applyBorder="1" applyAlignment="1">
      <alignment horizontal="center" vertical="center" wrapText="1"/>
    </xf>
    <xf numFmtId="0" fontId="61" fillId="0" borderId="36" xfId="0" applyFont="1" applyFill="1" applyBorder="1" applyAlignment="1">
      <alignment horizontal="center" vertical="center"/>
    </xf>
    <xf numFmtId="0" fontId="61" fillId="0" borderId="25" xfId="0" applyFont="1" applyFill="1" applyBorder="1" applyAlignment="1">
      <alignment horizontal="center" vertical="center"/>
    </xf>
    <xf numFmtId="0" fontId="61" fillId="26" borderId="274" xfId="0" applyFont="1" applyFill="1" applyBorder="1" applyAlignment="1">
      <alignment horizontal="center" vertical="center"/>
    </xf>
    <xf numFmtId="0" fontId="61" fillId="26" borderId="66" xfId="0" applyFont="1" applyFill="1" applyBorder="1" applyAlignment="1">
      <alignment horizontal="center" vertical="center"/>
    </xf>
    <xf numFmtId="0" fontId="61" fillId="0" borderId="27" xfId="0" applyFont="1" applyBorder="1" applyAlignment="1">
      <alignment horizontal="center" vertical="center" wrapText="1"/>
    </xf>
    <xf numFmtId="0" fontId="61" fillId="0" borderId="34" xfId="0" applyFont="1" applyBorder="1" applyAlignment="1">
      <alignment horizontal="center" vertical="center" wrapText="1"/>
    </xf>
    <xf numFmtId="166" fontId="61" fillId="0" borderId="25" xfId="1" applyFont="1" applyFill="1" applyBorder="1" applyAlignment="1">
      <alignment horizontal="center" vertical="center"/>
    </xf>
    <xf numFmtId="166" fontId="61" fillId="0" borderId="363" xfId="1" applyFont="1" applyFill="1" applyBorder="1" applyAlignment="1">
      <alignment horizontal="center" vertical="center"/>
    </xf>
    <xf numFmtId="0" fontId="61" fillId="16" borderId="25" xfId="0" applyFont="1" applyFill="1" applyBorder="1" applyAlignment="1">
      <alignment horizontal="center" vertical="center" wrapText="1"/>
    </xf>
    <xf numFmtId="0" fontId="61" fillId="16" borderId="363" xfId="0" applyFont="1" applyFill="1" applyBorder="1" applyAlignment="1">
      <alignment horizontal="center" vertical="center" wrapText="1"/>
    </xf>
    <xf numFmtId="0" fontId="11" fillId="0" borderId="13" xfId="0" applyFont="1" applyBorder="1" applyAlignment="1">
      <alignment vertical="center" wrapText="1"/>
    </xf>
    <xf numFmtId="168" fontId="61" fillId="16" borderId="25" xfId="1" applyNumberFormat="1" applyFont="1" applyFill="1" applyBorder="1" applyAlignment="1">
      <alignment horizontal="center" vertical="center"/>
    </xf>
    <xf numFmtId="168" fontId="61" fillId="16" borderId="58" xfId="1" applyNumberFormat="1" applyFont="1" applyFill="1" applyBorder="1" applyAlignment="1">
      <alignment horizontal="center" vertical="center"/>
    </xf>
    <xf numFmtId="0" fontId="30" fillId="26" borderId="37" xfId="0" applyFont="1" applyFill="1" applyBorder="1" applyAlignment="1">
      <alignment horizontal="center" vertical="center"/>
    </xf>
    <xf numFmtId="0" fontId="30" fillId="26" borderId="66" xfId="0" applyFont="1" applyFill="1" applyBorder="1" applyAlignment="1">
      <alignment horizontal="center" vertical="center"/>
    </xf>
    <xf numFmtId="0" fontId="6" fillId="16" borderId="0" xfId="0" applyFont="1" applyFill="1" applyBorder="1" applyAlignment="1">
      <alignment horizontal="center" vertical="center"/>
    </xf>
    <xf numFmtId="0" fontId="30" fillId="26" borderId="35" xfId="0" applyFont="1" applyFill="1" applyBorder="1" applyAlignment="1">
      <alignment horizontal="center" vertical="center"/>
    </xf>
    <xf numFmtId="0" fontId="30" fillId="26" borderId="40" xfId="0" applyFont="1" applyFill="1" applyBorder="1" applyAlignment="1">
      <alignment horizontal="center" vertical="center"/>
    </xf>
    <xf numFmtId="0" fontId="128" fillId="7" borderId="34" xfId="0" applyFont="1" applyFill="1" applyBorder="1" applyAlignment="1">
      <alignment horizontal="left" vertical="center" wrapText="1"/>
    </xf>
    <xf numFmtId="0" fontId="30" fillId="26" borderId="274" xfId="0" applyFont="1" applyFill="1" applyBorder="1" applyAlignment="1">
      <alignment horizontal="center" vertical="center"/>
    </xf>
    <xf numFmtId="0" fontId="30" fillId="0" borderId="27" xfId="0" applyFont="1" applyBorder="1" applyAlignment="1">
      <alignment horizontal="center" vertical="center" wrapText="1"/>
    </xf>
    <xf numFmtId="0" fontId="30" fillId="0" borderId="0" xfId="0" applyFont="1" applyBorder="1" applyAlignment="1">
      <alignment horizontal="center" vertical="center" wrapText="1"/>
    </xf>
    <xf numFmtId="0" fontId="30" fillId="0" borderId="34" xfId="0" applyFont="1" applyBorder="1" applyAlignment="1">
      <alignment horizontal="center" vertical="center" wrapText="1"/>
    </xf>
    <xf numFmtId="0" fontId="61" fillId="0" borderId="17" xfId="0" applyFont="1" applyBorder="1" applyAlignment="1">
      <alignment horizontal="right" vertical="center" wrapText="1"/>
    </xf>
    <xf numFmtId="0" fontId="61" fillId="0" borderId="19" xfId="0" applyFont="1" applyBorder="1" applyAlignment="1">
      <alignment horizontal="right" vertical="center" wrapText="1"/>
    </xf>
    <xf numFmtId="0" fontId="61" fillId="0" borderId="20" xfId="0" applyFont="1" applyBorder="1" applyAlignment="1">
      <alignment horizontal="right" vertical="center" wrapText="1"/>
    </xf>
    <xf numFmtId="3" fontId="61" fillId="70" borderId="93" xfId="0" applyNumberFormat="1" applyFont="1" applyFill="1" applyBorder="1" applyAlignment="1">
      <alignment horizontal="center" vertical="center"/>
    </xf>
    <xf numFmtId="3" fontId="61" fillId="70" borderId="23" xfId="0" applyNumberFormat="1" applyFont="1" applyFill="1" applyBorder="1" applyAlignment="1">
      <alignment horizontal="center" vertical="center"/>
    </xf>
    <xf numFmtId="3" fontId="61" fillId="70" borderId="38" xfId="0" applyNumberFormat="1" applyFont="1" applyFill="1" applyBorder="1" applyAlignment="1">
      <alignment horizontal="center" vertical="center"/>
    </xf>
    <xf numFmtId="0" fontId="30" fillId="70" borderId="25" xfId="0" applyFont="1" applyFill="1" applyBorder="1" applyAlignment="1">
      <alignment horizontal="center" vertical="top" wrapText="1"/>
    </xf>
    <xf numFmtId="0" fontId="30" fillId="70" borderId="363" xfId="0" applyFont="1" applyFill="1" applyBorder="1" applyAlignment="1">
      <alignment horizontal="center" vertical="top" wrapText="1"/>
    </xf>
    <xf numFmtId="0" fontId="30" fillId="28" borderId="25" xfId="0" applyFont="1" applyFill="1" applyBorder="1" applyAlignment="1">
      <alignment horizontal="center" vertical="top" wrapText="1"/>
    </xf>
    <xf numFmtId="0" fontId="30" fillId="28" borderId="363" xfId="0" applyFont="1" applyFill="1" applyBorder="1" applyAlignment="1">
      <alignment horizontal="center" vertical="top" wrapText="1"/>
    </xf>
    <xf numFmtId="0" fontId="61" fillId="0" borderId="81" xfId="0" applyFont="1" applyBorder="1" applyAlignment="1">
      <alignment horizontal="center" vertical="top"/>
    </xf>
    <xf numFmtId="0" fontId="61" fillId="0" borderId="6" xfId="0" applyFont="1" applyBorder="1" applyAlignment="1">
      <alignment horizontal="center" vertical="top"/>
    </xf>
    <xf numFmtId="0" fontId="30" fillId="28" borderId="27" xfId="0" applyFont="1" applyFill="1" applyBorder="1" applyAlignment="1">
      <alignment horizontal="center" vertical="center" wrapText="1"/>
    </xf>
    <xf numFmtId="168" fontId="61" fillId="28" borderId="24" xfId="1" applyNumberFormat="1" applyFont="1" applyFill="1" applyBorder="1" applyAlignment="1">
      <alignment horizontal="left" vertical="top" wrapText="1" indent="49"/>
    </xf>
    <xf numFmtId="168" fontId="61" fillId="28" borderId="25" xfId="1" applyNumberFormat="1" applyFont="1" applyFill="1" applyBorder="1" applyAlignment="1">
      <alignment horizontal="left" vertical="top" wrapText="1" indent="49"/>
    </xf>
    <xf numFmtId="0" fontId="30" fillId="71" borderId="25" xfId="0" applyFont="1" applyFill="1" applyBorder="1" applyAlignment="1">
      <alignment horizontal="center" vertical="center" wrapText="1"/>
    </xf>
    <xf numFmtId="0" fontId="61" fillId="16" borderId="25" xfId="0" applyFont="1" applyFill="1" applyBorder="1" applyAlignment="1">
      <alignment horizontal="left" vertical="center"/>
    </xf>
    <xf numFmtId="0" fontId="61" fillId="16" borderId="363" xfId="0" applyFont="1" applyFill="1" applyBorder="1" applyAlignment="1">
      <alignment horizontal="left" vertical="center"/>
    </xf>
    <xf numFmtId="168" fontId="61" fillId="28" borderId="34" xfId="1" applyNumberFormat="1" applyFont="1" applyFill="1" applyBorder="1" applyAlignment="1">
      <alignment horizontal="center" vertical="top" wrapText="1"/>
    </xf>
    <xf numFmtId="168" fontId="61" fillId="28" borderId="67" xfId="1" applyNumberFormat="1" applyFont="1" applyFill="1" applyBorder="1" applyAlignment="1">
      <alignment horizontal="center" vertical="top" wrapText="1"/>
    </xf>
    <xf numFmtId="0" fontId="193" fillId="28" borderId="52" xfId="0" applyFont="1" applyFill="1" applyBorder="1" applyAlignment="1">
      <alignment horizontal="center" vertical="center"/>
    </xf>
    <xf numFmtId="0" fontId="193" fillId="28" borderId="11" xfId="0" applyFont="1" applyFill="1" applyBorder="1" applyAlignment="1">
      <alignment horizontal="center" vertical="center"/>
    </xf>
    <xf numFmtId="0" fontId="193" fillId="28" borderId="83" xfId="0" applyFont="1" applyFill="1" applyBorder="1" applyAlignment="1">
      <alignment horizontal="center" vertical="center"/>
    </xf>
    <xf numFmtId="0" fontId="0" fillId="70" borderId="29" xfId="0" applyFill="1" applyBorder="1" applyAlignment="1">
      <alignment horizontal="center" vertical="center" wrapText="1"/>
    </xf>
    <xf numFmtId="0" fontId="0" fillId="70" borderId="0" xfId="0" applyFill="1" applyAlignment="1">
      <alignment horizontal="center" vertical="center" wrapText="1"/>
    </xf>
    <xf numFmtId="0" fontId="61" fillId="0" borderId="274" xfId="0" applyFont="1" applyBorder="1" applyAlignment="1">
      <alignment horizontal="center" vertical="center"/>
    </xf>
    <xf numFmtId="0" fontId="61" fillId="0" borderId="66" xfId="0" applyFont="1" applyBorder="1" applyAlignment="1">
      <alignment horizontal="center" vertical="center"/>
    </xf>
    <xf numFmtId="0" fontId="97" fillId="0" borderId="0" xfId="0" applyFont="1" applyAlignment="1">
      <alignment horizontal="left" vertical="center" wrapText="1"/>
    </xf>
    <xf numFmtId="0" fontId="120" fillId="31" borderId="313" xfId="0" applyFont="1" applyFill="1" applyBorder="1" applyAlignment="1">
      <alignment horizontal="center" vertical="center" wrapText="1"/>
    </xf>
    <xf numFmtId="0" fontId="139" fillId="86" borderId="313" xfId="0" applyFont="1" applyFill="1" applyBorder="1" applyAlignment="1">
      <alignment horizontal="center" vertical="center" wrapText="1"/>
    </xf>
    <xf numFmtId="0" fontId="139" fillId="119" borderId="313" xfId="0" applyFont="1" applyFill="1" applyBorder="1" applyAlignment="1">
      <alignment horizontal="center" vertical="center" wrapText="1"/>
    </xf>
    <xf numFmtId="167" fontId="11" fillId="121" borderId="43" xfId="2" applyNumberFormat="1" applyFont="1" applyFill="1" applyBorder="1" applyAlignment="1">
      <alignment horizontal="center" vertical="center" wrapText="1"/>
    </xf>
    <xf numFmtId="167" fontId="11" fillId="121" borderId="48" xfId="2" applyNumberFormat="1" applyFont="1" applyFill="1" applyBorder="1" applyAlignment="1">
      <alignment horizontal="center" vertical="center" wrapText="1"/>
    </xf>
    <xf numFmtId="0" fontId="139" fillId="131" borderId="313" xfId="0" applyFont="1" applyFill="1" applyBorder="1" applyAlignment="1">
      <alignment horizontal="center" vertical="center" wrapText="1"/>
    </xf>
    <xf numFmtId="0" fontId="19" fillId="0" borderId="29" xfId="0" applyFont="1" applyBorder="1" applyAlignment="1">
      <alignment horizontal="center" wrapText="1"/>
    </xf>
    <xf numFmtId="167" fontId="11" fillId="27" borderId="43" xfId="2" applyNumberFormat="1" applyFont="1" applyFill="1" applyBorder="1" applyAlignment="1">
      <alignment horizontal="center" vertical="center" wrapText="1"/>
    </xf>
    <xf numFmtId="167" fontId="11" fillId="27" borderId="48" xfId="2" applyNumberFormat="1" applyFont="1" applyFill="1" applyBorder="1" applyAlignment="1">
      <alignment horizontal="center" vertical="center" wrapText="1"/>
    </xf>
    <xf numFmtId="167" fontId="11" fillId="14" borderId="43" xfId="2" applyNumberFormat="1" applyFont="1" applyFill="1" applyBorder="1" applyAlignment="1">
      <alignment horizontal="center" vertical="center" wrapText="1"/>
    </xf>
    <xf numFmtId="167" fontId="11" fillId="14" borderId="48" xfId="2" applyNumberFormat="1" applyFont="1" applyFill="1" applyBorder="1" applyAlignment="1">
      <alignment horizontal="center" vertical="center" wrapText="1"/>
    </xf>
    <xf numFmtId="167" fontId="11" fillId="118" borderId="43" xfId="2" applyNumberFormat="1" applyFont="1" applyFill="1" applyBorder="1" applyAlignment="1">
      <alignment horizontal="center" vertical="center" wrapText="1"/>
    </xf>
    <xf numFmtId="167" fontId="11" fillId="118" borderId="48" xfId="2" applyNumberFormat="1" applyFont="1" applyFill="1" applyBorder="1" applyAlignment="1">
      <alignment horizontal="center" vertical="center" wrapText="1"/>
    </xf>
    <xf numFmtId="167" fontId="11" fillId="31" borderId="43" xfId="2" applyNumberFormat="1" applyFont="1" applyFill="1" applyBorder="1" applyAlignment="1">
      <alignment horizontal="center" vertical="center" wrapText="1"/>
    </xf>
    <xf numFmtId="167" fontId="11" fillId="31" borderId="48" xfId="2" applyNumberFormat="1" applyFont="1" applyFill="1" applyBorder="1" applyAlignment="1">
      <alignment horizontal="center" vertical="center" wrapText="1"/>
    </xf>
    <xf numFmtId="168" fontId="11" fillId="121" borderId="313" xfId="1" applyNumberFormat="1" applyFont="1" applyFill="1" applyBorder="1" applyAlignment="1">
      <alignment horizontal="center" vertical="center"/>
    </xf>
    <xf numFmtId="168" fontId="11" fillId="121" borderId="316" xfId="1" applyNumberFormat="1" applyFont="1" applyFill="1" applyBorder="1" applyAlignment="1">
      <alignment horizontal="center" vertical="center"/>
    </xf>
    <xf numFmtId="9" fontId="11" fillId="121" borderId="313" xfId="2" applyFont="1" applyFill="1" applyBorder="1" applyAlignment="1">
      <alignment horizontal="center" vertical="center"/>
    </xf>
    <xf numFmtId="9" fontId="11" fillId="121" borderId="316" xfId="2" applyFont="1" applyFill="1" applyBorder="1" applyAlignment="1">
      <alignment horizontal="center" vertical="center"/>
    </xf>
    <xf numFmtId="168" fontId="11" fillId="27" borderId="313" xfId="1" applyNumberFormat="1" applyFont="1" applyFill="1" applyBorder="1" applyAlignment="1">
      <alignment horizontal="center" vertical="center"/>
    </xf>
    <xf numFmtId="168" fontId="11" fillId="27" borderId="316" xfId="1" applyNumberFormat="1" applyFont="1" applyFill="1" applyBorder="1" applyAlignment="1">
      <alignment horizontal="center" vertical="center"/>
    </xf>
    <xf numFmtId="9" fontId="11" fillId="27" borderId="313" xfId="2" applyFont="1" applyFill="1" applyBorder="1" applyAlignment="1">
      <alignment horizontal="center" vertical="center"/>
    </xf>
    <xf numFmtId="9" fontId="11" fillId="27" borderId="316" xfId="2" applyFont="1" applyFill="1" applyBorder="1" applyAlignment="1">
      <alignment horizontal="center" vertical="center"/>
    </xf>
    <xf numFmtId="168" fontId="11" fillId="14" borderId="313" xfId="1" applyNumberFormat="1" applyFont="1" applyFill="1" applyBorder="1" applyAlignment="1">
      <alignment horizontal="center" vertical="center"/>
    </xf>
    <xf numFmtId="168" fontId="11" fillId="14" borderId="316" xfId="1" applyNumberFormat="1" applyFont="1" applyFill="1" applyBorder="1" applyAlignment="1">
      <alignment horizontal="center" vertical="center"/>
    </xf>
    <xf numFmtId="9" fontId="11" fillId="14" borderId="313" xfId="2" applyFont="1" applyFill="1" applyBorder="1" applyAlignment="1">
      <alignment horizontal="center" vertical="center"/>
    </xf>
    <xf numFmtId="9" fontId="11" fillId="14" borderId="316" xfId="2" applyFont="1" applyFill="1" applyBorder="1" applyAlignment="1">
      <alignment horizontal="center" vertical="center"/>
    </xf>
    <xf numFmtId="9" fontId="11" fillId="118" borderId="313" xfId="2" applyFont="1" applyFill="1" applyBorder="1" applyAlignment="1">
      <alignment horizontal="center" vertical="center"/>
    </xf>
    <xf numFmtId="9" fontId="11" fillId="118" borderId="316" xfId="2" applyFont="1" applyFill="1" applyBorder="1" applyAlignment="1">
      <alignment horizontal="center" vertical="center"/>
    </xf>
    <xf numFmtId="9" fontId="11" fillId="31" borderId="313" xfId="2" applyFont="1" applyFill="1" applyBorder="1" applyAlignment="1">
      <alignment horizontal="center" vertical="center"/>
    </xf>
    <xf numFmtId="9" fontId="11" fillId="31" borderId="316" xfId="2" applyFont="1" applyFill="1" applyBorder="1" applyAlignment="1">
      <alignment horizontal="center" vertical="center"/>
    </xf>
    <xf numFmtId="168" fontId="11" fillId="118" borderId="313" xfId="1" applyNumberFormat="1" applyFont="1" applyFill="1" applyBorder="1" applyAlignment="1">
      <alignment horizontal="center" vertical="center"/>
    </xf>
    <xf numFmtId="168" fontId="11" fillId="118" borderId="316" xfId="1" applyNumberFormat="1" applyFont="1" applyFill="1" applyBorder="1" applyAlignment="1">
      <alignment horizontal="center" vertical="center"/>
    </xf>
    <xf numFmtId="168" fontId="11" fillId="31" borderId="313" xfId="1" applyNumberFormat="1" applyFont="1" applyFill="1" applyBorder="1" applyAlignment="1">
      <alignment horizontal="center" vertical="center"/>
    </xf>
    <xf numFmtId="168" fontId="11" fillId="31" borderId="316" xfId="1" applyNumberFormat="1" applyFont="1" applyFill="1" applyBorder="1" applyAlignment="1">
      <alignment horizontal="center" vertical="center"/>
    </xf>
    <xf numFmtId="168" fontId="11" fillId="26" borderId="313" xfId="1" applyNumberFormat="1" applyFont="1" applyFill="1" applyBorder="1" applyAlignment="1">
      <alignment horizontal="center" vertical="center"/>
    </xf>
    <xf numFmtId="168" fontId="11" fillId="26" borderId="316" xfId="1" applyNumberFormat="1" applyFont="1" applyFill="1" applyBorder="1" applyAlignment="1">
      <alignment horizontal="center" vertical="center"/>
    </xf>
    <xf numFmtId="9" fontId="11" fillId="26" borderId="313" xfId="2" applyFont="1" applyFill="1" applyBorder="1" applyAlignment="1">
      <alignment horizontal="center" vertical="center"/>
    </xf>
    <xf numFmtId="9" fontId="11" fillId="26" borderId="316" xfId="2" applyFont="1" applyFill="1" applyBorder="1" applyAlignment="1">
      <alignment horizontal="center" vertical="center"/>
    </xf>
    <xf numFmtId="167" fontId="11" fillId="26" borderId="43" xfId="2" applyNumberFormat="1" applyFont="1" applyFill="1" applyBorder="1" applyAlignment="1">
      <alignment horizontal="center" vertical="center" wrapText="1"/>
    </xf>
    <xf numFmtId="167" fontId="11" fillId="26" borderId="48" xfId="2" applyNumberFormat="1" applyFont="1" applyFill="1" applyBorder="1" applyAlignment="1">
      <alignment horizontal="center" vertical="center" wrapText="1"/>
    </xf>
    <xf numFmtId="168" fontId="11" fillId="130" borderId="313" xfId="1" applyNumberFormat="1" applyFont="1" applyFill="1" applyBorder="1" applyAlignment="1">
      <alignment horizontal="center" vertical="center"/>
    </xf>
    <xf numFmtId="168" fontId="11" fillId="130" borderId="316" xfId="1" applyNumberFormat="1" applyFont="1" applyFill="1" applyBorder="1" applyAlignment="1">
      <alignment horizontal="center" vertical="center"/>
    </xf>
    <xf numFmtId="9" fontId="11" fillId="130" borderId="313" xfId="2" applyFont="1" applyFill="1" applyBorder="1" applyAlignment="1">
      <alignment horizontal="center" vertical="center"/>
    </xf>
    <xf numFmtId="9" fontId="11" fillId="130" borderId="316" xfId="2" applyFont="1" applyFill="1" applyBorder="1" applyAlignment="1">
      <alignment horizontal="center" vertical="center"/>
    </xf>
    <xf numFmtId="167" fontId="11" fillId="130" borderId="43" xfId="2" applyNumberFormat="1" applyFont="1" applyFill="1" applyBorder="1" applyAlignment="1">
      <alignment horizontal="center" vertical="center" wrapText="1"/>
    </xf>
    <xf numFmtId="167" fontId="11" fillId="130" borderId="48" xfId="2" applyNumberFormat="1" applyFont="1" applyFill="1" applyBorder="1" applyAlignment="1">
      <alignment horizontal="center" vertical="center" wrapText="1"/>
    </xf>
    <xf numFmtId="0" fontId="255" fillId="70" borderId="297" xfId="0" applyFont="1" applyFill="1" applyBorder="1" applyAlignment="1">
      <alignment horizontal="center" vertical="center"/>
    </xf>
    <xf numFmtId="0" fontId="255" fillId="70" borderId="298" xfId="0" applyFont="1" applyFill="1" applyBorder="1" applyAlignment="1">
      <alignment horizontal="center" vertical="center"/>
    </xf>
    <xf numFmtId="0" fontId="255" fillId="27" borderId="296" xfId="0" applyFont="1" applyFill="1" applyBorder="1" applyAlignment="1">
      <alignment horizontal="center" vertical="center"/>
    </xf>
    <xf numFmtId="0" fontId="255" fillId="27" borderId="297" xfId="0" applyFont="1" applyFill="1" applyBorder="1" applyAlignment="1">
      <alignment horizontal="center" vertical="center"/>
    </xf>
    <xf numFmtId="0" fontId="255" fillId="27" borderId="298" xfId="0" applyFont="1" applyFill="1" applyBorder="1" applyAlignment="1">
      <alignment horizontal="center" vertical="center"/>
    </xf>
    <xf numFmtId="0" fontId="255" fillId="77" borderId="296" xfId="0" applyFont="1" applyFill="1" applyBorder="1" applyAlignment="1">
      <alignment horizontal="center" vertical="center"/>
    </xf>
    <xf numFmtId="0" fontId="255" fillId="77" borderId="297" xfId="0" applyFont="1" applyFill="1" applyBorder="1" applyAlignment="1">
      <alignment horizontal="center" vertical="center"/>
    </xf>
    <xf numFmtId="0" fontId="255" fillId="77" borderId="298" xfId="0" applyFont="1" applyFill="1" applyBorder="1" applyAlignment="1">
      <alignment horizontal="center" vertical="center"/>
    </xf>
    <xf numFmtId="0" fontId="255" fillId="0" borderId="36" xfId="0" applyFont="1" applyFill="1" applyBorder="1" applyAlignment="1">
      <alignment horizontal="center" vertical="center"/>
    </xf>
    <xf numFmtId="0" fontId="255" fillId="0" borderId="27" xfId="0" applyFont="1" applyFill="1" applyBorder="1" applyAlignment="1">
      <alignment horizontal="center" vertical="center"/>
    </xf>
    <xf numFmtId="0" fontId="255" fillId="0" borderId="264" xfId="0" applyFont="1" applyFill="1" applyBorder="1" applyAlignment="1">
      <alignment horizontal="center" vertical="center"/>
    </xf>
    <xf numFmtId="0" fontId="255" fillId="84" borderId="35" xfId="0" applyFont="1" applyFill="1" applyBorder="1" applyAlignment="1">
      <alignment horizontal="center" vertical="center"/>
    </xf>
    <xf numFmtId="0" fontId="255" fillId="84" borderId="29" xfId="0" applyFont="1" applyFill="1" applyBorder="1" applyAlignment="1">
      <alignment horizontal="center" vertical="center"/>
    </xf>
    <xf numFmtId="0" fontId="255" fillId="70" borderId="36" xfId="0" applyFont="1" applyFill="1" applyBorder="1" applyAlignment="1">
      <alignment horizontal="center" vertical="center"/>
    </xf>
    <xf numFmtId="0" fontId="255" fillId="70" borderId="27" xfId="0" applyFont="1" applyFill="1" applyBorder="1" applyAlignment="1">
      <alignment horizontal="center" vertical="center"/>
    </xf>
    <xf numFmtId="0" fontId="255" fillId="70" borderId="59" xfId="0" applyFont="1" applyFill="1" applyBorder="1" applyAlignment="1">
      <alignment horizontal="center" vertical="center"/>
    </xf>
    <xf numFmtId="0" fontId="255" fillId="14" borderId="36" xfId="0" applyFont="1" applyFill="1" applyBorder="1" applyAlignment="1">
      <alignment horizontal="center" vertical="center"/>
    </xf>
    <xf numFmtId="0" fontId="255" fillId="14" borderId="27" xfId="0" applyFont="1" applyFill="1" applyBorder="1" applyAlignment="1">
      <alignment horizontal="center" vertical="center"/>
    </xf>
    <xf numFmtId="0" fontId="255" fillId="14" borderId="59" xfId="0" applyFont="1" applyFill="1" applyBorder="1" applyAlignment="1">
      <alignment horizontal="center" vertical="center"/>
    </xf>
    <xf numFmtId="0" fontId="255" fillId="73" borderId="36" xfId="0" applyFont="1" applyFill="1" applyBorder="1" applyAlignment="1">
      <alignment horizontal="center" vertical="center"/>
    </xf>
    <xf numFmtId="0" fontId="255" fillId="73" borderId="27" xfId="0" applyFont="1" applyFill="1" applyBorder="1" applyAlignment="1">
      <alignment horizontal="center" vertical="center"/>
    </xf>
    <xf numFmtId="0" fontId="255" fillId="73" borderId="59" xfId="0" applyFont="1" applyFill="1" applyBorder="1" applyAlignment="1">
      <alignment horizontal="center" vertical="center"/>
    </xf>
    <xf numFmtId="0" fontId="255" fillId="71" borderId="308" xfId="0" applyFont="1" applyFill="1" applyBorder="1" applyAlignment="1">
      <alignment horizontal="center" vertical="center"/>
    </xf>
    <xf numFmtId="0" fontId="255" fillId="71" borderId="141" xfId="0" applyFont="1" applyFill="1" applyBorder="1" applyAlignment="1">
      <alignment horizontal="center" vertical="center"/>
    </xf>
    <xf numFmtId="0" fontId="255" fillId="71" borderId="229" xfId="0" applyFont="1" applyFill="1" applyBorder="1" applyAlignment="1">
      <alignment horizontal="center" vertical="center"/>
    </xf>
    <xf numFmtId="0" fontId="255" fillId="10" borderId="138" xfId="0" applyFont="1" applyFill="1" applyBorder="1" applyAlignment="1">
      <alignment horizontal="center" vertical="center"/>
    </xf>
    <xf numFmtId="0" fontId="255" fillId="10" borderId="139" xfId="0" applyFont="1" applyFill="1" applyBorder="1" applyAlignment="1">
      <alignment horizontal="center" vertical="center"/>
    </xf>
    <xf numFmtId="0" fontId="255" fillId="10" borderId="214" xfId="0" applyFont="1" applyFill="1" applyBorder="1" applyAlignment="1">
      <alignment horizontal="center" vertical="center"/>
    </xf>
    <xf numFmtId="0" fontId="255" fillId="71" borderId="215" xfId="0" applyFont="1" applyFill="1" applyBorder="1" applyAlignment="1">
      <alignment horizontal="center" vertical="center"/>
    </xf>
    <xf numFmtId="0" fontId="255" fillId="71" borderId="307" xfId="0" applyFont="1" applyFill="1" applyBorder="1" applyAlignment="1">
      <alignment horizontal="center" vertical="center"/>
    </xf>
    <xf numFmtId="0" fontId="255" fillId="26" borderId="36" xfId="0" applyFont="1" applyFill="1" applyBorder="1" applyAlignment="1">
      <alignment horizontal="center" vertical="center"/>
    </xf>
    <xf numFmtId="0" fontId="255" fillId="26" borderId="27" xfId="0" applyFont="1" applyFill="1" applyBorder="1" applyAlignment="1">
      <alignment horizontal="center" vertical="center"/>
    </xf>
    <xf numFmtId="0" fontId="255" fillId="26" borderId="59" xfId="0" applyFont="1" applyFill="1" applyBorder="1" applyAlignment="1">
      <alignment horizontal="center" vertical="center"/>
    </xf>
    <xf numFmtId="0" fontId="61" fillId="0" borderId="0" xfId="0" applyFont="1" applyFill="1" applyAlignment="1">
      <alignment horizontal="center" vertical="center" wrapText="1"/>
    </xf>
    <xf numFmtId="0" fontId="61" fillId="26" borderId="35" xfId="0" applyFont="1" applyFill="1" applyBorder="1" applyAlignment="1">
      <alignment horizontal="center" vertical="center"/>
    </xf>
    <xf numFmtId="0" fontId="61" fillId="26" borderId="29" xfId="0" applyFont="1" applyFill="1" applyBorder="1" applyAlignment="1">
      <alignment horizontal="center" vertical="center"/>
    </xf>
    <xf numFmtId="0" fontId="61" fillId="0" borderId="23" xfId="0" applyFont="1" applyFill="1" applyBorder="1" applyAlignment="1">
      <alignment horizontal="center" vertical="center" wrapText="1"/>
    </xf>
    <xf numFmtId="0" fontId="61" fillId="0" borderId="19" xfId="0" applyFont="1" applyFill="1" applyBorder="1" applyAlignment="1">
      <alignment horizontal="center" vertical="center" wrapText="1"/>
    </xf>
    <xf numFmtId="0" fontId="61" fillId="70" borderId="62" xfId="0" applyFont="1" applyFill="1" applyBorder="1" applyAlignment="1">
      <alignment horizontal="center" vertical="center"/>
    </xf>
    <xf numFmtId="0" fontId="61" fillId="70" borderId="147" xfId="0" applyFont="1" applyFill="1" applyBorder="1" applyAlignment="1">
      <alignment horizontal="center" vertical="center"/>
    </xf>
    <xf numFmtId="0" fontId="61" fillId="70" borderId="74" xfId="0" applyFont="1" applyFill="1" applyBorder="1" applyAlignment="1">
      <alignment horizontal="center" vertical="center"/>
    </xf>
    <xf numFmtId="0" fontId="61" fillId="26" borderId="62" xfId="0" applyFont="1" applyFill="1" applyBorder="1" applyAlignment="1">
      <alignment horizontal="center" vertical="center"/>
    </xf>
    <xf numFmtId="0" fontId="61" fillId="26" borderId="147" xfId="0" applyFont="1" applyFill="1" applyBorder="1" applyAlignment="1">
      <alignment horizontal="center" vertical="center"/>
    </xf>
    <xf numFmtId="0" fontId="61" fillId="26" borderId="74" xfId="0" applyFont="1" applyFill="1" applyBorder="1" applyAlignment="1">
      <alignment horizontal="center" vertical="center"/>
    </xf>
    <xf numFmtId="0" fontId="61" fillId="28" borderId="62" xfId="0" applyFont="1" applyFill="1" applyBorder="1" applyAlignment="1">
      <alignment horizontal="center" vertical="center"/>
    </xf>
    <xf numFmtId="0" fontId="61" fillId="28" borderId="147" xfId="0" applyFont="1" applyFill="1" applyBorder="1" applyAlignment="1">
      <alignment horizontal="center" vertical="center"/>
    </xf>
    <xf numFmtId="0" fontId="61" fillId="28" borderId="309" xfId="0" applyFont="1" applyFill="1" applyBorder="1" applyAlignment="1">
      <alignment horizontal="center" vertical="center"/>
    </xf>
    <xf numFmtId="0" fontId="61" fillId="27" borderId="0" xfId="0" applyFont="1" applyFill="1" applyBorder="1" applyAlignment="1">
      <alignment horizontal="center" vertical="center"/>
    </xf>
    <xf numFmtId="0" fontId="61" fillId="5" borderId="35" xfId="0" applyFont="1" applyFill="1" applyBorder="1" applyAlignment="1">
      <alignment horizontal="center" vertical="center"/>
    </xf>
    <xf numFmtId="0" fontId="61" fillId="5" borderId="29" xfId="0" applyFont="1" applyFill="1" applyBorder="1" applyAlignment="1">
      <alignment horizontal="center" vertical="center"/>
    </xf>
    <xf numFmtId="0" fontId="61" fillId="3" borderId="19" xfId="0" applyFont="1" applyFill="1" applyBorder="1" applyAlignment="1">
      <alignment horizontal="center" vertical="center" wrapText="1"/>
    </xf>
    <xf numFmtId="0" fontId="248" fillId="0" borderId="29" xfId="0" applyFont="1" applyBorder="1" applyAlignment="1">
      <alignment horizontal="center" vertical="center" wrapText="1"/>
    </xf>
    <xf numFmtId="0" fontId="61" fillId="3" borderId="13" xfId="0" applyFont="1" applyFill="1" applyBorder="1" applyAlignment="1">
      <alignment horizontal="center" vertical="center" wrapText="1"/>
    </xf>
    <xf numFmtId="0" fontId="61" fillId="117" borderId="19" xfId="0" applyFont="1" applyFill="1" applyBorder="1" applyAlignment="1">
      <alignment horizontal="center" vertical="center" wrapText="1"/>
    </xf>
    <xf numFmtId="0" fontId="61" fillId="14" borderId="0" xfId="0" applyFont="1" applyFill="1" applyBorder="1" applyAlignment="1">
      <alignment horizontal="center" vertical="center"/>
    </xf>
    <xf numFmtId="0" fontId="61" fillId="14" borderId="130" xfId="0" applyFont="1" applyFill="1" applyBorder="1" applyAlignment="1">
      <alignment horizontal="center" vertical="center"/>
    </xf>
    <xf numFmtId="0" fontId="61" fillId="14" borderId="131" xfId="0" applyFont="1" applyFill="1" applyBorder="1" applyAlignment="1">
      <alignment horizontal="center" vertical="center"/>
    </xf>
    <xf numFmtId="0" fontId="61" fillId="14" borderId="132" xfId="0" applyFont="1" applyFill="1" applyBorder="1" applyAlignment="1">
      <alignment horizontal="center" vertical="center"/>
    </xf>
    <xf numFmtId="0" fontId="61" fillId="0" borderId="0" xfId="0" applyFont="1" applyFill="1" applyBorder="1" applyAlignment="1">
      <alignment horizontal="center" vertical="center" wrapText="1"/>
    </xf>
    <xf numFmtId="0" fontId="61" fillId="29" borderId="130" xfId="0" applyFont="1" applyFill="1" applyBorder="1" applyAlignment="1">
      <alignment horizontal="center" vertical="center"/>
    </xf>
    <xf numFmtId="0" fontId="61" fillId="29" borderId="131" xfId="0" applyFont="1" applyFill="1" applyBorder="1" applyAlignment="1">
      <alignment horizontal="center" vertical="center"/>
    </xf>
    <xf numFmtId="0" fontId="61" fillId="29" borderId="132" xfId="0" applyFont="1" applyFill="1" applyBorder="1" applyAlignment="1">
      <alignment horizontal="center" vertical="center"/>
    </xf>
    <xf numFmtId="0" fontId="61" fillId="14" borderId="129" xfId="0" applyFont="1" applyFill="1" applyBorder="1" applyAlignment="1">
      <alignment horizontal="center" vertical="center"/>
    </xf>
    <xf numFmtId="0" fontId="61" fillId="26" borderId="0" xfId="0" applyFont="1" applyFill="1" applyBorder="1" applyAlignment="1">
      <alignment horizontal="center" vertical="center"/>
    </xf>
    <xf numFmtId="0" fontId="61" fillId="2" borderId="0" xfId="0" applyFont="1" applyFill="1" applyBorder="1" applyAlignment="1">
      <alignment horizontal="center" vertical="center"/>
    </xf>
    <xf numFmtId="0" fontId="61" fillId="74" borderId="0" xfId="0" applyFont="1" applyFill="1" applyBorder="1" applyAlignment="1">
      <alignment horizontal="center" vertical="center"/>
    </xf>
    <xf numFmtId="0" fontId="263" fillId="3" borderId="41" xfId="0" applyFont="1" applyFill="1" applyBorder="1" applyAlignment="1">
      <alignment horizontal="center" vertical="center" wrapText="1"/>
    </xf>
    <xf numFmtId="0" fontId="263" fillId="3" borderId="6" xfId="0" applyFont="1" applyFill="1" applyBorder="1" applyAlignment="1">
      <alignment horizontal="center" vertical="center"/>
    </xf>
    <xf numFmtId="0" fontId="263" fillId="3" borderId="108" xfId="0" applyFont="1" applyFill="1" applyBorder="1" applyAlignment="1">
      <alignment horizontal="center" vertical="center"/>
    </xf>
    <xf numFmtId="1" fontId="101" fillId="85" borderId="274" xfId="0" applyNumberFormat="1" applyFont="1" applyFill="1" applyBorder="1" applyAlignment="1">
      <alignment horizontal="center" vertical="center"/>
    </xf>
    <xf numFmtId="1" fontId="101" fillId="85" borderId="264" xfId="0" applyNumberFormat="1" applyFont="1" applyFill="1" applyBorder="1" applyAlignment="1">
      <alignment horizontal="center" vertical="center"/>
    </xf>
    <xf numFmtId="2" fontId="101" fillId="85" borderId="37" xfId="0" applyNumberFormat="1" applyFont="1" applyFill="1" applyBorder="1" applyAlignment="1">
      <alignment horizontal="center" vertical="center"/>
    </xf>
    <xf numFmtId="2" fontId="101" fillId="85" borderId="7" xfId="0" applyNumberFormat="1" applyFont="1" applyFill="1" applyBorder="1" applyAlignment="1">
      <alignment horizontal="center" vertical="center"/>
    </xf>
    <xf numFmtId="0" fontId="101" fillId="85" borderId="52" xfId="0" applyFont="1" applyFill="1" applyBorder="1" applyAlignment="1">
      <alignment horizontal="center" vertical="center" wrapText="1"/>
    </xf>
    <xf numFmtId="0" fontId="101" fillId="85" borderId="83" xfId="0" applyFont="1" applyFill="1" applyBorder="1" applyAlignment="1">
      <alignment horizontal="center" vertical="center" wrapText="1"/>
    </xf>
    <xf numFmtId="0" fontId="101" fillId="85" borderId="11" xfId="0" applyFont="1" applyFill="1" applyBorder="1" applyAlignment="1">
      <alignment horizontal="center" vertical="center" wrapText="1"/>
    </xf>
    <xf numFmtId="0" fontId="18" fillId="70" borderId="35" xfId="0" applyFont="1" applyFill="1" applyBorder="1" applyAlignment="1">
      <alignment horizontal="center" vertical="center" wrapText="1"/>
    </xf>
    <xf numFmtId="0" fontId="18" fillId="70" borderId="66" xfId="0" applyFont="1" applyFill="1" applyBorder="1" applyAlignment="1">
      <alignment horizontal="center" vertical="center" wrapText="1"/>
    </xf>
    <xf numFmtId="0" fontId="18" fillId="70" borderId="52" xfId="0" applyFont="1" applyFill="1" applyBorder="1" applyAlignment="1">
      <alignment horizontal="center" vertical="center" wrapText="1"/>
    </xf>
    <xf numFmtId="0" fontId="18" fillId="70" borderId="11" xfId="0" applyFont="1" applyFill="1" applyBorder="1" applyAlignment="1">
      <alignment horizontal="center" vertical="center" wrapText="1"/>
    </xf>
    <xf numFmtId="0" fontId="18" fillId="70" borderId="83" xfId="0" applyFont="1" applyFill="1" applyBorder="1" applyAlignment="1">
      <alignment horizontal="center" vertical="center" wrapText="1"/>
    </xf>
    <xf numFmtId="1" fontId="101" fillId="85" borderId="37" xfId="0" applyNumberFormat="1" applyFont="1" applyFill="1" applyBorder="1" applyAlignment="1">
      <alignment horizontal="center" vertical="center"/>
    </xf>
    <xf numFmtId="1" fontId="101" fillId="85" borderId="7" xfId="0" applyNumberFormat="1" applyFont="1" applyFill="1" applyBorder="1" applyAlignment="1">
      <alignment horizontal="center" vertical="center"/>
    </xf>
    <xf numFmtId="0" fontId="0" fillId="0" borderId="0" xfId="0" applyAlignment="1">
      <alignment horizontal="left" vertical="center" wrapText="1"/>
    </xf>
    <xf numFmtId="0" fontId="0" fillId="0" borderId="33" xfId="0" applyBorder="1" applyAlignment="1">
      <alignment horizontal="center" wrapText="1"/>
    </xf>
    <xf numFmtId="0" fontId="32" fillId="71" borderId="0" xfId="0" applyFont="1" applyFill="1" applyAlignment="1">
      <alignment horizontal="center" vertical="center" wrapText="1"/>
    </xf>
    <xf numFmtId="3" fontId="30" fillId="14" borderId="33" xfId="0" applyNumberFormat="1" applyFont="1" applyFill="1" applyBorder="1" applyAlignment="1">
      <alignment horizontal="center" vertical="center" wrapText="1"/>
    </xf>
    <xf numFmtId="0" fontId="30" fillId="14" borderId="33" xfId="85" applyFont="1" applyFill="1" applyBorder="1" applyAlignment="1">
      <alignment horizontal="center" vertical="center" wrapText="1"/>
    </xf>
    <xf numFmtId="0" fontId="255" fillId="31" borderId="52" xfId="85" applyFont="1" applyFill="1" applyBorder="1" applyAlignment="1">
      <alignment horizontal="center" vertical="center" wrapText="1"/>
    </xf>
    <xf numFmtId="0" fontId="255" fillId="31" borderId="83" xfId="85" applyFont="1" applyFill="1" applyBorder="1" applyAlignment="1">
      <alignment horizontal="center" vertical="center" wrapText="1"/>
    </xf>
    <xf numFmtId="0" fontId="30" fillId="14" borderId="0" xfId="85" applyFont="1" applyFill="1" applyAlignment="1">
      <alignment horizontal="center" vertical="center" wrapText="1"/>
    </xf>
    <xf numFmtId="168" fontId="61" fillId="0" borderId="52" xfId="0" applyNumberFormat="1" applyFont="1" applyBorder="1" applyAlignment="1">
      <alignment horizontal="center"/>
    </xf>
    <xf numFmtId="168" fontId="61" fillId="0" borderId="11" xfId="0" applyNumberFormat="1" applyFont="1" applyBorder="1" applyAlignment="1">
      <alignment horizontal="center"/>
    </xf>
    <xf numFmtId="0" fontId="61" fillId="4" borderId="52" xfId="85" applyFont="1" applyFill="1" applyBorder="1" applyAlignment="1">
      <alignment horizontal="center" vertical="center"/>
    </xf>
    <xf numFmtId="0" fontId="61" fillId="4" borderId="11" xfId="85" applyFont="1" applyFill="1" applyBorder="1" applyAlignment="1">
      <alignment horizontal="center" vertical="center"/>
    </xf>
    <xf numFmtId="0" fontId="61" fillId="4" borderId="83" xfId="85" applyFont="1" applyFill="1" applyBorder="1" applyAlignment="1">
      <alignment horizontal="center" vertical="center"/>
    </xf>
    <xf numFmtId="0" fontId="256" fillId="8" borderId="23" xfId="85" applyFont="1" applyFill="1" applyBorder="1" applyAlignment="1">
      <alignment horizontal="center"/>
    </xf>
    <xf numFmtId="0" fontId="256" fillId="8" borderId="0" xfId="85" applyFont="1" applyFill="1" applyBorder="1" applyAlignment="1">
      <alignment horizontal="center"/>
    </xf>
    <xf numFmtId="0" fontId="255" fillId="70" borderId="133" xfId="85" applyFont="1" applyFill="1" applyBorder="1" applyAlignment="1">
      <alignment horizontal="center"/>
    </xf>
    <xf numFmtId="0" fontId="255" fillId="70" borderId="134" xfId="85" applyFont="1" applyFill="1" applyBorder="1" applyAlignment="1">
      <alignment horizontal="center"/>
    </xf>
    <xf numFmtId="0" fontId="255" fillId="27" borderId="4" xfId="85" applyFont="1" applyFill="1" applyBorder="1" applyAlignment="1">
      <alignment horizontal="center"/>
    </xf>
    <xf numFmtId="0" fontId="255" fillId="27" borderId="133" xfId="85" applyFont="1" applyFill="1" applyBorder="1" applyAlignment="1">
      <alignment horizontal="center"/>
    </xf>
    <xf numFmtId="0" fontId="255" fillId="70" borderId="130" xfId="85" applyFont="1" applyFill="1" applyBorder="1" applyAlignment="1">
      <alignment horizontal="center"/>
    </xf>
    <xf numFmtId="0" fontId="255" fillId="70" borderId="131" xfId="85" applyFont="1" applyFill="1" applyBorder="1" applyAlignment="1">
      <alignment horizontal="center"/>
    </xf>
    <xf numFmtId="0" fontId="255" fillId="70" borderId="132" xfId="85" applyFont="1" applyFill="1" applyBorder="1" applyAlignment="1">
      <alignment horizontal="center"/>
    </xf>
    <xf numFmtId="0" fontId="255" fillId="73" borderId="130" xfId="85" applyFont="1" applyFill="1" applyBorder="1" applyAlignment="1">
      <alignment horizontal="center"/>
    </xf>
    <xf numFmtId="0" fontId="255" fillId="73" borderId="131" xfId="85" applyFont="1" applyFill="1" applyBorder="1" applyAlignment="1">
      <alignment horizontal="center"/>
    </xf>
    <xf numFmtId="0" fontId="255" fillId="71" borderId="135" xfId="85" applyFont="1" applyFill="1" applyBorder="1" applyAlignment="1">
      <alignment horizontal="center"/>
    </xf>
    <xf numFmtId="0" fontId="255" fillId="71" borderId="136" xfId="85" applyFont="1" applyFill="1" applyBorder="1" applyAlignment="1">
      <alignment horizontal="center"/>
    </xf>
    <xf numFmtId="0" fontId="255" fillId="71" borderId="137" xfId="85" applyFont="1" applyFill="1" applyBorder="1" applyAlignment="1">
      <alignment horizontal="center"/>
    </xf>
    <xf numFmtId="0" fontId="255" fillId="10" borderId="138" xfId="85" applyFont="1" applyFill="1" applyBorder="1" applyAlignment="1">
      <alignment horizontal="center"/>
    </xf>
    <xf numFmtId="0" fontId="255" fillId="10" borderId="139" xfId="85" applyFont="1" applyFill="1" applyBorder="1" applyAlignment="1">
      <alignment horizontal="center"/>
    </xf>
    <xf numFmtId="0" fontId="255" fillId="95" borderId="275" xfId="0" applyFont="1" applyFill="1" applyBorder="1" applyAlignment="1">
      <alignment horizontal="center"/>
    </xf>
    <xf numFmtId="0" fontId="255" fillId="95" borderId="276" xfId="0" applyFont="1" applyFill="1" applyBorder="1" applyAlignment="1">
      <alignment horizontal="center"/>
    </xf>
    <xf numFmtId="0" fontId="255" fillId="95" borderId="277" xfId="0" applyFont="1" applyFill="1" applyBorder="1" applyAlignment="1">
      <alignment horizontal="center"/>
    </xf>
    <xf numFmtId="0" fontId="61" fillId="70" borderId="62" xfId="85" applyFont="1" applyFill="1" applyBorder="1" applyAlignment="1">
      <alignment horizontal="center"/>
    </xf>
    <xf numFmtId="0" fontId="61" fillId="70" borderId="147" xfId="85" applyFont="1" applyFill="1" applyBorder="1" applyAlignment="1">
      <alignment horizontal="center"/>
    </xf>
    <xf numFmtId="0" fontId="61" fillId="26" borderId="62" xfId="85" applyFont="1" applyFill="1" applyBorder="1" applyAlignment="1">
      <alignment horizontal="center"/>
    </xf>
    <xf numFmtId="0" fontId="61" fillId="26" borderId="147" xfId="85" applyFont="1" applyFill="1" applyBorder="1" applyAlignment="1">
      <alignment horizontal="center"/>
    </xf>
    <xf numFmtId="0" fontId="61" fillId="26" borderId="74" xfId="85" applyFont="1" applyFill="1" applyBorder="1" applyAlignment="1">
      <alignment horizontal="center"/>
    </xf>
    <xf numFmtId="0" fontId="255" fillId="9" borderId="0" xfId="85" applyFont="1" applyFill="1" applyAlignment="1">
      <alignment horizontal="center"/>
    </xf>
    <xf numFmtId="0" fontId="61" fillId="72" borderId="0" xfId="85" applyFont="1" applyFill="1" applyBorder="1" applyAlignment="1">
      <alignment horizontal="center"/>
    </xf>
    <xf numFmtId="17" fontId="240" fillId="97" borderId="288" xfId="0" applyNumberFormat="1" applyFont="1" applyFill="1" applyBorder="1" applyAlignment="1">
      <alignment horizontal="center" vertical="center" wrapText="1"/>
    </xf>
    <xf numFmtId="17" fontId="240" fillId="97" borderId="289" xfId="0" applyNumberFormat="1" applyFont="1" applyFill="1" applyBorder="1" applyAlignment="1">
      <alignment horizontal="center" vertical="center" wrapText="1"/>
    </xf>
    <xf numFmtId="17" fontId="240" fillId="97" borderId="290" xfId="0" applyNumberFormat="1" applyFont="1" applyFill="1" applyBorder="1" applyAlignment="1">
      <alignment horizontal="center" vertical="center" wrapText="1"/>
    </xf>
    <xf numFmtId="0" fontId="30" fillId="15" borderId="133" xfId="85" applyFont="1" applyFill="1" applyBorder="1" applyAlignment="1">
      <alignment horizontal="center"/>
    </xf>
    <xf numFmtId="0" fontId="255" fillId="77" borderId="130" xfId="85" applyFont="1" applyFill="1" applyBorder="1" applyAlignment="1">
      <alignment horizontal="center"/>
    </xf>
    <xf numFmtId="0" fontId="255" fillId="77" borderId="131" xfId="85" applyFont="1" applyFill="1" applyBorder="1" applyAlignment="1">
      <alignment horizontal="center"/>
    </xf>
    <xf numFmtId="0" fontId="255" fillId="77" borderId="132" xfId="85" applyFont="1" applyFill="1" applyBorder="1" applyAlignment="1">
      <alignment horizontal="center"/>
    </xf>
    <xf numFmtId="0" fontId="255" fillId="95" borderId="173" xfId="0" applyFont="1" applyFill="1" applyBorder="1" applyAlignment="1">
      <alignment horizontal="center"/>
    </xf>
    <xf numFmtId="0" fontId="255" fillId="95" borderId="174" xfId="0" applyFont="1" applyFill="1" applyBorder="1" applyAlignment="1">
      <alignment horizontal="center"/>
    </xf>
    <xf numFmtId="0" fontId="255" fillId="95" borderId="78" xfId="0" applyFont="1" applyFill="1" applyBorder="1" applyAlignment="1">
      <alignment horizontal="center"/>
    </xf>
    <xf numFmtId="0" fontId="61" fillId="28" borderId="62" xfId="85" applyFont="1" applyFill="1" applyBorder="1" applyAlignment="1">
      <alignment horizontal="center"/>
    </xf>
    <xf numFmtId="0" fontId="61" fillId="28" borderId="147" xfId="85" applyFont="1" applyFill="1" applyBorder="1" applyAlignment="1">
      <alignment horizontal="center"/>
    </xf>
    <xf numFmtId="0" fontId="61" fillId="14" borderId="130" xfId="85" applyFont="1" applyFill="1" applyBorder="1" applyAlignment="1">
      <alignment horizontal="center"/>
    </xf>
    <xf numFmtId="0" fontId="61" fillId="14" borderId="131" xfId="85" applyFont="1" applyFill="1" applyBorder="1" applyAlignment="1">
      <alignment horizontal="center"/>
    </xf>
    <xf numFmtId="0" fontId="61" fillId="14" borderId="132" xfId="85" applyFont="1" applyFill="1" applyBorder="1" applyAlignment="1">
      <alignment horizontal="center"/>
    </xf>
    <xf numFmtId="0" fontId="61" fillId="29" borderId="130" xfId="85" applyFont="1" applyFill="1" applyBorder="1" applyAlignment="1">
      <alignment horizontal="center"/>
    </xf>
    <xf numFmtId="0" fontId="61" fillId="29" borderId="131" xfId="85" applyFont="1" applyFill="1" applyBorder="1" applyAlignment="1">
      <alignment horizontal="center"/>
    </xf>
    <xf numFmtId="0" fontId="61" fillId="29" borderId="132" xfId="85" applyFont="1" applyFill="1" applyBorder="1" applyAlignment="1">
      <alignment horizontal="center"/>
    </xf>
    <xf numFmtId="0" fontId="61" fillId="14" borderId="129" xfId="85" applyFont="1" applyFill="1" applyBorder="1" applyAlignment="1">
      <alignment horizontal="center"/>
    </xf>
    <xf numFmtId="0" fontId="61" fillId="14" borderId="0" xfId="85" applyFont="1" applyFill="1" applyBorder="1" applyAlignment="1">
      <alignment horizontal="center"/>
    </xf>
    <xf numFmtId="0" fontId="256" fillId="15" borderId="77" xfId="85" applyFont="1" applyFill="1" applyBorder="1" applyAlignment="1">
      <alignment horizontal="center" vertical="justify"/>
    </xf>
    <xf numFmtId="0" fontId="245" fillId="38" borderId="0" xfId="7" applyFont="1" applyFill="1" applyAlignment="1">
      <alignment horizontal="center" vertical="center"/>
    </xf>
    <xf numFmtId="0" fontId="42" fillId="9" borderId="36" xfId="7" applyFont="1" applyFill="1" applyBorder="1" applyAlignment="1">
      <alignment horizontal="left"/>
    </xf>
    <xf numFmtId="0" fontId="42" fillId="9" borderId="27" xfId="7" applyFont="1" applyFill="1" applyBorder="1" applyAlignment="1">
      <alignment horizontal="left"/>
    </xf>
    <xf numFmtId="0" fontId="42" fillId="9" borderId="59" xfId="7" applyFont="1" applyFill="1" applyBorder="1" applyAlignment="1">
      <alignment horizontal="left"/>
    </xf>
    <xf numFmtId="0" fontId="42" fillId="9" borderId="23" xfId="0" applyFont="1" applyFill="1" applyBorder="1" applyAlignment="1">
      <alignment horizontal="left"/>
    </xf>
    <xf numFmtId="0" fontId="42" fillId="9" borderId="0" xfId="0" applyFont="1" applyFill="1" applyBorder="1" applyAlignment="1">
      <alignment horizontal="left"/>
    </xf>
    <xf numFmtId="0" fontId="42" fillId="9" borderId="35" xfId="0" applyFont="1" applyFill="1" applyBorder="1" applyAlignment="1">
      <alignment horizontal="left"/>
    </xf>
    <xf numFmtId="0" fontId="42" fillId="9" borderId="29" xfId="0" applyFont="1" applyFill="1" applyBorder="1" applyAlignment="1">
      <alignment horizontal="left"/>
    </xf>
    <xf numFmtId="0" fontId="42" fillId="9" borderId="30" xfId="0" applyFont="1" applyFill="1" applyBorder="1" applyAlignment="1">
      <alignment horizontal="left"/>
    </xf>
    <xf numFmtId="0" fontId="42" fillId="9" borderId="377" xfId="0" applyFont="1" applyFill="1" applyBorder="1" applyAlignment="1">
      <alignment horizontal="left"/>
    </xf>
    <xf numFmtId="0" fontId="40" fillId="9" borderId="0" xfId="7" applyFont="1" applyFill="1" applyAlignment="1">
      <alignment horizontal="center"/>
    </xf>
    <xf numFmtId="0" fontId="5" fillId="0" borderId="13" xfId="0" applyFont="1" applyBorder="1" applyAlignment="1">
      <alignment horizontal="center" vertical="center" wrapText="1"/>
    </xf>
    <xf numFmtId="0" fontId="250" fillId="0" borderId="0" xfId="0" applyFont="1" applyFill="1" applyBorder="1" applyAlignment="1">
      <alignment horizontal="center" wrapText="1"/>
    </xf>
    <xf numFmtId="17" fontId="5" fillId="28" borderId="35" xfId="0" applyNumberFormat="1" applyFont="1" applyFill="1" applyBorder="1" applyAlignment="1">
      <alignment horizontal="center" vertical="center" wrapText="1"/>
    </xf>
    <xf numFmtId="17" fontId="5" fillId="28" borderId="30" xfId="0" applyNumberFormat="1" applyFont="1" applyFill="1" applyBorder="1" applyAlignment="1">
      <alignment horizontal="center" vertical="center" wrapText="1"/>
    </xf>
    <xf numFmtId="17" fontId="5" fillId="13" borderId="37" xfId="0" applyNumberFormat="1" applyFont="1" applyFill="1" applyBorder="1" applyAlignment="1">
      <alignment horizontal="center" vertical="center" wrapText="1"/>
    </xf>
    <xf numFmtId="17" fontId="5" fillId="13" borderId="7" xfId="0" applyNumberFormat="1" applyFont="1" applyFill="1" applyBorder="1" applyAlignment="1">
      <alignment horizontal="center" vertical="center" wrapText="1"/>
    </xf>
    <xf numFmtId="17" fontId="5" fillId="28" borderId="37" xfId="0" applyNumberFormat="1" applyFont="1" applyFill="1" applyBorder="1" applyAlignment="1">
      <alignment horizontal="center" vertical="center" wrapText="1"/>
    </xf>
    <xf numFmtId="17" fontId="5" fillId="28" borderId="7" xfId="0" applyNumberFormat="1" applyFont="1" applyFill="1" applyBorder="1" applyAlignment="1">
      <alignment horizontal="center" vertical="center" wrapText="1"/>
    </xf>
    <xf numFmtId="17" fontId="5" fillId="13" borderId="40" xfId="0" applyNumberFormat="1" applyFont="1" applyFill="1" applyBorder="1" applyAlignment="1">
      <alignment horizontal="center" vertical="center" wrapText="1"/>
    </xf>
    <xf numFmtId="17" fontId="5" fillId="13" borderId="9" xfId="0" applyNumberFormat="1" applyFont="1" applyFill="1" applyBorder="1" applyAlignment="1">
      <alignment horizontal="center" vertical="center" wrapText="1"/>
    </xf>
    <xf numFmtId="17" fontId="5" fillId="28" borderId="40" xfId="0" applyNumberFormat="1" applyFont="1" applyFill="1" applyBorder="1" applyAlignment="1">
      <alignment horizontal="center" vertical="center" wrapText="1"/>
    </xf>
    <xf numFmtId="17" fontId="5" fillId="28" borderId="9" xfId="0" applyNumberFormat="1" applyFont="1" applyFill="1" applyBorder="1" applyAlignment="1">
      <alignment horizontal="center" vertical="center" wrapText="1"/>
    </xf>
    <xf numFmtId="0" fontId="5" fillId="79" borderId="13" xfId="0" applyFont="1" applyFill="1" applyBorder="1" applyAlignment="1">
      <alignment horizontal="center"/>
    </xf>
    <xf numFmtId="17" fontId="5" fillId="13" borderId="35" xfId="0" applyNumberFormat="1" applyFont="1" applyFill="1" applyBorder="1" applyAlignment="1">
      <alignment horizontal="center" vertical="center" wrapText="1"/>
    </xf>
    <xf numFmtId="17" fontId="5" fillId="13" borderId="30" xfId="0" applyNumberFormat="1" applyFont="1" applyFill="1" applyBorder="1" applyAlignment="1">
      <alignment horizontal="center" vertical="center" wrapText="1"/>
    </xf>
    <xf numFmtId="17" fontId="5" fillId="0" borderId="13" xfId="0" applyNumberFormat="1" applyFont="1" applyBorder="1" applyAlignment="1">
      <alignment horizontal="center" vertical="center"/>
    </xf>
    <xf numFmtId="17" fontId="5" fillId="0" borderId="24" xfId="0" applyNumberFormat="1" applyFont="1" applyBorder="1" applyAlignment="1">
      <alignment horizontal="center" vertical="center"/>
    </xf>
    <xf numFmtId="0" fontId="5" fillId="5" borderId="13" xfId="0" applyFont="1" applyFill="1" applyBorder="1" applyAlignment="1">
      <alignment horizontal="center"/>
    </xf>
    <xf numFmtId="0" fontId="5" fillId="132" borderId="13" xfId="0" applyFont="1" applyFill="1" applyBorder="1" applyAlignment="1">
      <alignment horizontal="center"/>
    </xf>
    <xf numFmtId="0" fontId="5" fillId="80" borderId="24" xfId="0" applyFont="1" applyFill="1" applyBorder="1" applyAlignment="1">
      <alignment horizontal="center"/>
    </xf>
    <xf numFmtId="0" fontId="5" fillId="80" borderId="25" xfId="0" applyFont="1" applyFill="1" applyBorder="1" applyAlignment="1">
      <alignment horizontal="center"/>
    </xf>
    <xf numFmtId="0" fontId="5" fillId="29" borderId="13" xfId="0" applyFont="1" applyFill="1" applyBorder="1" applyAlignment="1">
      <alignment horizontal="center"/>
    </xf>
    <xf numFmtId="0" fontId="5" fillId="13" borderId="13" xfId="0" applyFont="1" applyFill="1" applyBorder="1" applyAlignment="1">
      <alignment horizontal="center"/>
    </xf>
    <xf numFmtId="17" fontId="5" fillId="38" borderId="13" xfId="0" applyNumberFormat="1" applyFont="1" applyFill="1" applyBorder="1" applyAlignment="1">
      <alignment horizontal="center"/>
    </xf>
    <xf numFmtId="0" fontId="5" fillId="38" borderId="13" xfId="0" applyFont="1" applyFill="1" applyBorder="1" applyAlignment="1">
      <alignment horizontal="center"/>
    </xf>
    <xf numFmtId="0" fontId="5" fillId="16" borderId="13" xfId="0" applyFont="1" applyFill="1" applyBorder="1" applyAlignment="1">
      <alignment horizontal="center" vertical="center"/>
    </xf>
    <xf numFmtId="17" fontId="5" fillId="0" borderId="13" xfId="0" applyNumberFormat="1" applyFont="1" applyBorder="1" applyAlignment="1">
      <alignment horizontal="center"/>
    </xf>
    <xf numFmtId="0" fontId="5" fillId="0" borderId="13" xfId="0" applyFont="1" applyBorder="1" applyAlignment="1">
      <alignment horizontal="center"/>
    </xf>
    <xf numFmtId="0" fontId="5" fillId="0" borderId="13" xfId="0" applyFont="1" applyBorder="1" applyAlignment="1">
      <alignment horizontal="center" vertical="center"/>
    </xf>
    <xf numFmtId="0" fontId="17" fillId="132" borderId="13" xfId="0" applyFont="1" applyFill="1" applyBorder="1" applyAlignment="1">
      <alignment horizontal="center" vertical="center"/>
    </xf>
    <xf numFmtId="0" fontId="17" fillId="3" borderId="13" xfId="0" applyFont="1" applyFill="1" applyBorder="1" applyAlignment="1">
      <alignment horizontal="center" vertical="center"/>
    </xf>
    <xf numFmtId="0" fontId="5" fillId="0" borderId="24" xfId="0" applyFont="1" applyBorder="1" applyAlignment="1">
      <alignment horizontal="center"/>
    </xf>
    <xf numFmtId="0" fontId="5" fillId="0" borderId="25" xfId="0" applyFont="1" applyBorder="1" applyAlignment="1">
      <alignment horizontal="center"/>
    </xf>
    <xf numFmtId="0" fontId="5" fillId="132" borderId="127" xfId="0" applyFont="1" applyFill="1" applyBorder="1" applyAlignment="1">
      <alignment horizontal="center"/>
    </xf>
    <xf numFmtId="0" fontId="5" fillId="132" borderId="42" xfId="0" applyFont="1" applyFill="1" applyBorder="1" applyAlignment="1">
      <alignment horizontal="center"/>
    </xf>
    <xf numFmtId="0" fontId="5" fillId="132" borderId="43" xfId="0" applyFont="1" applyFill="1" applyBorder="1" applyAlignment="1">
      <alignment horizontal="center"/>
    </xf>
    <xf numFmtId="0" fontId="5" fillId="80" borderId="53" xfId="0" applyFont="1" applyFill="1" applyBorder="1" applyAlignment="1">
      <alignment horizontal="center"/>
    </xf>
    <xf numFmtId="0" fontId="5" fillId="80" borderId="54" xfId="0" applyFont="1" applyFill="1" applyBorder="1" applyAlignment="1">
      <alignment horizontal="center"/>
    </xf>
    <xf numFmtId="0" fontId="5" fillId="80" borderId="383" xfId="0" applyFont="1" applyFill="1" applyBorder="1" applyAlignment="1">
      <alignment horizontal="center"/>
    </xf>
    <xf numFmtId="0" fontId="17" fillId="132" borderId="417" xfId="0" applyFont="1" applyFill="1" applyBorder="1" applyAlignment="1">
      <alignment horizontal="center" vertical="center"/>
    </xf>
    <xf numFmtId="0" fontId="5" fillId="16" borderId="0" xfId="0" applyFont="1" applyFill="1" applyAlignment="1">
      <alignment horizontal="center" vertical="center"/>
    </xf>
    <xf numFmtId="164" fontId="8" fillId="38" borderId="41" xfId="105" applyNumberFormat="1" applyFont="1" applyFill="1" applyBorder="1" applyAlignment="1">
      <alignment horizontal="center" vertical="center" wrapText="1"/>
    </xf>
    <xf numFmtId="164" fontId="8" fillId="38" borderId="8" xfId="105" applyNumberFormat="1" applyFont="1" applyFill="1" applyBorder="1" applyAlignment="1">
      <alignment horizontal="center" vertical="center" wrapText="1"/>
    </xf>
    <xf numFmtId="164" fontId="8" fillId="38" borderId="52" xfId="105" applyNumberFormat="1" applyFont="1" applyFill="1" applyBorder="1" applyAlignment="1">
      <alignment horizontal="center" vertical="center" wrapText="1"/>
    </xf>
    <xf numFmtId="164" fontId="8" fillId="38" borderId="83" xfId="105" applyNumberFormat="1" applyFont="1" applyFill="1" applyBorder="1" applyAlignment="1">
      <alignment horizontal="center" vertical="center" wrapText="1"/>
    </xf>
    <xf numFmtId="43" fontId="269" fillId="127" borderId="11" xfId="105" applyFont="1" applyFill="1" applyBorder="1" applyAlignment="1">
      <alignment horizontal="center" vertical="center" wrapText="1"/>
    </xf>
    <xf numFmtId="43" fontId="8" fillId="34" borderId="11" xfId="105" applyFont="1" applyFill="1" applyBorder="1" applyAlignment="1">
      <alignment horizontal="center" vertical="center" wrapText="1"/>
    </xf>
    <xf numFmtId="43" fontId="91" fillId="128" borderId="11" xfId="105" applyFont="1" applyFill="1" applyBorder="1" applyAlignment="1">
      <alignment horizontal="center" vertical="center" wrapText="1"/>
    </xf>
    <xf numFmtId="43" fontId="8" fillId="129" borderId="11" xfId="105" applyFont="1" applyFill="1" applyBorder="1" applyAlignment="1">
      <alignment horizontal="center" vertical="center" wrapText="1"/>
    </xf>
    <xf numFmtId="0" fontId="61" fillId="0" borderId="44" xfId="0" applyFont="1" applyFill="1" applyBorder="1" applyAlignment="1">
      <alignment horizontal="center" vertical="center" wrapText="1"/>
    </xf>
    <xf numFmtId="0" fontId="61" fillId="0" borderId="45" xfId="0" applyFont="1" applyFill="1" applyBorder="1" applyAlignment="1">
      <alignment horizontal="center" vertical="center" wrapText="1"/>
    </xf>
    <xf numFmtId="0" fontId="157" fillId="29" borderId="127" xfId="0" applyFont="1" applyFill="1" applyBorder="1" applyAlignment="1">
      <alignment horizontal="center" vertical="center" wrapText="1"/>
    </xf>
    <xf numFmtId="0" fontId="157" fillId="29" borderId="43" xfId="0" applyFont="1" applyFill="1" applyBorder="1" applyAlignment="1">
      <alignment horizontal="center" vertical="center" wrapText="1"/>
    </xf>
    <xf numFmtId="0" fontId="157" fillId="29" borderId="44" xfId="0" applyFont="1" applyFill="1" applyBorder="1" applyAlignment="1">
      <alignment horizontal="center" vertical="center" wrapText="1"/>
    </xf>
    <xf numFmtId="0" fontId="157" fillId="29" borderId="45" xfId="0" applyFont="1" applyFill="1" applyBorder="1" applyAlignment="1">
      <alignment horizontal="center" vertical="center" wrapText="1"/>
    </xf>
    <xf numFmtId="0" fontId="157" fillId="70" borderId="127" xfId="0" applyFont="1" applyFill="1" applyBorder="1" applyAlignment="1">
      <alignment horizontal="center" vertical="center" wrapText="1"/>
    </xf>
    <xf numFmtId="0" fontId="157" fillId="70" borderId="43" xfId="0" applyFont="1" applyFill="1" applyBorder="1" applyAlignment="1">
      <alignment horizontal="center" vertical="center" wrapText="1"/>
    </xf>
    <xf numFmtId="0" fontId="157" fillId="70" borderId="44" xfId="0" applyFont="1" applyFill="1" applyBorder="1" applyAlignment="1">
      <alignment horizontal="center" vertical="center" wrapText="1"/>
    </xf>
    <xf numFmtId="0" fontId="157" fillId="70" borderId="45" xfId="0" applyFont="1" applyFill="1" applyBorder="1" applyAlignment="1">
      <alignment horizontal="center" vertical="center" wrapText="1"/>
    </xf>
    <xf numFmtId="0" fontId="32" fillId="0" borderId="0" xfId="0" applyFont="1" applyAlignment="1">
      <alignment horizontal="center" vertical="center" wrapText="1"/>
    </xf>
    <xf numFmtId="0" fontId="157" fillId="26" borderId="53" xfId="0" applyFont="1" applyFill="1" applyBorder="1" applyAlignment="1">
      <alignment horizontal="center" vertical="center" wrapText="1"/>
    </xf>
    <xf numFmtId="0" fontId="157" fillId="26" borderId="56" xfId="0" applyFont="1" applyFill="1" applyBorder="1" applyAlignment="1">
      <alignment horizontal="center" vertical="center" wrapText="1"/>
    </xf>
    <xf numFmtId="0" fontId="157" fillId="26" borderId="46" xfId="0" applyFont="1" applyFill="1" applyBorder="1" applyAlignment="1">
      <alignment horizontal="center" vertical="center" wrapText="1"/>
    </xf>
    <xf numFmtId="0" fontId="157" fillId="26" borderId="48" xfId="0" applyFont="1" applyFill="1" applyBorder="1" applyAlignment="1">
      <alignment horizontal="center" vertical="center" wrapText="1"/>
    </xf>
    <xf numFmtId="0" fontId="26" fillId="70" borderId="56" xfId="0" applyFont="1" applyFill="1" applyBorder="1" applyAlignment="1">
      <alignment horizontal="center" vertical="center" wrapText="1"/>
    </xf>
    <xf numFmtId="0" fontId="26" fillId="70" borderId="380" xfId="0" applyFont="1" applyFill="1" applyBorder="1" applyAlignment="1">
      <alignment horizontal="center" vertical="center" wrapText="1"/>
    </xf>
    <xf numFmtId="0" fontId="26" fillId="29" borderId="56" xfId="0" applyFont="1" applyFill="1" applyBorder="1" applyAlignment="1">
      <alignment horizontal="center" vertical="center" wrapText="1"/>
    </xf>
    <xf numFmtId="0" fontId="26" fillId="29" borderId="380" xfId="0" applyFont="1" applyFill="1" applyBorder="1" applyAlignment="1">
      <alignment horizontal="center" vertical="center" wrapText="1"/>
    </xf>
    <xf numFmtId="0" fontId="157" fillId="89" borderId="68" xfId="0" applyFont="1" applyFill="1" applyBorder="1" applyAlignment="1">
      <alignment horizontal="center" vertical="center" wrapText="1"/>
    </xf>
    <xf numFmtId="0" fontId="157" fillId="89" borderId="71" xfId="0" applyFont="1" applyFill="1" applyBorder="1" applyAlignment="1">
      <alignment horizontal="center" vertical="center" wrapText="1"/>
    </xf>
    <xf numFmtId="0" fontId="157" fillId="89" borderId="127" xfId="0" applyFont="1" applyFill="1" applyBorder="1" applyAlignment="1">
      <alignment horizontal="center" vertical="center" wrapText="1"/>
    </xf>
    <xf numFmtId="0" fontId="157" fillId="89" borderId="43" xfId="0" applyFont="1" applyFill="1" applyBorder="1" applyAlignment="1">
      <alignment horizontal="center" vertical="center" wrapText="1"/>
    </xf>
    <xf numFmtId="0" fontId="157" fillId="89" borderId="44" xfId="0" applyFont="1" applyFill="1" applyBorder="1" applyAlignment="1">
      <alignment horizontal="center" vertical="center" wrapText="1"/>
    </xf>
    <xf numFmtId="0" fontId="157" fillId="89" borderId="45" xfId="0" applyFont="1" applyFill="1" applyBorder="1" applyAlignment="1">
      <alignment horizontal="center" vertical="center" wrapText="1"/>
    </xf>
    <xf numFmtId="0" fontId="61" fillId="28" borderId="44" xfId="0" applyFont="1" applyFill="1" applyBorder="1" applyAlignment="1">
      <alignment horizontal="center" vertical="center" wrapText="1"/>
    </xf>
    <xf numFmtId="0" fontId="61" fillId="28" borderId="45" xfId="0" applyFont="1" applyFill="1" applyBorder="1" applyAlignment="1">
      <alignment horizontal="center" vertical="center" wrapText="1"/>
    </xf>
    <xf numFmtId="0" fontId="30" fillId="28" borderId="44" xfId="0" applyFont="1" applyFill="1" applyBorder="1" applyAlignment="1">
      <alignment horizontal="center" vertical="center" wrapText="1"/>
    </xf>
    <xf numFmtId="0" fontId="30" fillId="28" borderId="45" xfId="0" applyFont="1" applyFill="1" applyBorder="1" applyAlignment="1">
      <alignment horizontal="center" vertical="center" wrapText="1"/>
    </xf>
    <xf numFmtId="0" fontId="61" fillId="0" borderId="46" xfId="0" applyFont="1" applyFill="1" applyBorder="1" applyAlignment="1">
      <alignment horizontal="center" vertical="center" wrapText="1"/>
    </xf>
    <xf numFmtId="0" fontId="61" fillId="0" borderId="48" xfId="0" applyFont="1" applyFill="1" applyBorder="1" applyAlignment="1">
      <alignment horizontal="center" vertical="center" wrapText="1"/>
    </xf>
    <xf numFmtId="0" fontId="12" fillId="0" borderId="13" xfId="0" applyFont="1" applyFill="1" applyBorder="1" applyAlignment="1">
      <alignment horizontal="center" vertical="center" wrapText="1"/>
    </xf>
    <xf numFmtId="0" fontId="0" fillId="0" borderId="34" xfId="0" applyFont="1" applyBorder="1" applyAlignment="1">
      <alignment horizontal="center" vertical="center"/>
    </xf>
    <xf numFmtId="0" fontId="172" fillId="0" borderId="13" xfId="4" applyFont="1" applyFill="1" applyBorder="1" applyAlignment="1" applyProtection="1">
      <alignment horizontal="center" vertical="center" wrapText="1"/>
    </xf>
    <xf numFmtId="0" fontId="23" fillId="0" borderId="0" xfId="0" applyFont="1" applyAlignment="1">
      <alignment horizontal="center" vertical="center" wrapText="1"/>
    </xf>
    <xf numFmtId="0" fontId="289" fillId="0" borderId="0" xfId="0" applyFont="1" applyAlignment="1">
      <alignment horizontal="center" vertical="top" wrapText="1"/>
    </xf>
    <xf numFmtId="3" fontId="138" fillId="26" borderId="0" xfId="0" applyNumberFormat="1" applyFont="1" applyFill="1" applyAlignment="1">
      <alignment horizontal="center" vertical="center"/>
    </xf>
    <xf numFmtId="3" fontId="138" fillId="28" borderId="0" xfId="0" applyNumberFormat="1" applyFont="1" applyFill="1" applyAlignment="1">
      <alignment horizontal="center" vertical="center"/>
    </xf>
    <xf numFmtId="0" fontId="157" fillId="26" borderId="0" xfId="0" applyFont="1" applyFill="1" applyAlignment="1">
      <alignment horizontal="center" vertical="center" wrapText="1"/>
    </xf>
    <xf numFmtId="0" fontId="157" fillId="28" borderId="0" xfId="0" applyFont="1" applyFill="1" applyAlignment="1">
      <alignment horizontal="center" vertical="center" wrapText="1"/>
    </xf>
    <xf numFmtId="0" fontId="157" fillId="3" borderId="0" xfId="0" applyFont="1" applyFill="1" applyAlignment="1">
      <alignment horizontal="center" vertical="center" wrapText="1"/>
    </xf>
    <xf numFmtId="9" fontId="0" fillId="26" borderId="0" xfId="2" applyFont="1" applyFill="1" applyBorder="1" applyAlignment="1">
      <alignment horizontal="center"/>
    </xf>
    <xf numFmtId="9" fontId="0" fillId="28" borderId="0" xfId="2" applyFont="1" applyFill="1" applyBorder="1" applyAlignment="1">
      <alignment horizontal="center"/>
    </xf>
    <xf numFmtId="168" fontId="287" fillId="26" borderId="0" xfId="1" applyNumberFormat="1" applyFont="1" applyFill="1" applyBorder="1" applyAlignment="1">
      <alignment horizontal="center"/>
    </xf>
    <xf numFmtId="168" fontId="287" fillId="28" borderId="0" xfId="1" applyNumberFormat="1" applyFont="1" applyFill="1" applyBorder="1" applyAlignment="1">
      <alignment horizontal="center"/>
    </xf>
    <xf numFmtId="0" fontId="288" fillId="26" borderId="0" xfId="0" applyFont="1" applyFill="1" applyAlignment="1">
      <alignment horizontal="center" vertical="center" wrapText="1"/>
    </xf>
    <xf numFmtId="0" fontId="288" fillId="28" borderId="0" xfId="0" applyFont="1" applyFill="1" applyAlignment="1">
      <alignment horizontal="center" vertical="center" wrapText="1"/>
    </xf>
    <xf numFmtId="168" fontId="288" fillId="0" borderId="0" xfId="1" applyNumberFormat="1" applyFont="1" applyBorder="1" applyAlignment="1">
      <alignment horizontal="center" vertical="center" wrapText="1"/>
    </xf>
    <xf numFmtId="0" fontId="291" fillId="0" borderId="0" xfId="0" applyFont="1" applyAlignment="1">
      <alignment horizontal="center" vertical="center" wrapText="1"/>
    </xf>
    <xf numFmtId="168" fontId="157" fillId="105" borderId="24" xfId="1" applyNumberFormat="1" applyFont="1" applyFill="1" applyBorder="1" applyAlignment="1">
      <alignment horizontal="center" vertical="center" wrapText="1"/>
    </xf>
    <xf numFmtId="168" fontId="157" fillId="105" borderId="58" xfId="1" applyNumberFormat="1" applyFont="1" applyFill="1" applyBorder="1" applyAlignment="1">
      <alignment horizontal="center" vertical="center" wrapText="1"/>
    </xf>
    <xf numFmtId="168" fontId="157" fillId="28" borderId="24" xfId="1" applyNumberFormat="1" applyFont="1" applyFill="1" applyBorder="1" applyAlignment="1">
      <alignment horizontal="center" vertical="center" wrapText="1"/>
    </xf>
    <xf numFmtId="168" fontId="157" fillId="28" borderId="58" xfId="1" applyNumberFormat="1" applyFont="1" applyFill="1" applyBorder="1" applyAlignment="1">
      <alignment horizontal="center" vertical="center" wrapText="1"/>
    </xf>
    <xf numFmtId="0" fontId="157" fillId="105" borderId="0" xfId="0" applyFont="1" applyFill="1" applyAlignment="1">
      <alignment horizontal="center" vertical="center"/>
    </xf>
    <xf numFmtId="0" fontId="157" fillId="28" borderId="0" xfId="0" applyFont="1" applyFill="1" applyAlignment="1">
      <alignment horizontal="center" vertical="center"/>
    </xf>
    <xf numFmtId="0" fontId="292" fillId="105" borderId="0" xfId="0" applyFont="1" applyFill="1" applyAlignment="1">
      <alignment horizontal="center" vertical="center" wrapText="1"/>
    </xf>
    <xf numFmtId="0" fontId="292" fillId="3" borderId="0" xfId="0" applyFont="1" applyFill="1" applyAlignment="1">
      <alignment horizontal="center" vertical="center" wrapText="1"/>
    </xf>
    <xf numFmtId="0" fontId="288" fillId="0" borderId="0" xfId="0" applyFont="1" applyAlignment="1">
      <alignment horizontal="center" vertical="center" wrapText="1"/>
    </xf>
    <xf numFmtId="168" fontId="291" fillId="0" borderId="0" xfId="1" applyNumberFormat="1" applyFont="1" applyBorder="1" applyAlignment="1">
      <alignment horizontal="left" vertical="center" wrapText="1"/>
    </xf>
    <xf numFmtId="0" fontId="157" fillId="26" borderId="0" xfId="0" applyFont="1" applyFill="1" applyAlignment="1">
      <alignment horizontal="center" vertical="center"/>
    </xf>
    <xf numFmtId="0" fontId="292" fillId="26" borderId="0" xfId="0" applyFont="1" applyFill="1" applyAlignment="1">
      <alignment horizontal="center" vertical="center" wrapText="1"/>
    </xf>
    <xf numFmtId="0" fontId="291" fillId="0" borderId="0" xfId="0" applyFont="1" applyAlignment="1">
      <alignment horizontal="left" vertical="center" wrapText="1"/>
    </xf>
    <xf numFmtId="0" fontId="26" fillId="26" borderId="0" xfId="0" applyFont="1" applyFill="1" applyAlignment="1">
      <alignment horizontal="center" wrapText="1"/>
    </xf>
    <xf numFmtId="0" fontId="26" fillId="28" borderId="0" xfId="0" applyFont="1" applyFill="1" applyAlignment="1">
      <alignment horizontal="center" wrapText="1"/>
    </xf>
    <xf numFmtId="0" fontId="28" fillId="26" borderId="0" xfId="0" applyFont="1" applyFill="1" applyAlignment="1">
      <alignment horizontal="center" wrapText="1"/>
    </xf>
    <xf numFmtId="0" fontId="28" fillId="3" borderId="0" xfId="0" applyFont="1" applyFill="1" applyAlignment="1">
      <alignment horizontal="center" wrapText="1"/>
    </xf>
    <xf numFmtId="168" fontId="291" fillId="26" borderId="0" xfId="1" applyNumberFormat="1" applyFont="1" applyFill="1" applyBorder="1" applyAlignment="1">
      <alignment horizontal="center" vertical="center" wrapText="1"/>
    </xf>
    <xf numFmtId="168" fontId="291" fillId="28" borderId="0" xfId="1" applyNumberFormat="1" applyFont="1" applyFill="1" applyBorder="1" applyAlignment="1">
      <alignment horizontal="center" vertical="center" wrapText="1"/>
    </xf>
    <xf numFmtId="0" fontId="157" fillId="0" borderId="29" xfId="0" applyFont="1" applyBorder="1" applyAlignment="1">
      <alignment horizontal="center" vertical="center"/>
    </xf>
    <xf numFmtId="0" fontId="157" fillId="26" borderId="29" xfId="0" applyFont="1" applyFill="1" applyBorder="1" applyAlignment="1">
      <alignment horizontal="center" vertical="center"/>
    </xf>
    <xf numFmtId="0" fontId="293" fillId="0" borderId="0" xfId="0" applyFont="1" applyAlignment="1">
      <alignment horizontal="center" vertical="center"/>
    </xf>
    <xf numFmtId="0" fontId="293" fillId="26" borderId="0" xfId="0" applyFont="1" applyFill="1" applyAlignment="1">
      <alignment horizontal="center" vertical="center"/>
    </xf>
    <xf numFmtId="9" fontId="0" fillId="0" borderId="0" xfId="2" applyFont="1" applyBorder="1" applyAlignment="1">
      <alignment horizontal="center"/>
    </xf>
    <xf numFmtId="3" fontId="138" fillId="134" borderId="0" xfId="0" applyNumberFormat="1" applyFont="1" applyFill="1" applyAlignment="1">
      <alignment horizontal="center" vertical="center"/>
    </xf>
    <xf numFmtId="3" fontId="26" fillId="0" borderId="0" xfId="0" applyNumberFormat="1" applyFont="1" applyAlignment="1">
      <alignment horizontal="center"/>
    </xf>
    <xf numFmtId="3" fontId="26" fillId="26" borderId="0" xfId="0" applyNumberFormat="1" applyFont="1" applyFill="1" applyAlignment="1">
      <alignment horizontal="center"/>
    </xf>
    <xf numFmtId="3" fontId="26" fillId="28" borderId="0" xfId="0" applyNumberFormat="1" applyFont="1" applyFill="1" applyAlignment="1">
      <alignment horizontal="center"/>
    </xf>
    <xf numFmtId="3" fontId="0" fillId="0" borderId="0" xfId="0" applyNumberFormat="1" applyAlignment="1">
      <alignment horizontal="center"/>
    </xf>
    <xf numFmtId="0" fontId="0" fillId="0" borderId="0" xfId="0" applyAlignment="1">
      <alignment horizontal="center"/>
    </xf>
    <xf numFmtId="3" fontId="0" fillId="26" borderId="0" xfId="0" applyNumberFormat="1" applyFill="1" applyAlignment="1">
      <alignment horizontal="center"/>
    </xf>
    <xf numFmtId="3" fontId="0" fillId="28" borderId="0" xfId="0" applyNumberFormat="1" applyFill="1" applyAlignment="1">
      <alignment horizontal="center"/>
    </xf>
    <xf numFmtId="0" fontId="293" fillId="28" borderId="0" xfId="0" applyFont="1" applyFill="1" applyAlignment="1">
      <alignment horizontal="center" vertical="center"/>
    </xf>
    <xf numFmtId="0" fontId="293" fillId="3" borderId="0" xfId="0" applyFont="1" applyFill="1" applyAlignment="1">
      <alignment horizontal="center" vertical="center"/>
    </xf>
    <xf numFmtId="0" fontId="157" fillId="0" borderId="0" xfId="0" applyFont="1" applyAlignment="1">
      <alignment horizontal="center" vertical="center"/>
    </xf>
    <xf numFmtId="0" fontId="291" fillId="26" borderId="0" xfId="0" applyFont="1" applyFill="1" applyAlignment="1">
      <alignment horizontal="center" vertical="center" wrapText="1"/>
    </xf>
    <xf numFmtId="0" fontId="291" fillId="28" borderId="0" xfId="0" applyFont="1" applyFill="1" applyAlignment="1">
      <alignment horizontal="center" vertical="center" wrapText="1"/>
    </xf>
    <xf numFmtId="0" fontId="26" fillId="3" borderId="0" xfId="0" applyFont="1" applyFill="1" applyAlignment="1">
      <alignment horizontal="center"/>
    </xf>
    <xf numFmtId="0" fontId="26" fillId="0" borderId="0" xfId="0" applyFont="1" applyAlignment="1">
      <alignment horizontal="center"/>
    </xf>
    <xf numFmtId="0" fontId="26" fillId="26" borderId="0" xfId="0" applyFont="1" applyFill="1" applyAlignment="1">
      <alignment horizontal="center"/>
    </xf>
    <xf numFmtId="0" fontId="26" fillId="28" borderId="0" xfId="0" applyFont="1" applyFill="1" applyAlignment="1">
      <alignment horizontal="center"/>
    </xf>
    <xf numFmtId="168" fontId="0" fillId="15" borderId="0" xfId="1" applyNumberFormat="1" applyFont="1" applyFill="1" applyBorder="1" applyAlignment="1">
      <alignment vertical="center"/>
    </xf>
    <xf numFmtId="168" fontId="0" fillId="26" borderId="0" xfId="1" applyNumberFormat="1" applyFont="1" applyFill="1" applyBorder="1" applyAlignment="1">
      <alignment vertical="center"/>
    </xf>
    <xf numFmtId="168" fontId="0" fillId="28" borderId="0" xfId="1" applyNumberFormat="1" applyFont="1" applyFill="1" applyBorder="1" applyAlignment="1">
      <alignment vertical="center"/>
    </xf>
    <xf numFmtId="0" fontId="288" fillId="0" borderId="0" xfId="0" applyFont="1" applyAlignment="1">
      <alignment horizontal="center" vertical="center"/>
    </xf>
    <xf numFmtId="0" fontId="26" fillId="15" borderId="0" xfId="0" applyFont="1" applyFill="1" applyAlignment="1">
      <alignment horizontal="center"/>
    </xf>
    <xf numFmtId="0" fontId="157" fillId="3" borderId="0" xfId="0" applyFont="1" applyFill="1" applyAlignment="1">
      <alignment horizontal="center" vertical="center"/>
    </xf>
    <xf numFmtId="0" fontId="232" fillId="0" borderId="27" xfId="0" applyFont="1" applyBorder="1" applyAlignment="1">
      <alignment horizontal="right" vertical="center" wrapText="1"/>
    </xf>
    <xf numFmtId="0" fontId="23" fillId="0" borderId="0" xfId="0" applyFont="1" applyAlignment="1">
      <alignment horizontal="center" vertical="center"/>
    </xf>
    <xf numFmtId="9" fontId="159" fillId="31" borderId="52" xfId="2" applyFont="1" applyFill="1" applyBorder="1" applyAlignment="1">
      <alignment horizontal="center" vertical="center"/>
    </xf>
    <xf numFmtId="9" fontId="159" fillId="31" borderId="11" xfId="2" applyFont="1" applyFill="1" applyBorder="1" applyAlignment="1">
      <alignment horizontal="center" vertical="center"/>
    </xf>
    <xf numFmtId="171" fontId="61" fillId="14" borderId="27" xfId="0" applyNumberFormat="1" applyFont="1" applyFill="1" applyBorder="1" applyAlignment="1">
      <alignment horizontal="center" vertical="center"/>
    </xf>
    <xf numFmtId="0" fontId="25" fillId="70" borderId="35" xfId="0" applyFont="1" applyFill="1" applyBorder="1" applyAlignment="1">
      <alignment horizontal="center" vertical="center" wrapText="1"/>
    </xf>
    <xf numFmtId="0" fontId="25" fillId="70" borderId="29" xfId="0" applyFont="1" applyFill="1" applyBorder="1" applyAlignment="1">
      <alignment horizontal="center" vertical="center" wrapText="1"/>
    </xf>
    <xf numFmtId="0" fontId="25" fillId="70" borderId="30" xfId="0" applyFont="1" applyFill="1" applyBorder="1" applyAlignment="1">
      <alignment horizontal="center" vertical="center" wrapText="1"/>
    </xf>
    <xf numFmtId="171" fontId="7" fillId="16" borderId="0" xfId="0" applyNumberFormat="1" applyFont="1" applyFill="1" applyBorder="1" applyAlignment="1">
      <alignment horizontal="left" vertical="center"/>
    </xf>
    <xf numFmtId="171" fontId="7" fillId="16" borderId="0" xfId="0" applyNumberFormat="1" applyFont="1" applyFill="1" applyBorder="1" applyAlignment="1">
      <alignment horizontal="left" vertical="center" wrapText="1"/>
    </xf>
    <xf numFmtId="171" fontId="30" fillId="31" borderId="27" xfId="0" applyNumberFormat="1" applyFont="1" applyFill="1" applyBorder="1" applyAlignment="1">
      <alignment horizontal="center" vertical="center" wrapText="1"/>
    </xf>
    <xf numFmtId="171" fontId="30" fillId="31" borderId="264" xfId="0" applyNumberFormat="1" applyFont="1" applyFill="1" applyBorder="1" applyAlignment="1">
      <alignment horizontal="center" vertical="center" wrapText="1"/>
    </xf>
    <xf numFmtId="0" fontId="30" fillId="37" borderId="6" xfId="0" applyFont="1" applyFill="1" applyBorder="1" applyAlignment="1">
      <alignment horizontal="left" vertical="center"/>
    </xf>
    <xf numFmtId="2" fontId="19" fillId="29" borderId="312" xfId="0" applyNumberFormat="1" applyFont="1" applyFill="1" applyBorder="1" applyAlignment="1">
      <alignment horizontal="center" vertical="center" wrapText="1"/>
    </xf>
    <xf numFmtId="2" fontId="19" fillId="29" borderId="25" xfId="0" applyNumberFormat="1" applyFont="1" applyFill="1" applyBorder="1" applyAlignment="1">
      <alignment horizontal="center" vertical="center" wrapText="1"/>
    </xf>
    <xf numFmtId="2" fontId="19" fillId="29" borderId="58" xfId="0" applyNumberFormat="1" applyFont="1" applyFill="1" applyBorder="1" applyAlignment="1">
      <alignment horizontal="center" vertical="center" wrapText="1"/>
    </xf>
    <xf numFmtId="171" fontId="7" fillId="16" borderId="0" xfId="0" applyNumberFormat="1" applyFont="1" applyFill="1" applyAlignment="1">
      <alignment horizontal="left" vertical="center" wrapText="1"/>
    </xf>
    <xf numFmtId="171" fontId="7" fillId="16" borderId="0" xfId="0" applyNumberFormat="1" applyFont="1" applyFill="1" applyAlignment="1">
      <alignment horizontal="left" vertical="center"/>
    </xf>
    <xf numFmtId="171" fontId="61" fillId="0" borderId="27" xfId="0" applyNumberFormat="1" applyFont="1" applyBorder="1" applyAlignment="1">
      <alignment horizontal="center" vertical="center"/>
    </xf>
    <xf numFmtId="171" fontId="61" fillId="14" borderId="264" xfId="0" applyNumberFormat="1" applyFont="1" applyFill="1" applyBorder="1" applyAlignment="1">
      <alignment horizontal="center" vertical="center"/>
    </xf>
    <xf numFmtId="9" fontId="159" fillId="31" borderId="83" xfId="2" applyFont="1" applyFill="1" applyBorder="1" applyAlignment="1">
      <alignment horizontal="center" vertical="center"/>
    </xf>
    <xf numFmtId="2" fontId="201" fillId="70" borderId="29" xfId="0" applyNumberFormat="1" applyFont="1" applyFill="1" applyBorder="1" applyAlignment="1">
      <alignment horizontal="center" vertical="center"/>
    </xf>
    <xf numFmtId="2" fontId="201" fillId="71" borderId="29" xfId="0" applyNumberFormat="1" applyFont="1" applyFill="1" applyBorder="1" applyAlignment="1">
      <alignment horizontal="center" vertical="center" wrapText="1"/>
    </xf>
    <xf numFmtId="0" fontId="6" fillId="0" borderId="53" xfId="0" applyFont="1" applyFill="1" applyBorder="1" applyAlignment="1">
      <alignment horizontal="center" vertical="center" wrapText="1"/>
    </xf>
    <xf numFmtId="0" fontId="6" fillId="0" borderId="56" xfId="0" applyFont="1" applyFill="1" applyBorder="1" applyAlignment="1">
      <alignment horizontal="center" vertical="center" wrapText="1"/>
    </xf>
    <xf numFmtId="1" fontId="17" fillId="23" borderId="127" xfId="0" applyNumberFormat="1" applyFont="1" applyFill="1" applyBorder="1" applyAlignment="1">
      <alignment horizontal="center" vertical="center"/>
    </xf>
    <xf numFmtId="1" fontId="17" fillId="23" borderId="46" xfId="0" applyNumberFormat="1" applyFont="1" applyFill="1" applyBorder="1" applyAlignment="1">
      <alignment horizontal="center" vertical="center"/>
    </xf>
    <xf numFmtId="0" fontId="17" fillId="23" borderId="42" xfId="0" applyFont="1" applyFill="1" applyBorder="1" applyAlignment="1">
      <alignment horizontal="center" vertical="center"/>
    </xf>
    <xf numFmtId="0" fontId="17" fillId="23" borderId="47" xfId="0" applyFont="1" applyFill="1" applyBorder="1" applyAlignment="1">
      <alignment horizontal="center" vertical="center"/>
    </xf>
    <xf numFmtId="0" fontId="17" fillId="0" borderId="263" xfId="0" applyFont="1" applyFill="1" applyBorder="1" applyAlignment="1">
      <alignment horizontal="center" vertical="center"/>
    </xf>
    <xf numFmtId="0" fontId="17" fillId="0" borderId="317" xfId="0" applyFont="1" applyFill="1" applyBorder="1" applyAlignment="1">
      <alignment horizontal="center" vertical="center"/>
    </xf>
    <xf numFmtId="0" fontId="20" fillId="3" borderId="41" xfId="0" applyFont="1" applyFill="1" applyBorder="1" applyAlignment="1">
      <alignment horizontal="center" vertical="center" wrapText="1"/>
    </xf>
    <xf numFmtId="0" fontId="20" fillId="3" borderId="8" xfId="0" applyFont="1" applyFill="1" applyBorder="1" applyAlignment="1">
      <alignment horizontal="center" vertical="center" wrapText="1"/>
    </xf>
    <xf numFmtId="171" fontId="7" fillId="13" borderId="23" xfId="0" applyNumberFormat="1" applyFont="1" applyFill="1" applyBorder="1" applyAlignment="1">
      <alignment horizontal="center" vertical="center"/>
    </xf>
    <xf numFmtId="171" fontId="7" fillId="13" borderId="0" xfId="0" applyNumberFormat="1" applyFont="1" applyFill="1" applyBorder="1" applyAlignment="1">
      <alignment horizontal="center" vertical="center"/>
    </xf>
    <xf numFmtId="171" fontId="7" fillId="13" borderId="7" xfId="0" applyNumberFormat="1" applyFont="1" applyFill="1" applyBorder="1" applyAlignment="1">
      <alignment horizontal="center" vertical="center"/>
    </xf>
    <xf numFmtId="0" fontId="6" fillId="16" borderId="253" xfId="0" applyFont="1" applyFill="1" applyBorder="1" applyAlignment="1">
      <alignment horizontal="center"/>
    </xf>
    <xf numFmtId="0" fontId="6" fillId="16" borderId="33" xfId="0" applyFont="1" applyFill="1" applyBorder="1" applyAlignment="1">
      <alignment horizontal="center"/>
    </xf>
    <xf numFmtId="3" fontId="209" fillId="26" borderId="0" xfId="0" applyNumberFormat="1" applyFont="1" applyFill="1" applyBorder="1" applyAlignment="1">
      <alignment horizontal="center" vertical="center" wrapText="1"/>
    </xf>
    <xf numFmtId="0" fontId="6" fillId="13" borderId="378" xfId="0" applyFont="1" applyFill="1" applyBorder="1" applyAlignment="1">
      <alignment horizontal="center" vertical="center"/>
    </xf>
    <xf numFmtId="0" fontId="6" fillId="13" borderId="268" xfId="0" applyFont="1" applyFill="1" applyBorder="1" applyAlignment="1">
      <alignment horizontal="center" vertical="center"/>
    </xf>
    <xf numFmtId="0" fontId="5" fillId="0" borderId="35" xfId="0" applyFont="1" applyFill="1" applyBorder="1" applyAlignment="1">
      <alignment horizontal="center" vertical="center"/>
    </xf>
    <xf numFmtId="0" fontId="5" fillId="0" borderId="37" xfId="0" applyFont="1" applyFill="1" applyBorder="1" applyAlignment="1">
      <alignment horizontal="center" vertical="center"/>
    </xf>
    <xf numFmtId="0" fontId="16" fillId="0" borderId="53" xfId="0" applyFont="1" applyFill="1" applyBorder="1" applyAlignment="1">
      <alignment vertical="center" wrapText="1"/>
    </xf>
    <xf numFmtId="0" fontId="16" fillId="0" borderId="56" xfId="0" applyFont="1" applyFill="1" applyBorder="1" applyAlignment="1">
      <alignment vertical="center" wrapText="1"/>
    </xf>
    <xf numFmtId="0" fontId="26" fillId="0" borderId="11" xfId="0" applyFont="1" applyFill="1" applyBorder="1" applyAlignment="1">
      <alignment horizontal="center"/>
    </xf>
    <xf numFmtId="0" fontId="26" fillId="0" borderId="83" xfId="0" applyFont="1" applyFill="1" applyBorder="1" applyAlignment="1">
      <alignment horizontal="center"/>
    </xf>
    <xf numFmtId="0" fontId="27" fillId="0" borderId="68" xfId="0" applyFont="1" applyBorder="1" applyAlignment="1">
      <alignment horizontal="center" vertical="center" wrapText="1"/>
    </xf>
    <xf numFmtId="0" fontId="27" fillId="0" borderId="70" xfId="0" applyFont="1" applyBorder="1" applyAlignment="1">
      <alignment horizontal="center" vertical="center" wrapText="1"/>
    </xf>
    <xf numFmtId="0" fontId="27" fillId="0" borderId="81" xfId="0" applyFont="1" applyBorder="1" applyAlignment="1">
      <alignment horizontal="center" vertical="center" wrapText="1"/>
    </xf>
    <xf numFmtId="0" fontId="27" fillId="0" borderId="71" xfId="0" applyFont="1" applyBorder="1" applyAlignment="1">
      <alignment horizontal="center" vertical="center" wrapText="1"/>
    </xf>
    <xf numFmtId="0" fontId="5" fillId="16" borderId="0" xfId="0" applyFont="1" applyFill="1" applyAlignment="1">
      <alignment horizontal="left" vertical="top" wrapText="1"/>
    </xf>
    <xf numFmtId="168" fontId="17" fillId="26" borderId="24" xfId="1" applyNumberFormat="1" applyFont="1" applyFill="1" applyBorder="1" applyAlignment="1">
      <alignment horizontal="center"/>
    </xf>
    <xf numFmtId="168" fontId="17" fillId="26" borderId="25" xfId="1" applyNumberFormat="1" applyFont="1" applyFill="1" applyBorder="1" applyAlignment="1">
      <alignment horizontal="center"/>
    </xf>
    <xf numFmtId="168" fontId="17" fillId="26" borderId="58" xfId="1" applyNumberFormat="1" applyFont="1" applyFill="1" applyBorder="1" applyAlignment="1">
      <alignment horizontal="center"/>
    </xf>
    <xf numFmtId="168" fontId="17" fillId="26" borderId="17" xfId="1" applyNumberFormat="1" applyFont="1" applyFill="1" applyBorder="1" applyAlignment="1">
      <alignment horizontal="center" vertical="center"/>
    </xf>
    <xf numFmtId="168" fontId="17" fillId="26" borderId="20" xfId="1" applyNumberFormat="1" applyFont="1" applyFill="1" applyBorder="1" applyAlignment="1">
      <alignment horizontal="center" vertical="center"/>
    </xf>
    <xf numFmtId="0" fontId="17" fillId="0" borderId="29" xfId="0" applyFont="1" applyBorder="1" applyAlignment="1">
      <alignment horizontal="center" vertical="center" wrapText="1"/>
    </xf>
    <xf numFmtId="0" fontId="17" fillId="0" borderId="93" xfId="0" applyFont="1" applyBorder="1" applyAlignment="1">
      <alignment horizontal="center" vertical="center" wrapText="1"/>
    </xf>
    <xf numFmtId="0" fontId="17" fillId="0" borderId="30" xfId="0" applyFont="1" applyBorder="1" applyAlignment="1">
      <alignment horizontal="center" vertical="center" wrapText="1"/>
    </xf>
    <xf numFmtId="0" fontId="17" fillId="27" borderId="0" xfId="0" applyFont="1" applyFill="1" applyBorder="1" applyAlignment="1">
      <alignment horizontal="center" vertical="center" wrapText="1"/>
    </xf>
    <xf numFmtId="0" fontId="17" fillId="27" borderId="23" xfId="0" applyFont="1" applyFill="1" applyBorder="1" applyAlignment="1">
      <alignment horizontal="center" vertical="center" wrapText="1"/>
    </xf>
    <xf numFmtId="0" fontId="17" fillId="27" borderId="7" xfId="0" applyFont="1" applyFill="1" applyBorder="1" applyAlignment="1">
      <alignment horizontal="center" vertical="center" wrapText="1"/>
    </xf>
    <xf numFmtId="168" fontId="0" fillId="0" borderId="37" xfId="1" applyNumberFormat="1" applyFont="1" applyFill="1" applyBorder="1" applyAlignment="1">
      <alignment horizontal="center" vertical="center" wrapText="1"/>
    </xf>
    <xf numFmtId="168" fontId="0" fillId="0" borderId="40" xfId="1" applyNumberFormat="1" applyFont="1" applyFill="1" applyBorder="1" applyAlignment="1">
      <alignment horizontal="center" vertical="center" wrapText="1"/>
    </xf>
    <xf numFmtId="0" fontId="26" fillId="0" borderId="41" xfId="0" applyFont="1" applyFill="1" applyBorder="1" applyAlignment="1">
      <alignment horizontal="center" vertical="center" wrapText="1"/>
    </xf>
    <xf numFmtId="0" fontId="26" fillId="0" borderId="8" xfId="0" applyFont="1" applyFill="1" applyBorder="1" applyAlignment="1">
      <alignment horizontal="center" vertical="center" wrapText="1"/>
    </xf>
    <xf numFmtId="0" fontId="233" fillId="0" borderId="53" xfId="0" applyFont="1" applyFill="1" applyBorder="1" applyAlignment="1">
      <alignment horizontal="center" vertical="center" wrapText="1"/>
    </xf>
    <xf numFmtId="0" fontId="233" fillId="0" borderId="54" xfId="0" applyFont="1" applyFill="1" applyBorder="1" applyAlignment="1">
      <alignment horizontal="center" vertical="center" wrapText="1"/>
    </xf>
    <xf numFmtId="0" fontId="234" fillId="0" borderId="53" xfId="0" applyFont="1" applyFill="1" applyBorder="1" applyAlignment="1">
      <alignment horizontal="center" vertical="center" wrapText="1"/>
    </xf>
    <xf numFmtId="0" fontId="234" fillId="0" borderId="54" xfId="0" applyFont="1" applyFill="1" applyBorder="1" applyAlignment="1">
      <alignment horizontal="center" vertical="center" wrapText="1"/>
    </xf>
    <xf numFmtId="0" fontId="12" fillId="0" borderId="40" xfId="0" applyFont="1" applyFill="1" applyBorder="1" applyAlignment="1">
      <alignment horizontal="center" vertical="center" wrapText="1"/>
    </xf>
    <xf numFmtId="0" fontId="12" fillId="0" borderId="33"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76" fillId="0" borderId="40" xfId="0" applyFont="1" applyFill="1" applyBorder="1" applyAlignment="1">
      <alignment horizontal="center" vertical="center" wrapText="1"/>
    </xf>
    <xf numFmtId="0" fontId="176" fillId="0" borderId="33" xfId="0" applyFont="1" applyFill="1" applyBorder="1" applyAlignment="1">
      <alignment horizontal="center" vertical="center" wrapText="1"/>
    </xf>
    <xf numFmtId="0" fontId="176" fillId="0" borderId="9" xfId="0" applyFont="1" applyFill="1" applyBorder="1" applyAlignment="1">
      <alignment horizontal="center" vertical="center" wrapText="1"/>
    </xf>
    <xf numFmtId="0" fontId="12" fillId="0" borderId="52"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12" fillId="0" borderId="83" xfId="0" applyFont="1" applyFill="1" applyBorder="1" applyAlignment="1">
      <alignment horizontal="center" vertical="center" wrapText="1"/>
    </xf>
    <xf numFmtId="0" fontId="26" fillId="124" borderId="52" xfId="0" applyFont="1" applyFill="1" applyBorder="1" applyAlignment="1">
      <alignment horizontal="center" vertical="center" wrapText="1"/>
    </xf>
    <xf numFmtId="0" fontId="26" fillId="124" borderId="11" xfId="0" applyFont="1" applyFill="1" applyBorder="1" applyAlignment="1">
      <alignment horizontal="center" vertical="center" wrapText="1"/>
    </xf>
    <xf numFmtId="0" fontId="26" fillId="124" borderId="83" xfId="0" applyFont="1" applyFill="1" applyBorder="1" applyAlignment="1">
      <alignment horizontal="center" vertical="center" wrapText="1"/>
    </xf>
    <xf numFmtId="0" fontId="0" fillId="78" borderId="35" xfId="0" applyFill="1" applyBorder="1" applyAlignment="1">
      <alignment horizontal="center" vertical="top" wrapText="1"/>
    </xf>
    <xf numFmtId="0" fontId="0" fillId="78" borderId="30" xfId="0" applyFill="1" applyBorder="1" applyAlignment="1">
      <alignment horizontal="center" vertical="top" wrapText="1"/>
    </xf>
    <xf numFmtId="0" fontId="0" fillId="78" borderId="66" xfId="0" applyFill="1" applyBorder="1" applyAlignment="1">
      <alignment horizontal="center" vertical="top" wrapText="1"/>
    </xf>
    <xf numFmtId="0" fontId="0" fillId="78" borderId="67" xfId="0" applyFill="1" applyBorder="1" applyAlignment="1">
      <alignment horizontal="center" vertical="top" wrapText="1"/>
    </xf>
    <xf numFmtId="0" fontId="26" fillId="0" borderId="37"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26" fillId="0" borderId="7" xfId="0" applyFont="1" applyFill="1" applyBorder="1" applyAlignment="1">
      <alignment horizontal="center" vertical="center" wrapText="1"/>
    </xf>
    <xf numFmtId="0" fontId="20" fillId="0" borderId="52" xfId="0" applyFont="1" applyFill="1" applyBorder="1" applyAlignment="1">
      <alignment horizontal="center" vertical="center" wrapText="1"/>
    </xf>
    <xf numFmtId="0" fontId="20" fillId="0" borderId="11" xfId="0" applyFont="1" applyFill="1" applyBorder="1" applyAlignment="1">
      <alignment horizontal="center" vertical="center" wrapText="1"/>
    </xf>
    <xf numFmtId="0" fontId="20" fillId="0" borderId="83" xfId="0" applyFont="1" applyFill="1" applyBorder="1" applyAlignment="1">
      <alignment horizontal="center" vertical="center" wrapText="1"/>
    </xf>
    <xf numFmtId="0" fontId="12" fillId="0" borderId="35" xfId="0" applyFont="1" applyFill="1" applyBorder="1" applyAlignment="1">
      <alignment horizontal="center" vertical="center" wrapText="1"/>
    </xf>
    <xf numFmtId="0" fontId="12" fillId="0" borderId="29" xfId="0" applyFont="1" applyFill="1" applyBorder="1" applyAlignment="1">
      <alignment horizontal="center" vertical="center" wrapText="1"/>
    </xf>
    <xf numFmtId="0" fontId="12" fillId="0" borderId="30" xfId="0" applyFont="1" applyFill="1" applyBorder="1" applyAlignment="1">
      <alignment horizontal="center" vertical="center" wrapText="1"/>
    </xf>
    <xf numFmtId="0" fontId="26" fillId="0" borderId="35" xfId="0" applyFont="1" applyFill="1" applyBorder="1" applyAlignment="1">
      <alignment horizontal="left" vertical="center" wrapText="1"/>
    </xf>
    <xf numFmtId="0" fontId="26" fillId="0" borderId="29" xfId="0" applyFont="1" applyFill="1" applyBorder="1" applyAlignment="1">
      <alignment horizontal="left" vertical="center" wrapText="1"/>
    </xf>
    <xf numFmtId="0" fontId="26" fillId="0" borderId="30" xfId="0" applyFont="1" applyFill="1" applyBorder="1" applyAlignment="1">
      <alignment horizontal="left" vertical="center" wrapText="1"/>
    </xf>
    <xf numFmtId="0" fontId="126" fillId="0" borderId="52" xfId="0" applyFont="1" applyFill="1" applyBorder="1" applyAlignment="1">
      <alignment horizontal="center" vertical="center" wrapText="1"/>
    </xf>
    <xf numFmtId="0" fontId="126" fillId="0" borderId="11" xfId="0" applyFont="1" applyFill="1" applyBorder="1" applyAlignment="1">
      <alignment horizontal="center" vertical="center" wrapText="1"/>
    </xf>
    <xf numFmtId="0" fontId="176" fillId="0" borderId="52" xfId="0" applyFont="1" applyFill="1" applyBorder="1" applyAlignment="1">
      <alignment horizontal="center" vertical="center" wrapText="1"/>
    </xf>
    <xf numFmtId="0" fontId="176" fillId="0" borderId="11" xfId="0" applyFont="1" applyFill="1" applyBorder="1" applyAlignment="1">
      <alignment horizontal="center" vertical="center" wrapText="1"/>
    </xf>
    <xf numFmtId="0" fontId="176" fillId="0" borderId="83" xfId="0" applyFont="1" applyFill="1" applyBorder="1" applyAlignment="1">
      <alignment horizontal="center" vertical="center" wrapText="1"/>
    </xf>
    <xf numFmtId="0" fontId="176" fillId="0" borderId="40" xfId="0" applyFont="1" applyBorder="1" applyAlignment="1">
      <alignment horizontal="center" vertical="center" wrapText="1"/>
    </xf>
    <xf numFmtId="0" fontId="176" fillId="0" borderId="33" xfId="0" applyFont="1" applyBorder="1" applyAlignment="1">
      <alignment horizontal="center" vertical="center" wrapText="1"/>
    </xf>
    <xf numFmtId="0" fontId="176" fillId="0" borderId="9" xfId="0" applyFont="1" applyBorder="1" applyAlignment="1">
      <alignment horizontal="center" vertical="center" wrapText="1"/>
    </xf>
    <xf numFmtId="0" fontId="234" fillId="0" borderId="35" xfId="0" applyFont="1" applyFill="1" applyBorder="1" applyAlignment="1">
      <alignment horizontal="center" vertical="center" wrapText="1"/>
    </xf>
    <xf numFmtId="0" fontId="234" fillId="0" borderId="29" xfId="0" applyFont="1" applyFill="1" applyBorder="1" applyAlignment="1">
      <alignment horizontal="center" vertical="center" wrapText="1"/>
    </xf>
    <xf numFmtId="0" fontId="233" fillId="0" borderId="35" xfId="0" applyFont="1" applyFill="1" applyBorder="1" applyAlignment="1">
      <alignment horizontal="center" vertical="center" wrapText="1"/>
    </xf>
    <xf numFmtId="0" fontId="233" fillId="0" borderId="29" xfId="0" applyFont="1" applyFill="1" applyBorder="1" applyAlignment="1">
      <alignment horizontal="center" vertical="center" wrapText="1"/>
    </xf>
    <xf numFmtId="0" fontId="0" fillId="14" borderId="35" xfId="0" applyFill="1" applyBorder="1" applyAlignment="1">
      <alignment horizontal="center"/>
    </xf>
    <xf numFmtId="0" fontId="0" fillId="14" borderId="29" xfId="0" applyFill="1" applyBorder="1" applyAlignment="1">
      <alignment horizontal="center"/>
    </xf>
    <xf numFmtId="0" fontId="0" fillId="14" borderId="30" xfId="0" applyFill="1" applyBorder="1" applyAlignment="1">
      <alignment horizontal="center"/>
    </xf>
    <xf numFmtId="0" fontId="10" fillId="0" borderId="0" xfId="0" applyFont="1" applyAlignment="1">
      <alignment horizontal="left" wrapText="1"/>
    </xf>
    <xf numFmtId="15" fontId="5" fillId="3" borderId="0" xfId="0" applyNumberFormat="1" applyFont="1" applyFill="1" applyAlignment="1">
      <alignment horizontal="center"/>
    </xf>
    <xf numFmtId="17" fontId="12" fillId="0" borderId="0" xfId="0" applyNumberFormat="1" applyFont="1" applyAlignment="1">
      <alignment horizontal="center" vertical="top" wrapText="1"/>
    </xf>
    <xf numFmtId="0" fontId="5" fillId="0" borderId="0" xfId="0" applyFont="1" applyAlignment="1">
      <alignment horizontal="left" vertical="center" wrapText="1"/>
    </xf>
    <xf numFmtId="0" fontId="10" fillId="0" borderId="0" xfId="0" applyFont="1" applyAlignment="1">
      <alignment horizontal="left" vertical="center" wrapText="1"/>
    </xf>
    <xf numFmtId="3" fontId="268" fillId="3" borderId="5" xfId="0" applyNumberFormat="1" applyFont="1" applyFill="1" applyBorder="1"/>
  </cellXfs>
  <cellStyles count="111">
    <cellStyle name="20% - Énfasis1" xfId="45" builtinId="30" customBuiltin="1"/>
    <cellStyle name="20% - Énfasis2" xfId="49" builtinId="34" customBuiltin="1"/>
    <cellStyle name="20% - Énfasis3" xfId="53" builtinId="38" customBuiltin="1"/>
    <cellStyle name="20% - Énfasis4" xfId="57" builtinId="42" customBuiltin="1"/>
    <cellStyle name="20% - Énfasis5" xfId="61" builtinId="46" customBuiltin="1"/>
    <cellStyle name="20% - Énfasis6" xfId="65" builtinId="50" customBuiltin="1"/>
    <cellStyle name="40% - Énfasis1" xfId="46" builtinId="31" customBuiltin="1"/>
    <cellStyle name="40% - Énfasis2" xfId="50" builtinId="35" customBuiltin="1"/>
    <cellStyle name="40% - Énfasis3" xfId="54" builtinId="39" customBuiltin="1"/>
    <cellStyle name="40% - Énfasis4" xfId="58" builtinId="43" customBuiltin="1"/>
    <cellStyle name="40% - Énfasis5" xfId="62" builtinId="47" customBuiltin="1"/>
    <cellStyle name="40% - Énfasis6" xfId="16" builtinId="51" customBuiltin="1"/>
    <cellStyle name="60% - Énfasis1" xfId="47" builtinId="32" customBuiltin="1"/>
    <cellStyle name="60% - Énfasis2" xfId="51" builtinId="36" customBuiltin="1"/>
    <cellStyle name="60% - Énfasis3" xfId="55" builtinId="40" customBuiltin="1"/>
    <cellStyle name="60% - Énfasis4" xfId="59" builtinId="44" customBuiltin="1"/>
    <cellStyle name="60% - Énfasis5" xfId="63" builtinId="48" customBuiltin="1"/>
    <cellStyle name="60% - Énfasis6" xfId="66" builtinId="52" customBuiltin="1"/>
    <cellStyle name="ANCLAS,REZONES Y SUS PARTES,DE FUNDICION,DE HIERRO O DE ACERO" xfId="107" xr:uid="{26595332-C7E8-423F-9BD7-E447D57322BF}"/>
    <cellStyle name="Bueno" xfId="32" builtinId="26" customBuiltin="1"/>
    <cellStyle name="Cálculo" xfId="37" builtinId="22" customBuiltin="1"/>
    <cellStyle name="Celda de comprobación" xfId="39" builtinId="23" customBuiltin="1"/>
    <cellStyle name="Celda vinculada" xfId="38" builtinId="24" customBuiltin="1"/>
    <cellStyle name="Encabezado 1" xfId="28" builtinId="16" customBuiltin="1"/>
    <cellStyle name="Encabezado 4" xfId="31" builtinId="19" customBuiltin="1"/>
    <cellStyle name="Énfasis1" xfId="44" builtinId="29" customBuiltin="1"/>
    <cellStyle name="Énfasis2" xfId="48" builtinId="33" customBuiltin="1"/>
    <cellStyle name="Énfasis3" xfId="52" builtinId="37" customBuiltin="1"/>
    <cellStyle name="Énfasis4" xfId="56" builtinId="41" customBuiltin="1"/>
    <cellStyle name="Énfasis5" xfId="60" builtinId="45" customBuiltin="1"/>
    <cellStyle name="Énfasis6" xfId="64" builtinId="49" customBuiltin="1"/>
    <cellStyle name="Entrada" xfId="35" builtinId="20" customBuiltin="1"/>
    <cellStyle name="Entrada 2" xfId="6" xr:uid="{00000000-0005-0000-0000-00001F000000}"/>
    <cellStyle name="Hipervínculo" xfId="4" builtinId="8"/>
    <cellStyle name="Hipervínculo 2" xfId="8" xr:uid="{00000000-0005-0000-0000-000021000000}"/>
    <cellStyle name="Hipervínculo 2 2" xfId="109" xr:uid="{B94F29EC-4530-4FEE-9E39-B41676E0D653}"/>
    <cellStyle name="Hipervínculo 3" xfId="11" xr:uid="{00000000-0005-0000-0000-000022000000}"/>
    <cellStyle name="Hipervínculo 4" xfId="83" xr:uid="{00000000-0005-0000-0000-000023000000}"/>
    <cellStyle name="Incorrecto" xfId="33" builtinId="27" customBuiltin="1"/>
    <cellStyle name="Millares" xfId="1" builtinId="3"/>
    <cellStyle name="Millares 2" xfId="14" xr:uid="{00000000-0005-0000-0000-000026000000}"/>
    <cellStyle name="Millares 2 2" xfId="106" xr:uid="{EDC63AC7-D663-463C-98C0-1C1279FF65B8}"/>
    <cellStyle name="Millares 2 3" xfId="110" xr:uid="{44ADD697-8004-4E03-886A-9DDB0F3A9E49}"/>
    <cellStyle name="Millares 3" xfId="89" xr:uid="{00000000-0005-0000-0000-000027000000}"/>
    <cellStyle name="Millares 3 2" xfId="101" xr:uid="{00000000-0005-0000-0000-000028000000}"/>
    <cellStyle name="Millares 3 3" xfId="103" xr:uid="{00000000-0005-0000-0000-000029000000}"/>
    <cellStyle name="Millares 4" xfId="105" xr:uid="{00000000-0005-0000-0000-00002A000000}"/>
    <cellStyle name="Moneda" xfId="3" builtinId="4"/>
    <cellStyle name="Neutral" xfId="34" builtinId="28" customBuiltin="1"/>
    <cellStyle name="Normal" xfId="0" builtinId="0"/>
    <cellStyle name="Normal 10" xfId="84" xr:uid="{00000000-0005-0000-0000-00002E000000}"/>
    <cellStyle name="Normal 10 2" xfId="96" xr:uid="{00000000-0005-0000-0000-00002F000000}"/>
    <cellStyle name="Normal 11" xfId="85" xr:uid="{00000000-0005-0000-0000-000030000000}"/>
    <cellStyle name="Normal 11 2" xfId="97" xr:uid="{00000000-0005-0000-0000-000031000000}"/>
    <cellStyle name="Normal 12" xfId="86" xr:uid="{00000000-0005-0000-0000-000032000000}"/>
    <cellStyle name="Normal 12 2" xfId="98" xr:uid="{00000000-0005-0000-0000-000033000000}"/>
    <cellStyle name="Normal 13" xfId="87" xr:uid="{00000000-0005-0000-0000-000034000000}"/>
    <cellStyle name="Normal 13 2" xfId="99" xr:uid="{00000000-0005-0000-0000-000035000000}"/>
    <cellStyle name="Normal 14" xfId="88" xr:uid="{00000000-0005-0000-0000-000036000000}"/>
    <cellStyle name="Normal 14 2" xfId="100" xr:uid="{00000000-0005-0000-0000-000037000000}"/>
    <cellStyle name="Normal 15" xfId="90" xr:uid="{00000000-0005-0000-0000-000038000000}"/>
    <cellStyle name="Normal 15 2" xfId="102" xr:uid="{00000000-0005-0000-0000-000039000000}"/>
    <cellStyle name="Normal 16" xfId="104" xr:uid="{00000000-0005-0000-0000-00003A000000}"/>
    <cellStyle name="Normal 2" xfId="5" xr:uid="{00000000-0005-0000-0000-00003B000000}"/>
    <cellStyle name="Normal 2 2" xfId="10" xr:uid="{00000000-0005-0000-0000-00003C000000}"/>
    <cellStyle name="Normal 2 2 2" xfId="18" xr:uid="{00000000-0005-0000-0000-00003D000000}"/>
    <cellStyle name="Normal 2 3" xfId="21" xr:uid="{00000000-0005-0000-0000-00003E000000}"/>
    <cellStyle name="Normal 2 4" xfId="25" xr:uid="{00000000-0005-0000-0000-00003F000000}"/>
    <cellStyle name="Normal 3" xfId="9" xr:uid="{00000000-0005-0000-0000-000040000000}"/>
    <cellStyle name="Normal 3 2" xfId="19" xr:uid="{00000000-0005-0000-0000-000041000000}"/>
    <cellStyle name="Normal 3 3" xfId="91" xr:uid="{00000000-0005-0000-0000-000042000000}"/>
    <cellStyle name="Normal 4" xfId="13" xr:uid="{00000000-0005-0000-0000-000043000000}"/>
    <cellStyle name="Normal 4 2" xfId="108" xr:uid="{6C5F172C-7D0A-4D3A-9CC3-BE6A5398D5F2}"/>
    <cellStyle name="Normal 5" xfId="17" xr:uid="{00000000-0005-0000-0000-000044000000}"/>
    <cellStyle name="Normal 5 2" xfId="22" xr:uid="{00000000-0005-0000-0000-000045000000}"/>
    <cellStyle name="Normal 6" xfId="24" xr:uid="{00000000-0005-0000-0000-000046000000}"/>
    <cellStyle name="Normal 6 2" xfId="93" xr:uid="{00000000-0005-0000-0000-000047000000}"/>
    <cellStyle name="Normal 7" xfId="26" xr:uid="{00000000-0005-0000-0000-000048000000}"/>
    <cellStyle name="Normal 7 2" xfId="94" xr:uid="{00000000-0005-0000-0000-000049000000}"/>
    <cellStyle name="Normal 8" xfId="67" xr:uid="{00000000-0005-0000-0000-00004A000000}"/>
    <cellStyle name="Normal 8 2" xfId="95" xr:uid="{00000000-0005-0000-0000-00004B000000}"/>
    <cellStyle name="Normal 9" xfId="7" xr:uid="{00000000-0005-0000-0000-00004C000000}"/>
    <cellStyle name="Normal_Lugares Quito" xfId="23" xr:uid="{00000000-0005-0000-0000-00004D000000}"/>
    <cellStyle name="Notas" xfId="41" builtinId="10" customBuiltin="1"/>
    <cellStyle name="Porcentaje" xfId="2" builtinId="5"/>
    <cellStyle name="Porcentaje 2" xfId="12" xr:uid="{00000000-0005-0000-0000-000050000000}"/>
    <cellStyle name="Porcentaje 2 2" xfId="20" xr:uid="{00000000-0005-0000-0000-000051000000}"/>
    <cellStyle name="Porcentaje 2 3" xfId="92" xr:uid="{00000000-0005-0000-0000-000052000000}"/>
    <cellStyle name="Porcentaje 3" xfId="15" xr:uid="{00000000-0005-0000-0000-000053000000}"/>
    <cellStyle name="Salida" xfId="36" builtinId="21" customBuiltin="1"/>
    <cellStyle name="style1416211455668" xfId="68" xr:uid="{00000000-0005-0000-0000-000055000000}"/>
    <cellStyle name="style1416211456168" xfId="69" xr:uid="{00000000-0005-0000-0000-000056000000}"/>
    <cellStyle name="style1416211456184" xfId="70" xr:uid="{00000000-0005-0000-0000-000057000000}"/>
    <cellStyle name="style1440439133965" xfId="77" xr:uid="{00000000-0005-0000-0000-000058000000}"/>
    <cellStyle name="style1440439134015" xfId="78" xr:uid="{00000000-0005-0000-0000-000059000000}"/>
    <cellStyle name="style1440439134536" xfId="74" xr:uid="{00000000-0005-0000-0000-00005A000000}"/>
    <cellStyle name="style1440439134576" xfId="71" xr:uid="{00000000-0005-0000-0000-00005B000000}"/>
    <cellStyle name="style1440439134606" xfId="76" xr:uid="{00000000-0005-0000-0000-00005C000000}"/>
    <cellStyle name="style1440439134656" xfId="73" xr:uid="{00000000-0005-0000-0000-00005D000000}"/>
    <cellStyle name="style1440439134786" xfId="75" xr:uid="{00000000-0005-0000-0000-00005E000000}"/>
    <cellStyle name="style1440439134806" xfId="81" xr:uid="{00000000-0005-0000-0000-00005F000000}"/>
    <cellStyle name="style1440439134826" xfId="72" xr:uid="{00000000-0005-0000-0000-000060000000}"/>
    <cellStyle name="style1440439134866" xfId="82" xr:uid="{00000000-0005-0000-0000-000061000000}"/>
    <cellStyle name="style1440439135458" xfId="79" xr:uid="{00000000-0005-0000-0000-000062000000}"/>
    <cellStyle name="style1440439135648" xfId="80" xr:uid="{00000000-0005-0000-0000-000063000000}"/>
    <cellStyle name="Texto de advertencia" xfId="40" builtinId="11" customBuiltin="1"/>
    <cellStyle name="Texto explicativo" xfId="42" builtinId="53" customBuiltin="1"/>
    <cellStyle name="Título" xfId="27" builtinId="15" customBuiltin="1"/>
    <cellStyle name="Título 2" xfId="29" builtinId="17" customBuiltin="1"/>
    <cellStyle name="Título 3" xfId="30" builtinId="18" customBuiltin="1"/>
    <cellStyle name="Total" xfId="43" builtinId="25" customBuiltin="1"/>
  </cellStyles>
  <dxfs count="117">
    <dxf>
      <font>
        <color theme="0" tint="-0.24994659260841701"/>
      </font>
    </dxf>
    <dxf>
      <font>
        <color theme="0" tint="-0.24994659260841701"/>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auto="1"/>
      </font>
      <fill>
        <patternFill>
          <bgColor rgb="FF00B0F0"/>
        </patternFill>
      </fill>
    </dxf>
    <dxf>
      <font>
        <color auto="1"/>
      </font>
      <fill>
        <patternFill>
          <bgColor rgb="FF00B0F0"/>
        </patternFill>
      </fill>
    </dxf>
    <dxf>
      <font>
        <color auto="1"/>
      </font>
      <fill>
        <patternFill>
          <bgColor rgb="FF00B0F0"/>
        </patternFill>
      </fill>
    </dxf>
    <dxf>
      <numFmt numFmtId="3" formatCode="#,##0"/>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top style="thin">
          <color indexed="64"/>
        </top>
        <bottom style="thin">
          <color indexed="64"/>
        </bottom>
      </border>
    </dxf>
    <dxf>
      <numFmt numFmtId="3" formatCode="#,##0"/>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ill>
        <patternFill patternType="none">
          <fgColor indexed="64"/>
          <bgColor auto="1"/>
        </patternFill>
      </fill>
      <alignment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scheme val="minor"/>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color auto="1"/>
        <name val="Calibri"/>
        <scheme val="minor"/>
      </font>
      <fill>
        <patternFill patternType="none">
          <fgColor indexed="64"/>
          <bgColor auto="1"/>
        </patternFill>
      </fill>
    </dxf>
    <dxf>
      <font>
        <strike val="0"/>
        <outline val="0"/>
        <shadow val="0"/>
        <u val="none"/>
        <vertAlign val="baseline"/>
        <color auto="1"/>
        <name val="Calibri"/>
        <scheme val="minor"/>
      </font>
      <fill>
        <patternFill patternType="none">
          <fgColor indexed="64"/>
          <bgColor auto="1"/>
        </patternFill>
      </fill>
    </dxf>
    <dxf>
      <font>
        <strike val="0"/>
        <outline val="0"/>
        <shadow val="0"/>
        <u val="none"/>
        <vertAlign val="baseline"/>
        <color auto="1"/>
        <name val="Calibri"/>
        <scheme val="minor"/>
      </font>
      <fill>
        <patternFill patternType="none">
          <fgColor indexed="64"/>
          <bgColor auto="1"/>
        </patternFill>
      </fill>
    </dxf>
    <dxf>
      <font>
        <strike val="0"/>
        <outline val="0"/>
        <shadow val="0"/>
        <u val="none"/>
        <vertAlign val="baseline"/>
        <color auto="1"/>
        <name val="Calibri"/>
        <scheme val="minor"/>
      </font>
      <fill>
        <patternFill patternType="none">
          <fgColor indexed="64"/>
          <bgColor auto="1"/>
        </patternFill>
      </fill>
    </dxf>
    <dxf>
      <font>
        <strike val="0"/>
        <outline val="0"/>
        <shadow val="0"/>
        <u val="none"/>
        <vertAlign val="baseline"/>
        <color auto="1"/>
        <name val="Calibri"/>
        <scheme val="minor"/>
      </font>
      <fill>
        <patternFill patternType="none">
          <fgColor indexed="64"/>
          <bgColor auto="1"/>
        </patternFill>
      </fill>
    </dxf>
    <dxf>
      <font>
        <strike val="0"/>
        <outline val="0"/>
        <shadow val="0"/>
        <u val="none"/>
        <vertAlign val="baseline"/>
        <color auto="1"/>
        <name val="Calibri"/>
        <scheme val="minor"/>
      </font>
      <fill>
        <patternFill patternType="none">
          <fgColor indexed="64"/>
          <bgColor auto="1"/>
        </patternFill>
      </fill>
      <alignment horizontal="general" vertical="bottom" textRotation="0" wrapText="1" indent="0" justifyLastLine="0" shrinkToFit="0" readingOrder="0"/>
    </dxf>
    <dxf>
      <alignment horizontal="center" vertical="bottom" textRotation="0" wrapText="0" indent="0" justifyLastLine="0" shrinkToFit="0" readingOrder="0"/>
    </dxf>
    <dxf>
      <font>
        <color theme="0"/>
      </font>
    </dxf>
    <dxf>
      <fill>
        <patternFill patternType="solid">
          <bgColor theme="0"/>
        </patternFill>
      </fill>
    </dxf>
    <dxf>
      <alignment vertical="center" readingOrder="0"/>
    </dxf>
    <dxf>
      <alignment vertical="center" readingOrder="0"/>
    </dxf>
    <dxf>
      <alignment vertical="center" readingOrder="0"/>
    </dxf>
    <dxf>
      <alignment vertical="center" readingOrder="0"/>
    </dxf>
    <dxf>
      <alignment horizontal="center" readingOrder="0"/>
    </dxf>
    <dxf>
      <alignment horizontal="center" readingOrder="0"/>
    </dxf>
    <dxf>
      <alignment horizontal="center" readingOrder="0"/>
    </dxf>
    <dxf>
      <alignment horizontal="center" readingOrder="0"/>
    </dxf>
    <dxf>
      <fill>
        <patternFill>
          <bgColor theme="0"/>
        </patternFill>
      </fill>
    </dxf>
    <dxf>
      <fill>
        <patternFill patternType="solid">
          <bgColor rgb="FFFFFF00"/>
        </patternFill>
      </fill>
    </dxf>
    <dxf>
      <fill>
        <patternFill patternType="solid">
          <bgColor theme="0"/>
        </patternFill>
      </fill>
    </dxf>
    <dxf>
      <font>
        <color theme="0"/>
      </font>
    </dxf>
    <dxf>
      <alignment horizontal="center" readingOrder="0"/>
    </dxf>
    <dxf>
      <alignment horizontal="center" readingOrder="0"/>
    </dxf>
    <dxf>
      <fill>
        <patternFill>
          <bgColor theme="0"/>
        </patternFill>
      </fill>
    </dxf>
    <dxf>
      <fill>
        <patternFill patternType="solid">
          <bgColor rgb="FFFFFF00"/>
        </patternFill>
      </fill>
    </dxf>
    <dxf>
      <font>
        <b/>
        <i val="0"/>
        <sz val="26"/>
        <color theme="0"/>
        <name val="Segoe UI Light"/>
        <scheme val="none"/>
      </font>
      <fill>
        <patternFill>
          <bgColor rgb="FF008080"/>
        </patternFill>
      </fill>
    </dxf>
    <dxf>
      <font>
        <b/>
        <i val="0"/>
        <sz val="26"/>
        <color theme="0"/>
        <name val="Segoe UI Light"/>
        <scheme val="none"/>
      </font>
      <fill>
        <patternFill>
          <bgColor rgb="FF008080"/>
        </patternFill>
      </fill>
    </dxf>
    <dxf>
      <font>
        <b/>
        <i val="0"/>
        <sz val="26"/>
        <color theme="0"/>
        <name val="Segoe UI Light"/>
        <scheme val="none"/>
      </font>
      <fill>
        <patternFill>
          <bgColor rgb="FF008080"/>
        </patternFill>
      </fill>
    </dxf>
    <dxf>
      <font>
        <b/>
        <i val="0"/>
        <sz val="26"/>
        <color theme="0"/>
        <name val="Segoe UI Light"/>
        <scheme val="none"/>
      </font>
      <fill>
        <patternFill>
          <bgColor rgb="FF008080"/>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
      <font>
        <b/>
        <i val="0"/>
        <sz val="30"/>
        <name val="Segoe UI Light"/>
        <scheme val="none"/>
      </font>
    </dxf>
    <dxf>
      <font>
        <b/>
        <i val="0"/>
        <sz val="16"/>
        <color theme="0"/>
        <name val="Segoe UI Light"/>
        <scheme val="none"/>
      </font>
      <fill>
        <patternFill>
          <bgColor rgb="FF7B4E9C"/>
        </patternFill>
      </fill>
    </dxf>
  </dxfs>
  <tableStyles count="19" defaultTableStyle="TableStyleMedium9" defaultPivotStyle="PivotStyleLight16">
    <tableStyle name="Estilo de segmentación de datos 1 2 2 2 3 2 2 5 2 2 2 2 2" pivot="0" table="0" count="7" xr9:uid="{00000000-0011-0000-FFFF-FFFF00000000}">
      <tableStyleElement type="wholeTable" dxfId="116"/>
      <tableStyleElement type="headerRow" dxfId="115"/>
    </tableStyle>
    <tableStyle name="Estilo de segmentación de datos 1 2 2 2 3 2 2 5 2 2 2 2 2 10" pivot="0" table="0" count="7" xr9:uid="{00000000-0011-0000-FFFF-FFFF01000000}">
      <tableStyleElement type="wholeTable" dxfId="114"/>
      <tableStyleElement type="headerRow" dxfId="113"/>
    </tableStyle>
    <tableStyle name="Estilo de segmentación de datos 1 2 2 2 3 2 2 5 2 2 2 2 2 11" pivot="0" table="0" count="7" xr9:uid="{00000000-0011-0000-FFFF-FFFF02000000}">
      <tableStyleElement type="wholeTable" dxfId="112"/>
      <tableStyleElement type="headerRow" dxfId="111"/>
    </tableStyle>
    <tableStyle name="Estilo de segmentación de datos 1 2 2 2 3 2 2 5 2 2 2 2 2 12" pivot="0" table="0" count="7" xr9:uid="{00000000-0011-0000-FFFF-FFFF03000000}">
      <tableStyleElement type="wholeTable" dxfId="110"/>
      <tableStyleElement type="headerRow" dxfId="109"/>
    </tableStyle>
    <tableStyle name="Estilo de segmentación de datos 1 2 2 2 3 2 2 5 2 2 2 2 2 13" pivot="0" table="0" count="7" xr9:uid="{00000000-0011-0000-FFFF-FFFF04000000}">
      <tableStyleElement type="wholeTable" dxfId="108"/>
      <tableStyleElement type="headerRow" dxfId="107"/>
    </tableStyle>
    <tableStyle name="Estilo de segmentación de datos 1 2 2 2 3 2 2 5 2 2 2 2 2 14" pivot="0" table="0" count="7" xr9:uid="{00000000-0011-0000-FFFF-FFFF05000000}">
      <tableStyleElement type="wholeTable" dxfId="106"/>
      <tableStyleElement type="headerRow" dxfId="105"/>
    </tableStyle>
    <tableStyle name="Estilo de segmentación de datos 1 2 2 2 3 2 2 5 2 2 2 2 2 15" pivot="0" table="0" count="7" xr9:uid="{00000000-0011-0000-FFFF-FFFF06000000}">
      <tableStyleElement type="wholeTable" dxfId="104"/>
      <tableStyleElement type="headerRow" dxfId="103"/>
    </tableStyle>
    <tableStyle name="Estilo de segmentación de datos 1 2 2 2 3 2 2 5 2 2 2 2 2 2" pivot="0" table="0" count="7" xr9:uid="{00000000-0011-0000-FFFF-FFFF07000000}">
      <tableStyleElement type="wholeTable" dxfId="102"/>
      <tableStyleElement type="headerRow" dxfId="101"/>
    </tableStyle>
    <tableStyle name="Estilo de segmentación de datos 1 2 2 2 3 2 2 5 2 2 2 2 2 3" pivot="0" table="0" count="7" xr9:uid="{00000000-0011-0000-FFFF-FFFF08000000}">
      <tableStyleElement type="wholeTable" dxfId="100"/>
      <tableStyleElement type="headerRow" dxfId="99"/>
    </tableStyle>
    <tableStyle name="Estilo de segmentación de datos 1 2 2 2 3 2 2 5 2 2 2 2 2 4" pivot="0" table="0" count="7" xr9:uid="{00000000-0011-0000-FFFF-FFFF09000000}">
      <tableStyleElement type="wholeTable" dxfId="98"/>
      <tableStyleElement type="headerRow" dxfId="97"/>
    </tableStyle>
    <tableStyle name="Estilo de segmentación de datos 1 2 2 2 3 2 2 5 2 2 2 2 2 5" pivot="0" table="0" count="7" xr9:uid="{00000000-0011-0000-FFFF-FFFF0A000000}">
      <tableStyleElement type="wholeTable" dxfId="96"/>
      <tableStyleElement type="headerRow" dxfId="95"/>
    </tableStyle>
    <tableStyle name="Estilo de segmentación de datos 1 2 2 2 3 2 2 5 2 2 2 2 2 6" pivot="0" table="0" count="7" xr9:uid="{00000000-0011-0000-FFFF-FFFF0B000000}">
      <tableStyleElement type="wholeTable" dxfId="94"/>
      <tableStyleElement type="headerRow" dxfId="93"/>
    </tableStyle>
    <tableStyle name="Estilo de segmentación de datos 1 2 2 2 3 2 2 5 2 2 2 2 2 7" pivot="0" table="0" count="7" xr9:uid="{00000000-0011-0000-FFFF-FFFF0C000000}">
      <tableStyleElement type="wholeTable" dxfId="92"/>
      <tableStyleElement type="headerRow" dxfId="91"/>
    </tableStyle>
    <tableStyle name="Estilo de segmentación de datos 1 2 2 2 3 2 2 5 2 2 2 2 2 8" pivot="0" table="0" count="7" xr9:uid="{00000000-0011-0000-FFFF-FFFF0D000000}">
      <tableStyleElement type="wholeTable" dxfId="90"/>
      <tableStyleElement type="headerRow" dxfId="89"/>
    </tableStyle>
    <tableStyle name="Estilo de segmentación de datos 1 2 2 2 3 2 2 5 2 2 2 2 2 9" pivot="0" table="0" count="7" xr9:uid="{00000000-0011-0000-FFFF-FFFF0E000000}">
      <tableStyleElement type="wholeTable" dxfId="88"/>
      <tableStyleElement type="headerRow" dxfId="87"/>
    </tableStyle>
    <tableStyle name="Estilo de segmentación de datos 1 2 2 2 3 2 2 5 3" pivot="0" table="0" count="4" xr9:uid="{00000000-0011-0000-FFFF-FFFF0F000000}">
      <tableStyleElement type="wholeTable" dxfId="86"/>
    </tableStyle>
    <tableStyle name="Estilo de segmentación de datos 1 2 2 2 3 2 2 5 3 2" pivot="0" table="0" count="4" xr9:uid="{00000000-0011-0000-FFFF-FFFF10000000}">
      <tableStyleElement type="wholeTable" dxfId="85"/>
    </tableStyle>
    <tableStyle name="Estilo de segmentación de datos 1 2 2 2 3 2 2 5 3 3" pivot="0" table="0" count="4" xr9:uid="{00000000-0011-0000-FFFF-FFFF11000000}">
      <tableStyleElement type="wholeTable" dxfId="84"/>
    </tableStyle>
    <tableStyle name="Estilo de segmentación de datos 1 2 2 2 3 2 2 5 3 4" pivot="0" table="0" count="4" xr9:uid="{00000000-0011-0000-FFFF-FFFF12000000}">
      <tableStyleElement type="wholeTable" dxfId="83"/>
    </tableStyle>
  </tableStyles>
  <colors>
    <mruColors>
      <color rgb="FFFFFF99"/>
      <color rgb="FFFD91EB"/>
      <color rgb="FF9999FF"/>
      <color rgb="FF9966FF"/>
      <color rgb="FFF29000"/>
      <color rgb="FFFF9900"/>
      <color rgb="FF73A12F"/>
      <color rgb="FFF8F8F8"/>
    </mruColors>
  </colors>
  <extLst>
    <ext xmlns:x14="http://schemas.microsoft.com/office/spreadsheetml/2009/9/main" uri="{46F421CA-312F-682f-3DD2-61675219B42D}">
      <x14:dxfs count="87">
        <dxf>
          <font>
            <b/>
            <i val="0"/>
            <sz val="26"/>
            <name val="Segoe UI Light"/>
            <scheme val="none"/>
          </font>
          <fill>
            <patternFill>
              <bgColor theme="2" tint="-0.24994659260841701"/>
            </patternFill>
          </fill>
        </dxf>
        <dxf>
          <font>
            <b/>
            <i val="0"/>
            <sz val="26"/>
            <name val="Segoe UI Light"/>
            <scheme val="none"/>
          </font>
          <fill>
            <patternFill>
              <bgColor theme="2" tint="-0.749961851863155"/>
            </patternFill>
          </fill>
        </dxf>
        <dxf>
          <font>
            <b/>
            <i val="0"/>
            <sz val="26"/>
            <name val="Segoe UI Light"/>
            <scheme val="none"/>
          </font>
          <fill>
            <patternFill>
              <bgColor theme="0" tint="-0.499984740745262"/>
            </patternFill>
          </fill>
        </dxf>
        <dxf>
          <font>
            <b/>
            <i val="0"/>
            <sz val="26"/>
            <name val="Segoe UI Light"/>
            <scheme val="none"/>
          </font>
          <fill>
            <patternFill>
              <bgColor theme="2" tint="-0.24994659260841701"/>
            </patternFill>
          </fill>
        </dxf>
        <dxf>
          <font>
            <b/>
            <i val="0"/>
            <sz val="26"/>
            <name val="Segoe UI Light"/>
            <scheme val="none"/>
          </font>
          <fill>
            <patternFill>
              <bgColor theme="2" tint="-0.749961851863155"/>
            </patternFill>
          </fill>
        </dxf>
        <dxf>
          <font>
            <b/>
            <i val="0"/>
            <sz val="26"/>
            <name val="Segoe UI Light"/>
            <scheme val="none"/>
          </font>
          <fill>
            <patternFill>
              <bgColor theme="0" tint="-0.499984740745262"/>
            </patternFill>
          </fill>
        </dxf>
        <dxf>
          <font>
            <b/>
            <i val="0"/>
            <sz val="26"/>
            <name val="Segoe UI Light"/>
            <scheme val="none"/>
          </font>
          <fill>
            <patternFill>
              <bgColor theme="2" tint="-0.24994659260841701"/>
            </patternFill>
          </fill>
        </dxf>
        <dxf>
          <font>
            <b/>
            <i val="0"/>
            <sz val="26"/>
            <name val="Segoe UI Light"/>
            <scheme val="none"/>
          </font>
          <fill>
            <patternFill>
              <bgColor theme="2" tint="-0.749961851863155"/>
            </patternFill>
          </fill>
        </dxf>
        <dxf>
          <font>
            <b/>
            <i val="0"/>
            <sz val="26"/>
            <name val="Segoe UI Light"/>
            <scheme val="none"/>
          </font>
          <fill>
            <patternFill>
              <bgColor theme="0" tint="-0.499984740745262"/>
            </patternFill>
          </fill>
        </dxf>
        <dxf>
          <font>
            <b/>
            <i val="0"/>
            <sz val="26"/>
            <name val="Segoe UI Light"/>
            <scheme val="none"/>
          </font>
          <fill>
            <patternFill>
              <bgColor theme="2" tint="-0.24994659260841701"/>
            </patternFill>
          </fill>
        </dxf>
        <dxf>
          <font>
            <b/>
            <i val="0"/>
            <sz val="26"/>
            <name val="Segoe UI Light"/>
            <scheme val="none"/>
          </font>
          <fill>
            <patternFill>
              <bgColor theme="2" tint="-0.749961851863155"/>
            </patternFill>
          </fill>
        </dxf>
        <dxf>
          <font>
            <b/>
            <i val="0"/>
            <sz val="26"/>
            <name val="Segoe UI Light"/>
            <scheme val="none"/>
          </font>
          <fill>
            <patternFill>
              <bgColor theme="0" tint="-0.499984740745262"/>
            </patternFill>
          </fill>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dxf>
          <font>
            <b/>
            <i val="0"/>
            <sz val="26"/>
            <name val="Segoe UI Light"/>
            <scheme val="none"/>
          </font>
          <fill>
            <patternFill>
              <bgColor theme="2" tint="-0.24994659260841701"/>
            </patternFill>
          </fill>
        </dxf>
        <dxf>
          <font>
            <b/>
            <i val="0"/>
            <sz val="26"/>
            <name val="Segoe UI Light"/>
          </font>
          <fill>
            <patternFill>
              <bgColor theme="2" tint="-0.749961851863155"/>
            </patternFill>
          </fill>
        </dxf>
        <dxf>
          <font>
            <b/>
            <i val="0"/>
            <sz val="26"/>
            <name val="Segoe UI Light"/>
            <scheme val="none"/>
          </font>
          <fill>
            <patternFill>
              <bgColor theme="0" tint="-0.499984740745262"/>
            </patternFill>
          </fill>
        </dxf>
        <dxf>
          <font>
            <b/>
            <i val="0"/>
            <sz val="26"/>
            <name val="Segoe UI Symbol"/>
            <scheme val="none"/>
          </font>
        </dxf>
        <dxf>
          <font>
            <b/>
            <i val="0"/>
            <sz val="26"/>
            <name val="Segoe UI Light"/>
          </font>
        </dxf>
      </x14:dxfs>
    </ext>
    <ext xmlns:x14="http://schemas.microsoft.com/office/spreadsheetml/2009/9/main" uri="{EB79DEF2-80B8-43e5-95BD-54CBDDF9020C}">
      <x14:slicerStyles defaultSlicerStyle="SlicerStyleLight1">
        <x14:slicerStyle name="Estilo de segmentación de datos 1 2 2 2 3 2 2 5 2 2 2 2 2">
          <x14:slicerStyleElements>
            <x14:slicerStyleElement type="unselectedItemWithData" dxfId="86"/>
            <x14:slicerStyleElement type="unselectedItemWithNoData" dxfId="85"/>
            <x14:slicerStyleElement type="selectedItemWithData" dxfId="84"/>
            <x14:slicerStyleElement type="hoveredUnselectedItemWithData" dxfId="83"/>
            <x14:slicerStyleElement type="hoveredSelectedItemWithData" dxfId="82"/>
          </x14:slicerStyleElements>
        </x14:slicerStyle>
        <x14:slicerStyle name="Estilo de segmentación de datos 1 2 2 2 3 2 2 5 2 2 2 2 2 10">
          <x14:slicerStyleElements>
            <x14:slicerStyleElement type="unselectedItemWithData" dxfId="81"/>
            <x14:slicerStyleElement type="unselectedItemWithNoData" dxfId="80"/>
            <x14:slicerStyleElement type="selectedItemWithData" dxfId="79"/>
            <x14:slicerStyleElement type="hoveredUnselectedItemWithData" dxfId="78"/>
            <x14:slicerStyleElement type="hoveredSelectedItemWithData" dxfId="77"/>
          </x14:slicerStyleElements>
        </x14:slicerStyle>
        <x14:slicerStyle name="Estilo de segmentación de datos 1 2 2 2 3 2 2 5 2 2 2 2 2 11">
          <x14:slicerStyleElements>
            <x14:slicerStyleElement type="unselectedItemWithData" dxfId="76"/>
            <x14:slicerStyleElement type="unselectedItemWithNoData" dxfId="75"/>
            <x14:slicerStyleElement type="selectedItemWithData" dxfId="74"/>
            <x14:slicerStyleElement type="hoveredUnselectedItemWithData" dxfId="73"/>
            <x14:slicerStyleElement type="hoveredSelectedItemWithData" dxfId="72"/>
          </x14:slicerStyleElements>
        </x14:slicerStyle>
        <x14:slicerStyle name="Estilo de segmentación de datos 1 2 2 2 3 2 2 5 2 2 2 2 2 12">
          <x14:slicerStyleElements>
            <x14:slicerStyleElement type="unselectedItemWithData" dxfId="71"/>
            <x14:slicerStyleElement type="unselectedItemWithNoData" dxfId="70"/>
            <x14:slicerStyleElement type="selectedItemWithData" dxfId="69"/>
            <x14:slicerStyleElement type="hoveredUnselectedItemWithData" dxfId="68"/>
            <x14:slicerStyleElement type="hoveredSelectedItemWithData" dxfId="67"/>
          </x14:slicerStyleElements>
        </x14:slicerStyle>
        <x14:slicerStyle name="Estilo de segmentación de datos 1 2 2 2 3 2 2 5 2 2 2 2 2 13">
          <x14:slicerStyleElements>
            <x14:slicerStyleElement type="unselectedItemWithData" dxfId="66"/>
            <x14:slicerStyleElement type="unselectedItemWithNoData" dxfId="65"/>
            <x14:slicerStyleElement type="selectedItemWithData" dxfId="64"/>
            <x14:slicerStyleElement type="hoveredUnselectedItemWithData" dxfId="63"/>
            <x14:slicerStyleElement type="hoveredSelectedItemWithData" dxfId="62"/>
          </x14:slicerStyleElements>
        </x14:slicerStyle>
        <x14:slicerStyle name="Estilo de segmentación de datos 1 2 2 2 3 2 2 5 2 2 2 2 2 14">
          <x14:slicerStyleElements>
            <x14:slicerStyleElement type="unselectedItemWithData" dxfId="61"/>
            <x14:slicerStyleElement type="unselectedItemWithNoData" dxfId="60"/>
            <x14:slicerStyleElement type="selectedItemWithData" dxfId="59"/>
            <x14:slicerStyleElement type="hoveredUnselectedItemWithData" dxfId="58"/>
            <x14:slicerStyleElement type="hoveredSelectedItemWithData" dxfId="57"/>
          </x14:slicerStyleElements>
        </x14:slicerStyle>
        <x14:slicerStyle name="Estilo de segmentación de datos 1 2 2 2 3 2 2 5 2 2 2 2 2 15">
          <x14:slicerStyleElements>
            <x14:slicerStyleElement type="unselectedItemWithData" dxfId="56"/>
            <x14:slicerStyleElement type="unselectedItemWithNoData" dxfId="55"/>
            <x14:slicerStyleElement type="selectedItemWithData" dxfId="54"/>
            <x14:slicerStyleElement type="hoveredUnselectedItemWithData" dxfId="53"/>
            <x14:slicerStyleElement type="hoveredSelectedItemWithData" dxfId="52"/>
          </x14:slicerStyleElements>
        </x14:slicerStyle>
        <x14:slicerStyle name="Estilo de segmentación de datos 1 2 2 2 3 2 2 5 2 2 2 2 2 2">
          <x14:slicerStyleElements>
            <x14:slicerStyleElement type="unselectedItemWithData" dxfId="51"/>
            <x14:slicerStyleElement type="unselectedItemWithNoData" dxfId="50"/>
            <x14:slicerStyleElement type="selectedItemWithData" dxfId="49"/>
            <x14:slicerStyleElement type="hoveredUnselectedItemWithData" dxfId="48"/>
            <x14:slicerStyleElement type="hoveredSelectedItemWithData" dxfId="47"/>
          </x14:slicerStyleElements>
        </x14:slicerStyle>
        <x14:slicerStyle name="Estilo de segmentación de datos 1 2 2 2 3 2 2 5 2 2 2 2 2 3">
          <x14:slicerStyleElements>
            <x14:slicerStyleElement type="unselectedItemWithData" dxfId="46"/>
            <x14:slicerStyleElement type="unselectedItemWithNoData" dxfId="45"/>
            <x14:slicerStyleElement type="selectedItemWithData" dxfId="44"/>
            <x14:slicerStyleElement type="hoveredUnselectedItemWithData" dxfId="43"/>
            <x14:slicerStyleElement type="hoveredSelectedItemWithData" dxfId="42"/>
          </x14:slicerStyleElements>
        </x14:slicerStyle>
        <x14:slicerStyle name="Estilo de segmentación de datos 1 2 2 2 3 2 2 5 2 2 2 2 2 4">
          <x14:slicerStyleElements>
            <x14:slicerStyleElement type="unselectedItemWithData" dxfId="41"/>
            <x14:slicerStyleElement type="unselectedItemWithNoData" dxfId="40"/>
            <x14:slicerStyleElement type="selectedItemWithData" dxfId="39"/>
            <x14:slicerStyleElement type="hoveredUnselectedItemWithData" dxfId="38"/>
            <x14:slicerStyleElement type="hoveredSelectedItemWithData" dxfId="37"/>
          </x14:slicerStyleElements>
        </x14:slicerStyle>
        <x14:slicerStyle name="Estilo de segmentación de datos 1 2 2 2 3 2 2 5 2 2 2 2 2 5">
          <x14:slicerStyleElements>
            <x14:slicerStyleElement type="unselectedItemWithData" dxfId="36"/>
            <x14:slicerStyleElement type="unselectedItemWithNoData" dxfId="35"/>
            <x14:slicerStyleElement type="selectedItemWithData" dxfId="34"/>
            <x14:slicerStyleElement type="hoveredUnselectedItemWithData" dxfId="33"/>
            <x14:slicerStyleElement type="hoveredSelectedItemWithData" dxfId="32"/>
          </x14:slicerStyleElements>
        </x14:slicerStyle>
        <x14:slicerStyle name="Estilo de segmentación de datos 1 2 2 2 3 2 2 5 2 2 2 2 2 6">
          <x14:slicerStyleElements>
            <x14:slicerStyleElement type="unselectedItemWithData" dxfId="31"/>
            <x14:slicerStyleElement type="unselectedItemWithNoData" dxfId="30"/>
            <x14:slicerStyleElement type="selectedItemWithData" dxfId="29"/>
            <x14:slicerStyleElement type="hoveredUnselectedItemWithData" dxfId="28"/>
            <x14:slicerStyleElement type="hoveredSelectedItemWithData" dxfId="27"/>
          </x14:slicerStyleElements>
        </x14:slicerStyle>
        <x14:slicerStyle name="Estilo de segmentación de datos 1 2 2 2 3 2 2 5 2 2 2 2 2 7">
          <x14:slicerStyleElements>
            <x14:slicerStyleElement type="unselectedItemWithData" dxfId="26"/>
            <x14:slicerStyleElement type="unselectedItemWithNoData" dxfId="25"/>
            <x14:slicerStyleElement type="selectedItemWithData" dxfId="24"/>
            <x14:slicerStyleElement type="hoveredUnselectedItemWithData" dxfId="23"/>
            <x14:slicerStyleElement type="hoveredSelectedItemWithData" dxfId="22"/>
          </x14:slicerStyleElements>
        </x14:slicerStyle>
        <x14:slicerStyle name="Estilo de segmentación de datos 1 2 2 2 3 2 2 5 2 2 2 2 2 8">
          <x14:slicerStyleElements>
            <x14:slicerStyleElement type="unselectedItemWithData" dxfId="21"/>
            <x14:slicerStyleElement type="unselectedItemWithNoData" dxfId="20"/>
            <x14:slicerStyleElement type="selectedItemWithData" dxfId="19"/>
            <x14:slicerStyleElement type="hoveredUnselectedItemWithData" dxfId="18"/>
            <x14:slicerStyleElement type="hoveredSelectedItemWithData" dxfId="17"/>
          </x14:slicerStyleElements>
        </x14:slicerStyle>
        <x14:slicerStyle name="Estilo de segmentación de datos 1 2 2 2 3 2 2 5 2 2 2 2 2 9">
          <x14:slicerStyleElements>
            <x14:slicerStyleElement type="unselectedItemWithData" dxfId="16"/>
            <x14:slicerStyleElement type="unselectedItemWithNoData" dxfId="15"/>
            <x14:slicerStyleElement type="selectedItemWithData" dxfId="14"/>
            <x14:slicerStyleElement type="hoveredUnselectedItemWithData" dxfId="13"/>
            <x14:slicerStyleElement type="hoveredSelectedItemWithData" dxfId="12"/>
          </x14:slicerStyleElements>
        </x14:slicerStyle>
        <x14:slicerStyle name="Estilo de segmentación de datos 1 2 2 2 3 2 2 5 3">
          <x14:slicerStyleElements>
            <x14:slicerStyleElement type="selectedItemWithData" dxfId="11"/>
            <x14:slicerStyleElement type="hoveredUnselectedItemWithData" dxfId="10"/>
            <x14:slicerStyleElement type="hoveredSelectedItemWithData" dxfId="9"/>
          </x14:slicerStyleElements>
        </x14:slicerStyle>
        <x14:slicerStyle name="Estilo de segmentación de datos 1 2 2 2 3 2 2 5 3 2">
          <x14:slicerStyleElements>
            <x14:slicerStyleElement type="selectedItemWithData" dxfId="8"/>
            <x14:slicerStyleElement type="hoveredUnselectedItemWithData" dxfId="7"/>
            <x14:slicerStyleElement type="hoveredSelectedItemWithData" dxfId="6"/>
          </x14:slicerStyleElements>
        </x14:slicerStyle>
        <x14:slicerStyle name="Estilo de segmentación de datos 1 2 2 2 3 2 2 5 3 3">
          <x14:slicerStyleElements>
            <x14:slicerStyleElement type="selectedItemWithData" dxfId="5"/>
            <x14:slicerStyleElement type="hoveredUnselectedItemWithData" dxfId="4"/>
            <x14:slicerStyleElement type="hoveredSelectedItemWithData" dxfId="3"/>
          </x14:slicerStyleElements>
        </x14:slicerStyle>
        <x14:slicerStyle name="Estilo de segmentación de datos 1 2 2 2 3 2 2 5 3 4">
          <x14:slicerStyleElements>
            <x14:slicerStyleElement type="selectedItemWithData" dxfId="2"/>
            <x14:slicerStyleElement type="hoveredUnselectedItemWithData" dxfId="1"/>
            <x14:slicerStyleElement type="hoveredSelectedItemWith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externalLink" Target="externalLinks/externalLink7.xml"/><Relationship Id="rId68" Type="http://schemas.openxmlformats.org/officeDocument/2006/relationships/styles" Target="styles.xml"/><Relationship Id="rId7" Type="http://schemas.openxmlformats.org/officeDocument/2006/relationships/worksheet" Target="worksheets/sheet7.xml"/><Relationship Id="rId71"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externalLink" Target="externalLinks/externalLink2.xml"/><Relationship Id="rId66"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externalLink" Target="externalLinks/externalLink5.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pivotCacheDefinition" Target="pivotCache/pivotCacheDefinition1.xml"/><Relationship Id="rId69"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externalLink" Target="externalLinks/externalLink3.xml"/><Relationship Id="rId67" Type="http://schemas.openxmlformats.org/officeDocument/2006/relationships/connections" Target="connection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externalLink" Target="externalLinks/externalLink6.xml"/><Relationship Id="rId70" Type="http://schemas.openxmlformats.org/officeDocument/2006/relationships/powerPivotData" Target="model/item.data"/><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externalLink" Target="externalLinks/externalLink1.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externalLink" Target="externalLinks/externalLink4.xml"/><Relationship Id="rId65" Type="http://schemas.microsoft.com/office/2007/relationships/slicerCache" Target="slicerCaches/slicerCache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26.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_rels/chart27.xml.rels><?xml version="1.0" encoding="UTF-8" standalone="yes"?>
<Relationships xmlns="http://schemas.openxmlformats.org/package/2006/relationships"><Relationship Id="rId2" Type="http://schemas.microsoft.com/office/2011/relationships/chartColorStyle" Target="colors27.xml"/><Relationship Id="rId1" Type="http://schemas.microsoft.com/office/2011/relationships/chartStyle" Target="style27.xml"/></Relationships>
</file>

<file path=xl/charts/_rels/chart28.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29.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0.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31.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32.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33.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34.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35.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_rels/chart36.xml.rels><?xml version="1.0" encoding="UTF-8" standalone="yes"?>
<Relationships xmlns="http://schemas.openxmlformats.org/package/2006/relationships"><Relationship Id="rId2" Type="http://schemas.microsoft.com/office/2011/relationships/chartColorStyle" Target="colors36.xml"/><Relationship Id="rId1" Type="http://schemas.microsoft.com/office/2011/relationships/chartStyle" Target="style36.xml"/></Relationships>
</file>

<file path=xl/charts/_rels/chart37.xml.rels><?xml version="1.0" encoding="UTF-8" standalone="yes"?>
<Relationships xmlns="http://schemas.openxmlformats.org/package/2006/relationships"><Relationship Id="rId2" Type="http://schemas.microsoft.com/office/2011/relationships/chartColorStyle" Target="colors37.xml"/><Relationship Id="rId1" Type="http://schemas.microsoft.com/office/2011/relationships/chartStyle" Target="style37.xml"/></Relationships>
</file>

<file path=xl/charts/_rels/chart38.xml.rels><?xml version="1.0" encoding="UTF-8" standalone="yes"?>
<Relationships xmlns="http://schemas.openxmlformats.org/package/2006/relationships"><Relationship Id="rId2" Type="http://schemas.microsoft.com/office/2011/relationships/chartColorStyle" Target="colors38.xml"/><Relationship Id="rId1" Type="http://schemas.microsoft.com/office/2011/relationships/chartStyle" Target="style38.xml"/></Relationships>
</file>

<file path=xl/charts/_rels/chart39.xml.rels><?xml version="1.0" encoding="UTF-8" standalone="yes"?>
<Relationships xmlns="http://schemas.openxmlformats.org/package/2006/relationships"><Relationship Id="rId2" Type="http://schemas.microsoft.com/office/2011/relationships/chartColorStyle" Target="colors39.xml"/><Relationship Id="rId1" Type="http://schemas.microsoft.com/office/2011/relationships/chartStyle" Target="style39.xml"/></Relationships>
</file>

<file path=xl/charts/_rels/chart40.xml.rels><?xml version="1.0" encoding="UTF-8" standalone="yes"?>
<Relationships xmlns="http://schemas.openxmlformats.org/package/2006/relationships"><Relationship Id="rId2" Type="http://schemas.microsoft.com/office/2011/relationships/chartColorStyle" Target="colors40.xml"/><Relationship Id="rId1" Type="http://schemas.microsoft.com/office/2011/relationships/chartStyle" Target="style40.xml"/></Relationships>
</file>

<file path=xl/charts/_rels/chart41.xml.rels><?xml version="1.0" encoding="UTF-8" standalone="yes"?>
<Relationships xmlns="http://schemas.openxmlformats.org/package/2006/relationships"><Relationship Id="rId2" Type="http://schemas.microsoft.com/office/2011/relationships/chartColorStyle" Target="colors41.xml"/><Relationship Id="rId1" Type="http://schemas.microsoft.com/office/2011/relationships/chartStyle" Target="style41.xml"/></Relationships>
</file>

<file path=xl/charts/_rels/chart42.xml.rels><?xml version="1.0" encoding="UTF-8" standalone="yes"?>
<Relationships xmlns="http://schemas.openxmlformats.org/package/2006/relationships"><Relationship Id="rId2" Type="http://schemas.microsoft.com/office/2011/relationships/chartColorStyle" Target="colors42.xml"/><Relationship Id="rId1" Type="http://schemas.microsoft.com/office/2011/relationships/chartStyle" Target="style42.xml"/></Relationships>
</file>

<file path=xl/charts/_rels/chart43.xml.rels><?xml version="1.0" encoding="UTF-8" standalone="yes"?>
<Relationships xmlns="http://schemas.openxmlformats.org/package/2006/relationships"><Relationship Id="rId2" Type="http://schemas.microsoft.com/office/2011/relationships/chartColorStyle" Target="colors43.xml"/><Relationship Id="rId1" Type="http://schemas.microsoft.com/office/2011/relationships/chartStyle" Target="style43.xml"/></Relationships>
</file>

<file path=xl/charts/_rels/chart44.xml.rels><?xml version="1.0" encoding="UTF-8" standalone="yes"?>
<Relationships xmlns="http://schemas.openxmlformats.org/package/2006/relationships"><Relationship Id="rId2" Type="http://schemas.microsoft.com/office/2011/relationships/chartColorStyle" Target="colors44.xml"/><Relationship Id="rId1" Type="http://schemas.microsoft.com/office/2011/relationships/chartStyle" Target="style44.xml"/></Relationships>
</file>

<file path=xl/charts/_rels/chart45.xml.rels><?xml version="1.0" encoding="UTF-8" standalone="yes"?>
<Relationships xmlns="http://schemas.openxmlformats.org/package/2006/relationships"><Relationship Id="rId2" Type="http://schemas.microsoft.com/office/2011/relationships/chartColorStyle" Target="colors45.xml"/><Relationship Id="rId1" Type="http://schemas.microsoft.com/office/2011/relationships/chartStyle" Target="style45.xml"/></Relationships>
</file>

<file path=xl/charts/_rels/chart46.xml.rels><?xml version="1.0" encoding="UTF-8" standalone="yes"?>
<Relationships xmlns="http://schemas.openxmlformats.org/package/2006/relationships"><Relationship Id="rId2" Type="http://schemas.microsoft.com/office/2011/relationships/chartColorStyle" Target="colors46.xml"/><Relationship Id="rId1" Type="http://schemas.microsoft.com/office/2011/relationships/chartStyle" Target="style46.xml"/></Relationships>
</file>

<file path=xl/charts/_rels/chart47.xml.rels><?xml version="1.0" encoding="UTF-8" standalone="yes"?>
<Relationships xmlns="http://schemas.openxmlformats.org/package/2006/relationships"><Relationship Id="rId2" Type="http://schemas.microsoft.com/office/2011/relationships/chartColorStyle" Target="colors47.xml"/><Relationship Id="rId1" Type="http://schemas.microsoft.com/office/2011/relationships/chartStyle" Target="style47.xml"/></Relationships>
</file>

<file path=xl/charts/_rels/chart48.xml.rels><?xml version="1.0" encoding="UTF-8" standalone="yes"?>
<Relationships xmlns="http://schemas.openxmlformats.org/package/2006/relationships"><Relationship Id="rId2" Type="http://schemas.microsoft.com/office/2011/relationships/chartColorStyle" Target="colors48.xml"/><Relationship Id="rId1" Type="http://schemas.microsoft.com/office/2011/relationships/chartStyle" Target="style48.xml"/></Relationships>
</file>

<file path=xl/charts/_rels/chart49.xml.rels><?xml version="1.0" encoding="UTF-8" standalone="yes"?>
<Relationships xmlns="http://schemas.openxmlformats.org/package/2006/relationships"><Relationship Id="rId2" Type="http://schemas.microsoft.com/office/2011/relationships/chartColorStyle" Target="colors49.xml"/><Relationship Id="rId1" Type="http://schemas.microsoft.com/office/2011/relationships/chartStyle" Target="style49.xml"/></Relationships>
</file>

<file path=xl/charts/_rels/chart50.xml.rels><?xml version="1.0" encoding="UTF-8" standalone="yes"?>
<Relationships xmlns="http://schemas.openxmlformats.org/package/2006/relationships"><Relationship Id="rId2" Type="http://schemas.microsoft.com/office/2011/relationships/chartColorStyle" Target="colors50.xml"/><Relationship Id="rId1" Type="http://schemas.microsoft.com/office/2011/relationships/chartStyle" Target="style50.xml"/></Relationships>
</file>

<file path=xl/charts/_rels/chart51.xml.rels><?xml version="1.0" encoding="UTF-8" standalone="yes"?>
<Relationships xmlns="http://schemas.openxmlformats.org/package/2006/relationships"><Relationship Id="rId2" Type="http://schemas.microsoft.com/office/2011/relationships/chartColorStyle" Target="colors51.xml"/><Relationship Id="rId1" Type="http://schemas.microsoft.com/office/2011/relationships/chartStyle" Target="style51.xml"/></Relationships>
</file>

<file path=xl/charts/_rels/chart52.xml.rels><?xml version="1.0" encoding="UTF-8" standalone="yes"?>
<Relationships xmlns="http://schemas.openxmlformats.org/package/2006/relationships"><Relationship Id="rId2" Type="http://schemas.microsoft.com/office/2011/relationships/chartColorStyle" Target="colors52.xml"/><Relationship Id="rId1" Type="http://schemas.microsoft.com/office/2011/relationships/chartStyle" Target="style52.xml"/></Relationships>
</file>

<file path=xl/charts/_rels/chart53.xml.rels><?xml version="1.0" encoding="UTF-8" standalone="yes"?>
<Relationships xmlns="http://schemas.openxmlformats.org/package/2006/relationships"><Relationship Id="rId2" Type="http://schemas.microsoft.com/office/2011/relationships/chartColorStyle" Target="colors53.xml"/><Relationship Id="rId1" Type="http://schemas.microsoft.com/office/2011/relationships/chartStyle" Target="style53.xml"/></Relationships>
</file>

<file path=xl/charts/_rels/chart54.xml.rels><?xml version="1.0" encoding="UTF-8" standalone="yes"?>
<Relationships xmlns="http://schemas.openxmlformats.org/package/2006/relationships"><Relationship Id="rId2" Type="http://schemas.microsoft.com/office/2011/relationships/chartColorStyle" Target="colors54.xml"/><Relationship Id="rId1" Type="http://schemas.microsoft.com/office/2011/relationships/chartStyle" Target="style54.xml"/></Relationships>
</file>

<file path=xl/charts/_rels/chart55.xml.rels><?xml version="1.0" encoding="UTF-8" standalone="yes"?>
<Relationships xmlns="http://schemas.openxmlformats.org/package/2006/relationships"><Relationship Id="rId2" Type="http://schemas.microsoft.com/office/2011/relationships/chartColorStyle" Target="colors55.xml"/><Relationship Id="rId1" Type="http://schemas.microsoft.com/office/2011/relationships/chartStyle" Target="style55.xml"/></Relationships>
</file>

<file path=xl/charts/_rels/chart56.xml.rels><?xml version="1.0" encoding="UTF-8" standalone="yes"?>
<Relationships xmlns="http://schemas.openxmlformats.org/package/2006/relationships"><Relationship Id="rId2" Type="http://schemas.microsoft.com/office/2011/relationships/chartColorStyle" Target="colors56.xml"/><Relationship Id="rId1" Type="http://schemas.microsoft.com/office/2011/relationships/chartStyle" Target="style56.xml"/></Relationships>
</file>

<file path=xl/charts/_rels/chart57.xml.rels><?xml version="1.0" encoding="UTF-8" standalone="yes"?>
<Relationships xmlns="http://schemas.openxmlformats.org/package/2006/relationships"><Relationship Id="rId2" Type="http://schemas.microsoft.com/office/2011/relationships/chartColorStyle" Target="colors57.xml"/><Relationship Id="rId1" Type="http://schemas.microsoft.com/office/2011/relationships/chartStyle" Target="style57.xml"/></Relationships>
</file>

<file path=xl/charts/_rels/chart58.xml.rels><?xml version="1.0" encoding="UTF-8" standalone="yes"?>
<Relationships xmlns="http://schemas.openxmlformats.org/package/2006/relationships"><Relationship Id="rId3" Type="http://schemas.openxmlformats.org/officeDocument/2006/relationships/chartUserShapes" Target="../drawings/drawing27.xml"/><Relationship Id="rId2" Type="http://schemas.microsoft.com/office/2011/relationships/chartColorStyle" Target="colors58.xml"/><Relationship Id="rId1" Type="http://schemas.microsoft.com/office/2011/relationships/chartStyle" Target="style58.xml"/></Relationships>
</file>

<file path=xl/charts/_rels/chart59.xml.rels><?xml version="1.0" encoding="UTF-8" standalone="yes"?>
<Relationships xmlns="http://schemas.openxmlformats.org/package/2006/relationships"><Relationship Id="rId2" Type="http://schemas.microsoft.com/office/2011/relationships/chartColorStyle" Target="colors59.xml"/><Relationship Id="rId1" Type="http://schemas.microsoft.com/office/2011/relationships/chartStyle" Target="style59.xml"/></Relationships>
</file>

<file path=xl/charts/_rels/chart60.xml.rels><?xml version="1.0" encoding="UTF-8" standalone="yes"?>
<Relationships xmlns="http://schemas.openxmlformats.org/package/2006/relationships"><Relationship Id="rId2" Type="http://schemas.microsoft.com/office/2011/relationships/chartColorStyle" Target="colors60.xml"/><Relationship Id="rId1" Type="http://schemas.microsoft.com/office/2011/relationships/chartStyle" Target="style60.xml"/></Relationships>
</file>

<file path=xl/charts/_rels/chart61.xml.rels><?xml version="1.0" encoding="UTF-8" standalone="yes"?>
<Relationships xmlns="http://schemas.openxmlformats.org/package/2006/relationships"><Relationship Id="rId2" Type="http://schemas.microsoft.com/office/2011/relationships/chartColorStyle" Target="colors61.xml"/><Relationship Id="rId1" Type="http://schemas.microsoft.com/office/2011/relationships/chartStyle" Target="style61.xml"/></Relationships>
</file>

<file path=xl/charts/_rels/chart62.xml.rels><?xml version="1.0" encoding="UTF-8" standalone="yes"?>
<Relationships xmlns="http://schemas.openxmlformats.org/package/2006/relationships"><Relationship Id="rId3" Type="http://schemas.openxmlformats.org/officeDocument/2006/relationships/chartUserShapes" Target="../drawings/drawing32.xml"/><Relationship Id="rId2" Type="http://schemas.microsoft.com/office/2011/relationships/chartColorStyle" Target="colors62.xml"/><Relationship Id="rId1" Type="http://schemas.microsoft.com/office/2011/relationships/chartStyle" Target="style62.xml"/></Relationships>
</file>

<file path=xl/charts/_rels/chart63.xml.rels><?xml version="1.0" encoding="UTF-8" standalone="yes"?>
<Relationships xmlns="http://schemas.openxmlformats.org/package/2006/relationships"><Relationship Id="rId2" Type="http://schemas.microsoft.com/office/2011/relationships/chartColorStyle" Target="colors63.xml"/><Relationship Id="rId1" Type="http://schemas.microsoft.com/office/2011/relationships/chartStyle" Target="style63.xml"/></Relationships>
</file>

<file path=xl/charts/_rels/chart64.xml.rels><?xml version="1.0" encoding="UTF-8" standalone="yes"?>
<Relationships xmlns="http://schemas.openxmlformats.org/package/2006/relationships"><Relationship Id="rId2" Type="http://schemas.microsoft.com/office/2011/relationships/chartColorStyle" Target="colors64.xml"/><Relationship Id="rId1" Type="http://schemas.microsoft.com/office/2011/relationships/chartStyle" Target="style64.xml"/></Relationships>
</file>

<file path=xl/charts/_rels/chart65.xml.rels><?xml version="1.0" encoding="UTF-8" standalone="yes"?>
<Relationships xmlns="http://schemas.openxmlformats.org/package/2006/relationships"><Relationship Id="rId2" Type="http://schemas.microsoft.com/office/2011/relationships/chartColorStyle" Target="colors65.xml"/><Relationship Id="rId1" Type="http://schemas.microsoft.com/office/2011/relationships/chartStyle" Target="style65.xml"/></Relationships>
</file>

<file path=xl/charts/_rels/chart66.xml.rels><?xml version="1.0" encoding="UTF-8" standalone="yes"?>
<Relationships xmlns="http://schemas.openxmlformats.org/package/2006/relationships"><Relationship Id="rId3" Type="http://schemas.openxmlformats.org/officeDocument/2006/relationships/chartUserShapes" Target="../drawings/drawing37.xml"/><Relationship Id="rId2" Type="http://schemas.microsoft.com/office/2011/relationships/chartColorStyle" Target="colors66.xml"/><Relationship Id="rId1" Type="http://schemas.microsoft.com/office/2011/relationships/chartStyle" Target="style66.xml"/></Relationships>
</file>

<file path=xl/charts/_rels/chart67.xml.rels><?xml version="1.0" encoding="UTF-8" standalone="yes"?>
<Relationships xmlns="http://schemas.openxmlformats.org/package/2006/relationships"><Relationship Id="rId2" Type="http://schemas.microsoft.com/office/2011/relationships/chartColorStyle" Target="colors67.xml"/><Relationship Id="rId1" Type="http://schemas.microsoft.com/office/2011/relationships/chartStyle" Target="style67.xml"/></Relationships>
</file>

<file path=xl/charts/_rels/chart68.xml.rels><?xml version="1.0" encoding="UTF-8" standalone="yes"?>
<Relationships xmlns="http://schemas.openxmlformats.org/package/2006/relationships"><Relationship Id="rId3" Type="http://schemas.openxmlformats.org/officeDocument/2006/relationships/chartUserShapes" Target="../drawings/drawing39.xml"/><Relationship Id="rId2" Type="http://schemas.microsoft.com/office/2011/relationships/chartColorStyle" Target="colors68.xml"/><Relationship Id="rId1" Type="http://schemas.microsoft.com/office/2011/relationships/chartStyle" Target="style68.xml"/></Relationships>
</file>

<file path=xl/charts/_rels/chart69.xml.rels><?xml version="1.0" encoding="UTF-8" standalone="yes"?>
<Relationships xmlns="http://schemas.openxmlformats.org/package/2006/relationships"><Relationship Id="rId3" Type="http://schemas.openxmlformats.org/officeDocument/2006/relationships/chartUserShapes" Target="../drawings/drawing40.xml"/><Relationship Id="rId2" Type="http://schemas.microsoft.com/office/2011/relationships/chartColorStyle" Target="colors69.xml"/><Relationship Id="rId1" Type="http://schemas.microsoft.com/office/2011/relationships/chartStyle" Target="style69.xml"/></Relationships>
</file>

<file path=xl/charts/_rels/chart70.xml.rels><?xml version="1.0" encoding="UTF-8" standalone="yes"?>
<Relationships xmlns="http://schemas.openxmlformats.org/package/2006/relationships"><Relationship Id="rId2" Type="http://schemas.microsoft.com/office/2011/relationships/chartColorStyle" Target="colors70.xml"/><Relationship Id="rId1" Type="http://schemas.microsoft.com/office/2011/relationships/chartStyle" Target="style70.xml"/></Relationships>
</file>

<file path=xl/charts/_rels/chart71.xml.rels><?xml version="1.0" encoding="UTF-8" standalone="yes"?>
<Relationships xmlns="http://schemas.openxmlformats.org/package/2006/relationships"><Relationship Id="rId3" Type="http://schemas.openxmlformats.org/officeDocument/2006/relationships/chartUserShapes" Target="../drawings/drawing43.xml"/><Relationship Id="rId2" Type="http://schemas.microsoft.com/office/2011/relationships/chartColorStyle" Target="colors71.xml"/><Relationship Id="rId1" Type="http://schemas.microsoft.com/office/2011/relationships/chartStyle" Target="style71.xml"/></Relationships>
</file>

<file path=xl/charts/_rels/chart72.xml.rels><?xml version="1.0" encoding="UTF-8" standalone="yes"?>
<Relationships xmlns="http://schemas.openxmlformats.org/package/2006/relationships"><Relationship Id="rId3" Type="http://schemas.openxmlformats.org/officeDocument/2006/relationships/chartUserShapes" Target="../drawings/drawing45.xml"/><Relationship Id="rId2" Type="http://schemas.microsoft.com/office/2011/relationships/chartColorStyle" Target="colors72.xml"/><Relationship Id="rId1" Type="http://schemas.microsoft.com/office/2011/relationships/chartStyle" Target="style72.xml"/></Relationships>
</file>

<file path=xl/charts/_rels/chart73.xml.rels><?xml version="1.0" encoding="UTF-8" standalone="yes"?>
<Relationships xmlns="http://schemas.openxmlformats.org/package/2006/relationships"><Relationship Id="rId3" Type="http://schemas.openxmlformats.org/officeDocument/2006/relationships/chartUserShapes" Target="../drawings/drawing46.xml"/><Relationship Id="rId2" Type="http://schemas.microsoft.com/office/2011/relationships/chartColorStyle" Target="colors73.xml"/><Relationship Id="rId1" Type="http://schemas.microsoft.com/office/2011/relationships/chartStyle" Target="style73.xml"/></Relationships>
</file>

<file path=xl/charts/_rels/chart74.xml.rels><?xml version="1.0" encoding="UTF-8" standalone="yes"?>
<Relationships xmlns="http://schemas.openxmlformats.org/package/2006/relationships"><Relationship Id="rId3" Type="http://schemas.openxmlformats.org/officeDocument/2006/relationships/chartUserShapes" Target="../drawings/drawing48.xml"/><Relationship Id="rId2" Type="http://schemas.microsoft.com/office/2011/relationships/chartColorStyle" Target="colors74.xml"/><Relationship Id="rId1" Type="http://schemas.microsoft.com/office/2011/relationships/chartStyle" Target="style74.xml"/></Relationships>
</file>

<file path=xl/charts/_rels/chart75.xml.rels><?xml version="1.0" encoding="UTF-8" standalone="yes"?>
<Relationships xmlns="http://schemas.openxmlformats.org/package/2006/relationships"><Relationship Id="rId3" Type="http://schemas.openxmlformats.org/officeDocument/2006/relationships/chartUserShapes" Target="../drawings/drawing50.xml"/><Relationship Id="rId2" Type="http://schemas.microsoft.com/office/2011/relationships/chartColorStyle" Target="colors75.xml"/><Relationship Id="rId1" Type="http://schemas.microsoft.com/office/2011/relationships/chartStyle" Target="style75.xml"/></Relationships>
</file>

<file path=xl/charts/_rels/chart76.xml.rels><?xml version="1.0" encoding="UTF-8" standalone="yes"?>
<Relationships xmlns="http://schemas.openxmlformats.org/package/2006/relationships"><Relationship Id="rId3" Type="http://schemas.openxmlformats.org/officeDocument/2006/relationships/chartUserShapes" Target="../drawings/drawing52.xml"/><Relationship Id="rId2" Type="http://schemas.microsoft.com/office/2011/relationships/chartColorStyle" Target="colors76.xml"/><Relationship Id="rId1" Type="http://schemas.microsoft.com/office/2011/relationships/chartStyle" Target="style76.xml"/></Relationships>
</file>

<file path=xl/charts/_rels/chart77.xml.rels><?xml version="1.0" encoding="UTF-8" standalone="yes"?>
<Relationships xmlns="http://schemas.openxmlformats.org/package/2006/relationships"><Relationship Id="rId3" Type="http://schemas.openxmlformats.org/officeDocument/2006/relationships/chartUserShapes" Target="../drawings/drawing54.xml"/><Relationship Id="rId2" Type="http://schemas.microsoft.com/office/2011/relationships/chartColorStyle" Target="colors77.xml"/><Relationship Id="rId1" Type="http://schemas.microsoft.com/office/2011/relationships/chartStyle" Target="style77.xml"/></Relationships>
</file>

<file path=xl/charts/_rels/chart78.xml.rels><?xml version="1.0" encoding="UTF-8" standalone="yes"?>
<Relationships xmlns="http://schemas.openxmlformats.org/package/2006/relationships"><Relationship Id="rId3" Type="http://schemas.openxmlformats.org/officeDocument/2006/relationships/chartUserShapes" Target="../drawings/drawing56.xml"/><Relationship Id="rId2" Type="http://schemas.microsoft.com/office/2011/relationships/chartColorStyle" Target="colors78.xml"/><Relationship Id="rId1" Type="http://schemas.microsoft.com/office/2011/relationships/chartStyle" Target="style7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Histórico de Llegadas internacionales de turistas no residentes al DMQ (#)</a:t>
            </a:r>
            <a:endParaRPr lang="es-EC"/>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barChart>
        <c:barDir val="col"/>
        <c:grouping val="clustered"/>
        <c:varyColors val="0"/>
        <c:ser>
          <c:idx val="0"/>
          <c:order val="0"/>
          <c:tx>
            <c:v>Llegadas</c:v>
          </c:tx>
          <c:spPr>
            <a:solidFill>
              <a:schemeClr val="accent6"/>
            </a:solidFill>
            <a:ln>
              <a:noFill/>
            </a:ln>
            <a:effectLst/>
          </c:spPr>
          <c:invertIfNegative val="0"/>
          <c:dLbls>
            <c:spPr>
              <a:solidFill>
                <a:schemeClr val="lt1"/>
              </a:solidFill>
              <a:ln w="25400" cap="flat" cmpd="sng" algn="ctr">
                <a:solidFill>
                  <a:schemeClr val="accent6"/>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'Llegadas '!$E$3:$Q$3</c:f>
              <c:strCache>
                <c:ptCount val="5"/>
                <c:pt idx="0">
                  <c:v>2018</c:v>
                </c:pt>
                <c:pt idx="1">
                  <c:v>2019</c:v>
                </c:pt>
                <c:pt idx="2">
                  <c:v>2020</c:v>
                </c:pt>
                <c:pt idx="3">
                  <c:v>2021</c:v>
                </c:pt>
                <c:pt idx="4">
                  <c:v>2022 (e)</c:v>
                </c:pt>
              </c:strCache>
            </c:strRef>
          </c:cat>
          <c:val>
            <c:numRef>
              <c:f>'Llegadas '!$E$16:$Q$16</c:f>
              <c:numCache>
                <c:formatCode>#,##0</c:formatCode>
                <c:ptCount val="5"/>
                <c:pt idx="0">
                  <c:v>692492</c:v>
                </c:pt>
                <c:pt idx="1">
                  <c:v>684390</c:v>
                </c:pt>
                <c:pt idx="2">
                  <c:v>190417</c:v>
                </c:pt>
                <c:pt idx="3">
                  <c:v>280996</c:v>
                </c:pt>
                <c:pt idx="4">
                  <c:v>380996</c:v>
                </c:pt>
              </c:numCache>
            </c:numRef>
          </c:val>
          <c:extLst>
            <c:ext xmlns:c16="http://schemas.microsoft.com/office/drawing/2014/chart" uri="{C3380CC4-5D6E-409C-BE32-E72D297353CC}">
              <c16:uniqueId val="{00000000-7496-4383-B22D-CF7B1634300D}"/>
            </c:ext>
          </c:extLst>
        </c:ser>
        <c:dLbls>
          <c:showLegendKey val="0"/>
          <c:showVal val="1"/>
          <c:showCatName val="0"/>
          <c:showSerName val="0"/>
          <c:showPercent val="0"/>
          <c:showBubbleSize val="0"/>
        </c:dLbls>
        <c:gapWidth val="150"/>
        <c:overlap val="-25"/>
        <c:axId val="1799661376"/>
        <c:axId val="1799662208"/>
      </c:barChart>
      <c:lineChart>
        <c:grouping val="standard"/>
        <c:varyColors val="0"/>
        <c:ser>
          <c:idx val="1"/>
          <c:order val="1"/>
          <c:tx>
            <c:v>Variación Interanual</c:v>
          </c:tx>
          <c:spPr>
            <a:ln w="28575" cap="rnd">
              <a:solidFill>
                <a:schemeClr val="accent5"/>
              </a:solidFill>
              <a:round/>
            </a:ln>
            <a:effectLst/>
          </c:spPr>
          <c:marker>
            <c:symbol val="none"/>
          </c:marker>
          <c:dLbls>
            <c:spPr>
              <a:solidFill>
                <a:schemeClr val="lt1"/>
              </a:solidFill>
              <a:ln w="25400" cap="flat" cmpd="sng" algn="ctr">
                <a:solidFill>
                  <a:schemeClr val="accent5"/>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'Llegadas '!$E$20:$Q$20</c:f>
              <c:numCache>
                <c:formatCode>0.0%</c:formatCode>
                <c:ptCount val="5"/>
                <c:pt idx="0">
                  <c:v>6.0589863247418219E-2</c:v>
                </c:pt>
                <c:pt idx="1">
                  <c:v>-1.1699774149015463E-2</c:v>
                </c:pt>
                <c:pt idx="2">
                  <c:v>-0.72177121232046049</c:v>
                </c:pt>
                <c:pt idx="3">
                  <c:v>0.47568756991235017</c:v>
                </c:pt>
                <c:pt idx="4">
                  <c:v>0.35587695198508174</c:v>
                </c:pt>
              </c:numCache>
            </c:numRef>
          </c:val>
          <c:smooth val="0"/>
          <c:extLst>
            <c:ext xmlns:c16="http://schemas.microsoft.com/office/drawing/2014/chart" uri="{C3380CC4-5D6E-409C-BE32-E72D297353CC}">
              <c16:uniqueId val="{00000000-B39F-438D-9DCF-9F770260630F}"/>
            </c:ext>
          </c:extLst>
        </c:ser>
        <c:dLbls>
          <c:showLegendKey val="0"/>
          <c:showVal val="1"/>
          <c:showCatName val="0"/>
          <c:showSerName val="0"/>
          <c:showPercent val="0"/>
          <c:showBubbleSize val="0"/>
        </c:dLbls>
        <c:marker val="1"/>
        <c:smooth val="0"/>
        <c:axId val="1060182272"/>
        <c:axId val="1060175200"/>
      </c:lineChart>
      <c:catAx>
        <c:axId val="17996613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799662208"/>
        <c:crosses val="autoZero"/>
        <c:auto val="1"/>
        <c:lblAlgn val="ctr"/>
        <c:lblOffset val="100"/>
        <c:noMultiLvlLbl val="0"/>
      </c:catAx>
      <c:valAx>
        <c:axId val="1799662208"/>
        <c:scaling>
          <c:orientation val="minMax"/>
          <c:max val="720000"/>
          <c:min val="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799661376"/>
        <c:crosses val="autoZero"/>
        <c:crossBetween val="between"/>
        <c:majorUnit val="100000"/>
      </c:valAx>
      <c:valAx>
        <c:axId val="1060175200"/>
        <c:scaling>
          <c:orientation val="minMax"/>
        </c:scaling>
        <c:delete val="0"/>
        <c:axPos val="r"/>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060182272"/>
        <c:crosses val="max"/>
        <c:crossBetween val="between"/>
      </c:valAx>
      <c:catAx>
        <c:axId val="1060182272"/>
        <c:scaling>
          <c:orientation val="minMax"/>
        </c:scaling>
        <c:delete val="1"/>
        <c:axPos val="b"/>
        <c:majorTickMark val="none"/>
        <c:minorTickMark val="none"/>
        <c:tickLblPos val="nextTo"/>
        <c:crossAx val="1060175200"/>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Llegadas</a:t>
            </a:r>
            <a:r>
              <a:rPr lang="es-EC" baseline="0"/>
              <a:t> de visitantes internacionales no residentes al DMQ (#)</a:t>
            </a:r>
            <a:endParaRPr lang="es-EC"/>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5.2971249811926378E-2"/>
          <c:y val="0.15774818401937049"/>
          <c:w val="0.93906696674858314"/>
          <c:h val="0.6522865785844566"/>
        </c:manualLayout>
      </c:layout>
      <c:barChart>
        <c:barDir val="col"/>
        <c:grouping val="clustered"/>
        <c:varyColors val="0"/>
        <c:ser>
          <c:idx val="6"/>
          <c:order val="0"/>
          <c:tx>
            <c:strRef>
              <c:f>'Llegadas '!$J$3</c:f>
              <c:strCache>
                <c:ptCount val="1"/>
                <c:pt idx="0">
                  <c:v>2015</c:v>
                </c:pt>
              </c:strCache>
            </c:strRef>
          </c:tx>
          <c:spPr>
            <a:solidFill>
              <a:schemeClr val="accent1">
                <a:lumMod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'Llegadas '!$J$4:$J$15</c:f>
            </c:numRef>
          </c:val>
          <c:extLst>
            <c:ext xmlns:c16="http://schemas.microsoft.com/office/drawing/2014/chart" uri="{C3380CC4-5D6E-409C-BE32-E72D297353CC}">
              <c16:uniqueId val="{00000002-60B1-4B3E-BF7E-02FCA6A01D91}"/>
            </c:ext>
          </c:extLst>
        </c:ser>
        <c:ser>
          <c:idx val="5"/>
          <c:order val="1"/>
          <c:tx>
            <c:strRef>
              <c:f>'Llegadas '!$K$3</c:f>
              <c:strCache>
                <c:ptCount val="1"/>
                <c:pt idx="0">
                  <c:v>2016</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'Llegadas '!$K$4:$K$15</c:f>
            </c:numRef>
          </c:val>
          <c:extLst>
            <c:ext xmlns:c16="http://schemas.microsoft.com/office/drawing/2014/chart" uri="{C3380CC4-5D6E-409C-BE32-E72D297353CC}">
              <c16:uniqueId val="{00000001-60B1-4B3E-BF7E-02FCA6A01D91}"/>
            </c:ext>
          </c:extLst>
        </c:ser>
        <c:ser>
          <c:idx val="0"/>
          <c:order val="2"/>
          <c:tx>
            <c:strRef>
              <c:f>'Llegadas '!$L$3</c:f>
              <c:strCache>
                <c:ptCount val="1"/>
                <c:pt idx="0">
                  <c:v>2017</c:v>
                </c:pt>
              </c:strCache>
            </c:strRef>
          </c:tx>
          <c:spPr>
            <a:solidFill>
              <a:schemeClr val="accent1"/>
            </a:solidFill>
            <a:ln>
              <a:noFill/>
            </a:ln>
            <a:effectLst/>
          </c:spPr>
          <c:invertIfNegative val="0"/>
          <c:dLbls>
            <c:dLbl>
              <c:idx val="3"/>
              <c:layout>
                <c:manualLayout>
                  <c:x val="-3.0331155858702424E-2"/>
                  <c:y val="-0.10356141922937595"/>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7FF1-4305-A62F-199356D4C05D}"/>
                </c:ext>
              </c:extLst>
            </c:dLbl>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6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'Llegadas '!$A$4:$A$15</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'Llegadas '!$L$4:$L$15</c:f>
            </c:numRef>
          </c:val>
          <c:extLst>
            <c:ext xmlns:c16="http://schemas.microsoft.com/office/drawing/2014/chart" uri="{C3380CC4-5D6E-409C-BE32-E72D297353CC}">
              <c16:uniqueId val="{00000000-7FF1-4305-A62F-199356D4C05D}"/>
            </c:ext>
          </c:extLst>
        </c:ser>
        <c:dLbls>
          <c:showLegendKey val="0"/>
          <c:showVal val="1"/>
          <c:showCatName val="0"/>
          <c:showSerName val="0"/>
          <c:showPercent val="0"/>
          <c:showBubbleSize val="0"/>
        </c:dLbls>
        <c:gapWidth val="150"/>
        <c:axId val="114516608"/>
        <c:axId val="114537408"/>
      </c:barChart>
      <c:barChart>
        <c:barDir val="col"/>
        <c:grouping val="clustered"/>
        <c:varyColors val="0"/>
        <c:ser>
          <c:idx val="1"/>
          <c:order val="3"/>
          <c:tx>
            <c:strRef>
              <c:f>'Llegadas '!$M$3</c:f>
              <c:strCache>
                <c:ptCount val="1"/>
                <c:pt idx="0">
                  <c:v>2018</c:v>
                </c:pt>
              </c:strCache>
            </c:strRef>
          </c:tx>
          <c:spPr>
            <a:solidFill>
              <a:schemeClr val="accent2"/>
            </a:solidFill>
            <a:ln>
              <a:noFill/>
            </a:ln>
            <a:effectLst/>
          </c:spPr>
          <c:invertIfNegative val="0"/>
          <c:dLbls>
            <c:dLbl>
              <c:idx val="3"/>
              <c:layout>
                <c:manualLayout>
                  <c:x val="-1.4643098951803048E-2"/>
                  <c:y val="0.14732639352284346"/>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FF1-4305-A62F-199356D4C05D}"/>
                </c:ext>
              </c:extLst>
            </c:dLbl>
            <c:spPr>
              <a:solidFill>
                <a:schemeClr val="lt1"/>
              </a:solidFill>
              <a:ln w="25400" cap="flat" cmpd="sng" algn="ctr">
                <a:solidFill>
                  <a:schemeClr val="accent2"/>
                </a:solidFill>
                <a:prstDash val="solid"/>
              </a:ln>
              <a:effectLst/>
            </c:spPr>
            <c:txPr>
              <a:bodyPr rot="0" spcFirstLastPara="1" vertOverflow="ellipsis" vert="horz" wrap="square" lIns="38100" tIns="19050" rIns="38100" bIns="19050" anchor="ctr" anchorCtr="1">
                <a:spAutoFit/>
              </a:bodyPr>
              <a:lstStyle/>
              <a:p>
                <a:pPr>
                  <a:defRPr sz="6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'Llegadas '!$A$4:$A$15</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'Llegadas '!$M$4:$M$15</c:f>
              <c:numCache>
                <c:formatCode>#,##0</c:formatCode>
                <c:ptCount val="12"/>
                <c:pt idx="0">
                  <c:v>53007</c:v>
                </c:pt>
                <c:pt idx="1">
                  <c:v>52567</c:v>
                </c:pt>
                <c:pt idx="2">
                  <c:v>58154</c:v>
                </c:pt>
                <c:pt idx="3">
                  <c:v>47644</c:v>
                </c:pt>
                <c:pt idx="4">
                  <c:v>53921</c:v>
                </c:pt>
                <c:pt idx="5">
                  <c:v>70620</c:v>
                </c:pt>
                <c:pt idx="6">
                  <c:v>72893</c:v>
                </c:pt>
                <c:pt idx="7">
                  <c:v>54375</c:v>
                </c:pt>
                <c:pt idx="8">
                  <c:v>50018</c:v>
                </c:pt>
                <c:pt idx="9">
                  <c:v>53057</c:v>
                </c:pt>
                <c:pt idx="10">
                  <c:v>54720</c:v>
                </c:pt>
                <c:pt idx="11">
                  <c:v>71516</c:v>
                </c:pt>
              </c:numCache>
            </c:numRef>
          </c:val>
          <c:extLst>
            <c:ext xmlns:c16="http://schemas.microsoft.com/office/drawing/2014/chart" uri="{C3380CC4-5D6E-409C-BE32-E72D297353CC}">
              <c16:uniqueId val="{00000001-7FF1-4305-A62F-199356D4C05D}"/>
            </c:ext>
          </c:extLst>
        </c:ser>
        <c:ser>
          <c:idx val="2"/>
          <c:order val="4"/>
          <c:tx>
            <c:strRef>
              <c:f>'Llegadas '!$N$3</c:f>
              <c:strCache>
                <c:ptCount val="1"/>
                <c:pt idx="0">
                  <c:v>2019</c:v>
                </c:pt>
              </c:strCache>
            </c:strRef>
          </c:tx>
          <c:spPr>
            <a:solidFill>
              <a:schemeClr val="accent3"/>
            </a:solidFill>
            <a:ln>
              <a:noFill/>
            </a:ln>
            <a:effectLst/>
          </c:spPr>
          <c:invertIfNegative val="0"/>
          <c:dLbls>
            <c:dLbl>
              <c:idx val="3"/>
              <c:layout>
                <c:manualLayout>
                  <c:x val="-1.373459885985638E-3"/>
                  <c:y val="-0.15937255724390384"/>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FF1-4305-A62F-199356D4C05D}"/>
                </c:ext>
              </c:extLst>
            </c:dLbl>
            <c:spPr>
              <a:solidFill>
                <a:schemeClr val="lt1"/>
              </a:solidFill>
              <a:ln w="25400" cap="flat" cmpd="sng" algn="ctr">
                <a:solidFill>
                  <a:schemeClr val="accent3"/>
                </a:solidFill>
                <a:prstDash val="solid"/>
              </a:ln>
              <a:effectLst/>
            </c:spPr>
            <c:txPr>
              <a:bodyPr rot="0" spcFirstLastPara="1" vertOverflow="ellipsis" vert="horz" wrap="square" lIns="38100" tIns="19050" rIns="38100" bIns="19050" anchor="ctr" anchorCtr="1">
                <a:spAutoFit/>
              </a:bodyPr>
              <a:lstStyle/>
              <a:p>
                <a:pPr>
                  <a:defRPr sz="6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'Llegadas '!$A$4:$A$15</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'Llegadas '!$N$4:$N$15</c:f>
              <c:numCache>
                <c:formatCode>#,##0</c:formatCode>
                <c:ptCount val="12"/>
                <c:pt idx="0">
                  <c:v>52978</c:v>
                </c:pt>
                <c:pt idx="1">
                  <c:v>51944</c:v>
                </c:pt>
                <c:pt idx="2">
                  <c:v>54670</c:v>
                </c:pt>
                <c:pt idx="3">
                  <c:v>53311</c:v>
                </c:pt>
                <c:pt idx="4">
                  <c:v>53992</c:v>
                </c:pt>
                <c:pt idx="5">
                  <c:v>70733</c:v>
                </c:pt>
                <c:pt idx="6">
                  <c:v>76918</c:v>
                </c:pt>
                <c:pt idx="7">
                  <c:v>57411</c:v>
                </c:pt>
                <c:pt idx="8">
                  <c:v>52806</c:v>
                </c:pt>
                <c:pt idx="9">
                  <c:v>42426</c:v>
                </c:pt>
                <c:pt idx="10">
                  <c:v>52993</c:v>
                </c:pt>
                <c:pt idx="11">
                  <c:v>64208</c:v>
                </c:pt>
              </c:numCache>
            </c:numRef>
          </c:val>
          <c:extLst>
            <c:ext xmlns:c16="http://schemas.microsoft.com/office/drawing/2014/chart" uri="{C3380CC4-5D6E-409C-BE32-E72D297353CC}">
              <c16:uniqueId val="{00000002-7FF1-4305-A62F-199356D4C05D}"/>
            </c:ext>
          </c:extLst>
        </c:ser>
        <c:ser>
          <c:idx val="3"/>
          <c:order val="5"/>
          <c:tx>
            <c:strRef>
              <c:f>'Llegadas '!$O$3</c:f>
              <c:strCache>
                <c:ptCount val="1"/>
                <c:pt idx="0">
                  <c:v>2020</c:v>
                </c:pt>
              </c:strCache>
            </c:strRef>
          </c:tx>
          <c:spPr>
            <a:solidFill>
              <a:schemeClr val="accent4"/>
            </a:solidFill>
            <a:ln>
              <a:noFill/>
            </a:ln>
            <a:effectLst/>
          </c:spPr>
          <c:invertIfNegative val="0"/>
          <c:dLbls>
            <c:spPr>
              <a:solidFill>
                <a:schemeClr val="lt1"/>
              </a:solidFill>
              <a:ln w="3175" cap="flat" cmpd="sng" algn="ctr">
                <a:solidFill>
                  <a:schemeClr val="accent4"/>
                </a:solidFill>
                <a:prstDash val="solid"/>
              </a:ln>
              <a:effectLst/>
            </c:spPr>
            <c:txPr>
              <a:bodyPr rot="0" spcFirstLastPara="1" vertOverflow="ellipsis" vert="horz" wrap="square" lIns="38100" tIns="19050" rIns="38100" bIns="19050" anchor="ctr" anchorCtr="1">
                <a:spAutoFit/>
              </a:bodyPr>
              <a:lstStyle/>
              <a:p>
                <a:pPr>
                  <a:defRPr sz="6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'Llegadas '!$A$4:$A$15</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'Llegadas '!$O$4:$O$15</c:f>
              <c:numCache>
                <c:formatCode>#,##0</c:formatCode>
                <c:ptCount val="12"/>
                <c:pt idx="0">
                  <c:v>57800</c:v>
                </c:pt>
                <c:pt idx="1">
                  <c:v>54899</c:v>
                </c:pt>
                <c:pt idx="2">
                  <c:v>22206</c:v>
                </c:pt>
                <c:pt idx="3">
                  <c:v>379</c:v>
                </c:pt>
                <c:pt idx="4">
                  <c:v>650</c:v>
                </c:pt>
                <c:pt idx="5">
                  <c:v>1431</c:v>
                </c:pt>
                <c:pt idx="6">
                  <c:v>3655</c:v>
                </c:pt>
                <c:pt idx="7">
                  <c:v>4553</c:v>
                </c:pt>
                <c:pt idx="8">
                  <c:v>5708</c:v>
                </c:pt>
                <c:pt idx="9">
                  <c:v>9063</c:v>
                </c:pt>
                <c:pt idx="10">
                  <c:v>11553</c:v>
                </c:pt>
                <c:pt idx="11">
                  <c:v>18520</c:v>
                </c:pt>
              </c:numCache>
            </c:numRef>
          </c:val>
          <c:extLst>
            <c:ext xmlns:c16="http://schemas.microsoft.com/office/drawing/2014/chart" uri="{C3380CC4-5D6E-409C-BE32-E72D297353CC}">
              <c16:uniqueId val="{00000003-7FF1-4305-A62F-199356D4C05D}"/>
            </c:ext>
          </c:extLst>
        </c:ser>
        <c:dLbls>
          <c:showLegendKey val="0"/>
          <c:showVal val="0"/>
          <c:showCatName val="0"/>
          <c:showSerName val="0"/>
          <c:showPercent val="0"/>
          <c:showBubbleSize val="0"/>
        </c:dLbls>
        <c:gapWidth val="150"/>
        <c:axId val="114516608"/>
        <c:axId val="114537408"/>
      </c:barChart>
      <c:lineChart>
        <c:grouping val="standard"/>
        <c:varyColors val="0"/>
        <c:ser>
          <c:idx val="4"/>
          <c:order val="6"/>
          <c:tx>
            <c:strRef>
              <c:f>'Llegadas '!$P$3</c:f>
              <c:strCache>
                <c:ptCount val="1"/>
                <c:pt idx="0">
                  <c:v>2021</c:v>
                </c:pt>
              </c:strCache>
            </c:strRef>
          </c:tx>
          <c:spPr>
            <a:ln w="28575" cap="rnd">
              <a:solidFill>
                <a:schemeClr val="accent5"/>
              </a:solidFill>
              <a:round/>
            </a:ln>
            <a:effectLst/>
          </c:spPr>
          <c:marker>
            <c:symbol val="none"/>
          </c:marker>
          <c:dLbls>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7FF1-4305-A62F-199356D4C05D}"/>
                </c:ext>
              </c:extLst>
            </c:dLbl>
            <c:dLbl>
              <c:idx val="2"/>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7FF1-4305-A62F-199356D4C05D}"/>
                </c:ext>
              </c:extLst>
            </c:dLbl>
            <c:dLbl>
              <c:idx val="3"/>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7FF1-4305-A62F-199356D4C05D}"/>
                </c:ext>
              </c:extLst>
            </c:dLbl>
            <c:dLbl>
              <c:idx val="4"/>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7FF1-4305-A62F-199356D4C05D}"/>
                </c:ext>
              </c:extLst>
            </c:dLbl>
            <c:dLbl>
              <c:idx val="5"/>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7FF1-4305-A62F-199356D4C05D}"/>
                </c:ext>
              </c:extLst>
            </c:dLbl>
            <c:dLbl>
              <c:idx val="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7FF1-4305-A62F-199356D4C05D}"/>
                </c:ext>
              </c:extLst>
            </c:dLbl>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7FF1-4305-A62F-199356D4C05D}"/>
                </c:ext>
              </c:extLst>
            </c:dLbl>
            <c:dLbl>
              <c:idx val="8"/>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7FF1-4305-A62F-199356D4C05D}"/>
                </c:ext>
              </c:extLst>
            </c:dLbl>
            <c:dLbl>
              <c:idx val="9"/>
              <c:spPr>
                <a:solidFill>
                  <a:schemeClr val="lt1"/>
                </a:solidFill>
                <a:ln w="25400" cap="flat" cmpd="sng" algn="ctr">
                  <a:solidFill>
                    <a:schemeClr val="accent5"/>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7FF1-4305-A62F-199356D4C05D}"/>
                </c:ext>
              </c:extLst>
            </c:dLbl>
            <c:dLbl>
              <c:idx val="1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2"/>
                      </a:solidFill>
                      <a:latin typeface="+mn-lt"/>
                      <a:ea typeface="+mn-ea"/>
                      <a:cs typeface="+mn-cs"/>
                    </a:defRPr>
                  </a:pPr>
                  <a:endParaRPr lang="es-EC"/>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7FF1-4305-A62F-199356D4C05D}"/>
                </c:ext>
              </c:extLst>
            </c:dLbl>
            <c:dLbl>
              <c:idx val="11"/>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2"/>
                      </a:solidFill>
                      <a:latin typeface="+mn-lt"/>
                      <a:ea typeface="+mn-ea"/>
                      <a:cs typeface="+mn-cs"/>
                    </a:defRPr>
                  </a:pPr>
                  <a:endParaRPr lang="es-EC"/>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7FF1-4305-A62F-199356D4C05D}"/>
                </c:ext>
              </c:extLst>
            </c:dLbl>
            <c:spPr>
              <a:solidFill>
                <a:schemeClr val="lt1"/>
              </a:solidFill>
              <a:ln w="25400" cap="flat" cmpd="sng" algn="ctr">
                <a:solidFill>
                  <a:schemeClr val="accent5"/>
                </a:solidFill>
                <a:prstDash val="solid"/>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C"/>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'Llegadas '!$A$4:$A$15</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'Llegadas '!$P$4:$P$15</c:f>
              <c:numCache>
                <c:formatCode>#,##0</c:formatCode>
                <c:ptCount val="12"/>
                <c:pt idx="0">
                  <c:v>14237</c:v>
                </c:pt>
                <c:pt idx="1">
                  <c:v>10895</c:v>
                </c:pt>
                <c:pt idx="2">
                  <c:v>13935</c:v>
                </c:pt>
                <c:pt idx="3">
                  <c:v>13232</c:v>
                </c:pt>
                <c:pt idx="4">
                  <c:v>15295</c:v>
                </c:pt>
                <c:pt idx="5">
                  <c:v>22654</c:v>
                </c:pt>
                <c:pt idx="6">
                  <c:v>30018</c:v>
                </c:pt>
                <c:pt idx="7">
                  <c:v>27480</c:v>
                </c:pt>
                <c:pt idx="8">
                  <c:v>25275</c:v>
                </c:pt>
                <c:pt idx="9">
                  <c:v>29775</c:v>
                </c:pt>
                <c:pt idx="10">
                  <c:v>35230</c:v>
                </c:pt>
                <c:pt idx="11">
                  <c:v>42970</c:v>
                </c:pt>
              </c:numCache>
            </c:numRef>
          </c:val>
          <c:smooth val="0"/>
          <c:extLst>
            <c:ext xmlns:c16="http://schemas.microsoft.com/office/drawing/2014/chart" uri="{C3380CC4-5D6E-409C-BE32-E72D297353CC}">
              <c16:uniqueId val="{00000004-7FF1-4305-A62F-199356D4C05D}"/>
            </c:ext>
          </c:extLst>
        </c:ser>
        <c:dLbls>
          <c:showLegendKey val="0"/>
          <c:showVal val="0"/>
          <c:showCatName val="0"/>
          <c:showSerName val="0"/>
          <c:showPercent val="0"/>
          <c:showBubbleSize val="0"/>
        </c:dLbls>
        <c:marker val="1"/>
        <c:smooth val="0"/>
        <c:axId val="1319801055"/>
        <c:axId val="1319812287"/>
      </c:lineChart>
      <c:catAx>
        <c:axId val="1145166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14537408"/>
        <c:crosses val="autoZero"/>
        <c:auto val="1"/>
        <c:lblAlgn val="ctr"/>
        <c:lblOffset val="100"/>
        <c:noMultiLvlLbl val="0"/>
      </c:catAx>
      <c:valAx>
        <c:axId val="11453740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14516608"/>
        <c:crosses val="autoZero"/>
        <c:crossBetween val="between"/>
      </c:valAx>
      <c:valAx>
        <c:axId val="1319812287"/>
        <c:scaling>
          <c:orientation val="minMax"/>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319801055"/>
        <c:crosses val="max"/>
        <c:crossBetween val="between"/>
      </c:valAx>
      <c:catAx>
        <c:axId val="1319801055"/>
        <c:scaling>
          <c:orientation val="minMax"/>
        </c:scaling>
        <c:delete val="1"/>
        <c:axPos val="b"/>
        <c:numFmt formatCode="General" sourceLinked="1"/>
        <c:majorTickMark val="out"/>
        <c:minorTickMark val="none"/>
        <c:tickLblPos val="nextTo"/>
        <c:crossAx val="1319812287"/>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Llegadas Visitantes no residentes acumulados estimados al mes de Corte</a:t>
            </a:r>
            <a:r>
              <a:rPr lang="es-EC" baseline="0"/>
              <a:t> </a:t>
            </a:r>
          </a:p>
          <a:p>
            <a:pPr>
              <a:defRPr/>
            </a:pPr>
            <a:r>
              <a:rPr lang="es-EC"/>
              <a:t> ZETs y Ruralidad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6.5169203849518811E-2"/>
          <c:y val="0.2465529010238908"/>
          <c:w val="0.87616529600466608"/>
          <c:h val="0.52517230568022"/>
        </c:manualLayout>
      </c:layout>
      <c:barChart>
        <c:barDir val="col"/>
        <c:grouping val="clustered"/>
        <c:varyColors val="0"/>
        <c:ser>
          <c:idx val="0"/>
          <c:order val="0"/>
          <c:tx>
            <c:v>Llegadas Acumuladas</c:v>
          </c:tx>
          <c:spPr>
            <a:solidFill>
              <a:schemeClr val="accent6"/>
            </a:solidFill>
            <a:ln>
              <a:noFill/>
            </a:ln>
            <a:effectLst/>
          </c:spPr>
          <c:invertIfNegative val="0"/>
          <c:dLbls>
            <c:spPr>
              <a:solidFill>
                <a:schemeClr val="lt1"/>
              </a:solidFill>
              <a:ln w="25400" cap="flat" cmpd="sng" algn="ctr">
                <a:solidFill>
                  <a:schemeClr val="accent6"/>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('Llegadas '!$AL$39,'Llegadas '!$AL$41,'Llegadas '!$AL$43,'Llegadas '!$AL$45,'Llegadas '!$AL$47)</c:f>
              <c:strCache>
                <c:ptCount val="5"/>
                <c:pt idx="0">
                  <c:v>Centro Histórico de Quito (e) </c:v>
                </c:pt>
                <c:pt idx="1">
                  <c:v>La Mariscal (e) </c:v>
                </c:pt>
                <c:pt idx="2">
                  <c:v>Noroccidente (e) </c:v>
                </c:pt>
                <c:pt idx="3">
                  <c:v>Mitad del Mundo (e) </c:v>
                </c:pt>
                <c:pt idx="4">
                  <c:v>Parroquias Rurales (e) </c:v>
                </c:pt>
              </c:strCache>
            </c:strRef>
          </c:cat>
          <c:val>
            <c:numRef>
              <c:f>('Llegadas '!$AF$39,'Llegadas '!$AF$41,'Llegadas '!$AF$43,'Llegadas '!$AF$45,'Llegadas '!$AF$47)</c:f>
              <c:numCache>
                <c:formatCode>_(* #,##0_);_(* \(#,##0\);_(* "-"??_);_(@_)</c:formatCode>
                <c:ptCount val="5"/>
                <c:pt idx="0">
                  <c:v>188267.32</c:v>
                </c:pt>
                <c:pt idx="1">
                  <c:v>19669.72</c:v>
                </c:pt>
                <c:pt idx="2">
                  <c:v>42149.4</c:v>
                </c:pt>
                <c:pt idx="3">
                  <c:v>224796.80000000002</c:v>
                </c:pt>
                <c:pt idx="4">
                  <c:v>56199.200000000004</c:v>
                </c:pt>
              </c:numCache>
            </c:numRef>
          </c:val>
          <c:extLst>
            <c:ext xmlns:c16="http://schemas.microsoft.com/office/drawing/2014/chart" uri="{C3380CC4-5D6E-409C-BE32-E72D297353CC}">
              <c16:uniqueId val="{00000000-B3D6-409C-A0B4-E6353D4D5D86}"/>
            </c:ext>
          </c:extLst>
        </c:ser>
        <c:dLbls>
          <c:showLegendKey val="0"/>
          <c:showVal val="0"/>
          <c:showCatName val="0"/>
          <c:showSerName val="0"/>
          <c:showPercent val="0"/>
          <c:showBubbleSize val="0"/>
        </c:dLbls>
        <c:gapWidth val="150"/>
        <c:axId val="648687775"/>
        <c:axId val="648694015"/>
      </c:barChart>
      <c:lineChart>
        <c:grouping val="standard"/>
        <c:varyColors val="0"/>
        <c:ser>
          <c:idx val="1"/>
          <c:order val="1"/>
          <c:tx>
            <c:v>Llegadas diarias promedio</c:v>
          </c:tx>
          <c:spPr>
            <a:ln w="28575" cap="rnd">
              <a:solidFill>
                <a:schemeClr val="accent5"/>
              </a:solidFill>
              <a:round/>
            </a:ln>
            <a:effectLst/>
          </c:spPr>
          <c:marker>
            <c:symbol val="none"/>
          </c:marker>
          <c:dLbls>
            <c:dLbl>
              <c:idx val="0"/>
              <c:layout>
                <c:manualLayout>
                  <c:x val="-1.9674612183125235E-2"/>
                  <c:y val="7.281001137656427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B3D6-409C-A0B4-E6353D4D5D86}"/>
                </c:ext>
              </c:extLst>
            </c:dLbl>
            <c:dLbl>
              <c:idx val="1"/>
              <c:layout>
                <c:manualLayout>
                  <c:x val="1.9674612183125235E-2"/>
                  <c:y val="1.36518771331058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B3D6-409C-A0B4-E6353D4D5D86}"/>
                </c:ext>
              </c:extLst>
            </c:dLbl>
            <c:dLbl>
              <c:idx val="2"/>
              <c:layout>
                <c:manualLayout>
                  <c:x val="1.362088535754824E-2"/>
                  <c:y val="1.82025028441411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B3D6-409C-A0B4-E6353D4D5D86}"/>
                </c:ext>
              </c:extLst>
            </c:dLbl>
            <c:dLbl>
              <c:idx val="3"/>
              <c:layout>
                <c:manualLayout>
                  <c:x val="-3.0181879932431939E-2"/>
                  <c:y val="0.10569132783316761"/>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3D6-409C-A0B4-E6353D4D5D86}"/>
                </c:ext>
              </c:extLst>
            </c:dLbl>
            <c:dLbl>
              <c:idx val="4"/>
              <c:layout>
                <c:manualLayout>
                  <c:x val="0"/>
                  <c:y val="4.095563139931740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3D6-409C-A0B4-E6353D4D5D86}"/>
                </c:ext>
              </c:extLst>
            </c:dLbl>
            <c:spPr>
              <a:solidFill>
                <a:schemeClr val="lt1"/>
              </a:solidFill>
              <a:ln w="25400" cap="flat" cmpd="sng" algn="ctr">
                <a:solidFill>
                  <a:schemeClr val="accent5"/>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('Llegadas '!$AL$39,'Llegadas '!$AL$41,'Llegadas '!$AL$43,'Llegadas '!$AL$45,'Llegadas '!$AL$47)</c:f>
              <c:strCache>
                <c:ptCount val="5"/>
                <c:pt idx="0">
                  <c:v>Centro Histórico de Quito (e) </c:v>
                </c:pt>
                <c:pt idx="1">
                  <c:v>La Mariscal (e) </c:v>
                </c:pt>
                <c:pt idx="2">
                  <c:v>Noroccidente (e) </c:v>
                </c:pt>
                <c:pt idx="3">
                  <c:v>Mitad del Mundo (e) </c:v>
                </c:pt>
                <c:pt idx="4">
                  <c:v>Parroquias Rurales (e) </c:v>
                </c:pt>
              </c:strCache>
            </c:strRef>
          </c:cat>
          <c:val>
            <c:numRef>
              <c:f>('Llegadas '!$AK$39,'Llegadas '!$AK$41,'Llegadas '!$AK$43,'Llegadas '!$AK$45,'Llegadas '!$AK$47)</c:f>
            </c:numRef>
          </c:val>
          <c:smooth val="0"/>
          <c:extLst>
            <c:ext xmlns:c16="http://schemas.microsoft.com/office/drawing/2014/chart" uri="{C3380CC4-5D6E-409C-BE32-E72D297353CC}">
              <c16:uniqueId val="{00000001-B3D6-409C-A0B4-E6353D4D5D86}"/>
            </c:ext>
          </c:extLst>
        </c:ser>
        <c:dLbls>
          <c:showLegendKey val="0"/>
          <c:showVal val="0"/>
          <c:showCatName val="0"/>
          <c:showSerName val="0"/>
          <c:showPercent val="0"/>
          <c:showBubbleSize val="0"/>
        </c:dLbls>
        <c:marker val="1"/>
        <c:smooth val="0"/>
        <c:axId val="515990335"/>
        <c:axId val="515989503"/>
      </c:lineChart>
      <c:catAx>
        <c:axId val="64868777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648694015"/>
        <c:crosses val="autoZero"/>
        <c:auto val="1"/>
        <c:lblAlgn val="ctr"/>
        <c:lblOffset val="100"/>
        <c:noMultiLvlLbl val="0"/>
      </c:catAx>
      <c:valAx>
        <c:axId val="648694015"/>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648687775"/>
        <c:crosses val="autoZero"/>
        <c:crossBetween val="between"/>
      </c:valAx>
      <c:valAx>
        <c:axId val="515989503"/>
        <c:scaling>
          <c:orientation val="minMax"/>
        </c:scaling>
        <c:delete val="1"/>
        <c:axPos val="r"/>
        <c:numFmt formatCode="_(* #,##0_);_(* \(#,##0\);_(* &quot;-&quot;??_);_(@_)" sourceLinked="1"/>
        <c:majorTickMark val="out"/>
        <c:minorTickMark val="none"/>
        <c:tickLblPos val="nextTo"/>
        <c:crossAx val="515990335"/>
        <c:crosses val="max"/>
        <c:crossBetween val="between"/>
      </c:valAx>
      <c:catAx>
        <c:axId val="515990335"/>
        <c:scaling>
          <c:orientation val="minMax"/>
        </c:scaling>
        <c:delete val="1"/>
        <c:axPos val="b"/>
        <c:title>
          <c:tx>
            <c:strRef>
              <c:f>'Llegadas '!$AF$31</c:f>
              <c:strCache>
                <c:ptCount val="1"/>
                <c:pt idx="0">
                  <c:v>ene-dic</c:v>
                </c:pt>
              </c:strCache>
            </c:strRef>
          </c:tx>
          <c:layout>
            <c:manualLayout>
              <c:xMode val="edge"/>
              <c:yMode val="edge"/>
              <c:x val="0.44233664522509891"/>
              <c:y val="0.19501464005205668"/>
            </c:manualLayout>
          </c:layout>
          <c:overlay val="0"/>
          <c:spPr>
            <a:noFill/>
            <a:ln>
              <a:noFill/>
            </a:ln>
            <a:effectLst/>
          </c:spPr>
          <c:txPr>
            <a:bodyPr rot="0" spcFirstLastPara="1" vertOverflow="ellipsis" vert="horz" wrap="square" anchor="ctr" anchorCtr="1"/>
            <a:lstStyle/>
            <a:p>
              <a:pPr>
                <a:defRPr sz="1400" b="1" i="0" u="none" strike="noStrike" kern="1200" baseline="0">
                  <a:solidFill>
                    <a:schemeClr val="tx1">
                      <a:lumMod val="65000"/>
                      <a:lumOff val="35000"/>
                    </a:schemeClr>
                  </a:solidFill>
                  <a:latin typeface="+mn-lt"/>
                  <a:ea typeface="+mn-ea"/>
                  <a:cs typeface="+mn-cs"/>
                </a:defRPr>
              </a:pPr>
              <a:endParaRPr lang="es-EC"/>
            </a:p>
          </c:txPr>
        </c:title>
        <c:numFmt formatCode="General" sourceLinked="1"/>
        <c:majorTickMark val="out"/>
        <c:minorTickMark val="none"/>
        <c:tickLblPos val="nextTo"/>
        <c:crossAx val="515989503"/>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Estimación</a:t>
            </a:r>
            <a:r>
              <a:rPr lang="es-EC" baseline="0"/>
              <a:t> anual de l</a:t>
            </a:r>
            <a:r>
              <a:rPr lang="es-EC"/>
              <a:t>legadas Visitantes no residentes a ZETs y Ruralidad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barChart>
        <c:barDir val="col"/>
        <c:grouping val="clustered"/>
        <c:varyColors val="0"/>
        <c:ser>
          <c:idx val="2"/>
          <c:order val="0"/>
          <c:tx>
            <c:strRef>
              <c:f>'Llegadas '!$N$30</c:f>
              <c:strCache>
                <c:ptCount val="1"/>
                <c:pt idx="0">
                  <c:v>2019 (e) </c:v>
                </c:pt>
              </c:strCache>
            </c:strRef>
          </c:tx>
          <c:spPr>
            <a:solidFill>
              <a:schemeClr val="accent5"/>
            </a:solidFill>
            <a:ln>
              <a:noFill/>
            </a:ln>
            <a:effectLst/>
          </c:spPr>
          <c:invertIfNegative val="0"/>
          <c:dLbls>
            <c:dLbl>
              <c:idx val="1"/>
              <c:layout>
                <c:manualLayout>
                  <c:x val="-7.5671585319713004E-3"/>
                  <c:y val="-5.005688282138802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41C4-43C7-A1C5-2640440C33F4}"/>
                </c:ext>
              </c:extLst>
            </c:dLbl>
            <c:dLbl>
              <c:idx val="4"/>
              <c:layout>
                <c:manualLayout>
                  <c:x val="-3.0268634127886087E-3"/>
                  <c:y val="-6.825938566552901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41C4-43C7-A1C5-2640440C33F4}"/>
                </c:ext>
              </c:extLst>
            </c:dLbl>
            <c:numFmt formatCode="#,##0" sourceLinked="0"/>
            <c:spPr>
              <a:solidFill>
                <a:schemeClr val="lt1"/>
              </a:solidFill>
              <a:ln w="25400" cap="flat" cmpd="sng" algn="ctr">
                <a:solidFill>
                  <a:schemeClr val="accent4"/>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('Llegadas '!$N$39,'Llegadas '!$N$41,'Llegadas '!$N$43,'Llegadas '!$N$45,'Llegadas '!$N$47)</c:f>
              <c:numCache>
                <c:formatCode>_(* #,##0_);_(* \(#,##0\);_(* "-"??_);_(@_)</c:formatCode>
                <c:ptCount val="5"/>
                <c:pt idx="0">
                  <c:v>461484.17700000003</c:v>
                </c:pt>
                <c:pt idx="1">
                  <c:v>79457.679000000004</c:v>
                </c:pt>
                <c:pt idx="2">
                  <c:v>2053.17</c:v>
                </c:pt>
                <c:pt idx="3">
                  <c:v>588575.4</c:v>
                </c:pt>
                <c:pt idx="4">
                  <c:v>54751.200000000004</c:v>
                </c:pt>
              </c:numCache>
            </c:numRef>
          </c:val>
          <c:extLst>
            <c:ext xmlns:c16="http://schemas.microsoft.com/office/drawing/2014/chart" uri="{C3380CC4-5D6E-409C-BE32-E72D297353CC}">
              <c16:uniqueId val="{00000008-41C4-43C7-A1C5-2640440C33F4}"/>
            </c:ext>
          </c:extLst>
        </c:ser>
        <c:ser>
          <c:idx val="0"/>
          <c:order val="1"/>
          <c:tx>
            <c:strRef>
              <c:f>'Llegadas '!$O$30</c:f>
              <c:strCache>
                <c:ptCount val="1"/>
                <c:pt idx="0">
                  <c:v>2020 (e) </c:v>
                </c:pt>
              </c:strCache>
            </c:strRef>
          </c:tx>
          <c:spPr>
            <a:solidFill>
              <a:schemeClr val="accent1"/>
            </a:solidFill>
            <a:ln>
              <a:noFill/>
            </a:ln>
            <a:effectLst/>
          </c:spPr>
          <c:invertIfNegative val="0"/>
          <c:dLbls>
            <c:dLbl>
              <c:idx val="0"/>
              <c:layout>
                <c:manualLayout>
                  <c:x val="-6.0537268255769962E-3"/>
                  <c:y val="-3.64050056882822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41C4-43C7-A1C5-2640440C33F4}"/>
                </c:ext>
              </c:extLst>
            </c:dLbl>
            <c:dLbl>
              <c:idx val="1"/>
              <c:layout>
                <c:manualLayout>
                  <c:x val="1.5134317063941936E-3"/>
                  <c:y val="-3.640500568828213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41C4-43C7-A1C5-2640440C33F4}"/>
                </c:ext>
              </c:extLst>
            </c:dLbl>
            <c:dLbl>
              <c:idx val="3"/>
              <c:layout>
                <c:manualLayout>
                  <c:x val="-1.8161180476730987E-2"/>
                  <c:y val="-2.27531285551764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41C4-43C7-A1C5-2640440C33F4}"/>
                </c:ext>
              </c:extLst>
            </c:dLbl>
            <c:dLbl>
              <c:idx val="4"/>
              <c:layout>
                <c:manualLayout>
                  <c:x val="3.0268634127884981E-3"/>
                  <c:y val="-3.18543799772469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41C4-43C7-A1C5-2640440C33F4}"/>
                </c:ext>
              </c:extLst>
            </c:dLbl>
            <c:numFmt formatCode="#,##0" sourceLinked="0"/>
            <c:spPr>
              <a:solidFill>
                <a:schemeClr val="lt1"/>
              </a:solidFill>
              <a:ln w="25400" cap="flat" cmpd="sng" algn="ctr">
                <a:solidFill>
                  <a:schemeClr val="accent6"/>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('Llegadas '!$AL$39,'Llegadas '!$AL$41,'Llegadas '!$AL$43,'Llegadas '!$AL$45,'Llegadas '!$AL$47)</c:f>
              <c:strCache>
                <c:ptCount val="5"/>
                <c:pt idx="0">
                  <c:v>Centro Histórico de Quito (e) </c:v>
                </c:pt>
                <c:pt idx="1">
                  <c:v>La Mariscal (e) </c:v>
                </c:pt>
                <c:pt idx="2">
                  <c:v>Noroccidente (e) </c:v>
                </c:pt>
                <c:pt idx="3">
                  <c:v>Mitad del Mundo (e) </c:v>
                </c:pt>
                <c:pt idx="4">
                  <c:v>Parroquias Rurales (e) </c:v>
                </c:pt>
              </c:strCache>
            </c:strRef>
          </c:cat>
          <c:val>
            <c:numRef>
              <c:f>('Llegadas '!$O$39,'Llegadas '!$O$41,'Llegadas '!$O$43,'Llegadas '!$O$45,'Llegadas '!$O$47)</c:f>
              <c:numCache>
                <c:formatCode>_(* #,##0_);_(* \(#,##0\);_(* "-"??_);_(@_)</c:formatCode>
                <c:ptCount val="5"/>
                <c:pt idx="0">
                  <c:v>128398.18309999999</c:v>
                </c:pt>
                <c:pt idx="1">
                  <c:v>22107.413699999997</c:v>
                </c:pt>
                <c:pt idx="2">
                  <c:v>571.25099999999998</c:v>
                </c:pt>
                <c:pt idx="3">
                  <c:v>163758.62</c:v>
                </c:pt>
                <c:pt idx="4">
                  <c:v>15233.36</c:v>
                </c:pt>
              </c:numCache>
            </c:numRef>
          </c:val>
          <c:extLst>
            <c:ext xmlns:c16="http://schemas.microsoft.com/office/drawing/2014/chart" uri="{C3380CC4-5D6E-409C-BE32-E72D297353CC}">
              <c16:uniqueId val="{00000000-41C4-43C7-A1C5-2640440C33F4}"/>
            </c:ext>
          </c:extLst>
        </c:ser>
        <c:ser>
          <c:idx val="1"/>
          <c:order val="2"/>
          <c:tx>
            <c:strRef>
              <c:f>'Llegadas '!$P$30</c:f>
              <c:strCache>
                <c:ptCount val="1"/>
                <c:pt idx="0">
                  <c:v>2021 (e) </c:v>
                </c:pt>
              </c:strCache>
            </c:strRef>
          </c:tx>
          <c:spPr>
            <a:solidFill>
              <a:schemeClr val="accent3"/>
            </a:solidFill>
            <a:ln>
              <a:noFill/>
            </a:ln>
            <a:effectLst/>
          </c:spPr>
          <c:invertIfNegative val="0"/>
          <c:dLbls>
            <c:dLbl>
              <c:idx val="0"/>
              <c:layout>
                <c:manualLayout>
                  <c:x val="1.3620885357548213E-2"/>
                  <c:y val="-5.005688282138794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41C4-43C7-A1C5-2640440C33F4}"/>
                </c:ext>
              </c:extLst>
            </c:dLbl>
            <c:dLbl>
              <c:idx val="1"/>
              <c:layout>
                <c:manualLayout>
                  <c:x val="1.6647748770336739E-2"/>
                  <c:y val="-3.18543799772468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41C4-43C7-A1C5-2640440C33F4}"/>
                </c:ext>
              </c:extLst>
            </c:dLbl>
            <c:dLbl>
              <c:idx val="2"/>
              <c:layout>
                <c:manualLayout>
                  <c:x val="9.0805902383654935E-3"/>
                  <c:y val="-1.36518771331059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41C4-43C7-A1C5-2640440C33F4}"/>
                </c:ext>
              </c:extLst>
            </c:dLbl>
            <c:dLbl>
              <c:idx val="4"/>
              <c:layout>
                <c:manualLayout>
                  <c:x val="2.1188043889519264E-2"/>
                  <c:y val="-3.640500568828213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41C4-43C7-A1C5-2640440C33F4}"/>
                </c:ext>
              </c:extLst>
            </c:dLbl>
            <c:numFmt formatCode="#,##0" sourceLinked="0"/>
            <c:spPr>
              <a:solidFill>
                <a:schemeClr val="lt1"/>
              </a:solidFill>
              <a:ln w="25400" cap="flat" cmpd="sng" algn="ctr">
                <a:solidFill>
                  <a:schemeClr val="accent5"/>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('Llegadas '!$P$39,'Llegadas '!$P$41,'Llegadas '!$P$43,'Llegadas '!$P$45,'Llegadas '!$P$47)</c:f>
              <c:numCache>
                <c:formatCode>_(* #,##0_);_(* \(#,##0\);_(* "-"??_);_(@_)</c:formatCode>
                <c:ptCount val="5"/>
                <c:pt idx="0">
                  <c:v>188267.32</c:v>
                </c:pt>
                <c:pt idx="1">
                  <c:v>19669.72</c:v>
                </c:pt>
                <c:pt idx="2">
                  <c:v>42149.4</c:v>
                </c:pt>
                <c:pt idx="3">
                  <c:v>224796.80000000002</c:v>
                </c:pt>
                <c:pt idx="4">
                  <c:v>56199.200000000004</c:v>
                </c:pt>
              </c:numCache>
            </c:numRef>
          </c:val>
          <c:extLst>
            <c:ext xmlns:c16="http://schemas.microsoft.com/office/drawing/2014/chart" uri="{C3380CC4-5D6E-409C-BE32-E72D297353CC}">
              <c16:uniqueId val="{00000007-41C4-43C7-A1C5-2640440C33F4}"/>
            </c:ext>
          </c:extLst>
        </c:ser>
        <c:dLbls>
          <c:showLegendKey val="0"/>
          <c:showVal val="0"/>
          <c:showCatName val="0"/>
          <c:showSerName val="0"/>
          <c:showPercent val="0"/>
          <c:showBubbleSize val="0"/>
        </c:dLbls>
        <c:gapWidth val="150"/>
        <c:axId val="648687775"/>
        <c:axId val="648694015"/>
      </c:barChart>
      <c:catAx>
        <c:axId val="64868777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648694015"/>
        <c:crosses val="autoZero"/>
        <c:auto val="1"/>
        <c:lblAlgn val="ctr"/>
        <c:lblOffset val="100"/>
        <c:noMultiLvlLbl val="0"/>
      </c:catAx>
      <c:valAx>
        <c:axId val="648694015"/>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648687775"/>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MERCADOS PRIORITARIOS DEL DMQ</a:t>
            </a:r>
          </a:p>
          <a:p>
            <a:pPr>
              <a:defRPr/>
            </a:pPr>
            <a:r>
              <a:rPr lang="es-EC"/>
              <a:t>- participacion  - 2021  </a:t>
            </a:r>
          </a:p>
          <a:p>
            <a:pPr>
              <a:defRPr/>
            </a:pPr>
            <a:r>
              <a:rPr lang="es-EC"/>
              <a:t>(estimado a la fecha)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1-1166-467E-8356-6A95954CDE95}"/>
              </c:ext>
            </c:extLst>
          </c:dPt>
          <c:dPt>
            <c:idx val="1"/>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3-1166-467E-8356-6A95954CDE95}"/>
              </c:ext>
            </c:extLst>
          </c:dPt>
          <c:dPt>
            <c:idx val="2"/>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5-1166-467E-8356-6A95954CDE95}"/>
              </c:ext>
            </c:extLst>
          </c:dPt>
          <c:dPt>
            <c:idx val="3"/>
            <c:bubble3D val="0"/>
            <c:spPr>
              <a:solidFill>
                <a:schemeClr val="accent2">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7-1166-467E-8356-6A95954CDE95}"/>
              </c:ext>
            </c:extLst>
          </c:dPt>
          <c:dPt>
            <c:idx val="4"/>
            <c:bubble3D val="0"/>
            <c:spPr>
              <a:solidFill>
                <a:schemeClr val="accent4">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9-1166-467E-8356-6A95954CDE95}"/>
              </c:ext>
            </c:extLst>
          </c:dPt>
          <c:dPt>
            <c:idx val="5"/>
            <c:bubble3D val="0"/>
            <c:spPr>
              <a:solidFill>
                <a:schemeClr val="accent6">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B-1166-467E-8356-6A95954CDE95}"/>
              </c:ext>
            </c:extLst>
          </c:dPt>
          <c:dPt>
            <c:idx val="6"/>
            <c:bubble3D val="0"/>
            <c:spPr>
              <a:solidFill>
                <a:schemeClr val="accent2">
                  <a:lumMod val="80000"/>
                  <a:lumOff val="2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D-1166-467E-8356-6A95954CDE95}"/>
              </c:ext>
            </c:extLst>
          </c:dPt>
          <c:dPt>
            <c:idx val="7"/>
            <c:bubble3D val="0"/>
            <c:spPr>
              <a:solidFill>
                <a:schemeClr val="accent4">
                  <a:lumMod val="80000"/>
                  <a:lumOff val="2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F-1166-467E-8356-6A95954CDE95}"/>
              </c:ext>
            </c:extLst>
          </c:dPt>
          <c:dPt>
            <c:idx val="8"/>
            <c:bubble3D val="0"/>
            <c:spPr>
              <a:solidFill>
                <a:schemeClr val="accent6">
                  <a:lumMod val="80000"/>
                  <a:lumOff val="2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1-1166-467E-8356-6A95954CDE95}"/>
              </c:ext>
            </c:extLst>
          </c:dPt>
          <c:dPt>
            <c:idx val="9"/>
            <c:bubble3D val="0"/>
            <c:spPr>
              <a:solidFill>
                <a:schemeClr val="accent2">
                  <a:lumMod val="8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3-1166-467E-8356-6A95954CDE95}"/>
              </c:ext>
            </c:extLst>
          </c:dPt>
          <c:dPt>
            <c:idx val="10"/>
            <c:bubble3D val="0"/>
            <c:spPr>
              <a:solidFill>
                <a:schemeClr val="accent4">
                  <a:lumMod val="8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5-1166-467E-8356-6A95954CDE95}"/>
              </c:ext>
            </c:extLst>
          </c:dPt>
          <c:dPt>
            <c:idx val="11"/>
            <c:bubble3D val="0"/>
            <c:spPr>
              <a:solidFill>
                <a:schemeClr val="accent6">
                  <a:lumMod val="8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7-1166-467E-8356-6A95954CDE95}"/>
              </c:ext>
            </c:extLst>
          </c:dPt>
          <c:dPt>
            <c:idx val="12"/>
            <c:bubble3D val="0"/>
            <c:spPr>
              <a:solidFill>
                <a:schemeClr val="accent2">
                  <a:lumMod val="60000"/>
                  <a:lumOff val="4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9-1166-467E-8356-6A95954CDE95}"/>
              </c:ext>
            </c:extLst>
          </c:dPt>
          <c:dLbls>
            <c:spPr>
              <a:solidFill>
                <a:schemeClr val="lt1"/>
              </a:solidFill>
              <a:ln w="25400" cap="flat" cmpd="sng" algn="ctr">
                <a:solidFill>
                  <a:schemeClr val="dk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('Llegadas x nacionalidad'!$C$7,'Llegadas x nacionalidad'!$C$8,'Llegadas x nacionalidad'!$C$9,'Llegadas x nacionalidad'!$C$10,'Llegadas x nacionalidad'!$C$11,'Llegadas x nacionalidad'!$C$12,'Llegadas x nacionalidad'!$C$14,'Llegadas x nacionalidad'!$C$16,'Llegadas x nacionalidad'!$C$19,'Llegadas x nacionalidad'!$C$21,'Llegadas x nacionalidad'!$C$22,'Llegadas x nacionalidad'!$C$25,'Llegadas x nacionalidad'!$C$44)</c:f>
              <c:strCache>
                <c:ptCount val="13"/>
                <c:pt idx="0">
                  <c:v>Estados Unidos</c:v>
                </c:pt>
                <c:pt idx="1">
                  <c:v>España</c:v>
                </c:pt>
                <c:pt idx="2">
                  <c:v>Colombia</c:v>
                </c:pt>
                <c:pt idx="3">
                  <c:v>México</c:v>
                </c:pt>
                <c:pt idx="4">
                  <c:v>Perú</c:v>
                </c:pt>
                <c:pt idx="5">
                  <c:v>Francia</c:v>
                </c:pt>
                <c:pt idx="6">
                  <c:v>Alemania</c:v>
                </c:pt>
                <c:pt idx="7">
                  <c:v>Brasil</c:v>
                </c:pt>
                <c:pt idx="8">
                  <c:v>Canadá</c:v>
                </c:pt>
                <c:pt idx="9">
                  <c:v>Chile</c:v>
                </c:pt>
                <c:pt idx="10">
                  <c:v>Países Bajo (Holanda)</c:v>
                </c:pt>
                <c:pt idx="11">
                  <c:v>Reino Unido</c:v>
                </c:pt>
                <c:pt idx="12">
                  <c:v>Otros mercados</c:v>
                </c:pt>
              </c:strCache>
            </c:strRef>
          </c:cat>
          <c:val>
            <c:numRef>
              <c:f>('Llegadas x nacionalidad'!$JS$7,'Llegadas x nacionalidad'!$JS$8,'Llegadas x nacionalidad'!$JS$9,'Llegadas x nacionalidad'!$JS$10,'Llegadas x nacionalidad'!$JS$11,'Llegadas x nacionalidad'!$JS$12,'Llegadas x nacionalidad'!$JS$14,'Llegadas x nacionalidad'!$JS$16,'Llegadas x nacionalidad'!$JS$19,'Llegadas x nacionalidad'!$JS$21,'Llegadas x nacionalidad'!$JS$22,'Llegadas x nacionalidad'!$JS$25,'Llegadas x nacionalidad'!$JS$44)</c:f>
              <c:numCache>
                <c:formatCode>#,##0</c:formatCode>
                <c:ptCount val="13"/>
                <c:pt idx="0">
                  <c:v>111131</c:v>
                </c:pt>
                <c:pt idx="1">
                  <c:v>38467</c:v>
                </c:pt>
                <c:pt idx="2">
                  <c:v>30788</c:v>
                </c:pt>
                <c:pt idx="3">
                  <c:v>8619</c:v>
                </c:pt>
                <c:pt idx="4">
                  <c:v>6921</c:v>
                </c:pt>
                <c:pt idx="5">
                  <c:v>7164</c:v>
                </c:pt>
                <c:pt idx="6">
                  <c:v>6835</c:v>
                </c:pt>
                <c:pt idx="7">
                  <c:v>3788</c:v>
                </c:pt>
                <c:pt idx="8">
                  <c:v>5444</c:v>
                </c:pt>
                <c:pt idx="9">
                  <c:v>3334</c:v>
                </c:pt>
                <c:pt idx="10">
                  <c:v>3531</c:v>
                </c:pt>
                <c:pt idx="11">
                  <c:v>2319</c:v>
                </c:pt>
                <c:pt idx="12" formatCode="_(* #,##0_);_(* \(#,##0\);_(* &quot;-&quot;??_);_(@_)">
                  <c:v>42943</c:v>
                </c:pt>
              </c:numCache>
            </c:numRef>
          </c:val>
          <c:extLst>
            <c:ext xmlns:c16="http://schemas.microsoft.com/office/drawing/2014/chart" uri="{C3380CC4-5D6E-409C-BE32-E72D297353CC}">
              <c16:uniqueId val="{0000001A-1166-467E-8356-6A95954CDE95}"/>
            </c:ext>
          </c:extLst>
        </c:ser>
        <c:dLbls>
          <c:showLegendKey val="0"/>
          <c:showVal val="0"/>
          <c:showCatName val="1"/>
          <c:showSerName val="0"/>
          <c:showPercent val="1"/>
          <c:showBubbleSize val="0"/>
          <c:showLeaderLines val="1"/>
        </c:dLbls>
      </c:pie3D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VARIACIÓN INTERANUAL MERCADOS </a:t>
            </a:r>
          </a:p>
          <a:p>
            <a:pPr>
              <a:defRPr/>
            </a:pPr>
            <a:r>
              <a:rPr lang="es-EC"/>
              <a:t>PRIORITARIOS DEL</a:t>
            </a:r>
            <a:r>
              <a:rPr lang="es-EC" baseline="0"/>
              <a:t> DMQ</a:t>
            </a:r>
            <a:endParaRPr lang="es-EC"/>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0"/>
          <c:order val="0"/>
          <c:spPr>
            <a:ln w="28575" cap="rnd">
              <a:solidFill>
                <a:schemeClr val="accent1"/>
              </a:solidFill>
              <a:round/>
            </a:ln>
            <a:effectLst/>
          </c:spPr>
          <c:marker>
            <c:symbol val="circle"/>
            <c:size val="5"/>
            <c:spPr>
              <a:solidFill>
                <a:schemeClr val="accent1"/>
              </a:solidFill>
              <a:ln w="9525">
                <a:solidFill>
                  <a:schemeClr val="accent1"/>
                </a:solidFill>
              </a:ln>
              <a:effectLst/>
            </c:spPr>
          </c:marker>
          <c:dLbls>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'Llegadas x nacionalidad'!$JI$2:$JP$2</c:f>
              <c:numCache>
                <c:formatCode>General</c:formatCode>
                <c:ptCount val="3"/>
                <c:pt idx="0">
                  <c:v>2019</c:v>
                </c:pt>
                <c:pt idx="1">
                  <c:v>2020</c:v>
                </c:pt>
                <c:pt idx="2">
                  <c:v>2021</c:v>
                </c:pt>
              </c:numCache>
            </c:numRef>
          </c:cat>
          <c:val>
            <c:numRef>
              <c:f>'Llegadas x nacionalidad'!$JI$45:$JP$45</c:f>
              <c:numCache>
                <c:formatCode>0.0%</c:formatCode>
                <c:ptCount val="3"/>
                <c:pt idx="0">
                  <c:v>0.20778836594650962</c:v>
                </c:pt>
                <c:pt idx="1">
                  <c:v>-0.68614385750766904</c:v>
                </c:pt>
                <c:pt idx="2">
                  <c:v>0.52273032565101407</c:v>
                </c:pt>
              </c:numCache>
            </c:numRef>
          </c:val>
          <c:smooth val="0"/>
          <c:extLst>
            <c:ext xmlns:c16="http://schemas.microsoft.com/office/drawing/2014/chart" uri="{C3380CC4-5D6E-409C-BE32-E72D297353CC}">
              <c16:uniqueId val="{00000000-BAAE-47C1-A57B-F616186B9962}"/>
            </c:ext>
          </c:extLst>
        </c:ser>
        <c:dLbls>
          <c:showLegendKey val="0"/>
          <c:showVal val="1"/>
          <c:showCatName val="0"/>
          <c:showSerName val="0"/>
          <c:showPercent val="0"/>
          <c:showBubbleSize val="0"/>
        </c:dLbls>
        <c:marker val="1"/>
        <c:smooth val="0"/>
        <c:axId val="1626436111"/>
        <c:axId val="1626449007"/>
      </c:lineChart>
      <c:catAx>
        <c:axId val="162643611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626449007"/>
        <c:crosses val="autoZero"/>
        <c:auto val="1"/>
        <c:lblAlgn val="ctr"/>
        <c:lblOffset val="100"/>
        <c:noMultiLvlLbl val="0"/>
      </c:catAx>
      <c:valAx>
        <c:axId val="1626449007"/>
        <c:scaling>
          <c:orientation val="minMax"/>
        </c:scaling>
        <c:delete val="1"/>
        <c:axPos val="l"/>
        <c:numFmt formatCode="0.0%" sourceLinked="1"/>
        <c:majorTickMark val="none"/>
        <c:minorTickMark val="none"/>
        <c:tickLblPos val="nextTo"/>
        <c:crossAx val="16264361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Evolución llegadas</a:t>
            </a:r>
            <a:r>
              <a:rPr lang="es-EC" baseline="0"/>
              <a:t> 2019-2021</a:t>
            </a:r>
            <a:endParaRPr lang="es-EC"/>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2.9979287385654363E-2"/>
          <c:y val="0.10995690148269265"/>
          <c:w val="0.89191564165294746"/>
          <c:h val="0.68730920228405445"/>
        </c:manualLayout>
      </c:layout>
      <c:lineChart>
        <c:grouping val="standard"/>
        <c:varyColors val="0"/>
        <c:ser>
          <c:idx val="1"/>
          <c:order val="1"/>
          <c:tx>
            <c:strRef>
              <c:f>'Llegadas x nacionalidad'!$C$8</c:f>
              <c:strCache>
                <c:ptCount val="1"/>
                <c:pt idx="0">
                  <c:v>España</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extLst>
                <c:ext xmlns:c15="http://schemas.microsoft.com/office/drawing/2012/chart" uri="{02D57815-91ED-43cb-92C2-25804820EDAC}">
                  <c15:fullRef>
                    <c15:sqref>'Llegadas x nacionalidad'!$ER$5:$GA$5</c15:sqref>
                  </c15:fullRef>
                </c:ext>
              </c:extLst>
              <c:f>'Llegadas x nacionalidad'!$ER$5:$GA$5</c:f>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nacionalidad'!$D$8:$GA$8</c15:sqref>
                  </c15:fullRef>
                </c:ext>
              </c:extLst>
              <c:f>'Llegadas x nacionalidad'!$D$8:$FT$8</c:f>
              <c:numCache>
                <c:formatCode>#,##0</c:formatCode>
                <c:ptCount val="29"/>
                <c:pt idx="0" formatCode="_(* #,##0_);_(* \(#,##0\);_(* &quot;-&quot;??_);_(@_)">
                  <c:v>1985</c:v>
                </c:pt>
                <c:pt idx="1">
                  <c:v>2280</c:v>
                </c:pt>
                <c:pt idx="2">
                  <c:v>2141</c:v>
                </c:pt>
                <c:pt idx="3">
                  <c:v>2248</c:v>
                </c:pt>
                <c:pt idx="4" formatCode="_(* #,##0_);_(* \(#,##0\);_(* &quot;-&quot;??_);_(@_)">
                  <c:v>4117</c:v>
                </c:pt>
                <c:pt idx="5" formatCode="_(* #,##0_);_(* \(#,##0\);_(* &quot;-&quot;??_);_(@_)">
                  <c:v>7279</c:v>
                </c:pt>
                <c:pt idx="6" formatCode="_(* #,##0_);_(* \(#,##0\);_(* &quot;-&quot;??_);_(@_)">
                  <c:v>8646</c:v>
                </c:pt>
                <c:pt idx="7" formatCode="_(* #,##0_);_(* \(#,##0\);_(* &quot;-&quot;??_);_(@_)">
                  <c:v>7778</c:v>
                </c:pt>
                <c:pt idx="8" formatCode="_(* #,##0_);_(* \(#,##0\);_(* &quot;-&quot;??_);_(@_)">
                  <c:v>6031</c:v>
                </c:pt>
                <c:pt idx="9" formatCode="_(* #,##0_);_(* \(#,##0\);_(* &quot;-&quot;??_);_(@_)">
                  <c:v>4476</c:v>
                </c:pt>
                <c:pt idx="10" formatCode="_(* #,##0_);_(* \(#,##0\);_(* &quot;-&quot;??_);_(@_)">
                  <c:v>5469</c:v>
                </c:pt>
                <c:pt idx="11" formatCode="_(* #,##0_);_(* \(#,##0\);_(* &quot;-&quot;??_);_(@_)">
                  <c:v>7951</c:v>
                </c:pt>
                <c:pt idx="12">
                  <c:v>4895</c:v>
                </c:pt>
                <c:pt idx="13">
                  <c:v>5061</c:v>
                </c:pt>
                <c:pt idx="14">
                  <c:v>1744</c:v>
                </c:pt>
                <c:pt idx="15">
                  <c:v>42</c:v>
                </c:pt>
                <c:pt idx="16">
                  <c:v>49</c:v>
                </c:pt>
                <c:pt idx="17">
                  <c:v>94</c:v>
                </c:pt>
                <c:pt idx="18">
                  <c:v>976</c:v>
                </c:pt>
                <c:pt idx="19">
                  <c:v>912</c:v>
                </c:pt>
                <c:pt idx="20">
                  <c:v>1188</c:v>
                </c:pt>
                <c:pt idx="21">
                  <c:v>1364</c:v>
                </c:pt>
                <c:pt idx="22">
                  <c:v>1646</c:v>
                </c:pt>
                <c:pt idx="23">
                  <c:v>2750</c:v>
                </c:pt>
                <c:pt idx="24">
                  <c:v>1919</c:v>
                </c:pt>
                <c:pt idx="25">
                  <c:v>1570</c:v>
                </c:pt>
                <c:pt idx="26">
                  <c:v>2021</c:v>
                </c:pt>
                <c:pt idx="27">
                  <c:v>1576</c:v>
                </c:pt>
                <c:pt idx="28">
                  <c:v>1611</c:v>
                </c:pt>
              </c:numCache>
            </c:numRef>
          </c:val>
          <c:smooth val="0"/>
          <c:extLst>
            <c:ext xmlns:c16="http://schemas.microsoft.com/office/drawing/2014/chart" uri="{C3380CC4-5D6E-409C-BE32-E72D297353CC}">
              <c16:uniqueId val="{00000001-63A1-48AA-A1EB-491BDBFB1C22}"/>
            </c:ext>
          </c:extLst>
        </c:ser>
        <c:ser>
          <c:idx val="6"/>
          <c:order val="6"/>
          <c:tx>
            <c:strRef>
              <c:f>'Llegadas x nacionalidad'!$C$13</c:f>
              <c:strCache>
                <c:ptCount val="1"/>
                <c:pt idx="0">
                  <c:v>Venezuela (republica Bolivariana de )</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extLst>
                <c:ext xmlns:c15="http://schemas.microsoft.com/office/drawing/2012/chart" uri="{02D57815-91ED-43cb-92C2-25804820EDAC}">
                  <c15:fullRef>
                    <c15:sqref>'Llegadas x nacionalidad'!$ER$5:$GA$5</c15:sqref>
                  </c15:fullRef>
                </c:ext>
              </c:extLst>
              <c:f>'Llegadas x nacionalidad'!$ER$5:$GA$5</c:f>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nacionalidad'!$D$13:$GA$13</c15:sqref>
                  </c15:fullRef>
                </c:ext>
              </c:extLst>
              <c:f>'Llegadas x nacionalidad'!$D$13:$FT$13</c:f>
              <c:numCache>
                <c:formatCode>#,##0</c:formatCode>
                <c:ptCount val="29"/>
                <c:pt idx="0" formatCode="_(* #,##0_);_(* \(#,##0\);_(* &quot;-&quot;??_);_(@_)">
                  <c:v>839</c:v>
                </c:pt>
                <c:pt idx="1">
                  <c:v>615</c:v>
                </c:pt>
                <c:pt idx="2">
                  <c:v>713</c:v>
                </c:pt>
                <c:pt idx="3">
                  <c:v>970</c:v>
                </c:pt>
                <c:pt idx="4" formatCode="_(* #,##0_);_(* \(#,##0\);_(* &quot;-&quot;??_);_(@_)">
                  <c:v>1338</c:v>
                </c:pt>
                <c:pt idx="5" formatCode="_(* #,##0_);_(* \(#,##0\);_(* &quot;-&quot;??_);_(@_)">
                  <c:v>1196</c:v>
                </c:pt>
                <c:pt idx="6" formatCode="_(* #,##0_);_(* \(#,##0\);_(* &quot;-&quot;??_);_(@_)">
                  <c:v>1791</c:v>
                </c:pt>
                <c:pt idx="7" formatCode="_(* #,##0_);_(* \(#,##0\);_(* &quot;-&quot;??_);_(@_)">
                  <c:v>1978</c:v>
                </c:pt>
                <c:pt idx="8" formatCode="_(* #,##0_);_(* \(#,##0\);_(* &quot;-&quot;??_);_(@_)">
                  <c:v>959</c:v>
                </c:pt>
                <c:pt idx="9" formatCode="_(* #,##0_);_(* \(#,##0\);_(* &quot;-&quot;??_);_(@_)">
                  <c:v>956</c:v>
                </c:pt>
                <c:pt idx="10" formatCode="_(* #,##0_);_(* \(#,##0\);_(* &quot;-&quot;??_);_(@_)">
                  <c:v>1165</c:v>
                </c:pt>
                <c:pt idx="11" formatCode="_(* #,##0_);_(* \(#,##0\);_(* &quot;-&quot;??_);_(@_)">
                  <c:v>1300</c:v>
                </c:pt>
                <c:pt idx="12">
                  <c:v>1957</c:v>
                </c:pt>
                <c:pt idx="13">
                  <c:v>980</c:v>
                </c:pt>
                <c:pt idx="14">
                  <c:v>604</c:v>
                </c:pt>
                <c:pt idx="15">
                  <c:v>15</c:v>
                </c:pt>
                <c:pt idx="16">
                  <c:v>28</c:v>
                </c:pt>
                <c:pt idx="17">
                  <c:v>30</c:v>
                </c:pt>
                <c:pt idx="18">
                  <c:v>79</c:v>
                </c:pt>
                <c:pt idx="19">
                  <c:v>74</c:v>
                </c:pt>
                <c:pt idx="20">
                  <c:v>158</c:v>
                </c:pt>
                <c:pt idx="21">
                  <c:v>136</c:v>
                </c:pt>
                <c:pt idx="22">
                  <c:v>327</c:v>
                </c:pt>
                <c:pt idx="23">
                  <c:v>284</c:v>
                </c:pt>
                <c:pt idx="24">
                  <c:v>388</c:v>
                </c:pt>
                <c:pt idx="25">
                  <c:v>282</c:v>
                </c:pt>
                <c:pt idx="26">
                  <c:v>283</c:v>
                </c:pt>
                <c:pt idx="27">
                  <c:v>342</c:v>
                </c:pt>
                <c:pt idx="28">
                  <c:v>477</c:v>
                </c:pt>
              </c:numCache>
            </c:numRef>
          </c:val>
          <c:smooth val="0"/>
          <c:extLst>
            <c:ext xmlns:c16="http://schemas.microsoft.com/office/drawing/2014/chart" uri="{C3380CC4-5D6E-409C-BE32-E72D297353CC}">
              <c16:uniqueId val="{00000006-63A1-48AA-A1EB-491BDBFB1C22}"/>
            </c:ext>
          </c:extLst>
        </c:ser>
        <c:ser>
          <c:idx val="8"/>
          <c:order val="8"/>
          <c:tx>
            <c:strRef>
              <c:f>'Llegadas x nacionalidad'!$C$15</c:f>
              <c:strCache>
                <c:ptCount val="1"/>
                <c:pt idx="0">
                  <c:v>Panamá</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extLst>
                <c:ext xmlns:c15="http://schemas.microsoft.com/office/drawing/2012/chart" uri="{02D57815-91ED-43cb-92C2-25804820EDAC}">
                  <c15:fullRef>
                    <c15:sqref>'Llegadas x nacionalidad'!$ER$5:$GA$5</c15:sqref>
                  </c15:fullRef>
                </c:ext>
              </c:extLst>
              <c:f>'Llegadas x nacionalidad'!$ER$5:$GA$5</c:f>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nacionalidad'!$D$15:$GA$15</c15:sqref>
                  </c15:fullRef>
                </c:ext>
              </c:extLst>
              <c:f>'Llegadas x nacionalidad'!$D$15:$FT$15</c:f>
              <c:numCache>
                <c:formatCode>#,##0</c:formatCode>
                <c:ptCount val="29"/>
                <c:pt idx="0" formatCode="_(* #,##0_);_(* \(#,##0\);_(* &quot;-&quot;??_);_(@_)">
                  <c:v>840</c:v>
                </c:pt>
                <c:pt idx="1">
                  <c:v>828</c:v>
                </c:pt>
                <c:pt idx="2">
                  <c:v>1084</c:v>
                </c:pt>
                <c:pt idx="3">
                  <c:v>812</c:v>
                </c:pt>
                <c:pt idx="4" formatCode="_(* #,##0_);_(* \(#,##0\);_(* &quot;-&quot;??_);_(@_)">
                  <c:v>848</c:v>
                </c:pt>
                <c:pt idx="5" formatCode="_(* #,##0_);_(* \(#,##0\);_(* &quot;-&quot;??_);_(@_)">
                  <c:v>1008</c:v>
                </c:pt>
                <c:pt idx="6" formatCode="_(* #,##0_);_(* \(#,##0\);_(* &quot;-&quot;??_);_(@_)">
                  <c:v>995</c:v>
                </c:pt>
                <c:pt idx="7" formatCode="_(* #,##0_);_(* \(#,##0\);_(* &quot;-&quot;??_);_(@_)">
                  <c:v>1071</c:v>
                </c:pt>
                <c:pt idx="8" formatCode="_(* #,##0_);_(* \(#,##0\);_(* &quot;-&quot;??_);_(@_)">
                  <c:v>633</c:v>
                </c:pt>
                <c:pt idx="9" formatCode="_(* #,##0_);_(* \(#,##0\);_(* &quot;-&quot;??_);_(@_)">
                  <c:v>594</c:v>
                </c:pt>
                <c:pt idx="10" formatCode="_(* #,##0_);_(* \(#,##0\);_(* &quot;-&quot;??_);_(@_)">
                  <c:v>724</c:v>
                </c:pt>
                <c:pt idx="11" formatCode="_(* #,##0_);_(* \(#,##0\);_(* &quot;-&quot;??_);_(@_)">
                  <c:v>705</c:v>
                </c:pt>
                <c:pt idx="12">
                  <c:v>773</c:v>
                </c:pt>
                <c:pt idx="13">
                  <c:v>747</c:v>
                </c:pt>
                <c:pt idx="14">
                  <c:v>271</c:v>
                </c:pt>
                <c:pt idx="18">
                  <c:v>1</c:v>
                </c:pt>
                <c:pt idx="19">
                  <c:v>15</c:v>
                </c:pt>
                <c:pt idx="20">
                  <c:v>5</c:v>
                </c:pt>
                <c:pt idx="21">
                  <c:v>40</c:v>
                </c:pt>
                <c:pt idx="22">
                  <c:v>320</c:v>
                </c:pt>
                <c:pt idx="23">
                  <c:v>353</c:v>
                </c:pt>
                <c:pt idx="24">
                  <c:v>354</c:v>
                </c:pt>
                <c:pt idx="25">
                  <c:v>219</c:v>
                </c:pt>
                <c:pt idx="26">
                  <c:v>215</c:v>
                </c:pt>
                <c:pt idx="27">
                  <c:v>218</c:v>
                </c:pt>
                <c:pt idx="28">
                  <c:v>265</c:v>
                </c:pt>
              </c:numCache>
            </c:numRef>
          </c:val>
          <c:smooth val="0"/>
          <c:extLst>
            <c:ext xmlns:c16="http://schemas.microsoft.com/office/drawing/2014/chart" uri="{C3380CC4-5D6E-409C-BE32-E72D297353CC}">
              <c16:uniqueId val="{00000008-63A1-48AA-A1EB-491BDBFB1C22}"/>
            </c:ext>
          </c:extLst>
        </c:ser>
        <c:ser>
          <c:idx val="11"/>
          <c:order val="11"/>
          <c:tx>
            <c:strRef>
              <c:f>'Llegadas x nacionalidad'!$C$18</c:f>
              <c:strCache>
                <c:ptCount val="1"/>
                <c:pt idx="0">
                  <c:v>China (República Popular)</c:v>
                </c:pt>
              </c:strCache>
            </c:strRef>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numRef>
              <c:extLst>
                <c:ext xmlns:c15="http://schemas.microsoft.com/office/drawing/2012/chart" uri="{02D57815-91ED-43cb-92C2-25804820EDAC}">
                  <c15:fullRef>
                    <c15:sqref>'Llegadas x nacionalidad'!$ER$5:$GA$5</c15:sqref>
                  </c15:fullRef>
                </c:ext>
              </c:extLst>
              <c:f>'Llegadas x nacionalidad'!$ER$5:$GA$5</c:f>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nacionalidad'!$D$18:$GA$18</c15:sqref>
                  </c15:fullRef>
                </c:ext>
              </c:extLst>
              <c:f>'Llegadas x nacionalidad'!$D$18:$FT$18</c:f>
              <c:numCache>
                <c:formatCode>#,##0</c:formatCode>
                <c:ptCount val="29"/>
                <c:pt idx="0" formatCode="_(* #,##0_);_(* \(#,##0\);_(* &quot;-&quot;??_);_(@_)">
                  <c:v>840</c:v>
                </c:pt>
                <c:pt idx="1">
                  <c:v>981</c:v>
                </c:pt>
                <c:pt idx="2">
                  <c:v>1154</c:v>
                </c:pt>
                <c:pt idx="3">
                  <c:v>849</c:v>
                </c:pt>
                <c:pt idx="4" formatCode="_(* #,##0_);_(* \(#,##0\);_(* &quot;-&quot;??_);_(@_)">
                  <c:v>1263</c:v>
                </c:pt>
                <c:pt idx="5" formatCode="_(* #,##0_);_(* \(#,##0\);_(* &quot;-&quot;??_);_(@_)">
                  <c:v>1087</c:v>
                </c:pt>
                <c:pt idx="6" formatCode="_(* #,##0_);_(* \(#,##0\);_(* &quot;-&quot;??_);_(@_)">
                  <c:v>1326</c:v>
                </c:pt>
                <c:pt idx="7" formatCode="_(* #,##0_);_(* \(#,##0\);_(* &quot;-&quot;??_);_(@_)">
                  <c:v>1264</c:v>
                </c:pt>
                <c:pt idx="8" formatCode="_(* #,##0_);_(* \(#,##0\);_(* &quot;-&quot;??_);_(@_)">
                  <c:v>1156</c:v>
                </c:pt>
                <c:pt idx="9" formatCode="_(* #,##0_);_(* \(#,##0\);_(* &quot;-&quot;??_);_(@_)">
                  <c:v>845</c:v>
                </c:pt>
                <c:pt idx="10" formatCode="_(* #,##0_);_(* \(#,##0\);_(* &quot;-&quot;??_);_(@_)">
                  <c:v>961</c:v>
                </c:pt>
                <c:pt idx="11" formatCode="_(* #,##0_);_(* \(#,##0\);_(* &quot;-&quot;??_);_(@_)">
                  <c:v>979</c:v>
                </c:pt>
                <c:pt idx="12">
                  <c:v>895</c:v>
                </c:pt>
                <c:pt idx="13">
                  <c:v>578</c:v>
                </c:pt>
                <c:pt idx="14">
                  <c:v>220</c:v>
                </c:pt>
                <c:pt idx="17">
                  <c:v>2</c:v>
                </c:pt>
                <c:pt idx="18">
                  <c:v>70</c:v>
                </c:pt>
                <c:pt idx="19">
                  <c:v>91</c:v>
                </c:pt>
                <c:pt idx="20">
                  <c:v>153</c:v>
                </c:pt>
                <c:pt idx="21">
                  <c:v>172</c:v>
                </c:pt>
                <c:pt idx="22">
                  <c:v>167</c:v>
                </c:pt>
                <c:pt idx="23">
                  <c:v>211</c:v>
                </c:pt>
                <c:pt idx="24">
                  <c:v>158</c:v>
                </c:pt>
                <c:pt idx="25">
                  <c:v>194</c:v>
                </c:pt>
                <c:pt idx="26">
                  <c:v>301</c:v>
                </c:pt>
                <c:pt idx="27">
                  <c:v>270</c:v>
                </c:pt>
                <c:pt idx="28">
                  <c:v>275</c:v>
                </c:pt>
              </c:numCache>
            </c:numRef>
          </c:val>
          <c:smooth val="0"/>
          <c:extLst>
            <c:ext xmlns:c16="http://schemas.microsoft.com/office/drawing/2014/chart" uri="{C3380CC4-5D6E-409C-BE32-E72D297353CC}">
              <c16:uniqueId val="{0000000B-63A1-48AA-A1EB-491BDBFB1C22}"/>
            </c:ext>
          </c:extLst>
        </c:ser>
        <c:ser>
          <c:idx val="14"/>
          <c:order val="14"/>
          <c:tx>
            <c:strRef>
              <c:f>'Llegadas x nacionalidad'!$C$21</c:f>
              <c:strCache>
                <c:ptCount val="1"/>
                <c:pt idx="0">
                  <c:v>Chile</c:v>
                </c:pt>
              </c:strCache>
            </c:strRef>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numRef>
              <c:extLst>
                <c:ext xmlns:c15="http://schemas.microsoft.com/office/drawing/2012/chart" uri="{02D57815-91ED-43cb-92C2-25804820EDAC}">
                  <c15:fullRef>
                    <c15:sqref>'Llegadas x nacionalidad'!$ER$5:$GA$5</c15:sqref>
                  </c15:fullRef>
                </c:ext>
              </c:extLst>
              <c:f>'Llegadas x nacionalidad'!$ER$5:$GA$5</c:f>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nacionalidad'!$D$21:$GA$21</c15:sqref>
                  </c15:fullRef>
                </c:ext>
              </c:extLst>
              <c:f>'Llegadas x nacionalidad'!$D$21:$FT$21</c:f>
              <c:numCache>
                <c:formatCode>#,##0</c:formatCode>
                <c:ptCount val="29"/>
                <c:pt idx="0" formatCode="_(* #,##0_);_(* \(#,##0\);_(* &quot;-&quot;??_);_(@_)">
                  <c:v>1003</c:v>
                </c:pt>
                <c:pt idx="1">
                  <c:v>1204</c:v>
                </c:pt>
                <c:pt idx="2">
                  <c:v>853</c:v>
                </c:pt>
                <c:pt idx="3">
                  <c:v>1299</c:v>
                </c:pt>
                <c:pt idx="4" formatCode="_(* #,##0_);_(* \(#,##0\);_(* &quot;-&quot;??_);_(@_)">
                  <c:v>1321</c:v>
                </c:pt>
                <c:pt idx="5" formatCode="_(* #,##0_);_(* \(#,##0\);_(* &quot;-&quot;??_);_(@_)">
                  <c:v>1452</c:v>
                </c:pt>
                <c:pt idx="6" formatCode="_(* #,##0_);_(* \(#,##0\);_(* &quot;-&quot;??_);_(@_)">
                  <c:v>1791</c:v>
                </c:pt>
                <c:pt idx="7" formatCode="_(* #,##0_);_(* \(#,##0\);_(* &quot;-&quot;??_);_(@_)">
                  <c:v>1495</c:v>
                </c:pt>
                <c:pt idx="8" formatCode="_(* #,##0_);_(* \(#,##0\);_(* &quot;-&quot;??_);_(@_)">
                  <c:v>1858</c:v>
                </c:pt>
                <c:pt idx="9" formatCode="_(* #,##0_);_(* \(#,##0\);_(* &quot;-&quot;??_);_(@_)">
                  <c:v>1132</c:v>
                </c:pt>
                <c:pt idx="10" formatCode="_(* #,##0_);_(* \(#,##0\);_(* &quot;-&quot;??_);_(@_)">
                  <c:v>1226</c:v>
                </c:pt>
                <c:pt idx="11" formatCode="_(* #,##0_);_(* \(#,##0\);_(* &quot;-&quot;??_);_(@_)">
                  <c:v>1409</c:v>
                </c:pt>
                <c:pt idx="12">
                  <c:v>1782</c:v>
                </c:pt>
                <c:pt idx="13">
                  <c:v>1775</c:v>
                </c:pt>
                <c:pt idx="14">
                  <c:v>541</c:v>
                </c:pt>
                <c:pt idx="15">
                  <c:v>13</c:v>
                </c:pt>
                <c:pt idx="16">
                  <c:v>9</c:v>
                </c:pt>
                <c:pt idx="17">
                  <c:v>19</c:v>
                </c:pt>
                <c:pt idx="18">
                  <c:v>29</c:v>
                </c:pt>
                <c:pt idx="19">
                  <c:v>30</c:v>
                </c:pt>
                <c:pt idx="20">
                  <c:v>64</c:v>
                </c:pt>
                <c:pt idx="21">
                  <c:v>142</c:v>
                </c:pt>
                <c:pt idx="22">
                  <c:v>127</c:v>
                </c:pt>
                <c:pt idx="23">
                  <c:v>326</c:v>
                </c:pt>
                <c:pt idx="24">
                  <c:v>247</c:v>
                </c:pt>
                <c:pt idx="25">
                  <c:v>165</c:v>
                </c:pt>
                <c:pt idx="26">
                  <c:v>208</c:v>
                </c:pt>
                <c:pt idx="27">
                  <c:v>113</c:v>
                </c:pt>
                <c:pt idx="28">
                  <c:v>145</c:v>
                </c:pt>
              </c:numCache>
            </c:numRef>
          </c:val>
          <c:smooth val="0"/>
          <c:extLst>
            <c:ext xmlns:c16="http://schemas.microsoft.com/office/drawing/2014/chart" uri="{C3380CC4-5D6E-409C-BE32-E72D297353CC}">
              <c16:uniqueId val="{0000000E-63A1-48AA-A1EB-491BDBFB1C22}"/>
            </c:ext>
          </c:extLst>
        </c:ser>
        <c:dLbls>
          <c:showLegendKey val="0"/>
          <c:showVal val="0"/>
          <c:showCatName val="0"/>
          <c:showSerName val="0"/>
          <c:showPercent val="0"/>
          <c:showBubbleSize val="0"/>
        </c:dLbls>
        <c:marker val="1"/>
        <c:smooth val="0"/>
        <c:axId val="939981295"/>
        <c:axId val="939983375"/>
        <c:extLst>
          <c:ext xmlns:c15="http://schemas.microsoft.com/office/drawing/2012/chart" uri="{02D57815-91ED-43cb-92C2-25804820EDAC}">
            <c15:filteredLineSeries>
              <c15:ser>
                <c:idx val="0"/>
                <c:order val="0"/>
                <c:tx>
                  <c:strRef>
                    <c:extLst>
                      <c:ext uri="{02D57815-91ED-43cb-92C2-25804820EDAC}">
                        <c15:formulaRef>
                          <c15:sqref>'Llegadas x nacionalidad'!$C$7</c15:sqref>
                        </c15:formulaRef>
                      </c:ext>
                    </c:extLst>
                    <c:strCache>
                      <c:ptCount val="1"/>
                      <c:pt idx="0">
                        <c:v>Estados Unidos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extLst>
                      <c:ex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uri="{02D57815-91ED-43cb-92C2-25804820EDAC}">
                        <c15:fullRef>
                          <c15:sqref>'Llegadas x nacionalidad'!$D$7:$GA$7</c15:sqref>
                        </c15:fullRef>
                        <c15:formulaRef>
                          <c15:sqref>'Llegadas x nacionalidad'!$D$7:$FT$7</c15:sqref>
                        </c15:formulaRef>
                      </c:ext>
                    </c:extLst>
                    <c:numCache>
                      <c:formatCode>#,##0</c:formatCode>
                      <c:ptCount val="29"/>
                      <c:pt idx="0" formatCode="_(* #,##0_);_(* \(#,##0\);_(* &quot;-&quot;??_);_(@_)">
                        <c:v>11535</c:v>
                      </c:pt>
                      <c:pt idx="1">
                        <c:v>10029</c:v>
                      </c:pt>
                      <c:pt idx="2">
                        <c:v>13852</c:v>
                      </c:pt>
                      <c:pt idx="3">
                        <c:v>10247</c:v>
                      </c:pt>
                      <c:pt idx="4" formatCode="_(* #,##0_);_(* \(#,##0\);_(* &quot;-&quot;??_);_(@_)">
                        <c:v>10194</c:v>
                      </c:pt>
                      <c:pt idx="5" formatCode="_(* #,##0_);_(* \(#,##0\);_(* &quot;-&quot;??_);_(@_)">
                        <c:v>27252</c:v>
                      </c:pt>
                      <c:pt idx="6" formatCode="_(* #,##0_);_(* \(#,##0\);_(* &quot;-&quot;??_);_(@_)">
                        <c:v>24033</c:v>
                      </c:pt>
                      <c:pt idx="7" formatCode="_(* #,##0_);_(* \(#,##0\);_(* &quot;-&quot;??_);_(@_)">
                        <c:v>16389</c:v>
                      </c:pt>
                      <c:pt idx="8" formatCode="_(* #,##0_);_(* \(#,##0\);_(* &quot;-&quot;??_);_(@_)">
                        <c:v>12076</c:v>
                      </c:pt>
                      <c:pt idx="9" formatCode="_(* #,##0_);_(* \(#,##0\);_(* &quot;-&quot;??_);_(@_)">
                        <c:v>10654</c:v>
                      </c:pt>
                      <c:pt idx="10" formatCode="_(* #,##0_);_(* \(#,##0\);_(* &quot;-&quot;??_);_(@_)">
                        <c:v>13694</c:v>
                      </c:pt>
                      <c:pt idx="11" formatCode="_(* #,##0_);_(* \(#,##0\);_(* &quot;-&quot;??_);_(@_)">
                        <c:v>20560</c:v>
                      </c:pt>
                      <c:pt idx="12">
                        <c:v>15918</c:v>
                      </c:pt>
                      <c:pt idx="13">
                        <c:v>16475</c:v>
                      </c:pt>
                      <c:pt idx="14">
                        <c:v>6730</c:v>
                      </c:pt>
                      <c:pt idx="15">
                        <c:v>88</c:v>
                      </c:pt>
                      <c:pt idx="16">
                        <c:v>146</c:v>
                      </c:pt>
                      <c:pt idx="17">
                        <c:v>570</c:v>
                      </c:pt>
                      <c:pt idx="18">
                        <c:v>1194</c:v>
                      </c:pt>
                      <c:pt idx="19">
                        <c:v>1377</c:v>
                      </c:pt>
                      <c:pt idx="20">
                        <c:v>1707</c:v>
                      </c:pt>
                      <c:pt idx="21">
                        <c:v>2600</c:v>
                      </c:pt>
                      <c:pt idx="22">
                        <c:v>3904</c:v>
                      </c:pt>
                      <c:pt idx="23">
                        <c:v>7006</c:v>
                      </c:pt>
                      <c:pt idx="24">
                        <c:v>4279</c:v>
                      </c:pt>
                      <c:pt idx="25">
                        <c:v>3826</c:v>
                      </c:pt>
                      <c:pt idx="26">
                        <c:v>5327</c:v>
                      </c:pt>
                      <c:pt idx="27">
                        <c:v>5477</c:v>
                      </c:pt>
                      <c:pt idx="28">
                        <c:v>6558</c:v>
                      </c:pt>
                    </c:numCache>
                  </c:numRef>
                </c:val>
                <c:smooth val="0"/>
                <c:extLst>
                  <c:ext xmlns:c16="http://schemas.microsoft.com/office/drawing/2014/chart" uri="{C3380CC4-5D6E-409C-BE32-E72D297353CC}">
                    <c16:uniqueId val="{00000000-63A1-48AA-A1EB-491BDBFB1C22}"/>
                  </c:ext>
                </c:extLst>
              </c15:ser>
            </c15:filteredLineSeries>
            <c15:filteredLineSeries>
              <c15:ser>
                <c:idx val="2"/>
                <c:order val="2"/>
                <c:tx>
                  <c:strRef>
                    <c:extLst xmlns:c15="http://schemas.microsoft.com/office/drawing/2012/chart">
                      <c:ext xmlns:c15="http://schemas.microsoft.com/office/drawing/2012/chart" uri="{02D57815-91ED-43cb-92C2-25804820EDAC}">
                        <c15:formulaRef>
                          <c15:sqref>'Llegadas x nacionalidad'!$C$9</c15:sqref>
                        </c15:formulaRef>
                      </c:ext>
                    </c:extLst>
                    <c:strCache>
                      <c:ptCount val="1"/>
                      <c:pt idx="0">
                        <c:v>Colombia</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nacionalidad'!$D$9:$GA$9</c15:sqref>
                        </c15:fullRef>
                        <c15:formulaRef>
                          <c15:sqref>'Llegadas x nacionalidad'!$D$9:$FT$9</c15:sqref>
                        </c15:formulaRef>
                      </c:ext>
                    </c:extLst>
                    <c:numCache>
                      <c:formatCode>#,##0</c:formatCode>
                      <c:ptCount val="29"/>
                      <c:pt idx="0" formatCode="_(* #,##0_);_(* \(#,##0\);_(* &quot;-&quot;??_);_(@_)">
                        <c:v>4089</c:v>
                      </c:pt>
                      <c:pt idx="1">
                        <c:v>3965</c:v>
                      </c:pt>
                      <c:pt idx="2">
                        <c:v>4027</c:v>
                      </c:pt>
                      <c:pt idx="3">
                        <c:v>4474</c:v>
                      </c:pt>
                      <c:pt idx="4" formatCode="_(* #,##0_);_(* \(#,##0\);_(* &quot;-&quot;??_);_(@_)">
                        <c:v>5071</c:v>
                      </c:pt>
                      <c:pt idx="5" formatCode="_(* #,##0_);_(* \(#,##0\);_(* &quot;-&quot;??_);_(@_)">
                        <c:v>5044</c:v>
                      </c:pt>
                      <c:pt idx="6" formatCode="_(* #,##0_);_(* \(#,##0\);_(* &quot;-&quot;??_);_(@_)">
                        <c:v>5286</c:v>
                      </c:pt>
                      <c:pt idx="7" formatCode="_(* #,##0_);_(* \(#,##0\);_(* &quot;-&quot;??_);_(@_)">
                        <c:v>4513</c:v>
                      </c:pt>
                      <c:pt idx="8" formatCode="_(* #,##0_);_(* \(#,##0\);_(* &quot;-&quot;??_);_(@_)">
                        <c:v>5430</c:v>
                      </c:pt>
                      <c:pt idx="9" formatCode="_(* #,##0_);_(* \(#,##0\);_(* &quot;-&quot;??_);_(@_)">
                        <c:v>4227</c:v>
                      </c:pt>
                      <c:pt idx="10" formatCode="_(* #,##0_);_(* \(#,##0\);_(* &quot;-&quot;??_);_(@_)">
                        <c:v>5428</c:v>
                      </c:pt>
                      <c:pt idx="11" formatCode="_(* #,##0_);_(* \(#,##0\);_(* &quot;-&quot;??_);_(@_)">
                        <c:v>6113</c:v>
                      </c:pt>
                      <c:pt idx="12">
                        <c:v>5961</c:v>
                      </c:pt>
                      <c:pt idx="13">
                        <c:v>4733</c:v>
                      </c:pt>
                      <c:pt idx="14">
                        <c:v>2174</c:v>
                      </c:pt>
                      <c:pt idx="15">
                        <c:v>32</c:v>
                      </c:pt>
                      <c:pt idx="16">
                        <c:v>56</c:v>
                      </c:pt>
                      <c:pt idx="17">
                        <c:v>99</c:v>
                      </c:pt>
                      <c:pt idx="18">
                        <c:v>201</c:v>
                      </c:pt>
                      <c:pt idx="19">
                        <c:v>218</c:v>
                      </c:pt>
                      <c:pt idx="20">
                        <c:v>423</c:v>
                      </c:pt>
                      <c:pt idx="21">
                        <c:v>1349</c:v>
                      </c:pt>
                      <c:pt idx="22">
                        <c:v>1549</c:v>
                      </c:pt>
                      <c:pt idx="23">
                        <c:v>1964</c:v>
                      </c:pt>
                      <c:pt idx="24">
                        <c:v>1992</c:v>
                      </c:pt>
                      <c:pt idx="25">
                        <c:v>1420</c:v>
                      </c:pt>
                      <c:pt idx="26">
                        <c:v>1870</c:v>
                      </c:pt>
                      <c:pt idx="27">
                        <c:v>1490</c:v>
                      </c:pt>
                      <c:pt idx="28">
                        <c:v>1777</c:v>
                      </c:pt>
                    </c:numCache>
                  </c:numRef>
                </c:val>
                <c:smooth val="0"/>
                <c:extLst xmlns:c15="http://schemas.microsoft.com/office/drawing/2012/chart">
                  <c:ext xmlns:c16="http://schemas.microsoft.com/office/drawing/2014/chart" uri="{C3380CC4-5D6E-409C-BE32-E72D297353CC}">
                    <c16:uniqueId val="{00000002-63A1-48AA-A1EB-491BDBFB1C22}"/>
                  </c:ext>
                </c:extLst>
              </c15:ser>
            </c15:filteredLineSeries>
            <c15:filteredLineSeries>
              <c15:ser>
                <c:idx val="3"/>
                <c:order val="3"/>
                <c:tx>
                  <c:strRef>
                    <c:extLst xmlns:c15="http://schemas.microsoft.com/office/drawing/2012/chart">
                      <c:ext xmlns:c15="http://schemas.microsoft.com/office/drawing/2012/chart" uri="{02D57815-91ED-43cb-92C2-25804820EDAC}">
                        <c15:formulaRef>
                          <c15:sqref>'Llegadas x nacionalidad'!$C$10</c15:sqref>
                        </c15:formulaRef>
                      </c:ext>
                    </c:extLst>
                    <c:strCache>
                      <c:ptCount val="1"/>
                      <c:pt idx="0">
                        <c:v>México</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nacionalidad'!$D$10:$GA$10</c15:sqref>
                        </c15:fullRef>
                        <c15:formulaRef>
                          <c15:sqref>'Llegadas x nacionalidad'!$D$10:$FT$10</c15:sqref>
                        </c15:formulaRef>
                      </c:ext>
                    </c:extLst>
                    <c:numCache>
                      <c:formatCode>#,##0</c:formatCode>
                      <c:ptCount val="29"/>
                      <c:pt idx="0" formatCode="_(* #,##0_);_(* \(#,##0\);_(* &quot;-&quot;??_);_(@_)">
                        <c:v>1454</c:v>
                      </c:pt>
                      <c:pt idx="1">
                        <c:v>1596</c:v>
                      </c:pt>
                      <c:pt idx="2">
                        <c:v>1930</c:v>
                      </c:pt>
                      <c:pt idx="3">
                        <c:v>2053</c:v>
                      </c:pt>
                      <c:pt idx="4" formatCode="_(* #,##0_);_(* \(#,##0\);_(* &quot;-&quot;??_);_(@_)">
                        <c:v>1644</c:v>
                      </c:pt>
                      <c:pt idx="5" formatCode="_(* #,##0_);_(* \(#,##0\);_(* &quot;-&quot;??_);_(@_)">
                        <c:v>1820</c:v>
                      </c:pt>
                      <c:pt idx="6" formatCode="_(* #,##0_);_(* \(#,##0\);_(* &quot;-&quot;??_);_(@_)">
                        <c:v>1932</c:v>
                      </c:pt>
                      <c:pt idx="7" formatCode="_(* #,##0_);_(* \(#,##0\);_(* &quot;-&quot;??_);_(@_)">
                        <c:v>1590</c:v>
                      </c:pt>
                      <c:pt idx="8" formatCode="_(* #,##0_);_(* \(#,##0\);_(* &quot;-&quot;??_);_(@_)">
                        <c:v>1672</c:v>
                      </c:pt>
                      <c:pt idx="9" formatCode="_(* #,##0_);_(* \(#,##0\);_(* &quot;-&quot;??_);_(@_)">
                        <c:v>1400</c:v>
                      </c:pt>
                      <c:pt idx="10" formatCode="_(* #,##0_);_(* \(#,##0\);_(* &quot;-&quot;??_);_(@_)">
                        <c:v>1836</c:v>
                      </c:pt>
                      <c:pt idx="11" formatCode="_(* #,##0_);_(* \(#,##0\);_(* &quot;-&quot;??_);_(@_)">
                        <c:v>2108</c:v>
                      </c:pt>
                      <c:pt idx="12">
                        <c:v>1799</c:v>
                      </c:pt>
                      <c:pt idx="13">
                        <c:v>1661</c:v>
                      </c:pt>
                      <c:pt idx="14">
                        <c:v>771</c:v>
                      </c:pt>
                      <c:pt idx="15">
                        <c:v>15</c:v>
                      </c:pt>
                      <c:pt idx="16">
                        <c:v>12</c:v>
                      </c:pt>
                      <c:pt idx="17">
                        <c:v>37</c:v>
                      </c:pt>
                      <c:pt idx="18">
                        <c:v>43</c:v>
                      </c:pt>
                      <c:pt idx="19">
                        <c:v>355</c:v>
                      </c:pt>
                      <c:pt idx="20">
                        <c:v>419</c:v>
                      </c:pt>
                      <c:pt idx="21">
                        <c:v>477</c:v>
                      </c:pt>
                      <c:pt idx="22">
                        <c:v>574</c:v>
                      </c:pt>
                      <c:pt idx="23">
                        <c:v>731</c:v>
                      </c:pt>
                      <c:pt idx="24">
                        <c:v>659</c:v>
                      </c:pt>
                      <c:pt idx="25">
                        <c:v>570</c:v>
                      </c:pt>
                      <c:pt idx="26">
                        <c:v>525</c:v>
                      </c:pt>
                      <c:pt idx="27">
                        <c:v>407</c:v>
                      </c:pt>
                      <c:pt idx="28">
                        <c:v>549</c:v>
                      </c:pt>
                    </c:numCache>
                  </c:numRef>
                </c:val>
                <c:smooth val="0"/>
                <c:extLst xmlns:c15="http://schemas.microsoft.com/office/drawing/2012/chart">
                  <c:ext xmlns:c16="http://schemas.microsoft.com/office/drawing/2014/chart" uri="{C3380CC4-5D6E-409C-BE32-E72D297353CC}">
                    <c16:uniqueId val="{00000003-63A1-48AA-A1EB-491BDBFB1C22}"/>
                  </c:ext>
                </c:extLst>
              </c15:ser>
            </c15:filteredLineSeries>
            <c15:filteredLineSeries>
              <c15:ser>
                <c:idx val="4"/>
                <c:order val="4"/>
                <c:tx>
                  <c:strRef>
                    <c:extLst xmlns:c15="http://schemas.microsoft.com/office/drawing/2012/chart">
                      <c:ext xmlns:c15="http://schemas.microsoft.com/office/drawing/2012/chart" uri="{02D57815-91ED-43cb-92C2-25804820EDAC}">
                        <c15:formulaRef>
                          <c15:sqref>'Llegadas x nacionalidad'!$C$11</c15:sqref>
                        </c15:formulaRef>
                      </c:ext>
                    </c:extLst>
                    <c:strCache>
                      <c:ptCount val="1"/>
                      <c:pt idx="0">
                        <c:v>Perú</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nacionalidad'!$D$11:$GA$11</c15:sqref>
                        </c15:fullRef>
                        <c15:formulaRef>
                          <c15:sqref>'Llegadas x nacionalidad'!$D$11:$FT$11</c15:sqref>
                        </c15:formulaRef>
                      </c:ext>
                    </c:extLst>
                    <c:numCache>
                      <c:formatCode>#,##0</c:formatCode>
                      <c:ptCount val="29"/>
                      <c:pt idx="0" formatCode="_(* #,##0_);_(* \(#,##0\);_(* &quot;-&quot;??_);_(@_)">
                        <c:v>1128</c:v>
                      </c:pt>
                      <c:pt idx="1">
                        <c:v>1306</c:v>
                      </c:pt>
                      <c:pt idx="2">
                        <c:v>1156</c:v>
                      </c:pt>
                      <c:pt idx="3">
                        <c:v>1277</c:v>
                      </c:pt>
                      <c:pt idx="4" formatCode="_(* #,##0_);_(* \(#,##0\);_(* &quot;-&quot;??_);_(@_)">
                        <c:v>1495</c:v>
                      </c:pt>
                      <c:pt idx="5" formatCode="_(* #,##0_);_(* \(#,##0\);_(* &quot;-&quot;??_);_(@_)">
                        <c:v>2157</c:v>
                      </c:pt>
                      <c:pt idx="6" formatCode="_(* #,##0_);_(* \(#,##0\);_(* &quot;-&quot;??_);_(@_)">
                        <c:v>1553</c:v>
                      </c:pt>
                      <c:pt idx="7" formatCode="_(* #,##0_);_(* \(#,##0\);_(* &quot;-&quot;??_);_(@_)">
                        <c:v>1363</c:v>
                      </c:pt>
                      <c:pt idx="8" formatCode="_(* #,##0_);_(* \(#,##0\);_(* &quot;-&quot;??_);_(@_)">
                        <c:v>1780</c:v>
                      </c:pt>
                      <c:pt idx="9" formatCode="_(* #,##0_);_(* \(#,##0\);_(* &quot;-&quot;??_);_(@_)">
                        <c:v>1568</c:v>
                      </c:pt>
                      <c:pt idx="10" formatCode="_(* #,##0_);_(* \(#,##0\);_(* &quot;-&quot;??_);_(@_)">
                        <c:v>1727</c:v>
                      </c:pt>
                      <c:pt idx="11" formatCode="_(* #,##0_);_(* \(#,##0\);_(* &quot;-&quot;??_);_(@_)">
                        <c:v>1580</c:v>
                      </c:pt>
                      <c:pt idx="12">
                        <c:v>1581</c:v>
                      </c:pt>
                      <c:pt idx="13">
                        <c:v>1552</c:v>
                      </c:pt>
                      <c:pt idx="14">
                        <c:v>622</c:v>
                      </c:pt>
                      <c:pt idx="15">
                        <c:v>9</c:v>
                      </c:pt>
                      <c:pt idx="16">
                        <c:v>9</c:v>
                      </c:pt>
                      <c:pt idx="17">
                        <c:v>10</c:v>
                      </c:pt>
                      <c:pt idx="18">
                        <c:v>37</c:v>
                      </c:pt>
                      <c:pt idx="19">
                        <c:v>81</c:v>
                      </c:pt>
                      <c:pt idx="20">
                        <c:v>96</c:v>
                      </c:pt>
                      <c:pt idx="21">
                        <c:v>728</c:v>
                      </c:pt>
                      <c:pt idx="22">
                        <c:v>365</c:v>
                      </c:pt>
                      <c:pt idx="23">
                        <c:v>501</c:v>
                      </c:pt>
                      <c:pt idx="24">
                        <c:v>383</c:v>
                      </c:pt>
                      <c:pt idx="25">
                        <c:v>229</c:v>
                      </c:pt>
                      <c:pt idx="26">
                        <c:v>254</c:v>
                      </c:pt>
                      <c:pt idx="27">
                        <c:v>310</c:v>
                      </c:pt>
                      <c:pt idx="28">
                        <c:v>595</c:v>
                      </c:pt>
                    </c:numCache>
                  </c:numRef>
                </c:val>
                <c:smooth val="0"/>
                <c:extLst xmlns:c15="http://schemas.microsoft.com/office/drawing/2012/chart">
                  <c:ext xmlns:c16="http://schemas.microsoft.com/office/drawing/2014/chart" uri="{C3380CC4-5D6E-409C-BE32-E72D297353CC}">
                    <c16:uniqueId val="{00000004-63A1-48AA-A1EB-491BDBFB1C22}"/>
                  </c:ext>
                </c:extLst>
              </c15:ser>
            </c15:filteredLineSeries>
            <c15:filteredLineSeries>
              <c15:ser>
                <c:idx val="5"/>
                <c:order val="5"/>
                <c:tx>
                  <c:strRef>
                    <c:extLst xmlns:c15="http://schemas.microsoft.com/office/drawing/2012/chart">
                      <c:ext xmlns:c15="http://schemas.microsoft.com/office/drawing/2012/chart" uri="{02D57815-91ED-43cb-92C2-25804820EDAC}">
                        <c15:formulaRef>
                          <c15:sqref>'Llegadas x nacionalidad'!$C$12</c15:sqref>
                        </c15:formulaRef>
                      </c:ext>
                    </c:extLst>
                    <c:strCache>
                      <c:ptCount val="1"/>
                      <c:pt idx="0">
                        <c:v>Francia</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nacionalidad'!$D$12:$GA$12</c15:sqref>
                        </c15:fullRef>
                        <c15:formulaRef>
                          <c15:sqref>'Llegadas x nacionalidad'!$D$12:$FT$12</c15:sqref>
                        </c15:formulaRef>
                      </c:ext>
                    </c:extLst>
                    <c:numCache>
                      <c:formatCode>#,##0</c:formatCode>
                      <c:ptCount val="29"/>
                      <c:pt idx="0" formatCode="_(* #,##0_);_(* \(#,##0\);_(* &quot;-&quot;??_);_(@_)">
                        <c:v>1067</c:v>
                      </c:pt>
                      <c:pt idx="1">
                        <c:v>1374</c:v>
                      </c:pt>
                      <c:pt idx="2">
                        <c:v>865</c:v>
                      </c:pt>
                      <c:pt idx="3">
                        <c:v>1271</c:v>
                      </c:pt>
                      <c:pt idx="4" formatCode="_(* #,##0_);_(* \(#,##0\);_(* &quot;-&quot;??_);_(@_)">
                        <c:v>1648</c:v>
                      </c:pt>
                      <c:pt idx="5" formatCode="_(* #,##0_);_(* \(#,##0\);_(* &quot;-&quot;??_);_(@_)">
                        <c:v>1645</c:v>
                      </c:pt>
                      <c:pt idx="6" formatCode="_(* #,##0_);_(* \(#,##0\);_(* &quot;-&quot;??_);_(@_)">
                        <c:v>2746</c:v>
                      </c:pt>
                      <c:pt idx="7" formatCode="_(* #,##0_);_(* \(#,##0\);_(* &quot;-&quot;??_);_(@_)">
                        <c:v>2514</c:v>
                      </c:pt>
                      <c:pt idx="8" formatCode="_(* #,##0_);_(* \(#,##0\);_(* &quot;-&quot;??_);_(@_)">
                        <c:v>2251</c:v>
                      </c:pt>
                      <c:pt idx="9" formatCode="_(* #,##0_);_(* \(#,##0\);_(* &quot;-&quot;??_);_(@_)">
                        <c:v>1562</c:v>
                      </c:pt>
                      <c:pt idx="10" formatCode="_(* #,##0_);_(* \(#,##0\);_(* &quot;-&quot;??_);_(@_)">
                        <c:v>1949</c:v>
                      </c:pt>
                      <c:pt idx="11" formatCode="_(* #,##0_);_(* \(#,##0\);_(* &quot;-&quot;??_);_(@_)">
                        <c:v>1590</c:v>
                      </c:pt>
                      <c:pt idx="12">
                        <c:v>1717</c:v>
                      </c:pt>
                      <c:pt idx="13">
                        <c:v>1675</c:v>
                      </c:pt>
                      <c:pt idx="14">
                        <c:v>661</c:v>
                      </c:pt>
                      <c:pt idx="15">
                        <c:v>2</c:v>
                      </c:pt>
                      <c:pt idx="16">
                        <c:v>18</c:v>
                      </c:pt>
                      <c:pt idx="17">
                        <c:v>11</c:v>
                      </c:pt>
                      <c:pt idx="18">
                        <c:v>68</c:v>
                      </c:pt>
                      <c:pt idx="19">
                        <c:v>158</c:v>
                      </c:pt>
                      <c:pt idx="20">
                        <c:v>152</c:v>
                      </c:pt>
                      <c:pt idx="21">
                        <c:v>261</c:v>
                      </c:pt>
                      <c:pt idx="22">
                        <c:v>186</c:v>
                      </c:pt>
                      <c:pt idx="23">
                        <c:v>413</c:v>
                      </c:pt>
                      <c:pt idx="24">
                        <c:v>386</c:v>
                      </c:pt>
                      <c:pt idx="25">
                        <c:v>209</c:v>
                      </c:pt>
                      <c:pt idx="26">
                        <c:v>211</c:v>
                      </c:pt>
                      <c:pt idx="27">
                        <c:v>238</c:v>
                      </c:pt>
                      <c:pt idx="28">
                        <c:v>278</c:v>
                      </c:pt>
                    </c:numCache>
                  </c:numRef>
                </c:val>
                <c:smooth val="0"/>
                <c:extLst xmlns:c15="http://schemas.microsoft.com/office/drawing/2012/chart">
                  <c:ext xmlns:c16="http://schemas.microsoft.com/office/drawing/2014/chart" uri="{C3380CC4-5D6E-409C-BE32-E72D297353CC}">
                    <c16:uniqueId val="{00000005-63A1-48AA-A1EB-491BDBFB1C22}"/>
                  </c:ext>
                </c:extLst>
              </c15:ser>
            </c15:filteredLineSeries>
            <c15:filteredLineSeries>
              <c15:ser>
                <c:idx val="7"/>
                <c:order val="7"/>
                <c:tx>
                  <c:strRef>
                    <c:extLst xmlns:c15="http://schemas.microsoft.com/office/drawing/2012/chart">
                      <c:ext xmlns:c15="http://schemas.microsoft.com/office/drawing/2012/chart" uri="{02D57815-91ED-43cb-92C2-25804820EDAC}">
                        <c15:formulaRef>
                          <c15:sqref>'Llegadas x nacionalidad'!$C$14</c15:sqref>
                        </c15:formulaRef>
                      </c:ext>
                    </c:extLst>
                    <c:strCache>
                      <c:ptCount val="1"/>
                      <c:pt idx="0">
                        <c:v>Alemania</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nacionalidad'!$D$14:$GA$14</c15:sqref>
                        </c15:fullRef>
                        <c15:formulaRef>
                          <c15:sqref>'Llegadas x nacionalidad'!$D$14:$FT$14</c15:sqref>
                        </c15:formulaRef>
                      </c:ext>
                    </c:extLst>
                    <c:numCache>
                      <c:formatCode>#,##0</c:formatCode>
                      <c:ptCount val="29"/>
                      <c:pt idx="0" formatCode="_(* #,##0_);_(* \(#,##0\);_(* &quot;-&quot;??_);_(@_)">
                        <c:v>1437</c:v>
                      </c:pt>
                      <c:pt idx="1">
                        <c:v>1736</c:v>
                      </c:pt>
                      <c:pt idx="2">
                        <c:v>1752</c:v>
                      </c:pt>
                      <c:pt idx="3">
                        <c:v>1612</c:v>
                      </c:pt>
                      <c:pt idx="4" formatCode="_(* #,##0_);_(* \(#,##0\);_(* &quot;-&quot;??_);_(@_)">
                        <c:v>1388</c:v>
                      </c:pt>
                      <c:pt idx="5" formatCode="_(* #,##0_);_(* \(#,##0\);_(* &quot;-&quot;??_);_(@_)">
                        <c:v>1538</c:v>
                      </c:pt>
                      <c:pt idx="6" formatCode="_(* #,##0_);_(* \(#,##0\);_(* &quot;-&quot;??_);_(@_)">
                        <c:v>2642</c:v>
                      </c:pt>
                      <c:pt idx="7" formatCode="_(* #,##0_);_(* \(#,##0\);_(* &quot;-&quot;??_);_(@_)">
                        <c:v>2517</c:v>
                      </c:pt>
                      <c:pt idx="8" formatCode="_(* #,##0_);_(* \(#,##0\);_(* &quot;-&quot;??_);_(@_)">
                        <c:v>1974</c:v>
                      </c:pt>
                      <c:pt idx="9" formatCode="_(* #,##0_);_(* \(#,##0\);_(* &quot;-&quot;??_);_(@_)">
                        <c:v>1837</c:v>
                      </c:pt>
                      <c:pt idx="10" formatCode="_(* #,##0_);_(* \(#,##0\);_(* &quot;-&quot;??_);_(@_)">
                        <c:v>2241</c:v>
                      </c:pt>
                      <c:pt idx="11" formatCode="_(* #,##0_);_(* \(#,##0\);_(* &quot;-&quot;??_);_(@_)">
                        <c:v>2074</c:v>
                      </c:pt>
                      <c:pt idx="12">
                        <c:v>1785</c:v>
                      </c:pt>
                      <c:pt idx="13">
                        <c:v>2078</c:v>
                      </c:pt>
                      <c:pt idx="14">
                        <c:v>880</c:v>
                      </c:pt>
                      <c:pt idx="15">
                        <c:v>9</c:v>
                      </c:pt>
                      <c:pt idx="16">
                        <c:v>12</c:v>
                      </c:pt>
                      <c:pt idx="17">
                        <c:v>19</c:v>
                      </c:pt>
                      <c:pt idx="18">
                        <c:v>54</c:v>
                      </c:pt>
                      <c:pt idx="19">
                        <c:v>137</c:v>
                      </c:pt>
                      <c:pt idx="20">
                        <c:v>139</c:v>
                      </c:pt>
                      <c:pt idx="21">
                        <c:v>179</c:v>
                      </c:pt>
                      <c:pt idx="22">
                        <c:v>145</c:v>
                      </c:pt>
                      <c:pt idx="23">
                        <c:v>331</c:v>
                      </c:pt>
                      <c:pt idx="24">
                        <c:v>254</c:v>
                      </c:pt>
                      <c:pt idx="25">
                        <c:v>165</c:v>
                      </c:pt>
                      <c:pt idx="26">
                        <c:v>258</c:v>
                      </c:pt>
                      <c:pt idx="27">
                        <c:v>249</c:v>
                      </c:pt>
                      <c:pt idx="28">
                        <c:v>270</c:v>
                      </c:pt>
                    </c:numCache>
                  </c:numRef>
                </c:val>
                <c:smooth val="0"/>
                <c:extLst xmlns:c15="http://schemas.microsoft.com/office/drawing/2012/chart">
                  <c:ext xmlns:c16="http://schemas.microsoft.com/office/drawing/2014/chart" uri="{C3380CC4-5D6E-409C-BE32-E72D297353CC}">
                    <c16:uniqueId val="{00000007-63A1-48AA-A1EB-491BDBFB1C22}"/>
                  </c:ext>
                </c:extLst>
              </c15:ser>
            </c15:filteredLineSeries>
            <c15:filteredLineSeries>
              <c15:ser>
                <c:idx val="9"/>
                <c:order val="9"/>
                <c:tx>
                  <c:strRef>
                    <c:extLst xmlns:c15="http://schemas.microsoft.com/office/drawing/2012/chart">
                      <c:ext xmlns:c15="http://schemas.microsoft.com/office/drawing/2012/chart" uri="{02D57815-91ED-43cb-92C2-25804820EDAC}">
                        <c15:formulaRef>
                          <c15:sqref>'Llegadas x nacionalidad'!$C$16</c15:sqref>
                        </c15:formulaRef>
                      </c:ext>
                    </c:extLst>
                    <c:strCache>
                      <c:ptCount val="1"/>
                      <c:pt idx="0">
                        <c:v>Brasil</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nacionalidad'!$D$16:$GA$16</c15:sqref>
                        </c15:fullRef>
                        <c15:formulaRef>
                          <c15:sqref>'Llegadas x nacionalidad'!$D$16:$FT$16</c15:sqref>
                        </c15:formulaRef>
                      </c:ext>
                    </c:extLst>
                    <c:numCache>
                      <c:formatCode>#,##0</c:formatCode>
                      <c:ptCount val="29"/>
                      <c:pt idx="0" formatCode="_(* #,##0_);_(* \(#,##0\);_(* &quot;-&quot;??_);_(@_)">
                        <c:v>2040</c:v>
                      </c:pt>
                      <c:pt idx="1">
                        <c:v>1025</c:v>
                      </c:pt>
                      <c:pt idx="2">
                        <c:v>1254</c:v>
                      </c:pt>
                      <c:pt idx="3">
                        <c:v>1827</c:v>
                      </c:pt>
                      <c:pt idx="4" formatCode="_(* #,##0_);_(* \(#,##0\);_(* &quot;-&quot;??_);_(@_)">
                        <c:v>1348</c:v>
                      </c:pt>
                      <c:pt idx="5" formatCode="_(* #,##0_);_(* \(#,##0\);_(* &quot;-&quot;??_);_(@_)">
                        <c:v>1543</c:v>
                      </c:pt>
                      <c:pt idx="6" formatCode="_(* #,##0_);_(* \(#,##0\);_(* &quot;-&quot;??_);_(@_)">
                        <c:v>1780</c:v>
                      </c:pt>
                      <c:pt idx="7" formatCode="_(* #,##0_);_(* \(#,##0\);_(* &quot;-&quot;??_);_(@_)">
                        <c:v>1558</c:v>
                      </c:pt>
                      <c:pt idx="8" formatCode="_(* #,##0_);_(* \(#,##0\);_(* &quot;-&quot;??_);_(@_)">
                        <c:v>1957</c:v>
                      </c:pt>
                      <c:pt idx="9" formatCode="_(* #,##0_);_(* \(#,##0\);_(* &quot;-&quot;??_);_(@_)">
                        <c:v>972</c:v>
                      </c:pt>
                      <c:pt idx="10" formatCode="_(* #,##0_);_(* \(#,##0\);_(* &quot;-&quot;??_);_(@_)">
                        <c:v>1447</c:v>
                      </c:pt>
                      <c:pt idx="11" formatCode="_(* #,##0_);_(* \(#,##0\);_(* &quot;-&quot;??_);_(@_)">
                        <c:v>1594</c:v>
                      </c:pt>
                      <c:pt idx="12">
                        <c:v>1536</c:v>
                      </c:pt>
                      <c:pt idx="13">
                        <c:v>1652</c:v>
                      </c:pt>
                      <c:pt idx="14">
                        <c:v>512</c:v>
                      </c:pt>
                      <c:pt idx="15">
                        <c:v>12</c:v>
                      </c:pt>
                      <c:pt idx="16">
                        <c:v>20</c:v>
                      </c:pt>
                      <c:pt idx="17">
                        <c:v>12</c:v>
                      </c:pt>
                      <c:pt idx="18">
                        <c:v>48</c:v>
                      </c:pt>
                      <c:pt idx="19">
                        <c:v>69</c:v>
                      </c:pt>
                      <c:pt idx="20">
                        <c:v>197</c:v>
                      </c:pt>
                      <c:pt idx="21">
                        <c:v>136</c:v>
                      </c:pt>
                      <c:pt idx="22">
                        <c:v>294</c:v>
                      </c:pt>
                      <c:pt idx="23">
                        <c:v>368</c:v>
                      </c:pt>
                      <c:pt idx="24">
                        <c:v>308</c:v>
                      </c:pt>
                      <c:pt idx="25">
                        <c:v>198</c:v>
                      </c:pt>
                      <c:pt idx="26">
                        <c:v>231</c:v>
                      </c:pt>
                      <c:pt idx="27">
                        <c:v>238</c:v>
                      </c:pt>
                      <c:pt idx="28">
                        <c:v>367</c:v>
                      </c:pt>
                    </c:numCache>
                  </c:numRef>
                </c:val>
                <c:smooth val="0"/>
                <c:extLst xmlns:c15="http://schemas.microsoft.com/office/drawing/2012/chart">
                  <c:ext xmlns:c16="http://schemas.microsoft.com/office/drawing/2014/chart" uri="{C3380CC4-5D6E-409C-BE32-E72D297353CC}">
                    <c16:uniqueId val="{00000009-63A1-48AA-A1EB-491BDBFB1C22}"/>
                  </c:ext>
                </c:extLst>
              </c15:ser>
            </c15:filteredLineSeries>
            <c15:filteredLineSeries>
              <c15:ser>
                <c:idx val="10"/>
                <c:order val="10"/>
                <c:tx>
                  <c:strRef>
                    <c:extLst xmlns:c15="http://schemas.microsoft.com/office/drawing/2012/chart">
                      <c:ext xmlns:c15="http://schemas.microsoft.com/office/drawing/2012/chart" uri="{02D57815-91ED-43cb-92C2-25804820EDAC}">
                        <c15:formulaRef>
                          <c15:sqref>'Llegadas x nacionalidad'!$C$17</c15:sqref>
                        </c15:formulaRef>
                      </c:ext>
                    </c:extLst>
                    <c:strCache>
                      <c:ptCount val="1"/>
                      <c:pt idx="0">
                        <c:v>Italia</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nacionalidad'!$D$17:$GA$17</c15:sqref>
                        </c15:fullRef>
                        <c15:formulaRef>
                          <c15:sqref>'Llegadas x nacionalidad'!$D$17:$FT$17</c15:sqref>
                        </c15:formulaRef>
                      </c:ext>
                    </c:extLst>
                    <c:numCache>
                      <c:formatCode>#,##0</c:formatCode>
                      <c:ptCount val="29"/>
                      <c:pt idx="0" formatCode="_(* #,##0_);_(* \(#,##0\);_(* &quot;-&quot;??_);_(@_)">
                        <c:v>645</c:v>
                      </c:pt>
                      <c:pt idx="1">
                        <c:v>546</c:v>
                      </c:pt>
                      <c:pt idx="2">
                        <c:v>565</c:v>
                      </c:pt>
                      <c:pt idx="3">
                        <c:v>674</c:v>
                      </c:pt>
                      <c:pt idx="4" formatCode="_(* #,##0_);_(* \(#,##0\);_(* &quot;-&quot;??_);_(@_)">
                        <c:v>751</c:v>
                      </c:pt>
                      <c:pt idx="5" formatCode="_(* #,##0_);_(* \(#,##0\);_(* &quot;-&quot;??_);_(@_)">
                        <c:v>951</c:v>
                      </c:pt>
                      <c:pt idx="6" formatCode="_(* #,##0_);_(* \(#,##0\);_(* &quot;-&quot;??_);_(@_)">
                        <c:v>1213</c:v>
                      </c:pt>
                      <c:pt idx="7" formatCode="_(* #,##0_);_(* \(#,##0\);_(* &quot;-&quot;??_);_(@_)">
                        <c:v>1585</c:v>
                      </c:pt>
                      <c:pt idx="8" formatCode="_(* #,##0_);_(* \(#,##0\);_(* &quot;-&quot;??_);_(@_)">
                        <c:v>988</c:v>
                      </c:pt>
                      <c:pt idx="9" formatCode="_(* #,##0_);_(* \(#,##0\);_(* &quot;-&quot;??_);_(@_)">
                        <c:v>728</c:v>
                      </c:pt>
                      <c:pt idx="10" formatCode="_(* #,##0_);_(* \(#,##0\);_(* &quot;-&quot;??_);_(@_)">
                        <c:v>1072</c:v>
                      </c:pt>
                      <c:pt idx="11" formatCode="_(* #,##0_);_(* \(#,##0\);_(* &quot;-&quot;??_);_(@_)">
                        <c:v>1209</c:v>
                      </c:pt>
                      <c:pt idx="12">
                        <c:v>1044</c:v>
                      </c:pt>
                      <c:pt idx="13">
                        <c:v>854</c:v>
                      </c:pt>
                      <c:pt idx="14">
                        <c:v>254</c:v>
                      </c:pt>
                      <c:pt idx="15">
                        <c:v>4</c:v>
                      </c:pt>
                      <c:pt idx="16">
                        <c:v>15</c:v>
                      </c:pt>
                      <c:pt idx="17">
                        <c:v>14</c:v>
                      </c:pt>
                      <c:pt idx="18">
                        <c:v>82</c:v>
                      </c:pt>
                      <c:pt idx="19">
                        <c:v>59</c:v>
                      </c:pt>
                      <c:pt idx="20">
                        <c:v>126</c:v>
                      </c:pt>
                      <c:pt idx="21">
                        <c:v>186</c:v>
                      </c:pt>
                      <c:pt idx="22">
                        <c:v>183</c:v>
                      </c:pt>
                      <c:pt idx="23">
                        <c:v>227</c:v>
                      </c:pt>
                      <c:pt idx="24">
                        <c:v>238</c:v>
                      </c:pt>
                      <c:pt idx="25">
                        <c:v>155</c:v>
                      </c:pt>
                      <c:pt idx="26">
                        <c:v>187</c:v>
                      </c:pt>
                      <c:pt idx="27">
                        <c:v>208</c:v>
                      </c:pt>
                      <c:pt idx="28">
                        <c:v>228</c:v>
                      </c:pt>
                    </c:numCache>
                  </c:numRef>
                </c:val>
                <c:smooth val="0"/>
                <c:extLst xmlns:c15="http://schemas.microsoft.com/office/drawing/2012/chart">
                  <c:ext xmlns:c16="http://schemas.microsoft.com/office/drawing/2014/chart" uri="{C3380CC4-5D6E-409C-BE32-E72D297353CC}">
                    <c16:uniqueId val="{0000000A-63A1-48AA-A1EB-491BDBFB1C22}"/>
                  </c:ext>
                </c:extLst>
              </c15:ser>
            </c15:filteredLineSeries>
            <c15:filteredLineSeries>
              <c15:ser>
                <c:idx val="12"/>
                <c:order val="12"/>
                <c:tx>
                  <c:strRef>
                    <c:extLst xmlns:c15="http://schemas.microsoft.com/office/drawing/2012/chart">
                      <c:ext xmlns:c15="http://schemas.microsoft.com/office/drawing/2012/chart" uri="{02D57815-91ED-43cb-92C2-25804820EDAC}">
                        <c15:formulaRef>
                          <c15:sqref>'Llegadas x nacionalidad'!$C$19</c15:sqref>
                        </c15:formulaRef>
                      </c:ext>
                    </c:extLst>
                    <c:strCache>
                      <c:ptCount val="1"/>
                      <c:pt idx="0">
                        <c:v>Canadá</c:v>
                      </c:pt>
                    </c:strCache>
                  </c:strRef>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nacionalidad'!$D$19:$GA$19</c15:sqref>
                        </c15:fullRef>
                        <c15:formulaRef>
                          <c15:sqref>'Llegadas x nacionalidad'!$D$19:$FT$19</c15:sqref>
                        </c15:formulaRef>
                      </c:ext>
                    </c:extLst>
                    <c:numCache>
                      <c:formatCode>#,##0</c:formatCode>
                      <c:ptCount val="29"/>
                      <c:pt idx="0" formatCode="_(* #,##0_);_(* \(#,##0\);_(* &quot;-&quot;??_);_(@_)">
                        <c:v>2035</c:v>
                      </c:pt>
                      <c:pt idx="1">
                        <c:v>2191</c:v>
                      </c:pt>
                      <c:pt idx="2">
                        <c:v>2327</c:v>
                      </c:pt>
                      <c:pt idx="3">
                        <c:v>1596</c:v>
                      </c:pt>
                      <c:pt idx="4" formatCode="_(* #,##0_);_(* \(#,##0\);_(* &quot;-&quot;??_);_(@_)">
                        <c:v>2092</c:v>
                      </c:pt>
                      <c:pt idx="5" formatCode="_(* #,##0_);_(* \(#,##0\);_(* &quot;-&quot;??_);_(@_)">
                        <c:v>1594</c:v>
                      </c:pt>
                      <c:pt idx="6" formatCode="_(* #,##0_);_(* \(#,##0\);_(* &quot;-&quot;??_);_(@_)">
                        <c:v>2060</c:v>
                      </c:pt>
                      <c:pt idx="7" formatCode="_(* #,##0_);_(* \(#,##0\);_(* &quot;-&quot;??_);_(@_)">
                        <c:v>1657</c:v>
                      </c:pt>
                      <c:pt idx="8" formatCode="_(* #,##0_);_(* \(#,##0\);_(* &quot;-&quot;??_);_(@_)">
                        <c:v>1555</c:v>
                      </c:pt>
                      <c:pt idx="9" formatCode="_(* #,##0_);_(* \(#,##0\);_(* &quot;-&quot;??_);_(@_)">
                        <c:v>1477</c:v>
                      </c:pt>
                      <c:pt idx="10" formatCode="_(* #,##0_);_(* \(#,##0\);_(* &quot;-&quot;??_);_(@_)">
                        <c:v>2134</c:v>
                      </c:pt>
                      <c:pt idx="11" formatCode="_(* #,##0_);_(* \(#,##0\);_(* &quot;-&quot;??_);_(@_)">
                        <c:v>3145</c:v>
                      </c:pt>
                      <c:pt idx="12">
                        <c:v>3444</c:v>
                      </c:pt>
                      <c:pt idx="13">
                        <c:v>3918</c:v>
                      </c:pt>
                      <c:pt idx="14">
                        <c:v>1407</c:v>
                      </c:pt>
                      <c:pt idx="16">
                        <c:v>6</c:v>
                      </c:pt>
                      <c:pt idx="17">
                        <c:v>27</c:v>
                      </c:pt>
                      <c:pt idx="18">
                        <c:v>81</c:v>
                      </c:pt>
                      <c:pt idx="19">
                        <c:v>101</c:v>
                      </c:pt>
                      <c:pt idx="20">
                        <c:v>100</c:v>
                      </c:pt>
                      <c:pt idx="21">
                        <c:v>146</c:v>
                      </c:pt>
                      <c:pt idx="22">
                        <c:v>248</c:v>
                      </c:pt>
                      <c:pt idx="23">
                        <c:v>319</c:v>
                      </c:pt>
                      <c:pt idx="24">
                        <c:v>247</c:v>
                      </c:pt>
                      <c:pt idx="25">
                        <c:v>101</c:v>
                      </c:pt>
                      <c:pt idx="26">
                        <c:v>134</c:v>
                      </c:pt>
                      <c:pt idx="27">
                        <c:v>136</c:v>
                      </c:pt>
                      <c:pt idx="28">
                        <c:v>142</c:v>
                      </c:pt>
                    </c:numCache>
                  </c:numRef>
                </c:val>
                <c:smooth val="0"/>
                <c:extLst xmlns:c15="http://schemas.microsoft.com/office/drawing/2012/chart">
                  <c:ext xmlns:c16="http://schemas.microsoft.com/office/drawing/2014/chart" uri="{C3380CC4-5D6E-409C-BE32-E72D297353CC}">
                    <c16:uniqueId val="{0000000C-63A1-48AA-A1EB-491BDBFB1C22}"/>
                  </c:ext>
                </c:extLst>
              </c15:ser>
            </c15:filteredLineSeries>
            <c15:filteredLineSeries>
              <c15:ser>
                <c:idx val="13"/>
                <c:order val="13"/>
                <c:tx>
                  <c:strRef>
                    <c:extLst xmlns:c15="http://schemas.microsoft.com/office/drawing/2012/chart">
                      <c:ext xmlns:c15="http://schemas.microsoft.com/office/drawing/2012/chart" uri="{02D57815-91ED-43cb-92C2-25804820EDAC}">
                        <c15:formulaRef>
                          <c15:sqref>'Llegadas x nacionalidad'!$C$20</c15:sqref>
                        </c15:formulaRef>
                      </c:ext>
                    </c:extLst>
                    <c:strCache>
                      <c:ptCount val="1"/>
                      <c:pt idx="0">
                        <c:v>Argentina</c:v>
                      </c:pt>
                    </c:strCache>
                  </c:strRef>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nacionalidad'!$D$20:$GA$20</c15:sqref>
                        </c15:fullRef>
                        <c15:formulaRef>
                          <c15:sqref>'Llegadas x nacionalidad'!$D$20:$FT$20</c15:sqref>
                        </c15:formulaRef>
                      </c:ext>
                    </c:extLst>
                    <c:numCache>
                      <c:formatCode>#,##0</c:formatCode>
                      <c:ptCount val="29"/>
                      <c:pt idx="0" formatCode="_(* #,##0_);_(* \(#,##0\);_(* &quot;-&quot;??_);_(@_)">
                        <c:v>1355</c:v>
                      </c:pt>
                      <c:pt idx="1">
                        <c:v>948</c:v>
                      </c:pt>
                      <c:pt idx="2">
                        <c:v>998</c:v>
                      </c:pt>
                      <c:pt idx="3">
                        <c:v>1768</c:v>
                      </c:pt>
                      <c:pt idx="4" formatCode="_(* #,##0_);_(* \(#,##0\);_(* &quot;-&quot;??_);_(@_)">
                        <c:v>1123</c:v>
                      </c:pt>
                      <c:pt idx="5" formatCode="_(* #,##0_);_(* \(#,##0\);_(* &quot;-&quot;??_);_(@_)">
                        <c:v>1251</c:v>
                      </c:pt>
                      <c:pt idx="6" formatCode="_(* #,##0_);_(* \(#,##0\);_(* &quot;-&quot;??_);_(@_)">
                        <c:v>1375</c:v>
                      </c:pt>
                      <c:pt idx="7" formatCode="_(* #,##0_);_(* \(#,##0\);_(* &quot;-&quot;??_);_(@_)">
                        <c:v>1547</c:v>
                      </c:pt>
                      <c:pt idx="8" formatCode="_(* #,##0_);_(* \(#,##0\);_(* &quot;-&quot;??_);_(@_)">
                        <c:v>1387</c:v>
                      </c:pt>
                      <c:pt idx="9" formatCode="_(* #,##0_);_(* \(#,##0\);_(* &quot;-&quot;??_);_(@_)">
                        <c:v>1045</c:v>
                      </c:pt>
                      <c:pt idx="10" formatCode="_(* #,##0_);_(* \(#,##0\);_(* &quot;-&quot;??_);_(@_)">
                        <c:v>1297</c:v>
                      </c:pt>
                      <c:pt idx="11" formatCode="_(* #,##0_);_(* \(#,##0\);_(* &quot;-&quot;??_);_(@_)">
                        <c:v>1336</c:v>
                      </c:pt>
                      <c:pt idx="12">
                        <c:v>1535</c:v>
                      </c:pt>
                      <c:pt idx="13">
                        <c:v>1245</c:v>
                      </c:pt>
                      <c:pt idx="14">
                        <c:v>601</c:v>
                      </c:pt>
                      <c:pt idx="15">
                        <c:v>8</c:v>
                      </c:pt>
                      <c:pt idx="16">
                        <c:v>13</c:v>
                      </c:pt>
                      <c:pt idx="17">
                        <c:v>16</c:v>
                      </c:pt>
                      <c:pt idx="18">
                        <c:v>20</c:v>
                      </c:pt>
                      <c:pt idx="19">
                        <c:v>18</c:v>
                      </c:pt>
                      <c:pt idx="20">
                        <c:v>66</c:v>
                      </c:pt>
                      <c:pt idx="21">
                        <c:v>114</c:v>
                      </c:pt>
                      <c:pt idx="22">
                        <c:v>147</c:v>
                      </c:pt>
                      <c:pt idx="23">
                        <c:v>285</c:v>
                      </c:pt>
                      <c:pt idx="24">
                        <c:v>366</c:v>
                      </c:pt>
                      <c:pt idx="25">
                        <c:v>257</c:v>
                      </c:pt>
                      <c:pt idx="26">
                        <c:v>281</c:v>
                      </c:pt>
                      <c:pt idx="27">
                        <c:v>217</c:v>
                      </c:pt>
                      <c:pt idx="28">
                        <c:v>229</c:v>
                      </c:pt>
                    </c:numCache>
                  </c:numRef>
                </c:val>
                <c:smooth val="0"/>
                <c:extLst xmlns:c15="http://schemas.microsoft.com/office/drawing/2012/chart">
                  <c:ext xmlns:c16="http://schemas.microsoft.com/office/drawing/2014/chart" uri="{C3380CC4-5D6E-409C-BE32-E72D297353CC}">
                    <c16:uniqueId val="{0000000D-63A1-48AA-A1EB-491BDBFB1C22}"/>
                  </c:ext>
                </c:extLst>
              </c15:ser>
            </c15:filteredLineSeries>
            <c15:filteredLineSeries>
              <c15:ser>
                <c:idx val="15"/>
                <c:order val="15"/>
                <c:tx>
                  <c:strRef>
                    <c:extLst xmlns:c15="http://schemas.microsoft.com/office/drawing/2012/chart">
                      <c:ext xmlns:c15="http://schemas.microsoft.com/office/drawing/2012/chart" uri="{02D57815-91ED-43cb-92C2-25804820EDAC}">
                        <c15:formulaRef>
                          <c15:sqref>'Llegadas x nacionalidad'!$C$22</c15:sqref>
                        </c15:formulaRef>
                      </c:ext>
                    </c:extLst>
                    <c:strCache>
                      <c:ptCount val="1"/>
                      <c:pt idx="0">
                        <c:v>Países Bajo (Holanda)</c:v>
                      </c:pt>
                    </c:strCache>
                  </c:strRef>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nacionalidad'!$D$22:$GA$22</c15:sqref>
                        </c15:fullRef>
                        <c15:formulaRef>
                          <c15:sqref>'Llegadas x nacionalidad'!$D$22:$FT$22</c15:sqref>
                        </c15:formulaRef>
                      </c:ext>
                    </c:extLst>
                    <c:numCache>
                      <c:formatCode>#,##0</c:formatCode>
                      <c:ptCount val="29"/>
                      <c:pt idx="0" formatCode="_(* #,##0_);_(* \(#,##0\);_(* &quot;-&quot;??_);_(@_)">
                        <c:v>981</c:v>
                      </c:pt>
                      <c:pt idx="1">
                        <c:v>895</c:v>
                      </c:pt>
                      <c:pt idx="2">
                        <c:v>974</c:v>
                      </c:pt>
                      <c:pt idx="3">
                        <c:v>1041</c:v>
                      </c:pt>
                      <c:pt idx="4" formatCode="_(* #,##0_);_(* \(#,##0\);_(* &quot;-&quot;??_);_(@_)">
                        <c:v>1032</c:v>
                      </c:pt>
                      <c:pt idx="5" formatCode="_(* #,##0_);_(* \(#,##0\);_(* &quot;-&quot;??_);_(@_)">
                        <c:v>969</c:v>
                      </c:pt>
                      <c:pt idx="6" formatCode="_(* #,##0_);_(* \(#,##0\);_(* &quot;-&quot;??_);_(@_)">
                        <c:v>2132</c:v>
                      </c:pt>
                      <c:pt idx="7" formatCode="_(* #,##0_);_(* \(#,##0\);_(* &quot;-&quot;??_);_(@_)">
                        <c:v>1183</c:v>
                      </c:pt>
                      <c:pt idx="8" formatCode="_(* #,##0_);_(* \(#,##0\);_(* &quot;-&quot;??_);_(@_)">
                        <c:v>1236</c:v>
                      </c:pt>
                      <c:pt idx="9" formatCode="_(* #,##0_);_(* \(#,##0\);_(* &quot;-&quot;??_);_(@_)">
                        <c:v>803</c:v>
                      </c:pt>
                      <c:pt idx="10" formatCode="_(* #,##0_);_(* \(#,##0\);_(* &quot;-&quot;??_);_(@_)">
                        <c:v>1077</c:v>
                      </c:pt>
                      <c:pt idx="11" formatCode="_(* #,##0_);_(* \(#,##0\);_(* &quot;-&quot;??_);_(@_)">
                        <c:v>1204</c:v>
                      </c:pt>
                      <c:pt idx="12">
                        <c:v>1022</c:v>
                      </c:pt>
                      <c:pt idx="13">
                        <c:v>944</c:v>
                      </c:pt>
                      <c:pt idx="14">
                        <c:v>564</c:v>
                      </c:pt>
                      <c:pt idx="15">
                        <c:v>50</c:v>
                      </c:pt>
                      <c:pt idx="16">
                        <c:v>87</c:v>
                      </c:pt>
                      <c:pt idx="17">
                        <c:v>159</c:v>
                      </c:pt>
                      <c:pt idx="18">
                        <c:v>268</c:v>
                      </c:pt>
                      <c:pt idx="19">
                        <c:v>310</c:v>
                      </c:pt>
                      <c:pt idx="20">
                        <c:v>137</c:v>
                      </c:pt>
                      <c:pt idx="21">
                        <c:v>147</c:v>
                      </c:pt>
                      <c:pt idx="22">
                        <c:v>115</c:v>
                      </c:pt>
                      <c:pt idx="23">
                        <c:v>375</c:v>
                      </c:pt>
                      <c:pt idx="24">
                        <c:v>325</c:v>
                      </c:pt>
                      <c:pt idx="25">
                        <c:v>103</c:v>
                      </c:pt>
                      <c:pt idx="26">
                        <c:v>130</c:v>
                      </c:pt>
                      <c:pt idx="27">
                        <c:v>121</c:v>
                      </c:pt>
                      <c:pt idx="28">
                        <c:v>109</c:v>
                      </c:pt>
                    </c:numCache>
                  </c:numRef>
                </c:val>
                <c:smooth val="0"/>
                <c:extLst xmlns:c15="http://schemas.microsoft.com/office/drawing/2012/chart">
                  <c:ext xmlns:c16="http://schemas.microsoft.com/office/drawing/2014/chart" uri="{C3380CC4-5D6E-409C-BE32-E72D297353CC}">
                    <c16:uniqueId val="{0000000F-63A1-48AA-A1EB-491BDBFB1C22}"/>
                  </c:ext>
                </c:extLst>
              </c15:ser>
            </c15:filteredLineSeries>
            <c15:filteredLineSeries>
              <c15:ser>
                <c:idx val="16"/>
                <c:order val="16"/>
                <c:tx>
                  <c:strRef>
                    <c:extLst xmlns:c15="http://schemas.microsoft.com/office/drawing/2012/chart">
                      <c:ext xmlns:c15="http://schemas.microsoft.com/office/drawing/2012/chart" uri="{02D57815-91ED-43cb-92C2-25804820EDAC}">
                        <c15:formulaRef>
                          <c15:sqref>'Llegadas x nacionalidad'!$C$23</c15:sqref>
                        </c15:formulaRef>
                      </c:ext>
                    </c:extLst>
                    <c:strCache>
                      <c:ptCount val="1"/>
                      <c:pt idx="0">
                        <c:v>Suiza</c:v>
                      </c:pt>
                    </c:strCache>
                  </c:strRef>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nacionalidad'!$D$23:$GA$23</c15:sqref>
                        </c15:fullRef>
                        <c15:formulaRef>
                          <c15:sqref>'Llegadas x nacionalidad'!$D$23:$FT$23</c15:sqref>
                        </c15:formulaRef>
                      </c:ext>
                    </c:extLst>
                    <c:numCache>
                      <c:formatCode>#,##0</c:formatCode>
                      <c:ptCount val="29"/>
                      <c:pt idx="0" formatCode="_(* #,##0_);_(* \(#,##0\);_(* &quot;-&quot;??_);_(@_)">
                        <c:v>500</c:v>
                      </c:pt>
                      <c:pt idx="1">
                        <c:v>462</c:v>
                      </c:pt>
                      <c:pt idx="2">
                        <c:v>398</c:v>
                      </c:pt>
                      <c:pt idx="3">
                        <c:v>546</c:v>
                      </c:pt>
                      <c:pt idx="4" formatCode="_(* #,##0_);_(* \(#,##0\);_(* &quot;-&quot;??_);_(@_)">
                        <c:v>441</c:v>
                      </c:pt>
                      <c:pt idx="5" formatCode="_(* #,##0_);_(* \(#,##0\);_(* &quot;-&quot;??_);_(@_)">
                        <c:v>503</c:v>
                      </c:pt>
                      <c:pt idx="6" formatCode="_(* #,##0_);_(* \(#,##0\);_(* &quot;-&quot;??_);_(@_)">
                        <c:v>1198</c:v>
                      </c:pt>
                      <c:pt idx="7" formatCode="_(* #,##0_);_(* \(#,##0\);_(* &quot;-&quot;??_);_(@_)">
                        <c:v>550</c:v>
                      </c:pt>
                      <c:pt idx="8" formatCode="_(* #,##0_);_(* \(#,##0\);_(* &quot;-&quot;??_);_(@_)">
                        <c:v>532</c:v>
                      </c:pt>
                      <c:pt idx="9" formatCode="_(* #,##0_);_(* \(#,##0\);_(* &quot;-&quot;??_);_(@_)">
                        <c:v>538</c:v>
                      </c:pt>
                      <c:pt idx="10" formatCode="_(* #,##0_);_(* \(#,##0\);_(* &quot;-&quot;??_);_(@_)">
                        <c:v>589</c:v>
                      </c:pt>
                      <c:pt idx="11" formatCode="_(* #,##0_);_(* \(#,##0\);_(* &quot;-&quot;??_);_(@_)">
                        <c:v>776</c:v>
                      </c:pt>
                      <c:pt idx="12">
                        <c:v>571</c:v>
                      </c:pt>
                      <c:pt idx="13">
                        <c:v>552</c:v>
                      </c:pt>
                      <c:pt idx="14">
                        <c:v>193</c:v>
                      </c:pt>
                      <c:pt idx="15">
                        <c:v>35</c:v>
                      </c:pt>
                      <c:pt idx="16">
                        <c:v>2</c:v>
                      </c:pt>
                      <c:pt idx="17">
                        <c:v>3</c:v>
                      </c:pt>
                      <c:pt idx="18">
                        <c:v>30</c:v>
                      </c:pt>
                      <c:pt idx="19">
                        <c:v>34</c:v>
                      </c:pt>
                      <c:pt idx="20">
                        <c:v>34</c:v>
                      </c:pt>
                      <c:pt idx="21">
                        <c:v>67</c:v>
                      </c:pt>
                      <c:pt idx="22">
                        <c:v>84</c:v>
                      </c:pt>
                      <c:pt idx="23">
                        <c:v>202</c:v>
                      </c:pt>
                      <c:pt idx="24">
                        <c:v>97</c:v>
                      </c:pt>
                      <c:pt idx="25">
                        <c:v>118</c:v>
                      </c:pt>
                      <c:pt idx="26">
                        <c:v>135</c:v>
                      </c:pt>
                      <c:pt idx="27">
                        <c:v>186</c:v>
                      </c:pt>
                      <c:pt idx="28">
                        <c:v>125</c:v>
                      </c:pt>
                    </c:numCache>
                  </c:numRef>
                </c:val>
                <c:smooth val="0"/>
                <c:extLst xmlns:c15="http://schemas.microsoft.com/office/drawing/2012/chart">
                  <c:ext xmlns:c16="http://schemas.microsoft.com/office/drawing/2014/chart" uri="{C3380CC4-5D6E-409C-BE32-E72D297353CC}">
                    <c16:uniqueId val="{00000010-63A1-48AA-A1EB-491BDBFB1C22}"/>
                  </c:ext>
                </c:extLst>
              </c15:ser>
            </c15:filteredLineSeries>
            <c15:filteredLineSeries>
              <c15:ser>
                <c:idx val="17"/>
                <c:order val="17"/>
                <c:tx>
                  <c:strRef>
                    <c:extLst xmlns:c15="http://schemas.microsoft.com/office/drawing/2012/chart">
                      <c:ext xmlns:c15="http://schemas.microsoft.com/office/drawing/2012/chart" uri="{02D57815-91ED-43cb-92C2-25804820EDAC}">
                        <c15:formulaRef>
                          <c15:sqref>'Llegadas x nacionalidad'!$C$24</c15:sqref>
                        </c15:formulaRef>
                      </c:ext>
                    </c:extLst>
                    <c:strCache>
                      <c:ptCount val="1"/>
                      <c:pt idx="0">
                        <c:v>Cuba</c:v>
                      </c:pt>
                    </c:strCache>
                  </c:strRef>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nacionalidad'!$D$24:$GA$24</c15:sqref>
                        </c15:fullRef>
                        <c15:formulaRef>
                          <c15:sqref>'Llegadas x nacionalidad'!$D$24:$FT$24</c15:sqref>
                        </c15:formulaRef>
                      </c:ext>
                    </c:extLst>
                    <c:numCache>
                      <c:formatCode>#,##0</c:formatCode>
                      <c:ptCount val="29"/>
                      <c:pt idx="0" formatCode="_(* #,##0_);_(* \(#,##0\);_(* &quot;-&quot;??_);_(@_)">
                        <c:v>305</c:v>
                      </c:pt>
                      <c:pt idx="1">
                        <c:v>219</c:v>
                      </c:pt>
                      <c:pt idx="2">
                        <c:v>261</c:v>
                      </c:pt>
                      <c:pt idx="3">
                        <c:v>226</c:v>
                      </c:pt>
                      <c:pt idx="4" formatCode="_(* #,##0_);_(* \(#,##0\);_(* &quot;-&quot;??_);_(@_)">
                        <c:v>800</c:v>
                      </c:pt>
                      <c:pt idx="5" formatCode="_(* #,##0_);_(* \(#,##0\);_(* &quot;-&quot;??_);_(@_)">
                        <c:v>686</c:v>
                      </c:pt>
                      <c:pt idx="6" formatCode="_(* #,##0_);_(* \(#,##0\);_(* &quot;-&quot;??_);_(@_)">
                        <c:v>764</c:v>
                      </c:pt>
                      <c:pt idx="7" formatCode="_(* #,##0_);_(* \(#,##0\);_(* &quot;-&quot;??_);_(@_)">
                        <c:v>1134</c:v>
                      </c:pt>
                      <c:pt idx="8" formatCode="_(* #,##0_);_(* \(#,##0\);_(* &quot;-&quot;??_);_(@_)">
                        <c:v>1157</c:v>
                      </c:pt>
                      <c:pt idx="9" formatCode="_(* #,##0_);_(* \(#,##0\);_(* &quot;-&quot;??_);_(@_)">
                        <c:v>725</c:v>
                      </c:pt>
                      <c:pt idx="10" formatCode="_(* #,##0_);_(* \(#,##0\);_(* &quot;-&quot;??_);_(@_)">
                        <c:v>701</c:v>
                      </c:pt>
                      <c:pt idx="11" formatCode="_(* #,##0_);_(* \(#,##0\);_(* &quot;-&quot;??_);_(@_)">
                        <c:v>596</c:v>
                      </c:pt>
                      <c:pt idx="12">
                        <c:v>1012</c:v>
                      </c:pt>
                      <c:pt idx="13">
                        <c:v>617</c:v>
                      </c:pt>
                      <c:pt idx="14">
                        <c:v>416</c:v>
                      </c:pt>
                      <c:pt idx="15">
                        <c:v>2</c:v>
                      </c:pt>
                      <c:pt idx="16">
                        <c:v>97</c:v>
                      </c:pt>
                      <c:pt idx="17">
                        <c:v>140</c:v>
                      </c:pt>
                      <c:pt idx="18">
                        <c:v>9</c:v>
                      </c:pt>
                      <c:pt idx="19">
                        <c:v>130</c:v>
                      </c:pt>
                      <c:pt idx="20">
                        <c:v>66</c:v>
                      </c:pt>
                      <c:pt idx="21">
                        <c:v>16</c:v>
                      </c:pt>
                      <c:pt idx="22">
                        <c:v>126</c:v>
                      </c:pt>
                      <c:pt idx="23">
                        <c:v>371</c:v>
                      </c:pt>
                      <c:pt idx="24">
                        <c:v>390</c:v>
                      </c:pt>
                      <c:pt idx="25">
                        <c:v>133</c:v>
                      </c:pt>
                      <c:pt idx="26">
                        <c:v>87</c:v>
                      </c:pt>
                      <c:pt idx="27">
                        <c:v>231</c:v>
                      </c:pt>
                      <c:pt idx="28">
                        <c:v>86</c:v>
                      </c:pt>
                    </c:numCache>
                  </c:numRef>
                </c:val>
                <c:smooth val="0"/>
                <c:extLst xmlns:c15="http://schemas.microsoft.com/office/drawing/2012/chart">
                  <c:ext xmlns:c16="http://schemas.microsoft.com/office/drawing/2014/chart" uri="{C3380CC4-5D6E-409C-BE32-E72D297353CC}">
                    <c16:uniqueId val="{00000011-63A1-48AA-A1EB-491BDBFB1C22}"/>
                  </c:ext>
                </c:extLst>
              </c15:ser>
            </c15:filteredLineSeries>
            <c15:filteredLineSeries>
              <c15:ser>
                <c:idx val="18"/>
                <c:order val="18"/>
                <c:tx>
                  <c:strRef>
                    <c:extLst xmlns:c15="http://schemas.microsoft.com/office/drawing/2012/chart">
                      <c:ext xmlns:c15="http://schemas.microsoft.com/office/drawing/2012/chart" uri="{02D57815-91ED-43cb-92C2-25804820EDAC}">
                        <c15:formulaRef>
                          <c15:sqref>'Llegadas x nacionalidad'!$C$25</c15:sqref>
                        </c15:formulaRef>
                      </c:ext>
                    </c:extLst>
                    <c:strCache>
                      <c:ptCount val="1"/>
                      <c:pt idx="0">
                        <c:v>Reino Unido</c:v>
                      </c:pt>
                    </c:strCache>
                  </c:strRef>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nacionalidad'!$D$25:$GA$25</c15:sqref>
                        </c15:fullRef>
                        <c15:formulaRef>
                          <c15:sqref>'Llegadas x nacionalidad'!$D$25:$FT$25</c15:sqref>
                        </c15:formulaRef>
                      </c:ext>
                    </c:extLst>
                    <c:numCache>
                      <c:formatCode>#,##0</c:formatCode>
                      <c:ptCount val="29"/>
                      <c:pt idx="0" formatCode="_(* #,##0_);_(* \(#,##0\);_(* &quot;-&quot;??_);_(@_)">
                        <c:v>1244</c:v>
                      </c:pt>
                      <c:pt idx="1">
                        <c:v>1234</c:v>
                      </c:pt>
                      <c:pt idx="2">
                        <c:v>1311</c:v>
                      </c:pt>
                      <c:pt idx="3">
                        <c:v>1662</c:v>
                      </c:pt>
                      <c:pt idx="4" formatCode="_(* #,##0_);_(* \(#,##0\);_(* &quot;-&quot;??_);_(@_)">
                        <c:v>1707</c:v>
                      </c:pt>
                      <c:pt idx="5" formatCode="_(* #,##0_);_(* \(#,##0\);_(* &quot;-&quot;??_);_(@_)">
                        <c:v>1425</c:v>
                      </c:pt>
                      <c:pt idx="6" formatCode="_(* #,##0_);_(* \(#,##0\);_(* &quot;-&quot;??_);_(@_)">
                        <c:v>2786</c:v>
                      </c:pt>
                      <c:pt idx="7" formatCode="_(* #,##0_);_(* \(#,##0\);_(* &quot;-&quot;??_);_(@_)">
                        <c:v>1489</c:v>
                      </c:pt>
                      <c:pt idx="8" formatCode="_(* #,##0_);_(* \(#,##0\);_(* &quot;-&quot;??_);_(@_)">
                        <c:v>1465</c:v>
                      </c:pt>
                      <c:pt idx="9" formatCode="_(* #,##0_);_(* \(#,##0\);_(* &quot;-&quot;??_);_(@_)">
                        <c:v>1380</c:v>
                      </c:pt>
                      <c:pt idx="10" formatCode="_(* #,##0_);_(* \(#,##0\);_(* &quot;-&quot;??_);_(@_)">
                        <c:v>1705</c:v>
                      </c:pt>
                      <c:pt idx="11" formatCode="_(* #,##0_);_(* \(#,##0\);_(* &quot;-&quot;??_);_(@_)">
                        <c:v>1455</c:v>
                      </c:pt>
                      <c:pt idx="12">
                        <c:v>1574</c:v>
                      </c:pt>
                      <c:pt idx="13">
                        <c:v>1589</c:v>
                      </c:pt>
                      <c:pt idx="14">
                        <c:v>625</c:v>
                      </c:pt>
                      <c:pt idx="15">
                        <c:v>10</c:v>
                      </c:pt>
                      <c:pt idx="16">
                        <c:v>13</c:v>
                      </c:pt>
                      <c:pt idx="17">
                        <c:v>43</c:v>
                      </c:pt>
                      <c:pt idx="18">
                        <c:v>111</c:v>
                      </c:pt>
                      <c:pt idx="19">
                        <c:v>75</c:v>
                      </c:pt>
                      <c:pt idx="20">
                        <c:v>83</c:v>
                      </c:pt>
                      <c:pt idx="21">
                        <c:v>144</c:v>
                      </c:pt>
                      <c:pt idx="22">
                        <c:v>168</c:v>
                      </c:pt>
                      <c:pt idx="23">
                        <c:v>209</c:v>
                      </c:pt>
                      <c:pt idx="24">
                        <c:v>123</c:v>
                      </c:pt>
                      <c:pt idx="25">
                        <c:v>83</c:v>
                      </c:pt>
                      <c:pt idx="26">
                        <c:v>106</c:v>
                      </c:pt>
                      <c:pt idx="27">
                        <c:v>88</c:v>
                      </c:pt>
                      <c:pt idx="28">
                        <c:v>97</c:v>
                      </c:pt>
                    </c:numCache>
                  </c:numRef>
                </c:val>
                <c:smooth val="0"/>
                <c:extLst xmlns:c15="http://schemas.microsoft.com/office/drawing/2012/chart">
                  <c:ext xmlns:c16="http://schemas.microsoft.com/office/drawing/2014/chart" uri="{C3380CC4-5D6E-409C-BE32-E72D297353CC}">
                    <c16:uniqueId val="{00000012-63A1-48AA-A1EB-491BDBFB1C22}"/>
                  </c:ext>
                </c:extLst>
              </c15:ser>
            </c15:filteredLineSeries>
            <c15:filteredLineSeries>
              <c15:ser>
                <c:idx val="19"/>
                <c:order val="19"/>
                <c:tx>
                  <c:strRef>
                    <c:extLst xmlns:c15="http://schemas.microsoft.com/office/drawing/2012/chart">
                      <c:ext xmlns:c15="http://schemas.microsoft.com/office/drawing/2012/chart" uri="{02D57815-91ED-43cb-92C2-25804820EDAC}">
                        <c15:formulaRef>
                          <c15:sqref>'Llegadas x nacionalidad'!$C$26</c15:sqref>
                        </c15:formulaRef>
                      </c:ext>
                    </c:extLst>
                    <c:strCache>
                      <c:ptCount val="1"/>
                      <c:pt idx="0">
                        <c:v>Bélgica</c:v>
                      </c:pt>
                    </c:strCache>
                  </c:strRef>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nacionalidad'!$D$26:$GA$26</c15:sqref>
                        </c15:fullRef>
                        <c15:formulaRef>
                          <c15:sqref>'Llegadas x nacionalidad'!$D$26:$FT$26</c15:sqref>
                        </c15:formulaRef>
                      </c:ext>
                    </c:extLst>
                    <c:numCache>
                      <c:formatCode>#,##0</c:formatCode>
                      <c:ptCount val="29"/>
                      <c:pt idx="0" formatCode="_(* #,##0_);_(* \(#,##0\);_(* &quot;-&quot;??_);_(@_)">
                        <c:v>216</c:v>
                      </c:pt>
                      <c:pt idx="1">
                        <c:v>230</c:v>
                      </c:pt>
                      <c:pt idx="2">
                        <c:v>215</c:v>
                      </c:pt>
                      <c:pt idx="3">
                        <c:v>326</c:v>
                      </c:pt>
                      <c:pt idx="4" formatCode="_(* #,##0_);_(* \(#,##0\);_(* &quot;-&quot;??_);_(@_)">
                        <c:v>321</c:v>
                      </c:pt>
                      <c:pt idx="5" formatCode="_(* #,##0_);_(* \(#,##0\);_(* &quot;-&quot;??_);_(@_)">
                        <c:v>638</c:v>
                      </c:pt>
                      <c:pt idx="6" formatCode="_(* #,##0_);_(* \(#,##0\);_(* &quot;-&quot;??_);_(@_)">
                        <c:v>876</c:v>
                      </c:pt>
                      <c:pt idx="7" formatCode="_(* #,##0_);_(* \(#,##0\);_(* &quot;-&quot;??_);_(@_)">
                        <c:v>440</c:v>
                      </c:pt>
                      <c:pt idx="8" formatCode="_(* #,##0_);_(* \(#,##0\);_(* &quot;-&quot;??_);_(@_)">
                        <c:v>523</c:v>
                      </c:pt>
                      <c:pt idx="9" formatCode="_(* #,##0_);_(* \(#,##0\);_(* &quot;-&quot;??_);_(@_)">
                        <c:v>295</c:v>
                      </c:pt>
                      <c:pt idx="10" formatCode="_(* #,##0_);_(* \(#,##0\);_(* &quot;-&quot;??_);_(@_)">
                        <c:v>448</c:v>
                      </c:pt>
                      <c:pt idx="11" formatCode="_(* #,##0_);_(* \(#,##0\);_(* &quot;-&quot;??_);_(@_)">
                        <c:v>423</c:v>
                      </c:pt>
                      <c:pt idx="12">
                        <c:v>342</c:v>
                      </c:pt>
                      <c:pt idx="13">
                        <c:v>340</c:v>
                      </c:pt>
                      <c:pt idx="14">
                        <c:v>151</c:v>
                      </c:pt>
                      <c:pt idx="15">
                        <c:v>4</c:v>
                      </c:pt>
                      <c:pt idx="16">
                        <c:v>5</c:v>
                      </c:pt>
                      <c:pt idx="17">
                        <c:v>9</c:v>
                      </c:pt>
                      <c:pt idx="18">
                        <c:v>33</c:v>
                      </c:pt>
                      <c:pt idx="19">
                        <c:v>28</c:v>
                      </c:pt>
                      <c:pt idx="20">
                        <c:v>23</c:v>
                      </c:pt>
                      <c:pt idx="21">
                        <c:v>33</c:v>
                      </c:pt>
                      <c:pt idx="22">
                        <c:v>34</c:v>
                      </c:pt>
                      <c:pt idx="23">
                        <c:v>93</c:v>
                      </c:pt>
                      <c:pt idx="24">
                        <c:v>62</c:v>
                      </c:pt>
                      <c:pt idx="25">
                        <c:v>42</c:v>
                      </c:pt>
                      <c:pt idx="26">
                        <c:v>56</c:v>
                      </c:pt>
                      <c:pt idx="27">
                        <c:v>68</c:v>
                      </c:pt>
                      <c:pt idx="28">
                        <c:v>55</c:v>
                      </c:pt>
                    </c:numCache>
                  </c:numRef>
                </c:val>
                <c:smooth val="0"/>
                <c:extLst xmlns:c15="http://schemas.microsoft.com/office/drawing/2012/chart">
                  <c:ext xmlns:c16="http://schemas.microsoft.com/office/drawing/2014/chart" uri="{C3380CC4-5D6E-409C-BE32-E72D297353CC}">
                    <c16:uniqueId val="{00000013-63A1-48AA-A1EB-491BDBFB1C22}"/>
                  </c:ext>
                </c:extLst>
              </c15:ser>
            </c15:filteredLineSeries>
            <c15:filteredLineSeries>
              <c15:ser>
                <c:idx val="20"/>
                <c:order val="20"/>
                <c:tx>
                  <c:strRef>
                    <c:extLst xmlns:c15="http://schemas.microsoft.com/office/drawing/2012/chart">
                      <c:ext xmlns:c15="http://schemas.microsoft.com/office/drawing/2012/chart" uri="{02D57815-91ED-43cb-92C2-25804820EDAC}">
                        <c15:formulaRef>
                          <c15:sqref>'Llegadas x nacionalidad'!$C$27</c15:sqref>
                        </c15:formulaRef>
                      </c:ext>
                    </c:extLst>
                    <c:strCache>
                      <c:ptCount val="1"/>
                      <c:pt idx="0">
                        <c:v>Rusia</c:v>
                      </c:pt>
                    </c:strCache>
                  </c:strRef>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nacionalidad'!$D$27:$GA$27</c15:sqref>
                        </c15:fullRef>
                        <c15:formulaRef>
                          <c15:sqref>'Llegadas x nacionalidad'!$D$27:$FT$27</c15:sqref>
                        </c15:formulaRef>
                      </c:ext>
                    </c:extLst>
                    <c:numCache>
                      <c:formatCode>#,##0</c:formatCode>
                      <c:ptCount val="29"/>
                      <c:pt idx="0" formatCode="_(* #,##0_);_(* \(#,##0\);_(* &quot;-&quot;??_);_(@_)">
                        <c:v>262</c:v>
                      </c:pt>
                      <c:pt idx="1">
                        <c:v>212</c:v>
                      </c:pt>
                      <c:pt idx="2">
                        <c:v>207</c:v>
                      </c:pt>
                      <c:pt idx="3">
                        <c:v>218</c:v>
                      </c:pt>
                      <c:pt idx="4" formatCode="_(* #,##0_);_(* \(#,##0\);_(* &quot;-&quot;??_);_(@_)">
                        <c:v>155</c:v>
                      </c:pt>
                      <c:pt idx="5" formatCode="_(* #,##0_);_(* \(#,##0\);_(* &quot;-&quot;??_);_(@_)">
                        <c:v>178</c:v>
                      </c:pt>
                      <c:pt idx="6" formatCode="_(* #,##0_);_(* \(#,##0\);_(* &quot;-&quot;??_);_(@_)">
                        <c:v>194</c:v>
                      </c:pt>
                      <c:pt idx="7" formatCode="_(* #,##0_);_(* \(#,##0\);_(* &quot;-&quot;??_);_(@_)">
                        <c:v>225</c:v>
                      </c:pt>
                      <c:pt idx="8" formatCode="_(* #,##0_);_(* \(#,##0\);_(* &quot;-&quot;??_);_(@_)">
                        <c:v>226</c:v>
                      </c:pt>
                      <c:pt idx="9" formatCode="_(* #,##0_);_(* \(#,##0\);_(* &quot;-&quot;??_);_(@_)">
                        <c:v>205</c:v>
                      </c:pt>
                      <c:pt idx="10" formatCode="_(* #,##0_);_(* \(#,##0\);_(* &quot;-&quot;??_);_(@_)">
                        <c:v>228</c:v>
                      </c:pt>
                      <c:pt idx="11" formatCode="_(* #,##0_);_(* \(#,##0\);_(* &quot;-&quot;??_);_(@_)">
                        <c:v>316</c:v>
                      </c:pt>
                      <c:pt idx="12">
                        <c:v>301</c:v>
                      </c:pt>
                      <c:pt idx="13">
                        <c:v>244</c:v>
                      </c:pt>
                      <c:pt idx="14">
                        <c:v>104</c:v>
                      </c:pt>
                      <c:pt idx="15">
                        <c:v>1</c:v>
                      </c:pt>
                      <c:pt idx="16">
                        <c:v>1</c:v>
                      </c:pt>
                      <c:pt idx="17">
                        <c:v>9</c:v>
                      </c:pt>
                      <c:pt idx="18">
                        <c:v>6</c:v>
                      </c:pt>
                      <c:pt idx="19">
                        <c:v>22</c:v>
                      </c:pt>
                      <c:pt idx="20">
                        <c:v>33</c:v>
                      </c:pt>
                      <c:pt idx="21">
                        <c:v>56</c:v>
                      </c:pt>
                      <c:pt idx="22">
                        <c:v>64</c:v>
                      </c:pt>
                      <c:pt idx="23">
                        <c:v>67</c:v>
                      </c:pt>
                      <c:pt idx="24">
                        <c:v>89</c:v>
                      </c:pt>
                      <c:pt idx="25">
                        <c:v>69</c:v>
                      </c:pt>
                      <c:pt idx="26">
                        <c:v>89</c:v>
                      </c:pt>
                      <c:pt idx="27">
                        <c:v>87</c:v>
                      </c:pt>
                      <c:pt idx="28">
                        <c:v>61</c:v>
                      </c:pt>
                    </c:numCache>
                  </c:numRef>
                </c:val>
                <c:smooth val="0"/>
                <c:extLst xmlns:c15="http://schemas.microsoft.com/office/drawing/2012/chart">
                  <c:ext xmlns:c16="http://schemas.microsoft.com/office/drawing/2014/chart" uri="{C3380CC4-5D6E-409C-BE32-E72D297353CC}">
                    <c16:uniqueId val="{00000014-63A1-48AA-A1EB-491BDBFB1C22}"/>
                  </c:ext>
                </c:extLst>
              </c15:ser>
            </c15:filteredLineSeries>
            <c15:filteredLineSeries>
              <c15:ser>
                <c:idx val="21"/>
                <c:order val="21"/>
                <c:tx>
                  <c:strRef>
                    <c:extLst xmlns:c15="http://schemas.microsoft.com/office/drawing/2012/chart">
                      <c:ext xmlns:c15="http://schemas.microsoft.com/office/drawing/2012/chart" uri="{02D57815-91ED-43cb-92C2-25804820EDAC}">
                        <c15:formulaRef>
                          <c15:sqref>'Llegadas x nacionalidad'!$C$28</c15:sqref>
                        </c15:formulaRef>
                      </c:ext>
                    </c:extLst>
                    <c:strCache>
                      <c:ptCount val="1"/>
                      <c:pt idx="0">
                        <c:v>Bolivia</c:v>
                      </c:pt>
                    </c:strCache>
                  </c:strRef>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nacionalidad'!$D$28:$GA$28</c15:sqref>
                        </c15:fullRef>
                        <c15:formulaRef>
                          <c15:sqref>'Llegadas x nacionalidad'!$D$28:$FT$28</c15:sqref>
                        </c15:formulaRef>
                      </c:ext>
                    </c:extLst>
                    <c:numCache>
                      <c:formatCode>#,##0</c:formatCode>
                      <c:ptCount val="29"/>
                      <c:pt idx="0" formatCode="_(* #,##0_);_(* \(#,##0\);_(* &quot;-&quot;??_);_(@_)">
                        <c:v>204</c:v>
                      </c:pt>
                      <c:pt idx="1">
                        <c:v>244</c:v>
                      </c:pt>
                      <c:pt idx="2">
                        <c:v>216</c:v>
                      </c:pt>
                      <c:pt idx="3">
                        <c:v>192</c:v>
                      </c:pt>
                      <c:pt idx="4" formatCode="_(* #,##0_);_(* \(#,##0\);_(* &quot;-&quot;??_);_(@_)">
                        <c:v>266</c:v>
                      </c:pt>
                      <c:pt idx="5" formatCode="_(* #,##0_);_(* \(#,##0\);_(* &quot;-&quot;??_);_(@_)">
                        <c:v>294</c:v>
                      </c:pt>
                      <c:pt idx="6" formatCode="_(* #,##0_);_(* \(#,##0\);_(* &quot;-&quot;??_);_(@_)">
                        <c:v>299</c:v>
                      </c:pt>
                      <c:pt idx="7" formatCode="_(* #,##0_);_(* \(#,##0\);_(* &quot;-&quot;??_);_(@_)">
                        <c:v>233</c:v>
                      </c:pt>
                      <c:pt idx="8" formatCode="_(* #,##0_);_(* \(#,##0\);_(* &quot;-&quot;??_);_(@_)">
                        <c:v>299</c:v>
                      </c:pt>
                      <c:pt idx="9" formatCode="_(* #,##0_);_(* \(#,##0\);_(* &quot;-&quot;??_);_(@_)">
                        <c:v>341</c:v>
                      </c:pt>
                      <c:pt idx="10" formatCode="_(* #,##0_);_(* \(#,##0\);_(* &quot;-&quot;??_);_(@_)">
                        <c:v>245</c:v>
                      </c:pt>
                      <c:pt idx="11" formatCode="_(* #,##0_);_(* \(#,##0\);_(* &quot;-&quot;??_);_(@_)">
                        <c:v>285</c:v>
                      </c:pt>
                      <c:pt idx="12">
                        <c:v>254</c:v>
                      </c:pt>
                      <c:pt idx="13">
                        <c:v>289</c:v>
                      </c:pt>
                      <c:pt idx="14">
                        <c:v>92</c:v>
                      </c:pt>
                      <c:pt idx="15">
                        <c:v>1</c:v>
                      </c:pt>
                      <c:pt idx="17">
                        <c:v>3</c:v>
                      </c:pt>
                      <c:pt idx="18">
                        <c:v>6</c:v>
                      </c:pt>
                      <c:pt idx="19">
                        <c:v>5</c:v>
                      </c:pt>
                      <c:pt idx="20">
                        <c:v>6</c:v>
                      </c:pt>
                      <c:pt idx="21">
                        <c:v>23</c:v>
                      </c:pt>
                      <c:pt idx="22">
                        <c:v>41</c:v>
                      </c:pt>
                      <c:pt idx="23">
                        <c:v>96</c:v>
                      </c:pt>
                      <c:pt idx="24">
                        <c:v>54</c:v>
                      </c:pt>
                      <c:pt idx="25">
                        <c:v>82</c:v>
                      </c:pt>
                      <c:pt idx="26">
                        <c:v>79</c:v>
                      </c:pt>
                      <c:pt idx="27">
                        <c:v>49</c:v>
                      </c:pt>
                      <c:pt idx="28">
                        <c:v>66</c:v>
                      </c:pt>
                    </c:numCache>
                  </c:numRef>
                </c:val>
                <c:smooth val="0"/>
                <c:extLst xmlns:c15="http://schemas.microsoft.com/office/drawing/2012/chart">
                  <c:ext xmlns:c16="http://schemas.microsoft.com/office/drawing/2014/chart" uri="{C3380CC4-5D6E-409C-BE32-E72D297353CC}">
                    <c16:uniqueId val="{00000015-63A1-48AA-A1EB-491BDBFB1C22}"/>
                  </c:ext>
                </c:extLst>
              </c15:ser>
            </c15:filteredLineSeries>
            <c15:filteredLineSeries>
              <c15:ser>
                <c:idx val="22"/>
                <c:order val="22"/>
                <c:tx>
                  <c:strRef>
                    <c:extLst xmlns:c15="http://schemas.microsoft.com/office/drawing/2012/chart">
                      <c:ext xmlns:c15="http://schemas.microsoft.com/office/drawing/2012/chart" uri="{02D57815-91ED-43cb-92C2-25804820EDAC}">
                        <c15:formulaRef>
                          <c15:sqref>'Llegadas x nacionalidad'!$C$29</c15:sqref>
                        </c15:formulaRef>
                      </c:ext>
                    </c:extLst>
                    <c:strCache>
                      <c:ptCount val="1"/>
                      <c:pt idx="0">
                        <c:v>Costa Rica</c:v>
                      </c:pt>
                    </c:strCache>
                  </c:strRef>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nacionalidad'!$D$29:$GA$29</c15:sqref>
                        </c15:fullRef>
                        <c15:formulaRef>
                          <c15:sqref>'Llegadas x nacionalidad'!$D$29:$FT$29</c15:sqref>
                        </c15:formulaRef>
                      </c:ext>
                    </c:extLst>
                    <c:numCache>
                      <c:formatCode>#,##0</c:formatCode>
                      <c:ptCount val="29"/>
                      <c:pt idx="0" formatCode="_(* #,##0_);_(* \(#,##0\);_(* &quot;-&quot;??_);_(@_)">
                        <c:v>495</c:v>
                      </c:pt>
                      <c:pt idx="1">
                        <c:v>377</c:v>
                      </c:pt>
                      <c:pt idx="2">
                        <c:v>451</c:v>
                      </c:pt>
                      <c:pt idx="3">
                        <c:v>422</c:v>
                      </c:pt>
                      <c:pt idx="4" formatCode="_(* #,##0_);_(* \(#,##0\);_(* &quot;-&quot;??_);_(@_)">
                        <c:v>387</c:v>
                      </c:pt>
                      <c:pt idx="5" formatCode="_(* #,##0_);_(* \(#,##0\);_(* &quot;-&quot;??_);_(@_)">
                        <c:v>474</c:v>
                      </c:pt>
                      <c:pt idx="6" formatCode="_(* #,##0_);_(* \(#,##0\);_(* &quot;-&quot;??_);_(@_)">
                        <c:v>548</c:v>
                      </c:pt>
                      <c:pt idx="7" formatCode="_(* #,##0_);_(* \(#,##0\);_(* &quot;-&quot;??_);_(@_)">
                        <c:v>402</c:v>
                      </c:pt>
                      <c:pt idx="8" formatCode="_(* #,##0_);_(* \(#,##0\);_(* &quot;-&quot;??_);_(@_)">
                        <c:v>511</c:v>
                      </c:pt>
                      <c:pt idx="9" formatCode="_(* #,##0_);_(* \(#,##0\);_(* &quot;-&quot;??_);_(@_)">
                        <c:v>346</c:v>
                      </c:pt>
                      <c:pt idx="10" formatCode="_(* #,##0_);_(* \(#,##0\);_(* &quot;-&quot;??_);_(@_)">
                        <c:v>543</c:v>
                      </c:pt>
                      <c:pt idx="11" formatCode="_(* #,##0_);_(* \(#,##0\);_(* &quot;-&quot;??_);_(@_)">
                        <c:v>517</c:v>
                      </c:pt>
                      <c:pt idx="12">
                        <c:v>505</c:v>
                      </c:pt>
                      <c:pt idx="13">
                        <c:v>402</c:v>
                      </c:pt>
                      <c:pt idx="14">
                        <c:v>207</c:v>
                      </c:pt>
                      <c:pt idx="16">
                        <c:v>1</c:v>
                      </c:pt>
                      <c:pt idx="17">
                        <c:v>2</c:v>
                      </c:pt>
                      <c:pt idx="18">
                        <c:v>1</c:v>
                      </c:pt>
                      <c:pt idx="19">
                        <c:v>5</c:v>
                      </c:pt>
                      <c:pt idx="20">
                        <c:v>3</c:v>
                      </c:pt>
                      <c:pt idx="21">
                        <c:v>9</c:v>
                      </c:pt>
                      <c:pt idx="22">
                        <c:v>56</c:v>
                      </c:pt>
                      <c:pt idx="23">
                        <c:v>61</c:v>
                      </c:pt>
                      <c:pt idx="24">
                        <c:v>43</c:v>
                      </c:pt>
                      <c:pt idx="25">
                        <c:v>33</c:v>
                      </c:pt>
                      <c:pt idx="26">
                        <c:v>81</c:v>
                      </c:pt>
                      <c:pt idx="27">
                        <c:v>34</c:v>
                      </c:pt>
                      <c:pt idx="28">
                        <c:v>41</c:v>
                      </c:pt>
                    </c:numCache>
                  </c:numRef>
                </c:val>
                <c:smooth val="0"/>
                <c:extLst xmlns:c15="http://schemas.microsoft.com/office/drawing/2012/chart">
                  <c:ext xmlns:c16="http://schemas.microsoft.com/office/drawing/2014/chart" uri="{C3380CC4-5D6E-409C-BE32-E72D297353CC}">
                    <c16:uniqueId val="{00000016-63A1-48AA-A1EB-491BDBFB1C22}"/>
                  </c:ext>
                </c:extLst>
              </c15:ser>
            </c15:filteredLineSeries>
            <c15:filteredLineSeries>
              <c15:ser>
                <c:idx val="23"/>
                <c:order val="23"/>
                <c:tx>
                  <c:strRef>
                    <c:extLst xmlns:c15="http://schemas.microsoft.com/office/drawing/2012/chart">
                      <c:ext xmlns:c15="http://schemas.microsoft.com/office/drawing/2012/chart" uri="{02D57815-91ED-43cb-92C2-25804820EDAC}">
                        <c15:formulaRef>
                          <c15:sqref>'Llegadas x nacionalidad'!$C$30</c15:sqref>
                        </c15:formulaRef>
                      </c:ext>
                    </c:extLst>
                    <c:strCache>
                      <c:ptCount val="1"/>
                      <c:pt idx="0">
                        <c:v>Israel</c:v>
                      </c:pt>
                    </c:strCache>
                  </c:strRef>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nacionalidad'!$D$30:$GA$30</c15:sqref>
                        </c15:fullRef>
                        <c15:formulaRef>
                          <c15:sqref>'Llegadas x nacionalidad'!$D$30:$FT$30</c15:sqref>
                        </c15:formulaRef>
                      </c:ext>
                    </c:extLst>
                    <c:numCache>
                      <c:formatCode>#,##0</c:formatCode>
                      <c:ptCount val="29"/>
                      <c:pt idx="0" formatCode="_(* #,##0_);_(* \(#,##0\);_(* &quot;-&quot;??_);_(@_)">
                        <c:v>127</c:v>
                      </c:pt>
                      <c:pt idx="1">
                        <c:v>102</c:v>
                      </c:pt>
                      <c:pt idx="2">
                        <c:v>181</c:v>
                      </c:pt>
                      <c:pt idx="3">
                        <c:v>326</c:v>
                      </c:pt>
                      <c:pt idx="4" formatCode="_(* #,##0_);_(* \(#,##0\);_(* &quot;-&quot;??_);_(@_)">
                        <c:v>267</c:v>
                      </c:pt>
                      <c:pt idx="5" formatCode="_(* #,##0_);_(* \(#,##0\);_(* &quot;-&quot;??_);_(@_)">
                        <c:v>227</c:v>
                      </c:pt>
                      <c:pt idx="6" formatCode="_(* #,##0_);_(* \(#,##0\);_(* &quot;-&quot;??_);_(@_)">
                        <c:v>312</c:v>
                      </c:pt>
                      <c:pt idx="7" formatCode="_(* #,##0_);_(* \(#,##0\);_(* &quot;-&quot;??_);_(@_)">
                        <c:v>221</c:v>
                      </c:pt>
                      <c:pt idx="8" formatCode="_(* #,##0_);_(* \(#,##0\);_(* &quot;-&quot;??_);_(@_)">
                        <c:v>232</c:v>
                      </c:pt>
                      <c:pt idx="9" formatCode="_(* #,##0_);_(* \(#,##0\);_(* &quot;-&quot;??_);_(@_)">
                        <c:v>262</c:v>
                      </c:pt>
                      <c:pt idx="10" formatCode="_(* #,##0_);_(* \(#,##0\);_(* &quot;-&quot;??_);_(@_)">
                        <c:v>139</c:v>
                      </c:pt>
                      <c:pt idx="11" formatCode="_(* #,##0_);_(* \(#,##0\);_(* &quot;-&quot;??_);_(@_)">
                        <c:v>165</c:v>
                      </c:pt>
                      <c:pt idx="12">
                        <c:v>173</c:v>
                      </c:pt>
                      <c:pt idx="13">
                        <c:v>113</c:v>
                      </c:pt>
                      <c:pt idx="14">
                        <c:v>75</c:v>
                      </c:pt>
                      <c:pt idx="17">
                        <c:v>1</c:v>
                      </c:pt>
                      <c:pt idx="18">
                        <c:v>5</c:v>
                      </c:pt>
                      <c:pt idx="19">
                        <c:v>12</c:v>
                      </c:pt>
                      <c:pt idx="20">
                        <c:v>7</c:v>
                      </c:pt>
                      <c:pt idx="21">
                        <c:v>12</c:v>
                      </c:pt>
                      <c:pt idx="22">
                        <c:v>24</c:v>
                      </c:pt>
                      <c:pt idx="23">
                        <c:v>21</c:v>
                      </c:pt>
                      <c:pt idx="24">
                        <c:v>28</c:v>
                      </c:pt>
                      <c:pt idx="25">
                        <c:v>7</c:v>
                      </c:pt>
                      <c:pt idx="26">
                        <c:v>24</c:v>
                      </c:pt>
                      <c:pt idx="27">
                        <c:v>46</c:v>
                      </c:pt>
                      <c:pt idx="28">
                        <c:v>42</c:v>
                      </c:pt>
                    </c:numCache>
                  </c:numRef>
                </c:val>
                <c:smooth val="0"/>
                <c:extLst xmlns:c15="http://schemas.microsoft.com/office/drawing/2012/chart">
                  <c:ext xmlns:c16="http://schemas.microsoft.com/office/drawing/2014/chart" uri="{C3380CC4-5D6E-409C-BE32-E72D297353CC}">
                    <c16:uniqueId val="{00000017-63A1-48AA-A1EB-491BDBFB1C22}"/>
                  </c:ext>
                </c:extLst>
              </c15:ser>
            </c15:filteredLineSeries>
            <c15:filteredLineSeries>
              <c15:ser>
                <c:idx val="24"/>
                <c:order val="24"/>
                <c:tx>
                  <c:strRef>
                    <c:extLst xmlns:c15="http://schemas.microsoft.com/office/drawing/2012/chart">
                      <c:ext xmlns:c15="http://schemas.microsoft.com/office/drawing/2012/chart" uri="{02D57815-91ED-43cb-92C2-25804820EDAC}">
                        <c15:formulaRef>
                          <c15:sqref>'Llegadas x nacionalidad'!$C$31</c15:sqref>
                        </c15:formulaRef>
                      </c:ext>
                    </c:extLst>
                    <c:strCache>
                      <c:ptCount val="1"/>
                      <c:pt idx="0">
                        <c:v>Uruguay</c:v>
                      </c:pt>
                    </c:strCache>
                  </c:strRef>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nacionalidad'!$D$31:$GA$31</c15:sqref>
                        </c15:fullRef>
                        <c15:formulaRef>
                          <c15:sqref>'Llegadas x nacionalidad'!$D$31:$FT$31</c15:sqref>
                        </c15:formulaRef>
                      </c:ext>
                    </c:extLst>
                    <c:numCache>
                      <c:formatCode>#,##0</c:formatCode>
                      <c:ptCount val="29"/>
                      <c:pt idx="0" formatCode="_(* #,##0_);_(* \(#,##0\);_(* &quot;-&quot;??_);_(@_)">
                        <c:v>191</c:v>
                      </c:pt>
                      <c:pt idx="1">
                        <c:v>196</c:v>
                      </c:pt>
                      <c:pt idx="2">
                        <c:v>245</c:v>
                      </c:pt>
                      <c:pt idx="3">
                        <c:v>262</c:v>
                      </c:pt>
                      <c:pt idx="4" formatCode="_(* #,##0_);_(* \(#,##0\);_(* &quot;-&quot;??_);_(@_)">
                        <c:v>175</c:v>
                      </c:pt>
                      <c:pt idx="5" formatCode="_(* #,##0_);_(* \(#,##0\);_(* &quot;-&quot;??_);_(@_)">
                        <c:v>225</c:v>
                      </c:pt>
                      <c:pt idx="6" formatCode="_(* #,##0_);_(* \(#,##0\);_(* &quot;-&quot;??_);_(@_)">
                        <c:v>197</c:v>
                      </c:pt>
                      <c:pt idx="7" formatCode="_(* #,##0_);_(* \(#,##0\);_(* &quot;-&quot;??_);_(@_)">
                        <c:v>272</c:v>
                      </c:pt>
                      <c:pt idx="8" formatCode="_(* #,##0_);_(* \(#,##0\);_(* &quot;-&quot;??_);_(@_)">
                        <c:v>228</c:v>
                      </c:pt>
                      <c:pt idx="9" formatCode="_(* #,##0_);_(* \(#,##0\);_(* &quot;-&quot;??_);_(@_)">
                        <c:v>183</c:v>
                      </c:pt>
                      <c:pt idx="10" formatCode="_(* #,##0_);_(* \(#,##0\);_(* &quot;-&quot;??_);_(@_)">
                        <c:v>245</c:v>
                      </c:pt>
                      <c:pt idx="11" formatCode="_(* #,##0_);_(* \(#,##0\);_(* &quot;-&quot;??_);_(@_)">
                        <c:v>178</c:v>
                      </c:pt>
                      <c:pt idx="12">
                        <c:v>190</c:v>
                      </c:pt>
                      <c:pt idx="13">
                        <c:v>181</c:v>
                      </c:pt>
                      <c:pt idx="14">
                        <c:v>73</c:v>
                      </c:pt>
                      <c:pt idx="16">
                        <c:v>1</c:v>
                      </c:pt>
                      <c:pt idx="17">
                        <c:v>2</c:v>
                      </c:pt>
                      <c:pt idx="18">
                        <c:v>8</c:v>
                      </c:pt>
                      <c:pt idx="19">
                        <c:v>2</c:v>
                      </c:pt>
                      <c:pt idx="20">
                        <c:v>19</c:v>
                      </c:pt>
                      <c:pt idx="21">
                        <c:v>33</c:v>
                      </c:pt>
                      <c:pt idx="22">
                        <c:v>23</c:v>
                      </c:pt>
                      <c:pt idx="23">
                        <c:v>34</c:v>
                      </c:pt>
                      <c:pt idx="24">
                        <c:v>57</c:v>
                      </c:pt>
                      <c:pt idx="25">
                        <c:v>25</c:v>
                      </c:pt>
                      <c:pt idx="26">
                        <c:v>71</c:v>
                      </c:pt>
                      <c:pt idx="27">
                        <c:v>33</c:v>
                      </c:pt>
                      <c:pt idx="28">
                        <c:v>46</c:v>
                      </c:pt>
                    </c:numCache>
                  </c:numRef>
                </c:val>
                <c:smooth val="0"/>
                <c:extLst xmlns:c15="http://schemas.microsoft.com/office/drawing/2012/chart">
                  <c:ext xmlns:c16="http://schemas.microsoft.com/office/drawing/2014/chart" uri="{C3380CC4-5D6E-409C-BE32-E72D297353CC}">
                    <c16:uniqueId val="{00000018-63A1-48AA-A1EB-491BDBFB1C22}"/>
                  </c:ext>
                </c:extLst>
              </c15:ser>
            </c15:filteredLineSeries>
            <c15:filteredLineSeries>
              <c15:ser>
                <c:idx val="25"/>
                <c:order val="25"/>
                <c:tx>
                  <c:strRef>
                    <c:extLst xmlns:c15="http://schemas.microsoft.com/office/drawing/2012/chart">
                      <c:ext xmlns:c15="http://schemas.microsoft.com/office/drawing/2012/chart" uri="{02D57815-91ED-43cb-92C2-25804820EDAC}">
                        <c15:formulaRef>
                          <c15:sqref>'Llegadas x nacionalidad'!$C$32</c15:sqref>
                        </c15:formulaRef>
                      </c:ext>
                    </c:extLst>
                    <c:strCache>
                      <c:ptCount val="1"/>
                      <c:pt idx="0">
                        <c:v>Austria</c:v>
                      </c:pt>
                    </c:strCache>
                  </c:strRef>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nacionalidad'!$D$32:$GA$32</c15:sqref>
                        </c15:fullRef>
                        <c15:formulaRef>
                          <c15:sqref>'Llegadas x nacionalidad'!$D$32:$FT$32</c15:sqref>
                        </c15:formulaRef>
                      </c:ext>
                    </c:extLst>
                    <c:numCache>
                      <c:formatCode>#,##0</c:formatCode>
                      <c:ptCount val="29"/>
                      <c:pt idx="0" formatCode="_(* #,##0_);_(* \(#,##0\);_(* &quot;-&quot;??_);_(@_)">
                        <c:v>195</c:v>
                      </c:pt>
                      <c:pt idx="1">
                        <c:v>254</c:v>
                      </c:pt>
                      <c:pt idx="2">
                        <c:v>168</c:v>
                      </c:pt>
                      <c:pt idx="3">
                        <c:v>170</c:v>
                      </c:pt>
                      <c:pt idx="4" formatCode="_(* #,##0_);_(* \(#,##0\);_(* &quot;-&quot;??_);_(@_)">
                        <c:v>155</c:v>
                      </c:pt>
                      <c:pt idx="5" formatCode="_(* #,##0_);_(* \(#,##0\);_(* &quot;-&quot;??_);_(@_)">
                        <c:v>139</c:v>
                      </c:pt>
                      <c:pt idx="6" formatCode="_(* #,##0_);_(* \(#,##0\);_(* &quot;-&quot;??_);_(@_)">
                        <c:v>329</c:v>
                      </c:pt>
                      <c:pt idx="7" formatCode="_(* #,##0_);_(* \(#,##0\);_(* &quot;-&quot;??_);_(@_)">
                        <c:v>278</c:v>
                      </c:pt>
                      <c:pt idx="8" formatCode="_(* #,##0_);_(* \(#,##0\);_(* &quot;-&quot;??_);_(@_)">
                        <c:v>180</c:v>
                      </c:pt>
                      <c:pt idx="9" formatCode="_(* #,##0_);_(* \(#,##0\);_(* &quot;-&quot;??_);_(@_)">
                        <c:v>169</c:v>
                      </c:pt>
                      <c:pt idx="10" formatCode="_(* #,##0_);_(* \(#,##0\);_(* &quot;-&quot;??_);_(@_)">
                        <c:v>181</c:v>
                      </c:pt>
                      <c:pt idx="11" formatCode="_(* #,##0_);_(* \(#,##0\);_(* &quot;-&quot;??_);_(@_)">
                        <c:v>202</c:v>
                      </c:pt>
                      <c:pt idx="12">
                        <c:v>260</c:v>
                      </c:pt>
                      <c:pt idx="13">
                        <c:v>232</c:v>
                      </c:pt>
                      <c:pt idx="14">
                        <c:v>86</c:v>
                      </c:pt>
                      <c:pt idx="16">
                        <c:v>1</c:v>
                      </c:pt>
                      <c:pt idx="17">
                        <c:v>1</c:v>
                      </c:pt>
                      <c:pt idx="18">
                        <c:v>7</c:v>
                      </c:pt>
                      <c:pt idx="19">
                        <c:v>17</c:v>
                      </c:pt>
                      <c:pt idx="20">
                        <c:v>8</c:v>
                      </c:pt>
                      <c:pt idx="21">
                        <c:v>12</c:v>
                      </c:pt>
                      <c:pt idx="22">
                        <c:v>21</c:v>
                      </c:pt>
                      <c:pt idx="23">
                        <c:v>32</c:v>
                      </c:pt>
                      <c:pt idx="24">
                        <c:v>25</c:v>
                      </c:pt>
                      <c:pt idx="25">
                        <c:v>18</c:v>
                      </c:pt>
                      <c:pt idx="26">
                        <c:v>19</c:v>
                      </c:pt>
                      <c:pt idx="27">
                        <c:v>23</c:v>
                      </c:pt>
                      <c:pt idx="28">
                        <c:v>27</c:v>
                      </c:pt>
                    </c:numCache>
                  </c:numRef>
                </c:val>
                <c:smooth val="0"/>
                <c:extLst xmlns:c15="http://schemas.microsoft.com/office/drawing/2012/chart">
                  <c:ext xmlns:c16="http://schemas.microsoft.com/office/drawing/2014/chart" uri="{C3380CC4-5D6E-409C-BE32-E72D297353CC}">
                    <c16:uniqueId val="{00000019-63A1-48AA-A1EB-491BDBFB1C22}"/>
                  </c:ext>
                </c:extLst>
              </c15:ser>
            </c15:filteredLineSeries>
            <c15:filteredLineSeries>
              <c15:ser>
                <c:idx val="26"/>
                <c:order val="26"/>
                <c:tx>
                  <c:strRef>
                    <c:extLst xmlns:c15="http://schemas.microsoft.com/office/drawing/2012/chart">
                      <c:ext xmlns:c15="http://schemas.microsoft.com/office/drawing/2012/chart" uri="{02D57815-91ED-43cb-92C2-25804820EDAC}">
                        <c15:formulaRef>
                          <c15:sqref>'Llegadas x nacionalidad'!$C$33</c15:sqref>
                        </c15:formulaRef>
                      </c:ext>
                    </c:extLst>
                    <c:strCache>
                      <c:ptCount val="1"/>
                      <c:pt idx="0">
                        <c:v>Suecia</c:v>
                      </c:pt>
                    </c:strCache>
                  </c:strRef>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nacionalidad'!$D$33:$GA$33</c15:sqref>
                        </c15:fullRef>
                        <c15:formulaRef>
                          <c15:sqref>'Llegadas x nacionalidad'!$D$33:$FT$33</c15:sqref>
                        </c15:formulaRef>
                      </c:ext>
                    </c:extLst>
                    <c:numCache>
                      <c:formatCode>#,##0</c:formatCode>
                      <c:ptCount val="29"/>
                      <c:pt idx="0" formatCode="_(* #,##0_);_(* \(#,##0\);_(* &quot;-&quot;??_);_(@_)">
                        <c:v>248</c:v>
                      </c:pt>
                      <c:pt idx="1">
                        <c:v>226</c:v>
                      </c:pt>
                      <c:pt idx="2">
                        <c:v>182</c:v>
                      </c:pt>
                      <c:pt idx="3">
                        <c:v>104</c:v>
                      </c:pt>
                      <c:pt idx="4" formatCode="_(* #,##0_);_(* \(#,##0\);_(* &quot;-&quot;??_);_(@_)">
                        <c:v>93</c:v>
                      </c:pt>
                      <c:pt idx="5" formatCode="_(* #,##0_);_(* \(#,##0\);_(* &quot;-&quot;??_);_(@_)">
                        <c:v>256</c:v>
                      </c:pt>
                      <c:pt idx="6" formatCode="_(* #,##0_);_(* \(#,##0\);_(* &quot;-&quot;??_);_(@_)">
                        <c:v>199</c:v>
                      </c:pt>
                      <c:pt idx="7" formatCode="_(* #,##0_);_(* \(#,##0\);_(* &quot;-&quot;??_);_(@_)">
                        <c:v>90</c:v>
                      </c:pt>
                      <c:pt idx="8" formatCode="_(* #,##0_);_(* \(#,##0\);_(* &quot;-&quot;??_);_(@_)">
                        <c:v>89</c:v>
                      </c:pt>
                      <c:pt idx="9" formatCode="_(* #,##0_);_(* \(#,##0\);_(* &quot;-&quot;??_);_(@_)">
                        <c:v>133</c:v>
                      </c:pt>
                      <c:pt idx="10" formatCode="_(* #,##0_);_(* \(#,##0\);_(* &quot;-&quot;??_);_(@_)">
                        <c:v>278</c:v>
                      </c:pt>
                      <c:pt idx="11" formatCode="_(* #,##0_);_(* \(#,##0\);_(* &quot;-&quot;??_);_(@_)">
                        <c:v>272</c:v>
                      </c:pt>
                      <c:pt idx="12">
                        <c:v>263</c:v>
                      </c:pt>
                      <c:pt idx="13">
                        <c:v>231</c:v>
                      </c:pt>
                      <c:pt idx="14">
                        <c:v>68</c:v>
                      </c:pt>
                      <c:pt idx="16">
                        <c:v>3</c:v>
                      </c:pt>
                      <c:pt idx="17">
                        <c:v>5</c:v>
                      </c:pt>
                      <c:pt idx="18">
                        <c:v>10</c:v>
                      </c:pt>
                      <c:pt idx="19">
                        <c:v>9</c:v>
                      </c:pt>
                      <c:pt idx="20">
                        <c:v>15</c:v>
                      </c:pt>
                      <c:pt idx="21">
                        <c:v>16</c:v>
                      </c:pt>
                      <c:pt idx="22">
                        <c:v>29</c:v>
                      </c:pt>
                      <c:pt idx="23">
                        <c:v>37</c:v>
                      </c:pt>
                      <c:pt idx="24">
                        <c:v>32</c:v>
                      </c:pt>
                      <c:pt idx="25">
                        <c:v>17</c:v>
                      </c:pt>
                      <c:pt idx="26">
                        <c:v>20</c:v>
                      </c:pt>
                      <c:pt idx="27">
                        <c:v>15</c:v>
                      </c:pt>
                      <c:pt idx="28">
                        <c:v>24</c:v>
                      </c:pt>
                    </c:numCache>
                  </c:numRef>
                </c:val>
                <c:smooth val="0"/>
                <c:extLst xmlns:c15="http://schemas.microsoft.com/office/drawing/2012/chart">
                  <c:ext xmlns:c16="http://schemas.microsoft.com/office/drawing/2014/chart" uri="{C3380CC4-5D6E-409C-BE32-E72D297353CC}">
                    <c16:uniqueId val="{0000001A-63A1-48AA-A1EB-491BDBFB1C22}"/>
                  </c:ext>
                </c:extLst>
              </c15:ser>
            </c15:filteredLineSeries>
            <c15:filteredLineSeries>
              <c15:ser>
                <c:idx val="27"/>
                <c:order val="27"/>
                <c:tx>
                  <c:strRef>
                    <c:extLst xmlns:c15="http://schemas.microsoft.com/office/drawing/2012/chart">
                      <c:ext xmlns:c15="http://schemas.microsoft.com/office/drawing/2012/chart" uri="{02D57815-91ED-43cb-92C2-25804820EDAC}">
                        <c15:formulaRef>
                          <c15:sqref>'Llegadas x nacionalidad'!$C$34</c15:sqref>
                        </c15:formulaRef>
                      </c:ext>
                    </c:extLst>
                    <c:strCache>
                      <c:ptCount val="1"/>
                      <c:pt idx="0">
                        <c:v>Portugal</c:v>
                      </c:pt>
                    </c:strCache>
                  </c:strRef>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nacionalidad'!$D$34:$GA$34</c15:sqref>
                        </c15:fullRef>
                        <c15:formulaRef>
                          <c15:sqref>'Llegadas x nacionalidad'!$D$34:$FT$34</c15:sqref>
                        </c15:formulaRef>
                      </c:ext>
                    </c:extLst>
                    <c:numCache>
                      <c:formatCode>#,##0</c:formatCode>
                      <c:ptCount val="29"/>
                      <c:pt idx="24">
                        <c:v>43</c:v>
                      </c:pt>
                      <c:pt idx="25">
                        <c:v>30</c:v>
                      </c:pt>
                      <c:pt idx="26">
                        <c:v>25</c:v>
                      </c:pt>
                      <c:pt idx="27">
                        <c:v>34</c:v>
                      </c:pt>
                      <c:pt idx="28">
                        <c:v>25</c:v>
                      </c:pt>
                    </c:numCache>
                  </c:numRef>
                </c:val>
                <c:smooth val="0"/>
                <c:extLst xmlns:c15="http://schemas.microsoft.com/office/drawing/2012/chart">
                  <c:ext xmlns:c16="http://schemas.microsoft.com/office/drawing/2014/chart" uri="{C3380CC4-5D6E-409C-BE32-E72D297353CC}">
                    <c16:uniqueId val="{0000001B-63A1-48AA-A1EB-491BDBFB1C22}"/>
                  </c:ext>
                </c:extLst>
              </c15:ser>
            </c15:filteredLineSeries>
            <c15:filteredLineSeries>
              <c15:ser>
                <c:idx val="28"/>
                <c:order val="28"/>
                <c:tx>
                  <c:strRef>
                    <c:extLst xmlns:c15="http://schemas.microsoft.com/office/drawing/2012/chart">
                      <c:ext xmlns:c15="http://schemas.microsoft.com/office/drawing/2012/chart" uri="{02D57815-91ED-43cb-92C2-25804820EDAC}">
                        <c15:formulaRef>
                          <c15:sqref>'Llegadas x nacionalidad'!$C$35</c15:sqref>
                        </c15:formulaRef>
                      </c:ext>
                    </c:extLst>
                    <c:strCache>
                      <c:ptCount val="1"/>
                      <c:pt idx="0">
                        <c:v>Japón</c:v>
                      </c:pt>
                    </c:strCache>
                  </c:strRef>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nacionalidad'!$D$35:$GA$35</c15:sqref>
                        </c15:fullRef>
                        <c15:formulaRef>
                          <c15:sqref>'Llegadas x nacionalidad'!$D$35:$FT$35</c15:sqref>
                        </c15:formulaRef>
                      </c:ext>
                    </c:extLst>
                    <c:numCache>
                      <c:formatCode>#,##0</c:formatCode>
                      <c:ptCount val="29"/>
                      <c:pt idx="0" formatCode="_(* #,##0_);_(* \(#,##0\);_(* &quot;-&quot;??_);_(@_)">
                        <c:v>227</c:v>
                      </c:pt>
                      <c:pt idx="1">
                        <c:v>338</c:v>
                      </c:pt>
                      <c:pt idx="2">
                        <c:v>267</c:v>
                      </c:pt>
                      <c:pt idx="3">
                        <c:v>344</c:v>
                      </c:pt>
                      <c:pt idx="4" formatCode="_(* #,##0_);_(* \(#,##0\);_(* &quot;-&quot;??_);_(@_)">
                        <c:v>221</c:v>
                      </c:pt>
                      <c:pt idx="5" formatCode="_(* #,##0_);_(* \(#,##0\);_(* &quot;-&quot;??_);_(@_)">
                        <c:v>258</c:v>
                      </c:pt>
                      <c:pt idx="6" formatCode="_(* #,##0_);_(* \(#,##0\);_(* &quot;-&quot;??_);_(@_)">
                        <c:v>289</c:v>
                      </c:pt>
                      <c:pt idx="7" formatCode="_(* #,##0_);_(* \(#,##0\);_(* &quot;-&quot;??_);_(@_)">
                        <c:v>311</c:v>
                      </c:pt>
                      <c:pt idx="8" formatCode="_(* #,##0_);_(* \(#,##0\);_(* &quot;-&quot;??_);_(@_)">
                        <c:v>403</c:v>
                      </c:pt>
                      <c:pt idx="9" formatCode="_(* #,##0_);_(* \(#,##0\);_(* &quot;-&quot;??_);_(@_)">
                        <c:v>155</c:v>
                      </c:pt>
                      <c:pt idx="10" formatCode="_(* #,##0_);_(* \(#,##0\);_(* &quot;-&quot;??_);_(@_)">
                        <c:v>261</c:v>
                      </c:pt>
                      <c:pt idx="11" formatCode="_(* #,##0_);_(* \(#,##0\);_(* &quot;-&quot;??_);_(@_)">
                        <c:v>324</c:v>
                      </c:pt>
                      <c:pt idx="12">
                        <c:v>334</c:v>
                      </c:pt>
                      <c:pt idx="13">
                        <c:v>327</c:v>
                      </c:pt>
                      <c:pt idx="14">
                        <c:v>121</c:v>
                      </c:pt>
                      <c:pt idx="17">
                        <c:v>4</c:v>
                      </c:pt>
                      <c:pt idx="18">
                        <c:v>4</c:v>
                      </c:pt>
                      <c:pt idx="19">
                        <c:v>5</c:v>
                      </c:pt>
                      <c:pt idx="20">
                        <c:v>7</c:v>
                      </c:pt>
                      <c:pt idx="21">
                        <c:v>15</c:v>
                      </c:pt>
                      <c:pt idx="22">
                        <c:v>16</c:v>
                      </c:pt>
                      <c:pt idx="23">
                        <c:v>29</c:v>
                      </c:pt>
                      <c:pt idx="24">
                        <c:v>17</c:v>
                      </c:pt>
                      <c:pt idx="25">
                        <c:v>12</c:v>
                      </c:pt>
                      <c:pt idx="26">
                        <c:v>11</c:v>
                      </c:pt>
                      <c:pt idx="27">
                        <c:v>15</c:v>
                      </c:pt>
                      <c:pt idx="28">
                        <c:v>9</c:v>
                      </c:pt>
                    </c:numCache>
                  </c:numRef>
                </c:val>
                <c:smooth val="0"/>
                <c:extLst xmlns:c15="http://schemas.microsoft.com/office/drawing/2012/chart">
                  <c:ext xmlns:c16="http://schemas.microsoft.com/office/drawing/2014/chart" uri="{C3380CC4-5D6E-409C-BE32-E72D297353CC}">
                    <c16:uniqueId val="{0000001C-63A1-48AA-A1EB-491BDBFB1C22}"/>
                  </c:ext>
                </c:extLst>
              </c15:ser>
            </c15:filteredLineSeries>
            <c15:filteredLineSeries>
              <c15:ser>
                <c:idx val="29"/>
                <c:order val="29"/>
                <c:tx>
                  <c:strRef>
                    <c:extLst xmlns:c15="http://schemas.microsoft.com/office/drawing/2012/chart">
                      <c:ext xmlns:c15="http://schemas.microsoft.com/office/drawing/2012/chart" uri="{02D57815-91ED-43cb-92C2-25804820EDAC}">
                        <c15:formulaRef>
                          <c15:sqref>'Llegadas x nacionalidad'!$C$36</c15:sqref>
                        </c15:formulaRef>
                      </c:ext>
                    </c:extLst>
                    <c:strCache>
                      <c:ptCount val="1"/>
                      <c:pt idx="0">
                        <c:v>Australia</c:v>
                      </c:pt>
                    </c:strCache>
                  </c:strRef>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nacionalidad'!$D$36:$GA$36</c15:sqref>
                        </c15:fullRef>
                        <c15:formulaRef>
                          <c15:sqref>'Llegadas x nacionalidad'!$D$36:$FT$36</c15:sqref>
                        </c15:formulaRef>
                      </c:ext>
                    </c:extLst>
                    <c:numCache>
                      <c:formatCode>#,##0</c:formatCode>
                      <c:ptCount val="29"/>
                      <c:pt idx="0" formatCode="_(* #,##0_);_(* \(#,##0\);_(* &quot;-&quot;??_);_(@_)">
                        <c:v>571</c:v>
                      </c:pt>
                      <c:pt idx="1">
                        <c:v>364</c:v>
                      </c:pt>
                      <c:pt idx="2">
                        <c:v>471</c:v>
                      </c:pt>
                      <c:pt idx="3">
                        <c:v>623</c:v>
                      </c:pt>
                      <c:pt idx="4" formatCode="_(* #,##0_);_(* \(#,##0\);_(* &quot;-&quot;??_);_(@_)">
                        <c:v>642</c:v>
                      </c:pt>
                      <c:pt idx="5" formatCode="_(* #,##0_);_(* \(#,##0\);_(* &quot;-&quot;??_);_(@_)">
                        <c:v>533</c:v>
                      </c:pt>
                      <c:pt idx="6" formatCode="_(* #,##0_);_(* \(#,##0\);_(* &quot;-&quot;??_);_(@_)">
                        <c:v>547</c:v>
                      </c:pt>
                      <c:pt idx="7" formatCode="_(* #,##0_);_(* \(#,##0\);_(* &quot;-&quot;??_);_(@_)">
                        <c:v>544</c:v>
                      </c:pt>
                      <c:pt idx="8" formatCode="_(* #,##0_);_(* \(#,##0\);_(* &quot;-&quot;??_);_(@_)">
                        <c:v>664</c:v>
                      </c:pt>
                      <c:pt idx="9" formatCode="_(* #,##0_);_(* \(#,##0\);_(* &quot;-&quot;??_);_(@_)">
                        <c:v>547</c:v>
                      </c:pt>
                      <c:pt idx="10" formatCode="_(* #,##0_);_(* \(#,##0\);_(* &quot;-&quot;??_);_(@_)">
                        <c:v>572</c:v>
                      </c:pt>
                      <c:pt idx="11" formatCode="_(* #,##0_);_(* \(#,##0\);_(* &quot;-&quot;??_);_(@_)">
                        <c:v>604</c:v>
                      </c:pt>
                      <c:pt idx="12">
                        <c:v>647</c:v>
                      </c:pt>
                      <c:pt idx="13">
                        <c:v>431</c:v>
                      </c:pt>
                      <c:pt idx="14">
                        <c:v>182</c:v>
                      </c:pt>
                      <c:pt idx="15">
                        <c:v>2</c:v>
                      </c:pt>
                      <c:pt idx="16">
                        <c:v>4</c:v>
                      </c:pt>
                      <c:pt idx="17">
                        <c:v>5</c:v>
                      </c:pt>
                      <c:pt idx="18">
                        <c:v>7</c:v>
                      </c:pt>
                      <c:pt idx="19">
                        <c:v>5</c:v>
                      </c:pt>
                      <c:pt idx="20">
                        <c:v>7</c:v>
                      </c:pt>
                      <c:pt idx="21">
                        <c:v>13</c:v>
                      </c:pt>
                      <c:pt idx="22">
                        <c:v>30</c:v>
                      </c:pt>
                      <c:pt idx="23">
                        <c:v>13</c:v>
                      </c:pt>
                      <c:pt idx="24">
                        <c:v>12</c:v>
                      </c:pt>
                      <c:pt idx="25">
                        <c:v>4</c:v>
                      </c:pt>
                      <c:pt idx="26">
                        <c:v>13</c:v>
                      </c:pt>
                      <c:pt idx="27">
                        <c:v>17</c:v>
                      </c:pt>
                      <c:pt idx="28">
                        <c:v>12</c:v>
                      </c:pt>
                    </c:numCache>
                  </c:numRef>
                </c:val>
                <c:smooth val="0"/>
                <c:extLst xmlns:c15="http://schemas.microsoft.com/office/drawing/2012/chart">
                  <c:ext xmlns:c16="http://schemas.microsoft.com/office/drawing/2014/chart" uri="{C3380CC4-5D6E-409C-BE32-E72D297353CC}">
                    <c16:uniqueId val="{0000001D-63A1-48AA-A1EB-491BDBFB1C22}"/>
                  </c:ext>
                </c:extLst>
              </c15:ser>
            </c15:filteredLineSeries>
            <c15:filteredLineSeries>
              <c15:ser>
                <c:idx val="30"/>
                <c:order val="30"/>
                <c:tx>
                  <c:strRef>
                    <c:extLst xmlns:c15="http://schemas.microsoft.com/office/drawing/2012/chart">
                      <c:ext xmlns:c15="http://schemas.microsoft.com/office/drawing/2012/chart" uri="{02D57815-91ED-43cb-92C2-25804820EDAC}">
                        <c15:formulaRef>
                          <c15:sqref>'Llegadas x nacionalidad'!$C$37</c15:sqref>
                        </c15:formulaRef>
                      </c:ext>
                    </c:extLst>
                    <c:strCache>
                      <c:ptCount val="1"/>
                      <c:pt idx="0">
                        <c:v>Dinamarca</c:v>
                      </c:pt>
                    </c:strCache>
                  </c:strRef>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nacionalidad'!$D$37:$GA$37</c15:sqref>
                        </c15:fullRef>
                        <c15:formulaRef>
                          <c15:sqref>'Llegadas x nacionalidad'!$D$37:$FT$37</c15:sqref>
                        </c15:formulaRef>
                      </c:ext>
                    </c:extLst>
                    <c:numCache>
                      <c:formatCode>#,##0</c:formatCode>
                      <c:ptCount val="29"/>
                      <c:pt idx="0" formatCode="_(* #,##0_);_(* \(#,##0\);_(* &quot;-&quot;??_);_(@_)">
                        <c:v>229</c:v>
                      </c:pt>
                      <c:pt idx="1">
                        <c:v>408</c:v>
                      </c:pt>
                      <c:pt idx="2">
                        <c:v>247</c:v>
                      </c:pt>
                      <c:pt idx="3">
                        <c:v>255</c:v>
                      </c:pt>
                      <c:pt idx="4" formatCode="_(* #,##0_);_(* \(#,##0\);_(* &quot;-&quot;??_);_(@_)">
                        <c:v>103</c:v>
                      </c:pt>
                      <c:pt idx="5" formatCode="_(* #,##0_);_(* \(#,##0\);_(* &quot;-&quot;??_);_(@_)">
                        <c:v>140</c:v>
                      </c:pt>
                      <c:pt idx="6" formatCode="_(* #,##0_);_(* \(#,##0\);_(* &quot;-&quot;??_);_(@_)">
                        <c:v>343</c:v>
                      </c:pt>
                      <c:pt idx="7" formatCode="_(* #,##0_);_(* \(#,##0\);_(* &quot;-&quot;??_);_(@_)">
                        <c:v>141</c:v>
                      </c:pt>
                      <c:pt idx="8" formatCode="_(* #,##0_);_(* \(#,##0\);_(* &quot;-&quot;??_);_(@_)">
                        <c:v>242</c:v>
                      </c:pt>
                      <c:pt idx="9" formatCode="_(* #,##0_);_(* \(#,##0\);_(* &quot;-&quot;??_);_(@_)">
                        <c:v>175</c:v>
                      </c:pt>
                      <c:pt idx="10" formatCode="_(* #,##0_);_(* \(#,##0\);_(* &quot;-&quot;??_);_(@_)">
                        <c:v>177</c:v>
                      </c:pt>
                      <c:pt idx="11" formatCode="_(* #,##0_);_(* \(#,##0\);_(* &quot;-&quot;??_);_(@_)">
                        <c:v>150</c:v>
                      </c:pt>
                      <c:pt idx="12">
                        <c:v>283</c:v>
                      </c:pt>
                      <c:pt idx="13">
                        <c:v>504</c:v>
                      </c:pt>
                      <c:pt idx="14">
                        <c:v>137</c:v>
                      </c:pt>
                      <c:pt idx="15">
                        <c:v>2</c:v>
                      </c:pt>
                      <c:pt idx="16">
                        <c:v>2</c:v>
                      </c:pt>
                      <c:pt idx="17">
                        <c:v>4</c:v>
                      </c:pt>
                      <c:pt idx="18">
                        <c:v>7</c:v>
                      </c:pt>
                      <c:pt idx="19">
                        <c:v>2</c:v>
                      </c:pt>
                      <c:pt idx="20">
                        <c:v>11</c:v>
                      </c:pt>
                      <c:pt idx="21">
                        <c:v>16</c:v>
                      </c:pt>
                      <c:pt idx="22">
                        <c:v>7</c:v>
                      </c:pt>
                      <c:pt idx="23">
                        <c:v>15</c:v>
                      </c:pt>
                      <c:pt idx="24">
                        <c:v>10</c:v>
                      </c:pt>
                      <c:pt idx="25">
                        <c:v>7</c:v>
                      </c:pt>
                      <c:pt idx="26">
                        <c:v>9</c:v>
                      </c:pt>
                      <c:pt idx="27">
                        <c:v>4</c:v>
                      </c:pt>
                      <c:pt idx="28">
                        <c:v>13</c:v>
                      </c:pt>
                    </c:numCache>
                  </c:numRef>
                </c:val>
                <c:smooth val="0"/>
                <c:extLst xmlns:c15="http://schemas.microsoft.com/office/drawing/2012/chart">
                  <c:ext xmlns:c16="http://schemas.microsoft.com/office/drawing/2014/chart" uri="{C3380CC4-5D6E-409C-BE32-E72D297353CC}">
                    <c16:uniqueId val="{0000001E-63A1-48AA-A1EB-491BDBFB1C22}"/>
                  </c:ext>
                </c:extLst>
              </c15:ser>
            </c15:filteredLineSeries>
            <c15:filteredLineSeries>
              <c15:ser>
                <c:idx val="31"/>
                <c:order val="31"/>
                <c:tx>
                  <c:strRef>
                    <c:extLst xmlns:c15="http://schemas.microsoft.com/office/drawing/2012/chart">
                      <c:ext xmlns:c15="http://schemas.microsoft.com/office/drawing/2012/chart" uri="{02D57815-91ED-43cb-92C2-25804820EDAC}">
                        <c15:formulaRef>
                          <c15:sqref>'Llegadas x nacionalidad'!$C$38</c15:sqref>
                        </c15:formulaRef>
                      </c:ext>
                    </c:extLst>
                    <c:strCache>
                      <c:ptCount val="1"/>
                      <c:pt idx="0">
                        <c:v>Otros</c:v>
                      </c:pt>
                    </c:strCache>
                  </c:strRef>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numRef>
                    <c:extLst>
                      <c:ext xmlns:c15="http://schemas.microsoft.com/office/drawing/2012/chart" uri="{02D57815-91ED-43cb-92C2-25804820EDAC}">
                        <c15:fullRef>
                          <c15:sqref>'Llegadas x nacionalidad'!$ER$5:$GA$5</c15:sqref>
                        </c15:fullRef>
                        <c15:formulaRef>
                          <c15:sqref>'Llegadas x nacionalidad'!$ER$5:$GA$5</c15:sqref>
                        </c15:formulaRef>
                      </c:ext>
                    </c:extLst>
                    <c:numCache>
                      <c:formatCode>mmm\-yy</c:formatCode>
                      <c:ptCount val="29"/>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numCache>
                  </c:numRef>
                </c:cat>
                <c:val>
                  <c:numRef>
                    <c:extLst>
                      <c:ext xmlns:c15="http://schemas.microsoft.com/office/drawing/2012/chart" uri="{02D57815-91ED-43cb-92C2-25804820EDAC}">
                        <c15:fullRef>
                          <c15:sqref>'Llegadas x nacionalidad'!$D$38:$GA$38</c15:sqref>
                        </c15:fullRef>
                        <c15:formulaRef>
                          <c15:sqref>'Llegadas x nacionalidad'!$D$38:$FT$38</c15:sqref>
                        </c15:formulaRef>
                      </c:ext>
                    </c:extLst>
                    <c:numCache>
                      <c:formatCode>_(* #,##0_);_(* \(#,##0\);_(* "-"??_);_(@_)</c:formatCode>
                      <c:ptCount val="29"/>
                      <c:pt idx="0">
                        <c:v>3867</c:v>
                      </c:pt>
                      <c:pt idx="1">
                        <c:v>3871</c:v>
                      </c:pt>
                      <c:pt idx="2">
                        <c:v>4776</c:v>
                      </c:pt>
                      <c:pt idx="3">
                        <c:v>4829</c:v>
                      </c:pt>
                      <c:pt idx="4">
                        <c:v>3586</c:v>
                      </c:pt>
                      <c:pt idx="5">
                        <c:v>6971</c:v>
                      </c:pt>
                      <c:pt idx="6">
                        <c:v>6736</c:v>
                      </c:pt>
                      <c:pt idx="7">
                        <c:v>1079</c:v>
                      </c:pt>
                      <c:pt idx="8">
                        <c:v>3112</c:v>
                      </c:pt>
                      <c:pt idx="9">
                        <c:v>2871</c:v>
                      </c:pt>
                      <c:pt idx="10">
                        <c:v>3411</c:v>
                      </c:pt>
                      <c:pt idx="11">
                        <c:v>3238</c:v>
                      </c:pt>
                      <c:pt idx="12">
                        <c:v>3730</c:v>
                      </c:pt>
                      <c:pt idx="13">
                        <c:v>3423</c:v>
                      </c:pt>
                      <c:pt idx="14">
                        <c:v>1257</c:v>
                      </c:pt>
                      <c:pt idx="15">
                        <c:v>25</c:v>
                      </c:pt>
                      <c:pt idx="16">
                        <c:v>42</c:v>
                      </c:pt>
                      <c:pt idx="17">
                        <c:v>85</c:v>
                      </c:pt>
                      <c:pt idx="18">
                        <c:v>167</c:v>
                      </c:pt>
                      <c:pt idx="19">
                        <c:v>199</c:v>
                      </c:pt>
                      <c:pt idx="20">
                        <c:v>267</c:v>
                      </c:pt>
                      <c:pt idx="21">
                        <c:v>437</c:v>
                      </c:pt>
                      <c:pt idx="22">
                        <c:v>540</c:v>
                      </c:pt>
                      <c:pt idx="23">
                        <c:v>811</c:v>
                      </c:pt>
                      <c:pt idx="24">
                        <c:v>652</c:v>
                      </c:pt>
                      <c:pt idx="25">
                        <c:v>552</c:v>
                      </c:pt>
                      <c:pt idx="26">
                        <c:v>674</c:v>
                      </c:pt>
                      <c:pt idx="27">
                        <c:v>692</c:v>
                      </c:pt>
                      <c:pt idx="28">
                        <c:v>691</c:v>
                      </c:pt>
                    </c:numCache>
                  </c:numRef>
                </c:val>
                <c:smooth val="0"/>
                <c:extLst xmlns:c15="http://schemas.microsoft.com/office/drawing/2012/chart">
                  <c:ext xmlns:c16="http://schemas.microsoft.com/office/drawing/2014/chart" uri="{C3380CC4-5D6E-409C-BE32-E72D297353CC}">
                    <c16:uniqueId val="{0000001F-63A1-48AA-A1EB-491BDBFB1C22}"/>
                  </c:ext>
                </c:extLst>
              </c15:ser>
            </c15:filteredLineSeries>
          </c:ext>
        </c:extLst>
      </c:lineChart>
      <c:dateAx>
        <c:axId val="939981295"/>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EC"/>
          </a:p>
        </c:txPr>
        <c:crossAx val="939983375"/>
        <c:crosses val="autoZero"/>
        <c:auto val="1"/>
        <c:lblOffset val="100"/>
        <c:baseTimeUnit val="months"/>
      </c:dateAx>
      <c:valAx>
        <c:axId val="939983375"/>
        <c:scaling>
          <c:orientation val="minMax"/>
        </c:scaling>
        <c:delete val="0"/>
        <c:axPos val="l"/>
        <c:majorGridlines>
          <c:spPr>
            <a:ln w="9525" cap="flat" cmpd="sng" algn="ctr">
              <a:solidFill>
                <a:schemeClr val="tx1">
                  <a:lumMod val="15000"/>
                  <a:lumOff val="85000"/>
                </a:schemeClr>
              </a:solidFill>
              <a:round/>
            </a:ln>
            <a:effectLst/>
          </c:spPr>
        </c:majorGridlines>
        <c:title>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EC"/>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39981295"/>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Llegadas internacionales visitantes no residentes </a:t>
            </a:r>
          </a:p>
          <a:p>
            <a:pPr>
              <a:defRPr/>
            </a:pPr>
            <a:r>
              <a:rPr lang="en-US"/>
              <a:t>Totales</a:t>
            </a:r>
            <a:r>
              <a:rPr lang="en-US" baseline="0"/>
              <a:t> Anual</a:t>
            </a:r>
            <a:endParaRPr lang="en-US"/>
          </a:p>
        </c:rich>
      </c:tx>
      <c:layout>
        <c:manualLayout>
          <c:xMode val="edge"/>
          <c:yMode val="edge"/>
          <c:x val="0.323379122425898"/>
          <c:y val="1.279069884551353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0"/>
          <c:order val="0"/>
          <c:tx>
            <c:strRef>
              <c:f>'Llegadas x nacionalidad'!$C$7</c:f>
              <c:strCache>
                <c:ptCount val="1"/>
                <c:pt idx="0">
                  <c:v>Estados Unidos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'Llegadas x nacionalidad'!$JB$2:$JP$2</c:f>
              <c:numCache>
                <c:formatCode>General</c:formatCode>
                <c:ptCount val="3"/>
                <c:pt idx="0">
                  <c:v>2019</c:v>
                </c:pt>
                <c:pt idx="1">
                  <c:v>2020</c:v>
                </c:pt>
                <c:pt idx="2">
                  <c:v>2021</c:v>
                </c:pt>
              </c:numCache>
            </c:numRef>
          </c:cat>
          <c:val>
            <c:numRef>
              <c:f>'Llegadas x nacionalidad'!$JB$7:$JP$7</c:f>
              <c:numCache>
                <c:formatCode>#,##0</c:formatCode>
                <c:ptCount val="3"/>
                <c:pt idx="0">
                  <c:v>180515</c:v>
                </c:pt>
                <c:pt idx="1">
                  <c:v>57715</c:v>
                </c:pt>
                <c:pt idx="2">
                  <c:v>111131</c:v>
                </c:pt>
              </c:numCache>
            </c:numRef>
          </c:val>
          <c:smooth val="0"/>
          <c:extLst>
            <c:ext xmlns:c16="http://schemas.microsoft.com/office/drawing/2014/chart" uri="{C3380CC4-5D6E-409C-BE32-E72D297353CC}">
              <c16:uniqueId val="{00000000-9907-4590-AF81-7287654D764E}"/>
            </c:ext>
          </c:extLst>
        </c:ser>
        <c:ser>
          <c:idx val="2"/>
          <c:order val="2"/>
          <c:tx>
            <c:strRef>
              <c:f>'Llegadas x nacionalidad'!$C$9</c:f>
              <c:strCache>
                <c:ptCount val="1"/>
                <c:pt idx="0">
                  <c:v>Colombia</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'Llegadas x nacionalidad'!$JB$2:$JP$2</c:f>
              <c:numCache>
                <c:formatCode>General</c:formatCode>
                <c:ptCount val="3"/>
                <c:pt idx="0">
                  <c:v>2019</c:v>
                </c:pt>
                <c:pt idx="1">
                  <c:v>2020</c:v>
                </c:pt>
                <c:pt idx="2">
                  <c:v>2021</c:v>
                </c:pt>
              </c:numCache>
            </c:numRef>
          </c:cat>
          <c:val>
            <c:numRef>
              <c:f>'Llegadas x nacionalidad'!$JB$9:$JP$9</c:f>
              <c:numCache>
                <c:formatCode>#,##0</c:formatCode>
                <c:ptCount val="3"/>
                <c:pt idx="0">
                  <c:v>57667</c:v>
                </c:pt>
                <c:pt idx="1">
                  <c:v>18759</c:v>
                </c:pt>
                <c:pt idx="2">
                  <c:v>30788</c:v>
                </c:pt>
              </c:numCache>
            </c:numRef>
          </c:val>
          <c:smooth val="0"/>
          <c:extLst>
            <c:ext xmlns:c16="http://schemas.microsoft.com/office/drawing/2014/chart" uri="{C3380CC4-5D6E-409C-BE32-E72D297353CC}">
              <c16:uniqueId val="{00000002-9907-4590-AF81-7287654D764E}"/>
            </c:ext>
          </c:extLst>
        </c:ser>
        <c:ser>
          <c:idx val="3"/>
          <c:order val="3"/>
          <c:tx>
            <c:strRef>
              <c:f>'Llegadas x nacionalidad'!$C$10</c:f>
              <c:strCache>
                <c:ptCount val="1"/>
                <c:pt idx="0">
                  <c:v>México</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'Llegadas x nacionalidad'!$JB$2:$JP$2</c:f>
              <c:numCache>
                <c:formatCode>General</c:formatCode>
                <c:ptCount val="3"/>
                <c:pt idx="0">
                  <c:v>2019</c:v>
                </c:pt>
                <c:pt idx="1">
                  <c:v>2020</c:v>
                </c:pt>
                <c:pt idx="2">
                  <c:v>2021</c:v>
                </c:pt>
              </c:numCache>
            </c:numRef>
          </c:cat>
          <c:val>
            <c:numRef>
              <c:f>'Llegadas x nacionalidad'!$JB$10:$JP$10</c:f>
              <c:numCache>
                <c:formatCode>#,##0</c:formatCode>
                <c:ptCount val="3"/>
                <c:pt idx="0">
                  <c:v>21035</c:v>
                </c:pt>
                <c:pt idx="1">
                  <c:v>6894</c:v>
                </c:pt>
                <c:pt idx="2">
                  <c:v>8619</c:v>
                </c:pt>
              </c:numCache>
            </c:numRef>
          </c:val>
          <c:smooth val="0"/>
          <c:extLst>
            <c:ext xmlns:c16="http://schemas.microsoft.com/office/drawing/2014/chart" uri="{C3380CC4-5D6E-409C-BE32-E72D297353CC}">
              <c16:uniqueId val="{00000003-9907-4590-AF81-7287654D764E}"/>
            </c:ext>
          </c:extLst>
        </c:ser>
        <c:ser>
          <c:idx val="4"/>
          <c:order val="4"/>
          <c:tx>
            <c:strRef>
              <c:f>'Llegadas x nacionalidad'!$C$11</c:f>
              <c:strCache>
                <c:ptCount val="1"/>
                <c:pt idx="0">
                  <c:v>Perú</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f>'Llegadas x nacionalidad'!$JB$2:$JP$2</c:f>
              <c:numCache>
                <c:formatCode>General</c:formatCode>
                <c:ptCount val="3"/>
                <c:pt idx="0">
                  <c:v>2019</c:v>
                </c:pt>
                <c:pt idx="1">
                  <c:v>2020</c:v>
                </c:pt>
                <c:pt idx="2">
                  <c:v>2021</c:v>
                </c:pt>
              </c:numCache>
            </c:numRef>
          </c:cat>
          <c:val>
            <c:numRef>
              <c:f>'Llegadas x nacionalidad'!$JB$11:$JP$11</c:f>
              <c:numCache>
                <c:formatCode>#,##0</c:formatCode>
                <c:ptCount val="3"/>
                <c:pt idx="0">
                  <c:v>18090</c:v>
                </c:pt>
                <c:pt idx="1">
                  <c:v>5591</c:v>
                </c:pt>
                <c:pt idx="2">
                  <c:v>6921</c:v>
                </c:pt>
              </c:numCache>
            </c:numRef>
          </c:val>
          <c:smooth val="0"/>
          <c:extLst>
            <c:ext xmlns:c16="http://schemas.microsoft.com/office/drawing/2014/chart" uri="{C3380CC4-5D6E-409C-BE32-E72D297353CC}">
              <c16:uniqueId val="{00000004-9907-4590-AF81-7287654D764E}"/>
            </c:ext>
          </c:extLst>
        </c:ser>
        <c:ser>
          <c:idx val="5"/>
          <c:order val="5"/>
          <c:tx>
            <c:strRef>
              <c:f>'Llegadas x nacionalidad'!$C$12</c:f>
              <c:strCache>
                <c:ptCount val="1"/>
                <c:pt idx="0">
                  <c:v>Francia</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f>'Llegadas x nacionalidad'!$JB$2:$JP$2</c:f>
              <c:numCache>
                <c:formatCode>General</c:formatCode>
                <c:ptCount val="3"/>
                <c:pt idx="0">
                  <c:v>2019</c:v>
                </c:pt>
                <c:pt idx="1">
                  <c:v>2020</c:v>
                </c:pt>
                <c:pt idx="2">
                  <c:v>2021</c:v>
                </c:pt>
              </c:numCache>
            </c:numRef>
          </c:cat>
          <c:val>
            <c:numRef>
              <c:f>'Llegadas x nacionalidad'!$JB$12:$JP$12</c:f>
              <c:numCache>
                <c:formatCode>#,##0</c:formatCode>
                <c:ptCount val="3"/>
                <c:pt idx="0">
                  <c:v>20482</c:v>
                </c:pt>
                <c:pt idx="1">
                  <c:v>5322</c:v>
                </c:pt>
                <c:pt idx="2">
                  <c:v>7164</c:v>
                </c:pt>
              </c:numCache>
            </c:numRef>
          </c:val>
          <c:smooth val="0"/>
          <c:extLst>
            <c:ext xmlns:c16="http://schemas.microsoft.com/office/drawing/2014/chart" uri="{C3380CC4-5D6E-409C-BE32-E72D297353CC}">
              <c16:uniqueId val="{00000005-9907-4590-AF81-7287654D764E}"/>
            </c:ext>
          </c:extLst>
        </c:ser>
        <c:ser>
          <c:idx val="7"/>
          <c:order val="7"/>
          <c:tx>
            <c:strRef>
              <c:f>'Llegadas x nacionalidad'!$C$14</c:f>
              <c:strCache>
                <c:ptCount val="1"/>
                <c:pt idx="0">
                  <c:v>Alemania</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f>'Llegadas x nacionalidad'!$JB$2:$JP$2</c:f>
              <c:numCache>
                <c:formatCode>General</c:formatCode>
                <c:ptCount val="3"/>
                <c:pt idx="0">
                  <c:v>2019</c:v>
                </c:pt>
                <c:pt idx="1">
                  <c:v>2020</c:v>
                </c:pt>
                <c:pt idx="2">
                  <c:v>2021</c:v>
                </c:pt>
              </c:numCache>
            </c:numRef>
          </c:cat>
          <c:val>
            <c:numRef>
              <c:f>'Llegadas x nacionalidad'!$JB$14:$JP$14</c:f>
              <c:numCache>
                <c:formatCode>#,##0</c:formatCode>
                <c:ptCount val="3"/>
                <c:pt idx="0">
                  <c:v>22748</c:v>
                </c:pt>
                <c:pt idx="1">
                  <c:v>5768</c:v>
                </c:pt>
                <c:pt idx="2">
                  <c:v>6835</c:v>
                </c:pt>
              </c:numCache>
            </c:numRef>
          </c:val>
          <c:smooth val="0"/>
          <c:extLst>
            <c:ext xmlns:c16="http://schemas.microsoft.com/office/drawing/2014/chart" uri="{C3380CC4-5D6E-409C-BE32-E72D297353CC}">
              <c16:uniqueId val="{00000007-9907-4590-AF81-7287654D764E}"/>
            </c:ext>
          </c:extLst>
        </c:ser>
        <c:ser>
          <c:idx val="9"/>
          <c:order val="9"/>
          <c:tx>
            <c:strRef>
              <c:f>'Llegadas x nacionalidad'!$C$16</c:f>
              <c:strCache>
                <c:ptCount val="1"/>
                <c:pt idx="0">
                  <c:v>Brasil</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f>'Llegadas x nacionalidad'!$JB$2:$JP$2</c:f>
              <c:numCache>
                <c:formatCode>General</c:formatCode>
                <c:ptCount val="3"/>
                <c:pt idx="0">
                  <c:v>2019</c:v>
                </c:pt>
                <c:pt idx="1">
                  <c:v>2020</c:v>
                </c:pt>
                <c:pt idx="2">
                  <c:v>2021</c:v>
                </c:pt>
              </c:numCache>
            </c:numRef>
          </c:cat>
          <c:val>
            <c:numRef>
              <c:f>'Llegadas x nacionalidad'!$JB$16:$JP$16</c:f>
              <c:numCache>
                <c:formatCode>#,##0</c:formatCode>
                <c:ptCount val="3"/>
                <c:pt idx="0">
                  <c:v>18345</c:v>
                </c:pt>
                <c:pt idx="1">
                  <c:v>4856</c:v>
                </c:pt>
                <c:pt idx="2">
                  <c:v>3788</c:v>
                </c:pt>
              </c:numCache>
            </c:numRef>
          </c:val>
          <c:smooth val="0"/>
          <c:extLst>
            <c:ext xmlns:c16="http://schemas.microsoft.com/office/drawing/2014/chart" uri="{C3380CC4-5D6E-409C-BE32-E72D297353CC}">
              <c16:uniqueId val="{00000009-9907-4590-AF81-7287654D764E}"/>
            </c:ext>
          </c:extLst>
        </c:ser>
        <c:ser>
          <c:idx val="12"/>
          <c:order val="12"/>
          <c:tx>
            <c:strRef>
              <c:f>'Llegadas x nacionalidad'!$C$19</c:f>
              <c:strCache>
                <c:ptCount val="1"/>
                <c:pt idx="0">
                  <c:v>Canadá</c:v>
                </c:pt>
              </c:strCache>
            </c:strRef>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numRef>
              <c:f>'Llegadas x nacionalidad'!$JB$2:$JP$2</c:f>
              <c:numCache>
                <c:formatCode>General</c:formatCode>
                <c:ptCount val="3"/>
                <c:pt idx="0">
                  <c:v>2019</c:v>
                </c:pt>
                <c:pt idx="1">
                  <c:v>2020</c:v>
                </c:pt>
                <c:pt idx="2">
                  <c:v>2021</c:v>
                </c:pt>
              </c:numCache>
            </c:numRef>
          </c:cat>
          <c:val>
            <c:numRef>
              <c:f>'Llegadas x nacionalidad'!$JB$19:$JP$19</c:f>
              <c:numCache>
                <c:formatCode>#,##0</c:formatCode>
                <c:ptCount val="3"/>
                <c:pt idx="0">
                  <c:v>23863</c:v>
                </c:pt>
                <c:pt idx="1">
                  <c:v>9797</c:v>
                </c:pt>
                <c:pt idx="2">
                  <c:v>5444</c:v>
                </c:pt>
              </c:numCache>
            </c:numRef>
          </c:val>
          <c:smooth val="0"/>
          <c:extLst>
            <c:ext xmlns:c16="http://schemas.microsoft.com/office/drawing/2014/chart" uri="{C3380CC4-5D6E-409C-BE32-E72D297353CC}">
              <c16:uniqueId val="{0000000C-9907-4590-AF81-7287654D764E}"/>
            </c:ext>
          </c:extLst>
        </c:ser>
        <c:ser>
          <c:idx val="14"/>
          <c:order val="14"/>
          <c:tx>
            <c:strRef>
              <c:f>'Llegadas x nacionalidad'!$C$21</c:f>
              <c:strCache>
                <c:ptCount val="1"/>
                <c:pt idx="0">
                  <c:v>Chile</c:v>
                </c:pt>
              </c:strCache>
            </c:strRef>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numRef>
              <c:f>'Llegadas x nacionalidad'!$JB$2:$JP$2</c:f>
              <c:numCache>
                <c:formatCode>General</c:formatCode>
                <c:ptCount val="3"/>
                <c:pt idx="0">
                  <c:v>2019</c:v>
                </c:pt>
                <c:pt idx="1">
                  <c:v>2020</c:v>
                </c:pt>
                <c:pt idx="2">
                  <c:v>2021</c:v>
                </c:pt>
              </c:numCache>
            </c:numRef>
          </c:cat>
          <c:val>
            <c:numRef>
              <c:f>'Llegadas x nacionalidad'!$JB$21:$JP$21</c:f>
              <c:numCache>
                <c:formatCode>#,##0</c:formatCode>
                <c:ptCount val="3"/>
                <c:pt idx="0">
                  <c:v>16043</c:v>
                </c:pt>
                <c:pt idx="1">
                  <c:v>4857</c:v>
                </c:pt>
                <c:pt idx="2">
                  <c:v>3334</c:v>
                </c:pt>
              </c:numCache>
            </c:numRef>
          </c:val>
          <c:smooth val="0"/>
          <c:extLst>
            <c:ext xmlns:c16="http://schemas.microsoft.com/office/drawing/2014/chart" uri="{C3380CC4-5D6E-409C-BE32-E72D297353CC}">
              <c16:uniqueId val="{0000000E-9907-4590-AF81-7287654D764E}"/>
            </c:ext>
          </c:extLst>
        </c:ser>
        <c:dLbls>
          <c:showLegendKey val="0"/>
          <c:showVal val="0"/>
          <c:showCatName val="0"/>
          <c:showSerName val="0"/>
          <c:showPercent val="0"/>
          <c:showBubbleSize val="0"/>
        </c:dLbls>
        <c:marker val="1"/>
        <c:smooth val="0"/>
        <c:axId val="1917831824"/>
        <c:axId val="1917824336"/>
        <c:extLst>
          <c:ext xmlns:c15="http://schemas.microsoft.com/office/drawing/2012/chart" uri="{02D57815-91ED-43cb-92C2-25804820EDAC}">
            <c15:filteredLineSeries>
              <c15:ser>
                <c:idx val="1"/>
                <c:order val="1"/>
                <c:tx>
                  <c:strRef>
                    <c:extLst>
                      <c:ext uri="{02D57815-91ED-43cb-92C2-25804820EDAC}">
                        <c15:formulaRef>
                          <c15:sqref>'Llegadas x nacionalidad'!$C$8</c15:sqref>
                        </c15:formulaRef>
                      </c:ext>
                    </c:extLst>
                    <c:strCache>
                      <c:ptCount val="1"/>
                      <c:pt idx="0">
                        <c:v>España</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extLst>
                      <c:ex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c:ext uri="{02D57815-91ED-43cb-92C2-25804820EDAC}">
                        <c15:formulaRef>
                          <c15:sqref>'Llegadas x nacionalidad'!$JB$8:$JP$8</c15:sqref>
                        </c15:formulaRef>
                      </c:ext>
                    </c:extLst>
                    <c:numCache>
                      <c:formatCode>#,##0</c:formatCode>
                      <c:ptCount val="3"/>
                      <c:pt idx="0">
                        <c:v>60401</c:v>
                      </c:pt>
                      <c:pt idx="1">
                        <c:v>20721</c:v>
                      </c:pt>
                      <c:pt idx="2">
                        <c:v>38467</c:v>
                      </c:pt>
                    </c:numCache>
                  </c:numRef>
                </c:val>
                <c:smooth val="0"/>
                <c:extLst>
                  <c:ext xmlns:c16="http://schemas.microsoft.com/office/drawing/2014/chart" uri="{C3380CC4-5D6E-409C-BE32-E72D297353CC}">
                    <c16:uniqueId val="{00000001-9907-4590-AF81-7287654D764E}"/>
                  </c:ext>
                </c:extLst>
              </c15:ser>
            </c15:filteredLineSeries>
            <c15:filteredLineSeries>
              <c15:ser>
                <c:idx val="6"/>
                <c:order val="6"/>
                <c:tx>
                  <c:strRef>
                    <c:extLst xmlns:c15="http://schemas.microsoft.com/office/drawing/2012/chart">
                      <c:ext xmlns:c15="http://schemas.microsoft.com/office/drawing/2012/chart" uri="{02D57815-91ED-43cb-92C2-25804820EDAC}">
                        <c15:formulaRef>
                          <c15:sqref>'Llegadas x nacionalidad'!$C$13</c15:sqref>
                        </c15:formulaRef>
                      </c:ext>
                    </c:extLst>
                    <c:strCache>
                      <c:ptCount val="1"/>
                      <c:pt idx="0">
                        <c:v>Venezuela (republica Bolivariana de )</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nacionalidad'!$JB$13:$JP$13</c15:sqref>
                        </c15:formulaRef>
                      </c:ext>
                    </c:extLst>
                    <c:numCache>
                      <c:formatCode>#,##0</c:formatCode>
                      <c:ptCount val="3"/>
                      <c:pt idx="0">
                        <c:v>13820</c:v>
                      </c:pt>
                      <c:pt idx="1">
                        <c:v>4672</c:v>
                      </c:pt>
                      <c:pt idx="2">
                        <c:v>5979</c:v>
                      </c:pt>
                    </c:numCache>
                  </c:numRef>
                </c:val>
                <c:smooth val="0"/>
                <c:extLst xmlns:c15="http://schemas.microsoft.com/office/drawing/2012/chart">
                  <c:ext xmlns:c16="http://schemas.microsoft.com/office/drawing/2014/chart" uri="{C3380CC4-5D6E-409C-BE32-E72D297353CC}">
                    <c16:uniqueId val="{00000006-9907-4590-AF81-7287654D764E}"/>
                  </c:ext>
                </c:extLst>
              </c15:ser>
            </c15:filteredLineSeries>
            <c15:filteredLineSeries>
              <c15:ser>
                <c:idx val="8"/>
                <c:order val="8"/>
                <c:tx>
                  <c:strRef>
                    <c:extLst xmlns:c15="http://schemas.microsoft.com/office/drawing/2012/chart">
                      <c:ext xmlns:c15="http://schemas.microsoft.com/office/drawing/2012/chart" uri="{02D57815-91ED-43cb-92C2-25804820EDAC}">
                        <c15:formulaRef>
                          <c15:sqref>'Llegadas x nacionalidad'!$C$15</c15:sqref>
                        </c15:formulaRef>
                      </c:ext>
                    </c:extLst>
                    <c:strCache>
                      <c:ptCount val="1"/>
                      <c:pt idx="0">
                        <c:v>Panamá</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nacionalidad'!$JB$15:$JP$15</c15:sqref>
                        </c15:formulaRef>
                      </c:ext>
                    </c:extLst>
                    <c:numCache>
                      <c:formatCode>#,##0</c:formatCode>
                      <c:ptCount val="3"/>
                      <c:pt idx="0">
                        <c:v>10142</c:v>
                      </c:pt>
                      <c:pt idx="1">
                        <c:v>2525</c:v>
                      </c:pt>
                      <c:pt idx="2">
                        <c:v>4783</c:v>
                      </c:pt>
                    </c:numCache>
                  </c:numRef>
                </c:val>
                <c:smooth val="0"/>
                <c:extLst xmlns:c15="http://schemas.microsoft.com/office/drawing/2012/chart">
                  <c:ext xmlns:c16="http://schemas.microsoft.com/office/drawing/2014/chart" uri="{C3380CC4-5D6E-409C-BE32-E72D297353CC}">
                    <c16:uniqueId val="{00000008-9907-4590-AF81-7287654D764E}"/>
                  </c:ext>
                </c:extLst>
              </c15:ser>
            </c15:filteredLineSeries>
            <c15:filteredLineSeries>
              <c15:ser>
                <c:idx val="10"/>
                <c:order val="10"/>
                <c:tx>
                  <c:strRef>
                    <c:extLst xmlns:c15="http://schemas.microsoft.com/office/drawing/2012/chart">
                      <c:ext xmlns:c15="http://schemas.microsoft.com/office/drawing/2012/chart" uri="{02D57815-91ED-43cb-92C2-25804820EDAC}">
                        <c15:formulaRef>
                          <c15:sqref>'Llegadas x nacionalidad'!$C$17</c15:sqref>
                        </c15:formulaRef>
                      </c:ext>
                    </c:extLst>
                    <c:strCache>
                      <c:ptCount val="1"/>
                      <c:pt idx="0">
                        <c:v>Italia</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nacionalidad'!$JB$17:$JP$17</c15:sqref>
                        </c15:formulaRef>
                      </c:ext>
                    </c:extLst>
                    <c:numCache>
                      <c:formatCode>#,##0</c:formatCode>
                      <c:ptCount val="3"/>
                      <c:pt idx="0">
                        <c:v>10927</c:v>
                      </c:pt>
                      <c:pt idx="1">
                        <c:v>3048</c:v>
                      </c:pt>
                      <c:pt idx="2">
                        <c:v>4238</c:v>
                      </c:pt>
                    </c:numCache>
                  </c:numRef>
                </c:val>
                <c:smooth val="0"/>
                <c:extLst xmlns:c15="http://schemas.microsoft.com/office/drawing/2012/chart">
                  <c:ext xmlns:c16="http://schemas.microsoft.com/office/drawing/2014/chart" uri="{C3380CC4-5D6E-409C-BE32-E72D297353CC}">
                    <c16:uniqueId val="{0000000A-9907-4590-AF81-7287654D764E}"/>
                  </c:ext>
                </c:extLst>
              </c15:ser>
            </c15:filteredLineSeries>
            <c15:filteredLineSeries>
              <c15:ser>
                <c:idx val="11"/>
                <c:order val="11"/>
                <c:tx>
                  <c:strRef>
                    <c:extLst xmlns:c15="http://schemas.microsoft.com/office/drawing/2012/chart">
                      <c:ext xmlns:c15="http://schemas.microsoft.com/office/drawing/2012/chart" uri="{02D57815-91ED-43cb-92C2-25804820EDAC}">
                        <c15:formulaRef>
                          <c15:sqref>'Llegadas x nacionalidad'!$C$18</c15:sqref>
                        </c15:formulaRef>
                      </c:ext>
                    </c:extLst>
                    <c:strCache>
                      <c:ptCount val="1"/>
                      <c:pt idx="0">
                        <c:v>China (República Popular)</c:v>
                      </c:pt>
                    </c:strCache>
                  </c:strRef>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nacionalidad'!$JB$18:$JP$18</c15:sqref>
                        </c15:formulaRef>
                      </c:ext>
                    </c:extLst>
                    <c:numCache>
                      <c:formatCode>#,##0</c:formatCode>
                      <c:ptCount val="3"/>
                      <c:pt idx="0">
                        <c:v>12705</c:v>
                      </c:pt>
                      <c:pt idx="1">
                        <c:v>2559</c:v>
                      </c:pt>
                      <c:pt idx="2">
                        <c:v>3733</c:v>
                      </c:pt>
                    </c:numCache>
                  </c:numRef>
                </c:val>
                <c:smooth val="0"/>
                <c:extLst xmlns:c15="http://schemas.microsoft.com/office/drawing/2012/chart">
                  <c:ext xmlns:c16="http://schemas.microsoft.com/office/drawing/2014/chart" uri="{C3380CC4-5D6E-409C-BE32-E72D297353CC}">
                    <c16:uniqueId val="{0000000B-9907-4590-AF81-7287654D764E}"/>
                  </c:ext>
                </c:extLst>
              </c15:ser>
            </c15:filteredLineSeries>
            <c15:filteredLineSeries>
              <c15:ser>
                <c:idx val="13"/>
                <c:order val="13"/>
                <c:tx>
                  <c:strRef>
                    <c:extLst xmlns:c15="http://schemas.microsoft.com/office/drawing/2012/chart">
                      <c:ext xmlns:c15="http://schemas.microsoft.com/office/drawing/2012/chart" uri="{02D57815-91ED-43cb-92C2-25804820EDAC}">
                        <c15:formulaRef>
                          <c15:sqref>'Llegadas x nacionalidad'!$C$20</c15:sqref>
                        </c15:formulaRef>
                      </c:ext>
                    </c:extLst>
                    <c:strCache>
                      <c:ptCount val="1"/>
                      <c:pt idx="0">
                        <c:v>Argentina</c:v>
                      </c:pt>
                    </c:strCache>
                  </c:strRef>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nacionalidad'!$JB$20:$JP$20</c15:sqref>
                        </c15:formulaRef>
                      </c:ext>
                    </c:extLst>
                    <c:numCache>
                      <c:formatCode>#,##0</c:formatCode>
                      <c:ptCount val="3"/>
                      <c:pt idx="0">
                        <c:v>15430</c:v>
                      </c:pt>
                      <c:pt idx="1">
                        <c:v>4068</c:v>
                      </c:pt>
                      <c:pt idx="2">
                        <c:v>3770</c:v>
                      </c:pt>
                    </c:numCache>
                  </c:numRef>
                </c:val>
                <c:smooth val="0"/>
                <c:extLst xmlns:c15="http://schemas.microsoft.com/office/drawing/2012/chart">
                  <c:ext xmlns:c16="http://schemas.microsoft.com/office/drawing/2014/chart" uri="{C3380CC4-5D6E-409C-BE32-E72D297353CC}">
                    <c16:uniqueId val="{0000000D-9907-4590-AF81-7287654D764E}"/>
                  </c:ext>
                </c:extLst>
              </c15:ser>
            </c15:filteredLineSeries>
            <c15:filteredLineSeries>
              <c15:ser>
                <c:idx val="15"/>
                <c:order val="15"/>
                <c:tx>
                  <c:strRef>
                    <c:extLst xmlns:c15="http://schemas.microsoft.com/office/drawing/2012/chart">
                      <c:ext xmlns:c15="http://schemas.microsoft.com/office/drawing/2012/chart" uri="{02D57815-91ED-43cb-92C2-25804820EDAC}">
                        <c15:formulaRef>
                          <c15:sqref>'Llegadas x nacionalidad'!$C$22</c15:sqref>
                        </c15:formulaRef>
                      </c:ext>
                    </c:extLst>
                    <c:strCache>
                      <c:ptCount val="1"/>
                      <c:pt idx="0">
                        <c:v>Países Bajo (Holanda)</c:v>
                      </c:pt>
                    </c:strCache>
                  </c:strRef>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nacionalidad'!$JB$22:$JP$22</c15:sqref>
                        </c15:formulaRef>
                      </c:ext>
                    </c:extLst>
                    <c:numCache>
                      <c:formatCode>#,##0</c:formatCode>
                      <c:ptCount val="3"/>
                      <c:pt idx="0">
                        <c:v>13527</c:v>
                      </c:pt>
                      <c:pt idx="1">
                        <c:v>4178</c:v>
                      </c:pt>
                      <c:pt idx="2">
                        <c:v>3531</c:v>
                      </c:pt>
                    </c:numCache>
                  </c:numRef>
                </c:val>
                <c:smooth val="0"/>
                <c:extLst xmlns:c15="http://schemas.microsoft.com/office/drawing/2012/chart">
                  <c:ext xmlns:c16="http://schemas.microsoft.com/office/drawing/2014/chart" uri="{C3380CC4-5D6E-409C-BE32-E72D297353CC}">
                    <c16:uniqueId val="{00000021-9907-4590-AF81-7287654D764E}"/>
                  </c:ext>
                </c:extLst>
              </c15:ser>
            </c15:filteredLineSeries>
            <c15:filteredLineSeries>
              <c15:ser>
                <c:idx val="16"/>
                <c:order val="16"/>
                <c:tx>
                  <c:strRef>
                    <c:extLst xmlns:c15="http://schemas.microsoft.com/office/drawing/2012/chart">
                      <c:ext xmlns:c15="http://schemas.microsoft.com/office/drawing/2012/chart" uri="{02D57815-91ED-43cb-92C2-25804820EDAC}">
                        <c15:formulaRef>
                          <c15:sqref>'Llegadas x nacionalidad'!$C$23</c15:sqref>
                        </c15:formulaRef>
                      </c:ext>
                    </c:extLst>
                    <c:strCache>
                      <c:ptCount val="1"/>
                      <c:pt idx="0">
                        <c:v>Suiza</c:v>
                      </c:pt>
                    </c:strCache>
                  </c:strRef>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nacionalidad'!$JB$23:$JP$23</c15:sqref>
                        </c15:formulaRef>
                      </c:ext>
                    </c:extLst>
                    <c:numCache>
                      <c:formatCode>#,##0</c:formatCode>
                      <c:ptCount val="3"/>
                      <c:pt idx="0">
                        <c:v>7033</c:v>
                      </c:pt>
                      <c:pt idx="1">
                        <c:v>1807</c:v>
                      </c:pt>
                      <c:pt idx="2">
                        <c:v>3195</c:v>
                      </c:pt>
                    </c:numCache>
                  </c:numRef>
                </c:val>
                <c:smooth val="0"/>
                <c:extLst xmlns:c15="http://schemas.microsoft.com/office/drawing/2012/chart">
                  <c:ext xmlns:c16="http://schemas.microsoft.com/office/drawing/2014/chart" uri="{C3380CC4-5D6E-409C-BE32-E72D297353CC}">
                    <c16:uniqueId val="{00000022-9907-4590-AF81-7287654D764E}"/>
                  </c:ext>
                </c:extLst>
              </c15:ser>
            </c15:filteredLineSeries>
            <c15:filteredLineSeries>
              <c15:ser>
                <c:idx val="17"/>
                <c:order val="17"/>
                <c:tx>
                  <c:strRef>
                    <c:extLst xmlns:c15="http://schemas.microsoft.com/office/drawing/2012/chart">
                      <c:ext xmlns:c15="http://schemas.microsoft.com/office/drawing/2012/chart" uri="{02D57815-91ED-43cb-92C2-25804820EDAC}">
                        <c15:formulaRef>
                          <c15:sqref>'Llegadas x nacionalidad'!$C$24</c15:sqref>
                        </c15:formulaRef>
                      </c:ext>
                    </c:extLst>
                    <c:strCache>
                      <c:ptCount val="1"/>
                      <c:pt idx="0">
                        <c:v>Cuba</c:v>
                      </c:pt>
                    </c:strCache>
                  </c:strRef>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nacionalidad'!$JB$24:$JP$24</c15:sqref>
                        </c15:formulaRef>
                      </c:ext>
                    </c:extLst>
                    <c:numCache>
                      <c:formatCode>#,##0</c:formatCode>
                      <c:ptCount val="3"/>
                      <c:pt idx="0">
                        <c:v>7574</c:v>
                      </c:pt>
                      <c:pt idx="1">
                        <c:v>3002</c:v>
                      </c:pt>
                      <c:pt idx="2">
                        <c:v>2502</c:v>
                      </c:pt>
                    </c:numCache>
                  </c:numRef>
                </c:val>
                <c:smooth val="0"/>
                <c:extLst xmlns:c15="http://schemas.microsoft.com/office/drawing/2012/chart">
                  <c:ext xmlns:c16="http://schemas.microsoft.com/office/drawing/2014/chart" uri="{C3380CC4-5D6E-409C-BE32-E72D297353CC}">
                    <c16:uniqueId val="{00000023-9907-4590-AF81-7287654D764E}"/>
                  </c:ext>
                </c:extLst>
              </c15:ser>
            </c15:filteredLineSeries>
            <c15:filteredLineSeries>
              <c15:ser>
                <c:idx val="18"/>
                <c:order val="18"/>
                <c:tx>
                  <c:strRef>
                    <c:extLst xmlns:c15="http://schemas.microsoft.com/office/drawing/2012/chart">
                      <c:ext xmlns:c15="http://schemas.microsoft.com/office/drawing/2012/chart" uri="{02D57815-91ED-43cb-92C2-25804820EDAC}">
                        <c15:formulaRef>
                          <c15:sqref>'Llegadas x nacionalidad'!$C$25</c15:sqref>
                        </c15:formulaRef>
                      </c:ext>
                    </c:extLst>
                    <c:strCache>
                      <c:ptCount val="1"/>
                      <c:pt idx="0">
                        <c:v>Reino Unido</c:v>
                      </c:pt>
                    </c:strCache>
                  </c:strRef>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nacionalidad'!$JB$25:$JP$25</c15:sqref>
                        </c15:formulaRef>
                      </c:ext>
                    </c:extLst>
                    <c:numCache>
                      <c:formatCode>#,##0</c:formatCode>
                      <c:ptCount val="3"/>
                      <c:pt idx="0">
                        <c:v>18863</c:v>
                      </c:pt>
                      <c:pt idx="1">
                        <c:v>4644</c:v>
                      </c:pt>
                      <c:pt idx="2">
                        <c:v>2319</c:v>
                      </c:pt>
                    </c:numCache>
                  </c:numRef>
                </c:val>
                <c:smooth val="0"/>
                <c:extLst xmlns:c15="http://schemas.microsoft.com/office/drawing/2012/chart">
                  <c:ext xmlns:c16="http://schemas.microsoft.com/office/drawing/2014/chart" uri="{C3380CC4-5D6E-409C-BE32-E72D297353CC}">
                    <c16:uniqueId val="{00000024-9907-4590-AF81-7287654D764E}"/>
                  </c:ext>
                </c:extLst>
              </c15:ser>
            </c15:filteredLineSeries>
            <c15:filteredLineSeries>
              <c15:ser>
                <c:idx val="19"/>
                <c:order val="19"/>
                <c:tx>
                  <c:strRef>
                    <c:extLst xmlns:c15="http://schemas.microsoft.com/office/drawing/2012/chart">
                      <c:ext xmlns:c15="http://schemas.microsoft.com/office/drawing/2012/chart" uri="{02D57815-91ED-43cb-92C2-25804820EDAC}">
                        <c15:formulaRef>
                          <c15:sqref>'Llegadas x nacionalidad'!$C$26</c15:sqref>
                        </c15:formulaRef>
                      </c:ext>
                    </c:extLst>
                    <c:strCache>
                      <c:ptCount val="1"/>
                      <c:pt idx="0">
                        <c:v>Bélgica</c:v>
                      </c:pt>
                    </c:strCache>
                  </c:strRef>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nacionalidad'!$JB$26:$JP$26</c15:sqref>
                        </c15:formulaRef>
                      </c:ext>
                    </c:extLst>
                    <c:numCache>
                      <c:formatCode>#,##0</c:formatCode>
                      <c:ptCount val="3"/>
                      <c:pt idx="0">
                        <c:v>4951</c:v>
                      </c:pt>
                      <c:pt idx="1">
                        <c:v>1095</c:v>
                      </c:pt>
                      <c:pt idx="2">
                        <c:v>2124</c:v>
                      </c:pt>
                    </c:numCache>
                  </c:numRef>
                </c:val>
                <c:smooth val="0"/>
                <c:extLst xmlns:c15="http://schemas.microsoft.com/office/drawing/2012/chart">
                  <c:ext xmlns:c16="http://schemas.microsoft.com/office/drawing/2014/chart" uri="{C3380CC4-5D6E-409C-BE32-E72D297353CC}">
                    <c16:uniqueId val="{00000025-9907-4590-AF81-7287654D764E}"/>
                  </c:ext>
                </c:extLst>
              </c15:ser>
            </c15:filteredLineSeries>
            <c15:filteredLineSeries>
              <c15:ser>
                <c:idx val="20"/>
                <c:order val="20"/>
                <c:tx>
                  <c:strRef>
                    <c:extLst xmlns:c15="http://schemas.microsoft.com/office/drawing/2012/chart">
                      <c:ext xmlns:c15="http://schemas.microsoft.com/office/drawing/2012/chart" uri="{02D57815-91ED-43cb-92C2-25804820EDAC}">
                        <c15:formulaRef>
                          <c15:sqref>'Llegadas x nacionalidad'!$C$27</c15:sqref>
                        </c15:formulaRef>
                      </c:ext>
                    </c:extLst>
                    <c:strCache>
                      <c:ptCount val="1"/>
                      <c:pt idx="0">
                        <c:v>Rusia</c:v>
                      </c:pt>
                    </c:strCache>
                  </c:strRef>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nacionalidad'!$JB$27:$JP$27</c15:sqref>
                        </c15:formulaRef>
                      </c:ext>
                    </c:extLst>
                    <c:numCache>
                      <c:formatCode>#,##0</c:formatCode>
                      <c:ptCount val="3"/>
                      <c:pt idx="0">
                        <c:v>2626</c:v>
                      </c:pt>
                      <c:pt idx="1">
                        <c:v>908</c:v>
                      </c:pt>
                      <c:pt idx="2">
                        <c:v>1410</c:v>
                      </c:pt>
                    </c:numCache>
                  </c:numRef>
                </c:val>
                <c:smooth val="0"/>
                <c:extLst xmlns:c15="http://schemas.microsoft.com/office/drawing/2012/chart">
                  <c:ext xmlns:c16="http://schemas.microsoft.com/office/drawing/2014/chart" uri="{C3380CC4-5D6E-409C-BE32-E72D297353CC}">
                    <c16:uniqueId val="{00000026-9907-4590-AF81-7287654D764E}"/>
                  </c:ext>
                </c:extLst>
              </c15:ser>
            </c15:filteredLineSeries>
            <c15:filteredLineSeries>
              <c15:ser>
                <c:idx val="21"/>
                <c:order val="21"/>
                <c:tx>
                  <c:strRef>
                    <c:extLst xmlns:c15="http://schemas.microsoft.com/office/drawing/2012/chart">
                      <c:ext xmlns:c15="http://schemas.microsoft.com/office/drawing/2012/chart" uri="{02D57815-91ED-43cb-92C2-25804820EDAC}">
                        <c15:formulaRef>
                          <c15:sqref>'Llegadas x nacionalidad'!$C$28</c15:sqref>
                        </c15:formulaRef>
                      </c:ext>
                    </c:extLst>
                    <c:strCache>
                      <c:ptCount val="1"/>
                      <c:pt idx="0">
                        <c:v>Bolivia</c:v>
                      </c:pt>
                    </c:strCache>
                  </c:strRef>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nacionalidad'!$JB$28:$JP$28</c15:sqref>
                        </c15:formulaRef>
                      </c:ext>
                    </c:extLst>
                    <c:numCache>
                      <c:formatCode>#,##0</c:formatCode>
                      <c:ptCount val="3"/>
                      <c:pt idx="0">
                        <c:v>3118</c:v>
                      </c:pt>
                      <c:pt idx="1">
                        <c:v>816</c:v>
                      </c:pt>
                      <c:pt idx="2">
                        <c:v>1042</c:v>
                      </c:pt>
                    </c:numCache>
                  </c:numRef>
                </c:val>
                <c:smooth val="0"/>
                <c:extLst xmlns:c15="http://schemas.microsoft.com/office/drawing/2012/chart">
                  <c:ext xmlns:c16="http://schemas.microsoft.com/office/drawing/2014/chart" uri="{C3380CC4-5D6E-409C-BE32-E72D297353CC}">
                    <c16:uniqueId val="{00000027-9907-4590-AF81-7287654D764E}"/>
                  </c:ext>
                </c:extLst>
              </c15:ser>
            </c15:filteredLineSeries>
            <c15:filteredLineSeries>
              <c15:ser>
                <c:idx val="22"/>
                <c:order val="22"/>
                <c:tx>
                  <c:strRef>
                    <c:extLst xmlns:c15="http://schemas.microsoft.com/office/drawing/2012/chart">
                      <c:ext xmlns:c15="http://schemas.microsoft.com/office/drawing/2012/chart" uri="{02D57815-91ED-43cb-92C2-25804820EDAC}">
                        <c15:formulaRef>
                          <c15:sqref>'Llegadas x nacionalidad'!$C$29</c15:sqref>
                        </c15:formulaRef>
                      </c:ext>
                    </c:extLst>
                    <c:strCache>
                      <c:ptCount val="1"/>
                      <c:pt idx="0">
                        <c:v>Costa Rica</c:v>
                      </c:pt>
                    </c:strCache>
                  </c:strRef>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nacionalidad'!$JB$29:$JP$29</c15:sqref>
                        </c15:formulaRef>
                      </c:ext>
                    </c:extLst>
                    <c:numCache>
                      <c:formatCode>#,##0</c:formatCode>
                      <c:ptCount val="3"/>
                      <c:pt idx="0">
                        <c:v>5473</c:v>
                      </c:pt>
                      <c:pt idx="1">
                        <c:v>1252</c:v>
                      </c:pt>
                      <c:pt idx="2">
                        <c:v>1025</c:v>
                      </c:pt>
                    </c:numCache>
                  </c:numRef>
                </c:val>
                <c:smooth val="0"/>
                <c:extLst xmlns:c15="http://schemas.microsoft.com/office/drawing/2012/chart">
                  <c:ext xmlns:c16="http://schemas.microsoft.com/office/drawing/2014/chart" uri="{C3380CC4-5D6E-409C-BE32-E72D297353CC}">
                    <c16:uniqueId val="{00000028-9907-4590-AF81-7287654D764E}"/>
                  </c:ext>
                </c:extLst>
              </c15:ser>
            </c15:filteredLineSeries>
            <c15:filteredLineSeries>
              <c15:ser>
                <c:idx val="23"/>
                <c:order val="23"/>
                <c:tx>
                  <c:strRef>
                    <c:extLst xmlns:c15="http://schemas.microsoft.com/office/drawing/2012/chart">
                      <c:ext xmlns:c15="http://schemas.microsoft.com/office/drawing/2012/chart" uri="{02D57815-91ED-43cb-92C2-25804820EDAC}">
                        <c15:formulaRef>
                          <c15:sqref>'Llegadas x nacionalidad'!$C$30</c15:sqref>
                        </c15:formulaRef>
                      </c:ext>
                    </c:extLst>
                    <c:strCache>
                      <c:ptCount val="1"/>
                      <c:pt idx="0">
                        <c:v>Israel</c:v>
                      </c:pt>
                    </c:strCache>
                  </c:strRef>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nacionalidad'!$JB$30:$JP$30</c15:sqref>
                        </c15:formulaRef>
                      </c:ext>
                    </c:extLst>
                    <c:numCache>
                      <c:formatCode>#,##0</c:formatCode>
                      <c:ptCount val="3"/>
                      <c:pt idx="0">
                        <c:v>2561</c:v>
                      </c:pt>
                      <c:pt idx="1">
                        <c:v>443</c:v>
                      </c:pt>
                      <c:pt idx="2">
                        <c:v>1099</c:v>
                      </c:pt>
                    </c:numCache>
                  </c:numRef>
                </c:val>
                <c:smooth val="0"/>
                <c:extLst xmlns:c15="http://schemas.microsoft.com/office/drawing/2012/chart">
                  <c:ext xmlns:c16="http://schemas.microsoft.com/office/drawing/2014/chart" uri="{C3380CC4-5D6E-409C-BE32-E72D297353CC}">
                    <c16:uniqueId val="{00000029-9907-4590-AF81-7287654D764E}"/>
                  </c:ext>
                </c:extLst>
              </c15:ser>
            </c15:filteredLineSeries>
            <c15:filteredLineSeries>
              <c15:ser>
                <c:idx val="24"/>
                <c:order val="24"/>
                <c:tx>
                  <c:strRef>
                    <c:extLst xmlns:c15="http://schemas.microsoft.com/office/drawing/2012/chart">
                      <c:ext xmlns:c15="http://schemas.microsoft.com/office/drawing/2012/chart" uri="{02D57815-91ED-43cb-92C2-25804820EDAC}">
                        <c15:formulaRef>
                          <c15:sqref>'Llegadas x nacionalidad'!$C$31</c15:sqref>
                        </c15:formulaRef>
                      </c:ext>
                    </c:extLst>
                    <c:strCache>
                      <c:ptCount val="1"/>
                      <c:pt idx="0">
                        <c:v>Uruguay</c:v>
                      </c:pt>
                    </c:strCache>
                  </c:strRef>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nacionalidad'!$JB$31:$JP$31</c15:sqref>
                        </c15:formulaRef>
                      </c:ext>
                    </c:extLst>
                    <c:numCache>
                      <c:formatCode>#,##0</c:formatCode>
                      <c:ptCount val="3"/>
                      <c:pt idx="0">
                        <c:v>2597</c:v>
                      </c:pt>
                      <c:pt idx="1">
                        <c:v>566</c:v>
                      </c:pt>
                      <c:pt idx="2">
                        <c:v>719</c:v>
                      </c:pt>
                    </c:numCache>
                  </c:numRef>
                </c:val>
                <c:smooth val="0"/>
                <c:extLst xmlns:c15="http://schemas.microsoft.com/office/drawing/2012/chart">
                  <c:ext xmlns:c16="http://schemas.microsoft.com/office/drawing/2014/chart" uri="{C3380CC4-5D6E-409C-BE32-E72D297353CC}">
                    <c16:uniqueId val="{0000002A-9907-4590-AF81-7287654D764E}"/>
                  </c:ext>
                </c:extLst>
              </c15:ser>
            </c15:filteredLineSeries>
            <c15:filteredLineSeries>
              <c15:ser>
                <c:idx val="25"/>
                <c:order val="25"/>
                <c:tx>
                  <c:strRef>
                    <c:extLst xmlns:c15="http://schemas.microsoft.com/office/drawing/2012/chart">
                      <c:ext xmlns:c15="http://schemas.microsoft.com/office/drawing/2012/chart" uri="{02D57815-91ED-43cb-92C2-25804820EDAC}">
                        <c15:formulaRef>
                          <c15:sqref>'Llegadas x nacionalidad'!$C$32</c15:sqref>
                        </c15:formulaRef>
                      </c:ext>
                    </c:extLst>
                    <c:strCache>
                      <c:ptCount val="1"/>
                      <c:pt idx="0">
                        <c:v>Austria</c:v>
                      </c:pt>
                    </c:strCache>
                  </c:strRef>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nacionalidad'!$JB$32:$JP$32</c15:sqref>
                        </c15:formulaRef>
                      </c:ext>
                    </c:extLst>
                    <c:numCache>
                      <c:formatCode>#,##0</c:formatCode>
                      <c:ptCount val="3"/>
                      <c:pt idx="0">
                        <c:v>2420</c:v>
                      </c:pt>
                      <c:pt idx="1">
                        <c:v>677</c:v>
                      </c:pt>
                      <c:pt idx="2">
                        <c:v>713</c:v>
                      </c:pt>
                    </c:numCache>
                  </c:numRef>
                </c:val>
                <c:smooth val="0"/>
                <c:extLst xmlns:c15="http://schemas.microsoft.com/office/drawing/2012/chart">
                  <c:ext xmlns:c16="http://schemas.microsoft.com/office/drawing/2014/chart" uri="{C3380CC4-5D6E-409C-BE32-E72D297353CC}">
                    <c16:uniqueId val="{0000002B-9907-4590-AF81-7287654D764E}"/>
                  </c:ext>
                </c:extLst>
              </c15:ser>
            </c15:filteredLineSeries>
            <c15:filteredLineSeries>
              <c15:ser>
                <c:idx val="26"/>
                <c:order val="26"/>
                <c:tx>
                  <c:strRef>
                    <c:extLst xmlns:c15="http://schemas.microsoft.com/office/drawing/2012/chart">
                      <c:ext xmlns:c15="http://schemas.microsoft.com/office/drawing/2012/chart" uri="{02D57815-91ED-43cb-92C2-25804820EDAC}">
                        <c15:formulaRef>
                          <c15:sqref>'Llegadas x nacionalidad'!$C$33</c15:sqref>
                        </c15:formulaRef>
                      </c:ext>
                    </c:extLst>
                    <c:strCache>
                      <c:ptCount val="1"/>
                      <c:pt idx="0">
                        <c:v>Suecia</c:v>
                      </c:pt>
                    </c:strCache>
                  </c:strRef>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nacionalidad'!$JB$33:$JP$33</c15:sqref>
                        </c15:formulaRef>
                      </c:ext>
                    </c:extLst>
                    <c:numCache>
                      <c:formatCode>#,##0</c:formatCode>
                      <c:ptCount val="3"/>
                      <c:pt idx="0">
                        <c:v>2170</c:v>
                      </c:pt>
                      <c:pt idx="1">
                        <c:v>686</c:v>
                      </c:pt>
                      <c:pt idx="2">
                        <c:v>638</c:v>
                      </c:pt>
                    </c:numCache>
                  </c:numRef>
                </c:val>
                <c:smooth val="0"/>
                <c:extLst xmlns:c15="http://schemas.microsoft.com/office/drawing/2012/chart">
                  <c:ext xmlns:c16="http://schemas.microsoft.com/office/drawing/2014/chart" uri="{C3380CC4-5D6E-409C-BE32-E72D297353CC}">
                    <c16:uniqueId val="{0000002C-9907-4590-AF81-7287654D764E}"/>
                  </c:ext>
                </c:extLst>
              </c15:ser>
            </c15:filteredLineSeries>
            <c15:filteredLineSeries>
              <c15:ser>
                <c:idx val="27"/>
                <c:order val="27"/>
                <c:tx>
                  <c:strRef>
                    <c:extLst xmlns:c15="http://schemas.microsoft.com/office/drawing/2012/chart">
                      <c:ext xmlns:c15="http://schemas.microsoft.com/office/drawing/2012/chart" uri="{02D57815-91ED-43cb-92C2-25804820EDAC}">
                        <c15:formulaRef>
                          <c15:sqref>'Llegadas x nacionalidad'!$C$34</c15:sqref>
                        </c15:formulaRef>
                      </c:ext>
                    </c:extLst>
                    <c:strCache>
                      <c:ptCount val="1"/>
                      <c:pt idx="0">
                        <c:v>Portugal</c:v>
                      </c:pt>
                    </c:strCache>
                  </c:strRef>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nacionalidad'!$JB$34:$JP$34</c15:sqref>
                        </c15:formulaRef>
                      </c:ext>
                    </c:extLst>
                    <c:numCache>
                      <c:formatCode>#,##0</c:formatCode>
                      <c:ptCount val="3"/>
                      <c:pt idx="2">
                        <c:v>615</c:v>
                      </c:pt>
                    </c:numCache>
                  </c:numRef>
                </c:val>
                <c:smooth val="0"/>
                <c:extLst xmlns:c15="http://schemas.microsoft.com/office/drawing/2012/chart">
                  <c:ext xmlns:c16="http://schemas.microsoft.com/office/drawing/2014/chart" uri="{C3380CC4-5D6E-409C-BE32-E72D297353CC}">
                    <c16:uniqueId val="{0000002D-9907-4590-AF81-7287654D764E}"/>
                  </c:ext>
                </c:extLst>
              </c15:ser>
            </c15:filteredLineSeries>
            <c15:filteredLineSeries>
              <c15:ser>
                <c:idx val="28"/>
                <c:order val="28"/>
                <c:tx>
                  <c:strRef>
                    <c:extLst xmlns:c15="http://schemas.microsoft.com/office/drawing/2012/chart">
                      <c:ext xmlns:c15="http://schemas.microsoft.com/office/drawing/2012/chart" uri="{02D57815-91ED-43cb-92C2-25804820EDAC}">
                        <c15:formulaRef>
                          <c15:sqref>'Llegadas x nacionalidad'!$C$35</c15:sqref>
                        </c15:formulaRef>
                      </c:ext>
                    </c:extLst>
                    <c:strCache>
                      <c:ptCount val="1"/>
                      <c:pt idx="0">
                        <c:v>Japón</c:v>
                      </c:pt>
                    </c:strCache>
                  </c:strRef>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nacionalidad'!$JB$35:$JP$35</c15:sqref>
                        </c15:formulaRef>
                      </c:ext>
                    </c:extLst>
                    <c:numCache>
                      <c:formatCode>#,##0</c:formatCode>
                      <c:ptCount val="3"/>
                      <c:pt idx="0">
                        <c:v>3398</c:v>
                      </c:pt>
                      <c:pt idx="1">
                        <c:v>862</c:v>
                      </c:pt>
                      <c:pt idx="2">
                        <c:v>359</c:v>
                      </c:pt>
                    </c:numCache>
                  </c:numRef>
                </c:val>
                <c:smooth val="0"/>
                <c:extLst xmlns:c15="http://schemas.microsoft.com/office/drawing/2012/chart">
                  <c:ext xmlns:c16="http://schemas.microsoft.com/office/drawing/2014/chart" uri="{C3380CC4-5D6E-409C-BE32-E72D297353CC}">
                    <c16:uniqueId val="{0000002E-9907-4590-AF81-7287654D764E}"/>
                  </c:ext>
                </c:extLst>
              </c15:ser>
            </c15:filteredLineSeries>
            <c15:filteredLineSeries>
              <c15:ser>
                <c:idx val="29"/>
                <c:order val="29"/>
                <c:tx>
                  <c:strRef>
                    <c:extLst xmlns:c15="http://schemas.microsoft.com/office/drawing/2012/chart">
                      <c:ext xmlns:c15="http://schemas.microsoft.com/office/drawing/2012/chart" uri="{02D57815-91ED-43cb-92C2-25804820EDAC}">
                        <c15:formulaRef>
                          <c15:sqref>'Llegadas x nacionalidad'!$C$36</c15:sqref>
                        </c15:formulaRef>
                      </c:ext>
                    </c:extLst>
                    <c:strCache>
                      <c:ptCount val="1"/>
                      <c:pt idx="0">
                        <c:v>Australia</c:v>
                      </c:pt>
                    </c:strCache>
                  </c:strRef>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nacionalidad'!$JB$36:$JP$36</c15:sqref>
                        </c15:formulaRef>
                      </c:ext>
                    </c:extLst>
                    <c:numCache>
                      <c:formatCode>#,##0</c:formatCode>
                      <c:ptCount val="3"/>
                      <c:pt idx="0">
                        <c:v>6682</c:v>
                      </c:pt>
                      <c:pt idx="1">
                        <c:v>1346</c:v>
                      </c:pt>
                      <c:pt idx="2">
                        <c:v>288</c:v>
                      </c:pt>
                    </c:numCache>
                  </c:numRef>
                </c:val>
                <c:smooth val="0"/>
                <c:extLst xmlns:c15="http://schemas.microsoft.com/office/drawing/2012/chart">
                  <c:ext xmlns:c16="http://schemas.microsoft.com/office/drawing/2014/chart" uri="{C3380CC4-5D6E-409C-BE32-E72D297353CC}">
                    <c16:uniqueId val="{0000002F-9907-4590-AF81-7287654D764E}"/>
                  </c:ext>
                </c:extLst>
              </c15:ser>
            </c15:filteredLineSeries>
            <c15:filteredLineSeries>
              <c15:ser>
                <c:idx val="30"/>
                <c:order val="30"/>
                <c:tx>
                  <c:strRef>
                    <c:extLst xmlns:c15="http://schemas.microsoft.com/office/drawing/2012/chart">
                      <c:ext xmlns:c15="http://schemas.microsoft.com/office/drawing/2012/chart" uri="{02D57815-91ED-43cb-92C2-25804820EDAC}">
                        <c15:formulaRef>
                          <c15:sqref>'Llegadas x nacionalidad'!$C$37</c15:sqref>
                        </c15:formulaRef>
                      </c:ext>
                    </c:extLst>
                    <c:strCache>
                      <c:ptCount val="1"/>
                      <c:pt idx="0">
                        <c:v>Dinamarca</c:v>
                      </c:pt>
                    </c:strCache>
                  </c:strRef>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nacionalidad'!$JB$37:$JP$37</c15:sqref>
                        </c15:formulaRef>
                      </c:ext>
                    </c:extLst>
                    <c:numCache>
                      <c:formatCode>#,##0</c:formatCode>
                      <c:ptCount val="3"/>
                      <c:pt idx="0">
                        <c:v>2610</c:v>
                      </c:pt>
                      <c:pt idx="1">
                        <c:v>990</c:v>
                      </c:pt>
                      <c:pt idx="2">
                        <c:v>605</c:v>
                      </c:pt>
                    </c:numCache>
                  </c:numRef>
                </c:val>
                <c:smooth val="0"/>
                <c:extLst xmlns:c15="http://schemas.microsoft.com/office/drawing/2012/chart">
                  <c:ext xmlns:c16="http://schemas.microsoft.com/office/drawing/2014/chart" uri="{C3380CC4-5D6E-409C-BE32-E72D297353CC}">
                    <c16:uniqueId val="{00000030-9907-4590-AF81-7287654D764E}"/>
                  </c:ext>
                </c:extLst>
              </c15:ser>
            </c15:filteredLineSeries>
            <c15:filteredLineSeries>
              <c15:ser>
                <c:idx val="31"/>
                <c:order val="31"/>
                <c:tx>
                  <c:strRef>
                    <c:extLst xmlns:c15="http://schemas.microsoft.com/office/drawing/2012/chart">
                      <c:ext xmlns:c15="http://schemas.microsoft.com/office/drawing/2012/chart" uri="{02D57815-91ED-43cb-92C2-25804820EDAC}">
                        <c15:formulaRef>
                          <c15:sqref>'Llegadas x nacionalidad'!$C$38</c15:sqref>
                        </c15:formulaRef>
                      </c:ext>
                    </c:extLst>
                    <c:strCache>
                      <c:ptCount val="1"/>
                      <c:pt idx="0">
                        <c:v>Otros</c:v>
                      </c:pt>
                    </c:strCache>
                  </c:strRef>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numRef>
                    <c:extLst>
                      <c:ext xmlns:c15="http://schemas.microsoft.com/office/drawing/2012/chart" uri="{02D57815-91ED-43cb-92C2-25804820EDAC}">
                        <c15:formulaRef>
                          <c15:sqref>'Llegadas x nacionalidad'!$JB$2:$JP$2</c15:sqref>
                        </c15:formulaRef>
                      </c:ext>
                    </c:extLst>
                    <c:numCache>
                      <c:formatCode>General</c:formatCode>
                      <c:ptCount val="3"/>
                      <c:pt idx="0">
                        <c:v>2019</c:v>
                      </c:pt>
                      <c:pt idx="1">
                        <c:v>2020</c:v>
                      </c:pt>
                      <c:pt idx="2">
                        <c:v>2021</c:v>
                      </c:pt>
                    </c:numCache>
                  </c:numRef>
                </c:cat>
                <c:val>
                  <c:numRef>
                    <c:extLst xmlns:c15="http://schemas.microsoft.com/office/drawing/2012/chart">
                      <c:ext xmlns:c15="http://schemas.microsoft.com/office/drawing/2012/chart" uri="{02D57815-91ED-43cb-92C2-25804820EDAC}">
                        <c15:formulaRef>
                          <c15:sqref>'Llegadas x nacionalidad'!$JB$38:$JP$38</c15:sqref>
                        </c15:formulaRef>
                      </c:ext>
                    </c:extLst>
                    <c:numCache>
                      <c:formatCode>#,##0</c:formatCode>
                      <c:ptCount val="3"/>
                      <c:pt idx="0">
                        <c:v>50208</c:v>
                      </c:pt>
                      <c:pt idx="1">
                        <c:v>10983</c:v>
                      </c:pt>
                      <c:pt idx="2">
                        <c:v>13818</c:v>
                      </c:pt>
                    </c:numCache>
                  </c:numRef>
                </c:val>
                <c:smooth val="0"/>
                <c:extLst xmlns:c15="http://schemas.microsoft.com/office/drawing/2012/chart">
                  <c:ext xmlns:c16="http://schemas.microsoft.com/office/drawing/2014/chart" uri="{C3380CC4-5D6E-409C-BE32-E72D297353CC}">
                    <c16:uniqueId val="{00000031-9907-4590-AF81-7287654D764E}"/>
                  </c:ext>
                </c:extLst>
              </c15:ser>
            </c15:filteredLineSeries>
          </c:ext>
        </c:extLst>
      </c:lineChart>
      <c:catAx>
        <c:axId val="19178318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917824336"/>
        <c:crosses val="autoZero"/>
        <c:auto val="1"/>
        <c:lblAlgn val="ctr"/>
        <c:lblOffset val="100"/>
        <c:noMultiLvlLbl val="0"/>
      </c:catAx>
      <c:valAx>
        <c:axId val="1917824336"/>
        <c:scaling>
          <c:orientation val="minMax"/>
        </c:scaling>
        <c:delete val="0"/>
        <c:axPos val="l"/>
        <c:majorGridlines>
          <c:spPr>
            <a:ln w="9525" cap="flat" cmpd="sng" algn="ctr">
              <a:solidFill>
                <a:schemeClr val="tx1">
                  <a:lumMod val="15000"/>
                  <a:lumOff val="85000"/>
                </a:schemeClr>
              </a:solidFill>
              <a:round/>
            </a:ln>
            <a:effectLst/>
          </c:spPr>
        </c:majorGridlines>
        <c:title>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EC"/>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917831824"/>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40" b="0" i="0" u="none" strike="noStrike" kern="1200" cap="all" spc="0" baseline="0">
              <a:gradFill>
                <a:gsLst>
                  <a:gs pos="0">
                    <a:schemeClr val="dk1">
                      <a:lumMod val="50000"/>
                      <a:lumOff val="50000"/>
                    </a:schemeClr>
                  </a:gs>
                  <a:gs pos="100000">
                    <a:schemeClr val="dk1">
                      <a:lumMod val="85000"/>
                      <a:lumOff val="15000"/>
                    </a:schemeClr>
                  </a:gs>
                </a:gsLst>
                <a:lin ang="5400000" scaled="0"/>
              </a:gradFill>
              <a:latin typeface="+mn-lt"/>
              <a:ea typeface="+mn-ea"/>
              <a:cs typeface="+mn-cs"/>
            </a:defRPr>
          </a:pPr>
          <a:endParaRPr lang="es-EC"/>
        </a:p>
      </c:txPr>
    </c:title>
    <c:autoTitleDeleted val="0"/>
    <c:plotArea>
      <c:layout/>
      <c:lineChart>
        <c:grouping val="standard"/>
        <c:varyColors val="0"/>
        <c:ser>
          <c:idx val="0"/>
          <c:order val="0"/>
          <c:tx>
            <c:strRef>
              <c:f>'Sugeridos-estancia-gasto'!$A$5</c:f>
              <c:strCache>
                <c:ptCount val="1"/>
                <c:pt idx="0">
                  <c:v>Estancia ciudad (días)</c:v>
                </c:pt>
              </c:strCache>
            </c:strRef>
          </c:tx>
          <c:spPr>
            <a:ln w="19050" cap="rnd" cmpd="sng" algn="ctr">
              <a:solidFill>
                <a:schemeClr val="accent1">
                  <a:shade val="95000"/>
                  <a:satMod val="105000"/>
                </a:schemeClr>
              </a:solidFill>
              <a:round/>
            </a:ln>
            <a:effectLst/>
          </c:spPr>
          <c:marker>
            <c:symbol val="circle"/>
            <c:size val="17"/>
            <c:spPr>
              <a:solidFill>
                <a:schemeClr val="lt1"/>
              </a:solidFill>
              <a:ln>
                <a:noFill/>
              </a:ln>
              <a:effectLst/>
            </c:spPr>
          </c:marker>
          <c:dLbls>
            <c:dLbl>
              <c:idx val="4"/>
              <c:spPr>
                <a:solidFill>
                  <a:schemeClr val="accent6"/>
                </a:solidFill>
                <a:ln w="25400" cap="flat" cmpd="sng" algn="ctr">
                  <a:solidFill>
                    <a:schemeClr val="accent6">
                      <a:shade val="50000"/>
                    </a:schemeClr>
                  </a:solidFill>
                  <a:prstDash val="solid"/>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EC"/>
                </a:p>
              </c:txPr>
              <c:dLblPos val="ctr"/>
              <c:showLegendKey val="0"/>
              <c:showVal val="1"/>
              <c:showCatName val="0"/>
              <c:showSerName val="0"/>
              <c:showPercent val="0"/>
              <c:showBubbleSize val="0"/>
              <c:extLst>
                <c:ext xmlns:c16="http://schemas.microsoft.com/office/drawing/2014/chart" uri="{C3380CC4-5D6E-409C-BE32-E72D297353CC}">
                  <c16:uniqueId val="{00000000-C895-4514-BA17-36F8EB7C90EB}"/>
                </c:ext>
              </c:extLst>
            </c:dLbl>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C"/>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35000"/>
                          <a:lumOff val="65000"/>
                        </a:schemeClr>
                      </a:solidFill>
                    </a:ln>
                    <a:effectLst/>
                  </c:spPr>
                </c15:leaderLines>
              </c:ext>
            </c:extLst>
          </c:dLbls>
          <c:cat>
            <c:strRef>
              <c:f>'Sugeridos-estancia-gasto'!$B$4:$O$4</c:f>
              <c:strCache>
                <c:ptCount val="10"/>
                <c:pt idx="0">
                  <c:v> junio 2012</c:v>
                </c:pt>
                <c:pt idx="1">
                  <c:v> junio 2013</c:v>
                </c:pt>
                <c:pt idx="2">
                  <c:v> agosto 2014</c:v>
                </c:pt>
                <c:pt idx="3">
                  <c:v> agosto 2015</c:v>
                </c:pt>
                <c:pt idx="4">
                  <c:v> diciembre 2016</c:v>
                </c:pt>
                <c:pt idx="5">
                  <c:v> enero 2017 (e) </c:v>
                </c:pt>
                <c:pt idx="6">
                  <c:v>2018 (e) </c:v>
                </c:pt>
                <c:pt idx="7">
                  <c:v>2019 (e) </c:v>
                </c:pt>
                <c:pt idx="8">
                  <c:v>2020 (e) </c:v>
                </c:pt>
                <c:pt idx="9">
                  <c:v>2021 (e) </c:v>
                </c:pt>
              </c:strCache>
            </c:strRef>
          </c:cat>
          <c:val>
            <c:numRef>
              <c:f>'Sugeridos-estancia-gasto'!$B$5:$O$5</c:f>
              <c:numCache>
                <c:formatCode>0.00</c:formatCode>
                <c:ptCount val="10"/>
                <c:pt idx="0">
                  <c:v>5.87</c:v>
                </c:pt>
                <c:pt idx="1">
                  <c:v>5.38</c:v>
                </c:pt>
                <c:pt idx="2">
                  <c:v>7.45</c:v>
                </c:pt>
                <c:pt idx="3">
                  <c:v>5.92</c:v>
                </c:pt>
                <c:pt idx="4">
                  <c:v>5.53</c:v>
                </c:pt>
                <c:pt idx="5">
                  <c:v>4.8682914931280266</c:v>
                </c:pt>
                <c:pt idx="6">
                  <c:v>5.84</c:v>
                </c:pt>
                <c:pt idx="7">
                  <c:v>5.9216582986256059</c:v>
                </c:pt>
                <c:pt idx="8">
                  <c:v>5</c:v>
                </c:pt>
                <c:pt idx="9">
                  <c:v>5</c:v>
                </c:pt>
              </c:numCache>
            </c:numRef>
          </c:val>
          <c:smooth val="0"/>
          <c:extLst>
            <c:ext xmlns:c16="http://schemas.microsoft.com/office/drawing/2014/chart" uri="{C3380CC4-5D6E-409C-BE32-E72D297353CC}">
              <c16:uniqueId val="{00000001-B818-456A-AC9E-0917DA6F6C1B}"/>
            </c:ext>
          </c:extLst>
        </c:ser>
        <c:dLbls>
          <c:dLblPos val="ctr"/>
          <c:showLegendKey val="0"/>
          <c:showVal val="1"/>
          <c:showCatName val="0"/>
          <c:showSerName val="0"/>
          <c:showPercent val="0"/>
          <c:showBubbleSize val="0"/>
        </c:dLbls>
        <c:marker val="1"/>
        <c:smooth val="0"/>
        <c:axId val="-1000718944"/>
        <c:axId val="-1000724928"/>
      </c:lineChart>
      <c:catAx>
        <c:axId val="-1000718944"/>
        <c:scaling>
          <c:orientation val="minMax"/>
        </c:scaling>
        <c:delete val="0"/>
        <c:axPos val="b"/>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dk1">
                    <a:lumMod val="65000"/>
                    <a:lumOff val="35000"/>
                  </a:schemeClr>
                </a:solidFill>
                <a:latin typeface="+mn-lt"/>
                <a:ea typeface="+mn-ea"/>
                <a:cs typeface="+mn-cs"/>
              </a:defRPr>
            </a:pPr>
            <a:endParaRPr lang="es-EC"/>
          </a:p>
        </c:txPr>
        <c:crossAx val="-1000724928"/>
        <c:crosses val="autoZero"/>
        <c:auto val="1"/>
        <c:lblAlgn val="ctr"/>
        <c:lblOffset val="100"/>
        <c:noMultiLvlLbl val="0"/>
      </c:catAx>
      <c:valAx>
        <c:axId val="-1000724928"/>
        <c:scaling>
          <c:orientation val="minMax"/>
        </c:scaling>
        <c:delete val="1"/>
        <c:axPos val="l"/>
        <c:numFmt formatCode="0.00" sourceLinked="1"/>
        <c:majorTickMark val="none"/>
        <c:minorTickMark val="none"/>
        <c:tickLblPos val="nextTo"/>
        <c:crossAx val="-1000718944"/>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40" b="0" i="0" u="none" strike="noStrike" kern="1200" cap="all" spc="0" baseline="0">
              <a:gradFill>
                <a:gsLst>
                  <a:gs pos="0">
                    <a:schemeClr val="dk1">
                      <a:lumMod val="50000"/>
                      <a:lumOff val="50000"/>
                    </a:schemeClr>
                  </a:gs>
                  <a:gs pos="100000">
                    <a:schemeClr val="dk1">
                      <a:lumMod val="85000"/>
                      <a:lumOff val="15000"/>
                    </a:schemeClr>
                  </a:gs>
                </a:gsLst>
                <a:lin ang="5400000" scaled="0"/>
              </a:gradFill>
              <a:latin typeface="+mn-lt"/>
              <a:ea typeface="+mn-ea"/>
              <a:cs typeface="+mn-cs"/>
            </a:defRPr>
          </a:pPr>
          <a:endParaRPr lang="es-EC"/>
        </a:p>
      </c:txPr>
    </c:title>
    <c:autoTitleDeleted val="0"/>
    <c:plotArea>
      <c:layout/>
      <c:lineChart>
        <c:grouping val="standard"/>
        <c:varyColors val="0"/>
        <c:ser>
          <c:idx val="0"/>
          <c:order val="0"/>
          <c:tx>
            <c:strRef>
              <c:f>'Sugeridos-estancia-gasto'!$A$6</c:f>
              <c:strCache>
                <c:ptCount val="1"/>
                <c:pt idx="0">
                  <c:v>Gasto medio turista (USD)</c:v>
                </c:pt>
              </c:strCache>
            </c:strRef>
          </c:tx>
          <c:spPr>
            <a:ln w="19050" cap="rnd" cmpd="sng" algn="ctr">
              <a:solidFill>
                <a:schemeClr val="accent2">
                  <a:shade val="95000"/>
                  <a:satMod val="105000"/>
                </a:schemeClr>
              </a:solidFill>
              <a:round/>
            </a:ln>
            <a:effectLst/>
          </c:spPr>
          <c:marker>
            <c:symbol val="circle"/>
            <c:size val="17"/>
            <c:spPr>
              <a:solidFill>
                <a:schemeClr val="lt1"/>
              </a:solidFill>
              <a:ln>
                <a:noFill/>
              </a:ln>
              <a:effectLst/>
            </c:spPr>
          </c:marker>
          <c:dLbls>
            <c:dLbl>
              <c:idx val="4"/>
              <c:spPr>
                <a:solidFill>
                  <a:schemeClr val="accent6"/>
                </a:solidFill>
                <a:ln w="25400" cap="flat" cmpd="sng" algn="ctr">
                  <a:solidFill>
                    <a:schemeClr val="accent6">
                      <a:shade val="50000"/>
                    </a:schemeClr>
                  </a:solidFill>
                  <a:prstDash val="solid"/>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EC"/>
                </a:p>
              </c:txPr>
              <c:dLblPos val="ctr"/>
              <c:showLegendKey val="0"/>
              <c:showVal val="1"/>
              <c:showCatName val="0"/>
              <c:showSerName val="0"/>
              <c:showPercent val="0"/>
              <c:showBubbleSize val="0"/>
              <c:extLst>
                <c:ext xmlns:c16="http://schemas.microsoft.com/office/drawing/2014/chart" uri="{C3380CC4-5D6E-409C-BE32-E72D297353CC}">
                  <c16:uniqueId val="{00000000-ACCD-4BDE-9D6D-90202B6D54EF}"/>
                </c:ext>
              </c:extLst>
            </c:dLbl>
            <c:spPr>
              <a:solidFill>
                <a:schemeClr val="lt1"/>
              </a:solidFill>
              <a:ln w="25400" cap="flat" cmpd="sng" algn="ctr">
                <a:solidFill>
                  <a:schemeClr val="accent2"/>
                </a:solidFill>
                <a:prstDash val="solid"/>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C"/>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35000"/>
                          <a:lumOff val="65000"/>
                        </a:schemeClr>
                      </a:solidFill>
                    </a:ln>
                    <a:effectLst/>
                  </c:spPr>
                </c15:leaderLines>
              </c:ext>
            </c:extLst>
          </c:dLbls>
          <c:cat>
            <c:strRef>
              <c:f>'Sugeridos-estancia-gasto'!$B$4:$O$4</c:f>
              <c:strCache>
                <c:ptCount val="10"/>
                <c:pt idx="0">
                  <c:v> junio 2012</c:v>
                </c:pt>
                <c:pt idx="1">
                  <c:v> junio 2013</c:v>
                </c:pt>
                <c:pt idx="2">
                  <c:v> agosto 2014</c:v>
                </c:pt>
                <c:pt idx="3">
                  <c:v> agosto 2015</c:v>
                </c:pt>
                <c:pt idx="4">
                  <c:v> diciembre 2016</c:v>
                </c:pt>
                <c:pt idx="5">
                  <c:v> enero 2017 (e) </c:v>
                </c:pt>
                <c:pt idx="6">
                  <c:v>2018 (e) </c:v>
                </c:pt>
                <c:pt idx="7">
                  <c:v>2019 (e) </c:v>
                </c:pt>
                <c:pt idx="8">
                  <c:v>2020 (e) </c:v>
                </c:pt>
                <c:pt idx="9">
                  <c:v>2021 (e) </c:v>
                </c:pt>
              </c:strCache>
            </c:strRef>
          </c:cat>
          <c:val>
            <c:numRef>
              <c:f>'Sugeridos-estancia-gasto'!$B$6:$O$6</c:f>
              <c:numCache>
                <c:formatCode>0.00</c:formatCode>
                <c:ptCount val="10"/>
                <c:pt idx="0">
                  <c:v>537</c:v>
                </c:pt>
                <c:pt idx="1">
                  <c:v>572</c:v>
                </c:pt>
                <c:pt idx="2">
                  <c:v>666</c:v>
                </c:pt>
                <c:pt idx="3">
                  <c:v>446</c:v>
                </c:pt>
                <c:pt idx="4">
                  <c:v>631</c:v>
                </c:pt>
                <c:pt idx="5">
                  <c:v>550.08828863600218</c:v>
                </c:pt>
                <c:pt idx="6">
                  <c:v>690</c:v>
                </c:pt>
                <c:pt idx="7">
                  <c:v>759</c:v>
                </c:pt>
                <c:pt idx="8">
                  <c:v>569.36999999999989</c:v>
                </c:pt>
                <c:pt idx="9">
                  <c:v>569.36999999999989</c:v>
                </c:pt>
              </c:numCache>
            </c:numRef>
          </c:val>
          <c:smooth val="0"/>
          <c:extLst>
            <c:ext xmlns:c16="http://schemas.microsoft.com/office/drawing/2014/chart" uri="{C3380CC4-5D6E-409C-BE32-E72D297353CC}">
              <c16:uniqueId val="{00000001-4937-49BB-A00D-4657DF128F5D}"/>
            </c:ext>
          </c:extLst>
        </c:ser>
        <c:dLbls>
          <c:dLblPos val="ctr"/>
          <c:showLegendKey val="0"/>
          <c:showVal val="1"/>
          <c:showCatName val="0"/>
          <c:showSerName val="0"/>
          <c:showPercent val="0"/>
          <c:showBubbleSize val="0"/>
        </c:dLbls>
        <c:marker val="1"/>
        <c:smooth val="0"/>
        <c:axId val="-1000721664"/>
        <c:axId val="-1000712416"/>
      </c:lineChart>
      <c:catAx>
        <c:axId val="-1000721664"/>
        <c:scaling>
          <c:orientation val="minMax"/>
        </c:scaling>
        <c:delete val="0"/>
        <c:axPos val="b"/>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dk1">
                    <a:lumMod val="65000"/>
                    <a:lumOff val="35000"/>
                  </a:schemeClr>
                </a:solidFill>
                <a:latin typeface="+mn-lt"/>
                <a:ea typeface="+mn-ea"/>
                <a:cs typeface="+mn-cs"/>
              </a:defRPr>
            </a:pPr>
            <a:endParaRPr lang="es-EC"/>
          </a:p>
        </c:txPr>
        <c:crossAx val="-1000712416"/>
        <c:crosses val="autoZero"/>
        <c:auto val="1"/>
        <c:lblAlgn val="ctr"/>
        <c:lblOffset val="100"/>
        <c:noMultiLvlLbl val="0"/>
      </c:catAx>
      <c:valAx>
        <c:axId val="-1000712416"/>
        <c:scaling>
          <c:orientation val="minMax"/>
        </c:scaling>
        <c:delete val="1"/>
        <c:axPos val="l"/>
        <c:numFmt formatCode="0.00" sourceLinked="1"/>
        <c:majorTickMark val="none"/>
        <c:minorTickMark val="none"/>
        <c:tickLblPos val="nextTo"/>
        <c:crossAx val="-1000721664"/>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40" b="0" i="0" u="none" strike="noStrike" kern="1200" cap="all" spc="0" baseline="0">
              <a:gradFill>
                <a:gsLst>
                  <a:gs pos="0">
                    <a:schemeClr val="dk1">
                      <a:lumMod val="50000"/>
                      <a:lumOff val="50000"/>
                    </a:schemeClr>
                  </a:gs>
                  <a:gs pos="100000">
                    <a:schemeClr val="dk1">
                      <a:lumMod val="85000"/>
                      <a:lumOff val="15000"/>
                    </a:schemeClr>
                  </a:gs>
                </a:gsLst>
                <a:lin ang="5400000" scaled="0"/>
              </a:gradFill>
              <a:latin typeface="+mn-lt"/>
              <a:ea typeface="+mn-ea"/>
              <a:cs typeface="+mn-cs"/>
            </a:defRPr>
          </a:pPr>
          <a:endParaRPr lang="es-EC"/>
        </a:p>
      </c:txPr>
    </c:title>
    <c:autoTitleDeleted val="0"/>
    <c:plotArea>
      <c:layout/>
      <c:lineChart>
        <c:grouping val="standard"/>
        <c:varyColors val="0"/>
        <c:ser>
          <c:idx val="0"/>
          <c:order val="0"/>
          <c:tx>
            <c:strRef>
              <c:f>'Sugeridos-estancia-gasto'!$A$7</c:f>
              <c:strCache>
                <c:ptCount val="1"/>
                <c:pt idx="0">
                  <c:v>Gasto medio diario (USD)</c:v>
                </c:pt>
              </c:strCache>
            </c:strRef>
          </c:tx>
          <c:spPr>
            <a:ln w="19050" cap="rnd" cmpd="sng" algn="ctr">
              <a:solidFill>
                <a:schemeClr val="accent6">
                  <a:shade val="95000"/>
                  <a:satMod val="105000"/>
                </a:schemeClr>
              </a:solidFill>
              <a:round/>
            </a:ln>
            <a:effectLst/>
          </c:spPr>
          <c:marker>
            <c:symbol val="circle"/>
            <c:size val="17"/>
            <c:spPr>
              <a:solidFill>
                <a:schemeClr val="lt1"/>
              </a:solidFill>
              <a:ln>
                <a:noFill/>
              </a:ln>
              <a:effectLst/>
            </c:spPr>
          </c:marker>
          <c:dLbls>
            <c:dLbl>
              <c:idx val="4"/>
              <c:spPr>
                <a:solidFill>
                  <a:schemeClr val="accent6"/>
                </a:solidFill>
                <a:ln w="25400" cap="flat" cmpd="sng" algn="ctr">
                  <a:solidFill>
                    <a:schemeClr val="accent6">
                      <a:shade val="50000"/>
                    </a:schemeClr>
                  </a:solidFill>
                  <a:prstDash val="solid"/>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EC"/>
                </a:p>
              </c:txPr>
              <c:dLblPos val="ctr"/>
              <c:showLegendKey val="0"/>
              <c:showVal val="1"/>
              <c:showCatName val="0"/>
              <c:showSerName val="0"/>
              <c:showPercent val="0"/>
              <c:showBubbleSize val="0"/>
              <c:extLst>
                <c:ext xmlns:c16="http://schemas.microsoft.com/office/drawing/2014/chart" uri="{C3380CC4-5D6E-409C-BE32-E72D297353CC}">
                  <c16:uniqueId val="{00000000-9D96-4588-8F10-9B480D054698}"/>
                </c:ext>
              </c:extLst>
            </c:dLbl>
            <c:spPr>
              <a:solidFill>
                <a:schemeClr val="lt1"/>
              </a:solidFill>
              <a:ln w="25400" cap="flat" cmpd="sng" algn="ctr">
                <a:solidFill>
                  <a:schemeClr val="accent6"/>
                </a:solidFill>
                <a:prstDash val="solid"/>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C"/>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35000"/>
                          <a:lumOff val="65000"/>
                        </a:schemeClr>
                      </a:solidFill>
                    </a:ln>
                    <a:effectLst/>
                  </c:spPr>
                </c15:leaderLines>
              </c:ext>
            </c:extLst>
          </c:dLbls>
          <c:cat>
            <c:strRef>
              <c:f>'Sugeridos-estancia-gasto'!$B$4:$M$4</c:f>
              <c:strCache>
                <c:ptCount val="8"/>
                <c:pt idx="0">
                  <c:v> junio 2012</c:v>
                </c:pt>
                <c:pt idx="1">
                  <c:v> junio 2013</c:v>
                </c:pt>
                <c:pt idx="2">
                  <c:v> agosto 2014</c:v>
                </c:pt>
                <c:pt idx="3">
                  <c:v> agosto 2015</c:v>
                </c:pt>
                <c:pt idx="4">
                  <c:v> diciembre 2016</c:v>
                </c:pt>
                <c:pt idx="5">
                  <c:v> enero 2017 (e) </c:v>
                </c:pt>
                <c:pt idx="6">
                  <c:v>2018 (e) </c:v>
                </c:pt>
                <c:pt idx="7">
                  <c:v>2019 (e) </c:v>
                </c:pt>
              </c:strCache>
            </c:strRef>
          </c:cat>
          <c:val>
            <c:numRef>
              <c:f>'Sugeridos-estancia-gasto'!$B$7:$M$7</c:f>
              <c:numCache>
                <c:formatCode>0.00</c:formatCode>
                <c:ptCount val="8"/>
                <c:pt idx="0">
                  <c:v>91</c:v>
                </c:pt>
                <c:pt idx="1">
                  <c:v>106</c:v>
                </c:pt>
                <c:pt idx="2">
                  <c:v>89</c:v>
                </c:pt>
                <c:pt idx="3">
                  <c:v>75</c:v>
                </c:pt>
                <c:pt idx="4">
                  <c:v>114</c:v>
                </c:pt>
                <c:pt idx="5">
                  <c:v>112.99411496055541</c:v>
                </c:pt>
                <c:pt idx="6">
                  <c:v>118.15068493150686</c:v>
                </c:pt>
                <c:pt idx="7">
                  <c:v>101.82895997841246</c:v>
                </c:pt>
              </c:numCache>
            </c:numRef>
          </c:val>
          <c:smooth val="0"/>
          <c:extLst>
            <c:ext xmlns:c16="http://schemas.microsoft.com/office/drawing/2014/chart" uri="{C3380CC4-5D6E-409C-BE32-E72D297353CC}">
              <c16:uniqueId val="{00000001-2206-458F-9FC7-01A161AEDBDE}"/>
            </c:ext>
          </c:extLst>
        </c:ser>
        <c:dLbls>
          <c:dLblPos val="ctr"/>
          <c:showLegendKey val="0"/>
          <c:showVal val="1"/>
          <c:showCatName val="0"/>
          <c:showSerName val="0"/>
          <c:showPercent val="0"/>
          <c:showBubbleSize val="0"/>
        </c:dLbls>
        <c:marker val="1"/>
        <c:smooth val="0"/>
        <c:axId val="-1000727104"/>
        <c:axId val="-1000727648"/>
      </c:lineChart>
      <c:catAx>
        <c:axId val="-1000727104"/>
        <c:scaling>
          <c:orientation val="minMax"/>
        </c:scaling>
        <c:delete val="0"/>
        <c:axPos val="b"/>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dk1">
                    <a:lumMod val="65000"/>
                    <a:lumOff val="35000"/>
                  </a:schemeClr>
                </a:solidFill>
                <a:latin typeface="+mn-lt"/>
                <a:ea typeface="+mn-ea"/>
                <a:cs typeface="+mn-cs"/>
              </a:defRPr>
            </a:pPr>
            <a:endParaRPr lang="es-EC"/>
          </a:p>
        </c:txPr>
        <c:crossAx val="-1000727648"/>
        <c:crosses val="autoZero"/>
        <c:auto val="1"/>
        <c:lblAlgn val="ctr"/>
        <c:lblOffset val="100"/>
        <c:noMultiLvlLbl val="0"/>
      </c:catAx>
      <c:valAx>
        <c:axId val="-1000727648"/>
        <c:scaling>
          <c:orientation val="minMax"/>
        </c:scaling>
        <c:delete val="1"/>
        <c:axPos val="l"/>
        <c:numFmt formatCode="0.00" sourceLinked="1"/>
        <c:majorTickMark val="none"/>
        <c:minorTickMark val="none"/>
        <c:tickLblPos val="nextTo"/>
        <c:crossAx val="-1000727104"/>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EC" sz="1800" b="1" i="0" cap="all" baseline="0">
                <a:effectLst/>
              </a:rPr>
              <a:t>MERCADOS PRIORITARIOS del DMQ</a:t>
            </a:r>
          </a:p>
          <a:p>
            <a:pPr>
              <a:defRPr/>
            </a:pPr>
            <a:r>
              <a:rPr lang="es-EC" sz="1800" b="1" i="0" cap="all" baseline="0">
                <a:effectLst/>
              </a:rPr>
              <a:t>- participacion  - 2020</a:t>
            </a:r>
            <a:endParaRPr lang="es-EC">
              <a:effectLst/>
            </a:endParaRPr>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1-C619-4953-A80A-41D8547C1890}"/>
              </c:ext>
            </c:extLst>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3-C619-4953-A80A-41D8547C1890}"/>
              </c:ext>
            </c:extLst>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5-C619-4953-A80A-41D8547C1890}"/>
              </c:ext>
            </c:extLst>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7-C619-4953-A80A-41D8547C1890}"/>
              </c:ext>
            </c:extLst>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9-C619-4953-A80A-41D8547C1890}"/>
              </c:ext>
            </c:extLst>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B-C619-4953-A80A-41D8547C1890}"/>
              </c:ext>
            </c:extLst>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D-C619-4953-A80A-41D8547C1890}"/>
              </c:ext>
            </c:extLst>
          </c:dPt>
          <c:dPt>
            <c:idx val="7"/>
            <c:bubble3D val="0"/>
            <c:spPr>
              <a:gradFill rotWithShape="1">
                <a:gsLst>
                  <a:gs pos="0">
                    <a:schemeClr val="accent2">
                      <a:lumMod val="60000"/>
                      <a:shade val="51000"/>
                      <a:satMod val="130000"/>
                    </a:schemeClr>
                  </a:gs>
                  <a:gs pos="80000">
                    <a:schemeClr val="accent2">
                      <a:lumMod val="60000"/>
                      <a:shade val="93000"/>
                      <a:satMod val="130000"/>
                    </a:schemeClr>
                  </a:gs>
                  <a:gs pos="100000">
                    <a:schemeClr val="accent2">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F-C619-4953-A80A-41D8547C1890}"/>
              </c:ext>
            </c:extLst>
          </c:dPt>
          <c:dPt>
            <c:idx val="8"/>
            <c:bubble3D val="0"/>
            <c:spPr>
              <a:gradFill rotWithShape="1">
                <a:gsLst>
                  <a:gs pos="0">
                    <a:schemeClr val="accent3">
                      <a:lumMod val="60000"/>
                      <a:shade val="51000"/>
                      <a:satMod val="130000"/>
                    </a:schemeClr>
                  </a:gs>
                  <a:gs pos="80000">
                    <a:schemeClr val="accent3">
                      <a:lumMod val="60000"/>
                      <a:shade val="93000"/>
                      <a:satMod val="130000"/>
                    </a:schemeClr>
                  </a:gs>
                  <a:gs pos="100000">
                    <a:schemeClr val="accent3">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11-C619-4953-A80A-41D8547C1890}"/>
              </c:ext>
            </c:extLst>
          </c:dPt>
          <c:dPt>
            <c:idx val="9"/>
            <c:bubble3D val="0"/>
            <c:spPr>
              <a:gradFill rotWithShape="1">
                <a:gsLst>
                  <a:gs pos="0">
                    <a:schemeClr val="accent4">
                      <a:lumMod val="60000"/>
                      <a:shade val="51000"/>
                      <a:satMod val="130000"/>
                    </a:schemeClr>
                  </a:gs>
                  <a:gs pos="80000">
                    <a:schemeClr val="accent4">
                      <a:lumMod val="60000"/>
                      <a:shade val="93000"/>
                      <a:satMod val="130000"/>
                    </a:schemeClr>
                  </a:gs>
                  <a:gs pos="100000">
                    <a:schemeClr val="accent4">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13-C619-4953-A80A-41D8547C1890}"/>
              </c:ext>
            </c:extLst>
          </c:dPt>
          <c:dPt>
            <c:idx val="10"/>
            <c:bubble3D val="0"/>
            <c:spPr>
              <a:gradFill rotWithShape="1">
                <a:gsLst>
                  <a:gs pos="0">
                    <a:schemeClr val="accent5">
                      <a:lumMod val="60000"/>
                      <a:shade val="51000"/>
                      <a:satMod val="130000"/>
                    </a:schemeClr>
                  </a:gs>
                  <a:gs pos="80000">
                    <a:schemeClr val="accent5">
                      <a:lumMod val="60000"/>
                      <a:shade val="93000"/>
                      <a:satMod val="130000"/>
                    </a:schemeClr>
                  </a:gs>
                  <a:gs pos="100000">
                    <a:schemeClr val="accent5">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15-C619-4953-A80A-41D8547C1890}"/>
              </c:ext>
            </c:extLst>
          </c:dPt>
          <c:dPt>
            <c:idx val="11"/>
            <c:bubble3D val="0"/>
            <c:spPr>
              <a:gradFill rotWithShape="1">
                <a:gsLst>
                  <a:gs pos="0">
                    <a:schemeClr val="accent6">
                      <a:lumMod val="60000"/>
                      <a:shade val="51000"/>
                      <a:satMod val="130000"/>
                    </a:schemeClr>
                  </a:gs>
                  <a:gs pos="80000">
                    <a:schemeClr val="accent6">
                      <a:lumMod val="60000"/>
                      <a:shade val="93000"/>
                      <a:satMod val="130000"/>
                    </a:schemeClr>
                  </a:gs>
                  <a:gs pos="100000">
                    <a:schemeClr val="accent6">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17-C619-4953-A80A-41D8547C1890}"/>
              </c:ext>
            </c:extLst>
          </c:dPt>
          <c:dPt>
            <c:idx val="12"/>
            <c:bubble3D val="0"/>
            <c:spPr>
              <a:gradFill rotWithShape="1">
                <a:gsLst>
                  <a:gs pos="0">
                    <a:schemeClr val="accent1">
                      <a:lumMod val="80000"/>
                      <a:lumOff val="20000"/>
                      <a:shade val="51000"/>
                      <a:satMod val="130000"/>
                    </a:schemeClr>
                  </a:gs>
                  <a:gs pos="80000">
                    <a:schemeClr val="accent1">
                      <a:lumMod val="80000"/>
                      <a:lumOff val="20000"/>
                      <a:shade val="93000"/>
                      <a:satMod val="130000"/>
                    </a:schemeClr>
                  </a:gs>
                  <a:gs pos="100000">
                    <a:schemeClr val="accent1">
                      <a:lumMod val="80000"/>
                      <a:lumOff val="2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19-C619-4953-A80A-41D8547C1890}"/>
              </c:ext>
            </c:extLst>
          </c:dPt>
          <c:dLbls>
            <c:spPr>
              <a:solidFill>
                <a:schemeClr val="dk1">
                  <a:alpha val="5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solidFill>
                    <a:latin typeface="+mn-lt"/>
                    <a:ea typeface="+mn-ea"/>
                    <a:cs typeface="+mn-cs"/>
                  </a:defRPr>
                </a:pPr>
                <a:endParaRPr lang="es-EC"/>
              </a:p>
            </c:txPr>
            <c:showLegendKey val="0"/>
            <c:showVal val="0"/>
            <c:showCatName val="1"/>
            <c:showSerName val="0"/>
            <c:showPercent val="1"/>
            <c:showBubbleSize val="0"/>
            <c:showLeaderLines val="1"/>
            <c:leaderLines>
              <c:spPr>
                <a:ln w="9525">
                  <a:solidFill>
                    <a:schemeClr val="lt1">
                      <a:lumMod val="95000"/>
                      <a:alpha val="54000"/>
                    </a:schemeClr>
                  </a:solidFill>
                </a:ln>
                <a:effectLst/>
              </c:spPr>
            </c:leaderLines>
            <c:extLst>
              <c:ext xmlns:c15="http://schemas.microsoft.com/office/drawing/2012/chart" uri="{CE6537A1-D6FC-4f65-9D91-7224C49458BB}"/>
            </c:extLst>
          </c:dLbls>
          <c:cat>
            <c:strRef>
              <c:f>('Tendencias nacionalidad'!$C$54,'Tendencias nacionalidad'!$C$55,'Tendencias nacionalidad'!$C$56,'Tendencias nacionalidad'!$C$57,'Tendencias nacionalidad'!$C$58,'Tendencias nacionalidad'!$C$59,'Tendencias nacionalidad'!$C$60,'Tendencias nacionalidad'!$C$61,'Tendencias nacionalidad'!$C$63,'Tendencias nacionalidad'!$C$65,'Tendencias nacionalidad'!$C$66,'Tendencias nacionalidad'!$C$68,'Tendencias nacionalidad'!$C$91)</c:f>
              <c:strCache>
                <c:ptCount val="13"/>
                <c:pt idx="0">
                  <c:v>Estados Unidos</c:v>
                </c:pt>
                <c:pt idx="1">
                  <c:v>Colombia</c:v>
                </c:pt>
                <c:pt idx="2">
                  <c:v>España</c:v>
                </c:pt>
                <c:pt idx="3">
                  <c:v>México</c:v>
                </c:pt>
                <c:pt idx="4">
                  <c:v>Alemania</c:v>
                </c:pt>
                <c:pt idx="5">
                  <c:v>Canadá</c:v>
                </c:pt>
                <c:pt idx="6">
                  <c:v>Perú</c:v>
                </c:pt>
                <c:pt idx="7">
                  <c:v>Reino Unido</c:v>
                </c:pt>
                <c:pt idx="8">
                  <c:v>Francia</c:v>
                </c:pt>
                <c:pt idx="9">
                  <c:v>Brasil</c:v>
                </c:pt>
                <c:pt idx="10">
                  <c:v>Países Bajo (Holanda)</c:v>
                </c:pt>
                <c:pt idx="11">
                  <c:v>Chile</c:v>
                </c:pt>
                <c:pt idx="12">
                  <c:v>Otros mercados</c:v>
                </c:pt>
              </c:strCache>
            </c:strRef>
          </c:cat>
          <c:val>
            <c:numRef>
              <c:f>('Tendencias nacionalidad'!$IY$54,'Tendencias nacionalidad'!$IY$55,'Tendencias nacionalidad'!$IY$56,'Tendencias nacionalidad'!$IY$57,'Tendencias nacionalidad'!$IY$58,'Tendencias nacionalidad'!$IY$59,'Tendencias nacionalidad'!$IY$60,'Tendencias nacionalidad'!$IY$61,'Tendencias nacionalidad'!$IY$63,'Tendencias nacionalidad'!$IY$65,'Tendencias nacionalidad'!$IY$66,'Tendencias nacionalidad'!$IY$68,'Tendencias nacionalidad'!$IY$91)</c:f>
            </c:numRef>
          </c:val>
          <c:extLst>
            <c:ext xmlns:c16="http://schemas.microsoft.com/office/drawing/2014/chart" uri="{C3380CC4-5D6E-409C-BE32-E72D297353CC}">
              <c16:uniqueId val="{0000001A-C619-4953-A80A-41D8547C1890}"/>
            </c:ext>
          </c:extLst>
        </c:ser>
        <c:dLbls>
          <c:showLegendKey val="0"/>
          <c:showVal val="0"/>
          <c:showCatName val="1"/>
          <c:showSerName val="0"/>
          <c:showPercent val="1"/>
          <c:showBubbleSize val="0"/>
          <c:showLeaderLines val="1"/>
        </c:dLbls>
      </c:pie3D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EC"/>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MERCADOS PRIORITARIOS DEL DMQ</a:t>
            </a:r>
          </a:p>
          <a:p>
            <a:pPr>
              <a:defRPr/>
            </a:pPr>
            <a:r>
              <a:rPr lang="es-EC"/>
              <a:t>- participacion  - 2019</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43DB-47C0-AF61-44C8C59D5158}"/>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43DB-47C0-AF61-44C8C59D5158}"/>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5-43DB-47C0-AF61-44C8C59D5158}"/>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7-43DB-47C0-AF61-44C8C59D5158}"/>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43DB-47C0-AF61-44C8C59D5158}"/>
              </c:ext>
            </c:extLst>
          </c:dPt>
          <c:dPt>
            <c:idx val="5"/>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B-43DB-47C0-AF61-44C8C59D5158}"/>
              </c:ext>
            </c:extLst>
          </c:dPt>
          <c:dPt>
            <c:idx val="6"/>
            <c:bubble3D val="0"/>
            <c:spPr>
              <a:solidFill>
                <a:schemeClr val="accent1">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D-43DB-47C0-AF61-44C8C59D5158}"/>
              </c:ext>
            </c:extLst>
          </c:dPt>
          <c:dPt>
            <c:idx val="7"/>
            <c:bubble3D val="0"/>
            <c:spPr>
              <a:solidFill>
                <a:schemeClr val="accent2">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F-43DB-47C0-AF61-44C8C59D5158}"/>
              </c:ext>
            </c:extLst>
          </c:dPt>
          <c:dPt>
            <c:idx val="8"/>
            <c:bubble3D val="0"/>
            <c:spPr>
              <a:solidFill>
                <a:schemeClr val="accent3">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1-43DB-47C0-AF61-44C8C59D5158}"/>
              </c:ext>
            </c:extLst>
          </c:dPt>
          <c:dPt>
            <c:idx val="9"/>
            <c:bubble3D val="0"/>
            <c:spPr>
              <a:solidFill>
                <a:schemeClr val="accent4">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3-43DB-47C0-AF61-44C8C59D5158}"/>
              </c:ext>
            </c:extLst>
          </c:dPt>
          <c:dPt>
            <c:idx val="10"/>
            <c:bubble3D val="0"/>
            <c:spPr>
              <a:solidFill>
                <a:schemeClr val="accent5">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5-43DB-47C0-AF61-44C8C59D5158}"/>
              </c:ext>
            </c:extLst>
          </c:dPt>
          <c:dPt>
            <c:idx val="11"/>
            <c:bubble3D val="0"/>
            <c:spPr>
              <a:solidFill>
                <a:schemeClr val="accent6">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7-43DB-47C0-AF61-44C8C59D5158}"/>
              </c:ext>
            </c:extLst>
          </c:dPt>
          <c:dPt>
            <c:idx val="12"/>
            <c:bubble3D val="0"/>
            <c:spPr>
              <a:solidFill>
                <a:schemeClr val="accent1">
                  <a:lumMod val="80000"/>
                  <a:lumOff val="2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9-43DB-47C0-AF61-44C8C59D5158}"/>
              </c:ext>
            </c:extLst>
          </c:dPt>
          <c:dLbls>
            <c:spPr>
              <a:solidFill>
                <a:schemeClr val="lt1"/>
              </a:solidFill>
              <a:ln w="25400" cap="flat" cmpd="sng" algn="ctr">
                <a:solidFill>
                  <a:schemeClr val="dk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('Tendencias nacionalidad'!$C$54,'Tendencias nacionalidad'!$C$55,'Tendencias nacionalidad'!$C$56,'Tendencias nacionalidad'!$C$57,'Tendencias nacionalidad'!$C$58,'Tendencias nacionalidad'!$C$59,'Tendencias nacionalidad'!$C$60,'Tendencias nacionalidad'!$C$61,'Tendencias nacionalidad'!$C$63,'Tendencias nacionalidad'!$C$65,'Tendencias nacionalidad'!$C$66,'Tendencias nacionalidad'!$C$68,'Tendencias nacionalidad'!$C$91)</c:f>
              <c:strCache>
                <c:ptCount val="13"/>
                <c:pt idx="0">
                  <c:v>Estados Unidos</c:v>
                </c:pt>
                <c:pt idx="1">
                  <c:v>Colombia</c:v>
                </c:pt>
                <c:pt idx="2">
                  <c:v>España</c:v>
                </c:pt>
                <c:pt idx="3">
                  <c:v>México</c:v>
                </c:pt>
                <c:pt idx="4">
                  <c:v>Alemania</c:v>
                </c:pt>
                <c:pt idx="5">
                  <c:v>Canadá</c:v>
                </c:pt>
                <c:pt idx="6">
                  <c:v>Perú</c:v>
                </c:pt>
                <c:pt idx="7">
                  <c:v>Reino Unido</c:v>
                </c:pt>
                <c:pt idx="8">
                  <c:v>Francia</c:v>
                </c:pt>
                <c:pt idx="9">
                  <c:v>Brasil</c:v>
                </c:pt>
                <c:pt idx="10">
                  <c:v>Países Bajo (Holanda)</c:v>
                </c:pt>
                <c:pt idx="11">
                  <c:v>Chile</c:v>
                </c:pt>
                <c:pt idx="12">
                  <c:v>Otros mercados</c:v>
                </c:pt>
              </c:strCache>
            </c:strRef>
          </c:cat>
          <c:val>
            <c:numRef>
              <c:f>('Tendencias nacionalidad'!$IX$54,'Tendencias nacionalidad'!$IX$55,'Tendencias nacionalidad'!$IX$56,'Tendencias nacionalidad'!$IX$57,'Tendencias nacionalidad'!$IX$58,'Tendencias nacionalidad'!$IX$59,'Tendencias nacionalidad'!$IX$60,'Tendencias nacionalidad'!$IX$61,'Tendencias nacionalidad'!$IX$63,'Tendencias nacionalidad'!$IX$65,'Tendencias nacionalidad'!$IX$66,'Tendencias nacionalidad'!$IX$68,'Tendencias nacionalidad'!$IX$91)</c:f>
            </c:numRef>
          </c:val>
          <c:extLst>
            <c:ext xmlns:c16="http://schemas.microsoft.com/office/drawing/2014/chart" uri="{C3380CC4-5D6E-409C-BE32-E72D297353CC}">
              <c16:uniqueId val="{0000001A-43DB-47C0-AF61-44C8C59D5158}"/>
            </c:ext>
          </c:extLst>
        </c:ser>
        <c:dLbls>
          <c:showLegendKey val="0"/>
          <c:showVal val="0"/>
          <c:showCatName val="1"/>
          <c:showSerName val="0"/>
          <c:showPercent val="1"/>
          <c:showBubbleSize val="0"/>
          <c:showLeaderLines val="1"/>
        </c:dLbls>
      </c:pie3D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MERCADOS PRIORITARIOS DEL DMQ</a:t>
            </a:r>
          </a:p>
          <a:p>
            <a:pPr>
              <a:defRPr/>
            </a:pPr>
            <a:r>
              <a:rPr lang="es-EC"/>
              <a:t>- participacion  - 2021  </a:t>
            </a:r>
          </a:p>
          <a:p>
            <a:pPr>
              <a:defRPr/>
            </a:pPr>
            <a:r>
              <a:rPr lang="es-EC"/>
              <a:t>(estimado a la fecha)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1-A1ED-493A-A9C4-B964FDAEECB0}"/>
              </c:ext>
            </c:extLst>
          </c:dPt>
          <c:dPt>
            <c:idx val="1"/>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3-A1ED-493A-A9C4-B964FDAEECB0}"/>
              </c:ext>
            </c:extLst>
          </c:dPt>
          <c:dPt>
            <c:idx val="2"/>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5-A1ED-493A-A9C4-B964FDAEECB0}"/>
              </c:ext>
            </c:extLst>
          </c:dPt>
          <c:dPt>
            <c:idx val="3"/>
            <c:bubble3D val="0"/>
            <c:spPr>
              <a:solidFill>
                <a:schemeClr val="accent2">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7-A1ED-493A-A9C4-B964FDAEECB0}"/>
              </c:ext>
            </c:extLst>
          </c:dPt>
          <c:dPt>
            <c:idx val="4"/>
            <c:bubble3D val="0"/>
            <c:spPr>
              <a:solidFill>
                <a:schemeClr val="accent4">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9-A1ED-493A-A9C4-B964FDAEECB0}"/>
              </c:ext>
            </c:extLst>
          </c:dPt>
          <c:dPt>
            <c:idx val="5"/>
            <c:bubble3D val="0"/>
            <c:spPr>
              <a:solidFill>
                <a:schemeClr val="accent6">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B-A1ED-493A-A9C4-B964FDAEECB0}"/>
              </c:ext>
            </c:extLst>
          </c:dPt>
          <c:dPt>
            <c:idx val="6"/>
            <c:bubble3D val="0"/>
            <c:spPr>
              <a:solidFill>
                <a:schemeClr val="accent2">
                  <a:lumMod val="80000"/>
                  <a:lumOff val="2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D-A1ED-493A-A9C4-B964FDAEECB0}"/>
              </c:ext>
            </c:extLst>
          </c:dPt>
          <c:dPt>
            <c:idx val="7"/>
            <c:bubble3D val="0"/>
            <c:spPr>
              <a:solidFill>
                <a:schemeClr val="accent4">
                  <a:lumMod val="80000"/>
                  <a:lumOff val="2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F-A1ED-493A-A9C4-B964FDAEECB0}"/>
              </c:ext>
            </c:extLst>
          </c:dPt>
          <c:dPt>
            <c:idx val="8"/>
            <c:bubble3D val="0"/>
            <c:spPr>
              <a:solidFill>
                <a:schemeClr val="accent6">
                  <a:lumMod val="80000"/>
                  <a:lumOff val="2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1-A1ED-493A-A9C4-B964FDAEECB0}"/>
              </c:ext>
            </c:extLst>
          </c:dPt>
          <c:dPt>
            <c:idx val="9"/>
            <c:bubble3D val="0"/>
            <c:spPr>
              <a:solidFill>
                <a:schemeClr val="accent2">
                  <a:lumMod val="8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3-A1ED-493A-A9C4-B964FDAEECB0}"/>
              </c:ext>
            </c:extLst>
          </c:dPt>
          <c:dPt>
            <c:idx val="10"/>
            <c:bubble3D val="0"/>
            <c:spPr>
              <a:solidFill>
                <a:schemeClr val="accent4">
                  <a:lumMod val="8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5-A1ED-493A-A9C4-B964FDAEECB0}"/>
              </c:ext>
            </c:extLst>
          </c:dPt>
          <c:dPt>
            <c:idx val="11"/>
            <c:bubble3D val="0"/>
            <c:spPr>
              <a:solidFill>
                <a:schemeClr val="accent6">
                  <a:lumMod val="8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7-A1ED-493A-A9C4-B964FDAEECB0}"/>
              </c:ext>
            </c:extLst>
          </c:dPt>
          <c:dPt>
            <c:idx val="12"/>
            <c:bubble3D val="0"/>
            <c:spPr>
              <a:solidFill>
                <a:schemeClr val="accent2">
                  <a:lumMod val="60000"/>
                  <a:lumOff val="4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9-A1ED-493A-A9C4-B964FDAEECB0}"/>
              </c:ext>
            </c:extLst>
          </c:dPt>
          <c:dLbls>
            <c:spPr>
              <a:solidFill>
                <a:schemeClr val="lt1"/>
              </a:solidFill>
              <a:ln w="25400" cap="flat" cmpd="sng" algn="ctr">
                <a:solidFill>
                  <a:schemeClr val="dk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('Tendencias nacionalidad'!$C$54,'Tendencias nacionalidad'!$C$55,'Tendencias nacionalidad'!$C$56,'Tendencias nacionalidad'!$C$57,'Tendencias nacionalidad'!$C$58,'Tendencias nacionalidad'!$C$59,'Tendencias nacionalidad'!$C$60,'Tendencias nacionalidad'!$C$61,'Tendencias nacionalidad'!$C$63,'Tendencias nacionalidad'!$C$65,'Tendencias nacionalidad'!$C$66,'Tendencias nacionalidad'!$C$68,'Tendencias nacionalidad'!$C$91)</c:f>
              <c:strCache>
                <c:ptCount val="13"/>
                <c:pt idx="0">
                  <c:v>Estados Unidos</c:v>
                </c:pt>
                <c:pt idx="1">
                  <c:v>Colombia</c:v>
                </c:pt>
                <c:pt idx="2">
                  <c:v>España</c:v>
                </c:pt>
                <c:pt idx="3">
                  <c:v>México</c:v>
                </c:pt>
                <c:pt idx="4">
                  <c:v>Alemania</c:v>
                </c:pt>
                <c:pt idx="5">
                  <c:v>Canadá</c:v>
                </c:pt>
                <c:pt idx="6">
                  <c:v>Perú</c:v>
                </c:pt>
                <c:pt idx="7">
                  <c:v>Reino Unido</c:v>
                </c:pt>
                <c:pt idx="8">
                  <c:v>Francia</c:v>
                </c:pt>
                <c:pt idx="9">
                  <c:v>Brasil</c:v>
                </c:pt>
                <c:pt idx="10">
                  <c:v>Países Bajo (Holanda)</c:v>
                </c:pt>
                <c:pt idx="11">
                  <c:v>Chile</c:v>
                </c:pt>
                <c:pt idx="12">
                  <c:v>Otros mercados</c:v>
                </c:pt>
              </c:strCache>
            </c:strRef>
          </c:cat>
          <c:val>
            <c:numRef>
              <c:f>('Tendencias nacionalidad'!$JA$54,'Tendencias nacionalidad'!$JA$55,'Tendencias nacionalidad'!$JA$56,'Tendencias nacionalidad'!$JA$57,'Tendencias nacionalidad'!$JA$58,'Tendencias nacionalidad'!$JA$59,'Tendencias nacionalidad'!$JA$60,'Tendencias nacionalidad'!$JA$61,'Tendencias nacionalidad'!$JA$63,'Tendencias nacionalidad'!$JA$65,'Tendencias nacionalidad'!$JA$66,'Tendencias nacionalidad'!$JA$68,'Tendencias nacionalidad'!$JA$85)</c:f>
            </c:numRef>
          </c:val>
          <c:extLst>
            <c:ext xmlns:c16="http://schemas.microsoft.com/office/drawing/2014/chart" uri="{C3380CC4-5D6E-409C-BE32-E72D297353CC}">
              <c16:uniqueId val="{0000001A-A1ED-493A-A9C4-B964FDAEECB0}"/>
            </c:ext>
          </c:extLst>
        </c:ser>
        <c:dLbls>
          <c:showLegendKey val="0"/>
          <c:showVal val="0"/>
          <c:showCatName val="1"/>
          <c:showSerName val="0"/>
          <c:showPercent val="1"/>
          <c:showBubbleSize val="0"/>
          <c:showLeaderLines val="1"/>
        </c:dLbls>
      </c:pie3D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VARIACIÓN INTERANUAL MERCADOS </a:t>
            </a:r>
          </a:p>
          <a:p>
            <a:pPr>
              <a:defRPr/>
            </a:pPr>
            <a:r>
              <a:rPr lang="es-EC"/>
              <a:t>PRIORITARIOS DEL</a:t>
            </a:r>
            <a:r>
              <a:rPr lang="es-EC" baseline="0"/>
              <a:t> DMQ</a:t>
            </a:r>
            <a:endParaRPr lang="es-EC"/>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0"/>
          <c:order val="0"/>
          <c:spPr>
            <a:ln w="28575" cap="rnd">
              <a:solidFill>
                <a:schemeClr val="accent1"/>
              </a:solidFill>
              <a:round/>
            </a:ln>
            <a:effectLst/>
          </c:spPr>
          <c:marker>
            <c:symbol val="circle"/>
            <c:size val="5"/>
            <c:spPr>
              <a:solidFill>
                <a:schemeClr val="accent1"/>
              </a:solidFill>
              <a:ln w="9525">
                <a:solidFill>
                  <a:schemeClr val="accent1"/>
                </a:solidFill>
              </a:ln>
              <a:effectLst/>
            </c:spPr>
          </c:marker>
          <c:dLbls>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'Tendencias nacionalidad'!$IS$49:$IZ$49</c:f>
            </c:multiLvlStrRef>
          </c:cat>
          <c:val>
            <c:numRef>
              <c:f>'Tendencias nacionalidad'!$IS$92:$IZ$92</c:f>
            </c:numRef>
          </c:val>
          <c:smooth val="0"/>
          <c:extLst>
            <c:ext xmlns:c16="http://schemas.microsoft.com/office/drawing/2014/chart" uri="{C3380CC4-5D6E-409C-BE32-E72D297353CC}">
              <c16:uniqueId val="{00000000-1B98-4324-9DDE-A8DC3CC4A76C}"/>
            </c:ext>
          </c:extLst>
        </c:ser>
        <c:dLbls>
          <c:showLegendKey val="0"/>
          <c:showVal val="1"/>
          <c:showCatName val="0"/>
          <c:showSerName val="0"/>
          <c:showPercent val="0"/>
          <c:showBubbleSize val="0"/>
        </c:dLbls>
        <c:marker val="1"/>
        <c:smooth val="0"/>
        <c:axId val="1626436111"/>
        <c:axId val="1626449007"/>
      </c:lineChart>
      <c:catAx>
        <c:axId val="162643611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626449007"/>
        <c:crosses val="autoZero"/>
        <c:auto val="1"/>
        <c:lblAlgn val="ctr"/>
        <c:lblOffset val="100"/>
        <c:noMultiLvlLbl val="0"/>
      </c:catAx>
      <c:valAx>
        <c:axId val="1626449007"/>
        <c:scaling>
          <c:orientation val="minMax"/>
        </c:scaling>
        <c:delete val="1"/>
        <c:axPos val="l"/>
        <c:numFmt formatCode="0.0%" sourceLinked="1"/>
        <c:majorTickMark val="none"/>
        <c:minorTickMark val="none"/>
        <c:tickLblPos val="nextTo"/>
        <c:crossAx val="16264361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Evolución llegadas</a:t>
            </a:r>
            <a:r>
              <a:rPr lang="es-EC" baseline="0"/>
              <a:t> 2019-2021</a:t>
            </a:r>
          </a:p>
          <a:p>
            <a:pPr>
              <a:defRPr/>
            </a:pPr>
            <a:r>
              <a:rPr lang="es-EC" baseline="0"/>
              <a:t>Sudamérica</a:t>
            </a:r>
            <a:endParaRPr lang="es-EC"/>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2.9979287385654363E-2"/>
          <c:y val="0.10995690148269265"/>
          <c:w val="0.89191564165294746"/>
          <c:h val="0.68730920228405445"/>
        </c:manualLayout>
      </c:layout>
      <c:lineChart>
        <c:grouping val="standard"/>
        <c:varyColors val="0"/>
        <c:ser>
          <c:idx val="1"/>
          <c:order val="1"/>
          <c:tx>
            <c:strRef>
              <c:f>'Tendencias nacionalidad'!$C$55</c:f>
              <c:strCache>
                <c:ptCount val="1"/>
                <c:pt idx="0">
                  <c:v>Colombia</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nacionalidad'!$D$55:$GA$55</c15:sqref>
                  </c15:fullRef>
                </c:ext>
              </c:extLst>
              <c:f>'Tendencias nacionalidad'!$D$55:$FT$55</c:f>
              <c:numCache>
                <c:formatCode>#,##0</c:formatCode>
                <c:ptCount val="173"/>
                <c:pt idx="0">
                  <c:v>3612</c:v>
                </c:pt>
                <c:pt idx="1">
                  <c:v>3116</c:v>
                </c:pt>
                <c:pt idx="2">
                  <c:v>3978</c:v>
                </c:pt>
                <c:pt idx="3">
                  <c:v>3576</c:v>
                </c:pt>
                <c:pt idx="4">
                  <c:v>3473</c:v>
                </c:pt>
                <c:pt idx="5">
                  <c:v>4582</c:v>
                </c:pt>
                <c:pt idx="6">
                  <c:v>4498</c:v>
                </c:pt>
                <c:pt idx="7">
                  <c:v>4352</c:v>
                </c:pt>
                <c:pt idx="8">
                  <c:v>3527</c:v>
                </c:pt>
                <c:pt idx="9">
                  <c:v>4205</c:v>
                </c:pt>
                <c:pt idx="10">
                  <c:v>3971</c:v>
                </c:pt>
                <c:pt idx="11">
                  <c:v>4158</c:v>
                </c:pt>
                <c:pt idx="12">
                  <c:v>4338</c:v>
                </c:pt>
                <c:pt idx="13">
                  <c:v>5058</c:v>
                </c:pt>
                <c:pt idx="14">
                  <c:v>3960</c:v>
                </c:pt>
                <c:pt idx="15">
                  <c:v>3703</c:v>
                </c:pt>
                <c:pt idx="16">
                  <c:v>3953</c:v>
                </c:pt>
                <c:pt idx="17">
                  <c:v>4572</c:v>
                </c:pt>
                <c:pt idx="18">
                  <c:v>4180</c:v>
                </c:pt>
                <c:pt idx="19">
                  <c:v>4336</c:v>
                </c:pt>
                <c:pt idx="20">
                  <c:v>4204</c:v>
                </c:pt>
                <c:pt idx="21">
                  <c:v>4674</c:v>
                </c:pt>
                <c:pt idx="22">
                  <c:v>4854</c:v>
                </c:pt>
                <c:pt idx="23">
                  <c:v>4274</c:v>
                </c:pt>
                <c:pt idx="24">
                  <c:v>4073</c:v>
                </c:pt>
                <c:pt idx="25">
                  <c:v>2886</c:v>
                </c:pt>
                <c:pt idx="26">
                  <c:v>3369</c:v>
                </c:pt>
                <c:pt idx="27">
                  <c:v>3480</c:v>
                </c:pt>
                <c:pt idx="28">
                  <c:v>3860</c:v>
                </c:pt>
                <c:pt idx="29">
                  <c:v>4240</c:v>
                </c:pt>
                <c:pt idx="30">
                  <c:v>3540</c:v>
                </c:pt>
                <c:pt idx="31">
                  <c:v>3377</c:v>
                </c:pt>
                <c:pt idx="32">
                  <c:v>3115</c:v>
                </c:pt>
                <c:pt idx="33">
                  <c:v>3286</c:v>
                </c:pt>
                <c:pt idx="34">
                  <c:v>3811</c:v>
                </c:pt>
                <c:pt idx="35">
                  <c:v>4393</c:v>
                </c:pt>
                <c:pt idx="36">
                  <c:v>4213</c:v>
                </c:pt>
                <c:pt idx="37">
                  <c:v>5082</c:v>
                </c:pt>
                <c:pt idx="38">
                  <c:v>4528</c:v>
                </c:pt>
                <c:pt idx="39">
                  <c:v>3869</c:v>
                </c:pt>
                <c:pt idx="40">
                  <c:v>4155</c:v>
                </c:pt>
                <c:pt idx="41">
                  <c:v>4580</c:v>
                </c:pt>
                <c:pt idx="42">
                  <c:v>3726</c:v>
                </c:pt>
                <c:pt idx="43">
                  <c:v>4284</c:v>
                </c:pt>
                <c:pt idx="44">
                  <c:v>4206</c:v>
                </c:pt>
                <c:pt idx="45">
                  <c:v>3205</c:v>
                </c:pt>
                <c:pt idx="46">
                  <c:v>4265</c:v>
                </c:pt>
                <c:pt idx="47">
                  <c:v>5299</c:v>
                </c:pt>
                <c:pt idx="48">
                  <c:v>4599</c:v>
                </c:pt>
                <c:pt idx="49">
                  <c:v>4035</c:v>
                </c:pt>
                <c:pt idx="50">
                  <c:v>4283</c:v>
                </c:pt>
                <c:pt idx="51">
                  <c:v>4324</c:v>
                </c:pt>
                <c:pt idx="52">
                  <c:v>4000</c:v>
                </c:pt>
                <c:pt idx="53">
                  <c:v>4403</c:v>
                </c:pt>
                <c:pt idx="54">
                  <c:v>4279</c:v>
                </c:pt>
                <c:pt idx="55">
                  <c:v>4167</c:v>
                </c:pt>
                <c:pt idx="56">
                  <c:v>3958</c:v>
                </c:pt>
                <c:pt idx="57">
                  <c:v>4138</c:v>
                </c:pt>
                <c:pt idx="58">
                  <c:v>4519</c:v>
                </c:pt>
                <c:pt idx="59">
                  <c:v>5404</c:v>
                </c:pt>
                <c:pt idx="60">
                  <c:v>4222</c:v>
                </c:pt>
                <c:pt idx="61">
                  <c:v>3651</c:v>
                </c:pt>
                <c:pt idx="62">
                  <c:v>5058</c:v>
                </c:pt>
                <c:pt idx="63">
                  <c:v>5339</c:v>
                </c:pt>
                <c:pt idx="64">
                  <c:v>5273</c:v>
                </c:pt>
                <c:pt idx="65">
                  <c:v>7476</c:v>
                </c:pt>
                <c:pt idx="66">
                  <c:v>6425</c:v>
                </c:pt>
                <c:pt idx="67">
                  <c:v>5246</c:v>
                </c:pt>
                <c:pt idx="68">
                  <c:v>5162</c:v>
                </c:pt>
                <c:pt idx="69">
                  <c:v>6180</c:v>
                </c:pt>
                <c:pt idx="70">
                  <c:v>5649</c:v>
                </c:pt>
                <c:pt idx="71">
                  <c:v>7785</c:v>
                </c:pt>
                <c:pt idx="72">
                  <c:v>6627</c:v>
                </c:pt>
                <c:pt idx="73">
                  <c:v>4735</c:v>
                </c:pt>
                <c:pt idx="74">
                  <c:v>6020</c:v>
                </c:pt>
                <c:pt idx="75">
                  <c:v>4853</c:v>
                </c:pt>
                <c:pt idx="76">
                  <c:v>5241</c:v>
                </c:pt>
                <c:pt idx="77">
                  <c:v>6297</c:v>
                </c:pt>
                <c:pt idx="78">
                  <c:v>6066</c:v>
                </c:pt>
                <c:pt idx="79">
                  <c:v>4747</c:v>
                </c:pt>
                <c:pt idx="80">
                  <c:v>5233</c:v>
                </c:pt>
                <c:pt idx="81">
                  <c:v>5182</c:v>
                </c:pt>
                <c:pt idx="82">
                  <c:v>5169</c:v>
                </c:pt>
                <c:pt idx="83">
                  <c:v>7563</c:v>
                </c:pt>
                <c:pt idx="84">
                  <c:v>6453</c:v>
                </c:pt>
                <c:pt idx="85">
                  <c:v>6126</c:v>
                </c:pt>
                <c:pt idx="86">
                  <c:v>4727</c:v>
                </c:pt>
                <c:pt idx="87">
                  <c:v>6021</c:v>
                </c:pt>
                <c:pt idx="88">
                  <c:v>5531</c:v>
                </c:pt>
                <c:pt idx="89">
                  <c:v>6575</c:v>
                </c:pt>
                <c:pt idx="90">
                  <c:v>5999</c:v>
                </c:pt>
                <c:pt idx="91">
                  <c:v>4680</c:v>
                </c:pt>
                <c:pt idx="92">
                  <c:v>5649</c:v>
                </c:pt>
                <c:pt idx="93">
                  <c:v>5721</c:v>
                </c:pt>
                <c:pt idx="94">
                  <c:v>5569</c:v>
                </c:pt>
                <c:pt idx="95">
                  <c:v>8371</c:v>
                </c:pt>
                <c:pt idx="96">
                  <c:v>6640</c:v>
                </c:pt>
                <c:pt idx="97">
                  <c:v>4736</c:v>
                </c:pt>
                <c:pt idx="98">
                  <c:v>5948</c:v>
                </c:pt>
                <c:pt idx="99">
                  <c:v>4689</c:v>
                </c:pt>
                <c:pt idx="100">
                  <c:v>4319</c:v>
                </c:pt>
                <c:pt idx="101">
                  <c:v>4879</c:v>
                </c:pt>
                <c:pt idx="102">
                  <c:v>4752</c:v>
                </c:pt>
                <c:pt idx="103">
                  <c:v>3500</c:v>
                </c:pt>
                <c:pt idx="104">
                  <c:v>4127</c:v>
                </c:pt>
                <c:pt idx="105">
                  <c:v>4183</c:v>
                </c:pt>
                <c:pt idx="106">
                  <c:v>4285</c:v>
                </c:pt>
                <c:pt idx="107">
                  <c:v>4830</c:v>
                </c:pt>
                <c:pt idx="108">
                  <c:v>4076</c:v>
                </c:pt>
                <c:pt idx="109">
                  <c:v>3914</c:v>
                </c:pt>
                <c:pt idx="110">
                  <c:v>4490</c:v>
                </c:pt>
                <c:pt idx="111">
                  <c:v>3335</c:v>
                </c:pt>
                <c:pt idx="112">
                  <c:v>3996</c:v>
                </c:pt>
                <c:pt idx="113">
                  <c:v>4670</c:v>
                </c:pt>
                <c:pt idx="114">
                  <c:v>5537</c:v>
                </c:pt>
                <c:pt idx="115">
                  <c:v>4018</c:v>
                </c:pt>
                <c:pt idx="116" formatCode="General">
                  <c:v>4519</c:v>
                </c:pt>
                <c:pt idx="117">
                  <c:v>5595</c:v>
                </c:pt>
                <c:pt idx="118">
                  <c:v>4741</c:v>
                </c:pt>
                <c:pt idx="119">
                  <c:v>6269</c:v>
                </c:pt>
                <c:pt idx="120">
                  <c:v>5134</c:v>
                </c:pt>
                <c:pt idx="121">
                  <c:v>3872</c:v>
                </c:pt>
                <c:pt idx="122">
                  <c:v>5370</c:v>
                </c:pt>
                <c:pt idx="123">
                  <c:v>4990</c:v>
                </c:pt>
                <c:pt idx="124">
                  <c:v>3983</c:v>
                </c:pt>
                <c:pt idx="125">
                  <c:v>5374</c:v>
                </c:pt>
                <c:pt idx="126">
                  <c:v>4853</c:v>
                </c:pt>
                <c:pt idx="127">
                  <c:v>3383</c:v>
                </c:pt>
                <c:pt idx="128">
                  <c:v>3872</c:v>
                </c:pt>
                <c:pt idx="129">
                  <c:v>4508</c:v>
                </c:pt>
                <c:pt idx="130">
                  <c:v>4726</c:v>
                </c:pt>
                <c:pt idx="131">
                  <c:v>5220</c:v>
                </c:pt>
                <c:pt idx="132">
                  <c:v>4683</c:v>
                </c:pt>
                <c:pt idx="133">
                  <c:v>3861</c:v>
                </c:pt>
                <c:pt idx="134">
                  <c:v>4441</c:v>
                </c:pt>
                <c:pt idx="135">
                  <c:v>4400</c:v>
                </c:pt>
                <c:pt idx="136">
                  <c:v>4233</c:v>
                </c:pt>
                <c:pt idx="137">
                  <c:v>5316</c:v>
                </c:pt>
                <c:pt idx="138">
                  <c:v>5022</c:v>
                </c:pt>
                <c:pt idx="139">
                  <c:v>3702</c:v>
                </c:pt>
                <c:pt idx="140">
                  <c:v>4846</c:v>
                </c:pt>
                <c:pt idx="141">
                  <c:v>5051</c:v>
                </c:pt>
                <c:pt idx="142">
                  <c:v>4639</c:v>
                </c:pt>
                <c:pt idx="143">
                  <c:v>5112</c:v>
                </c:pt>
                <c:pt idx="144" formatCode="_(* #,##0_);_(* \(#,##0\);_(* &quot;-&quot;??_);_(@_)">
                  <c:v>4089</c:v>
                </c:pt>
                <c:pt idx="145">
                  <c:v>3965</c:v>
                </c:pt>
                <c:pt idx="146">
                  <c:v>4027</c:v>
                </c:pt>
                <c:pt idx="147">
                  <c:v>4474</c:v>
                </c:pt>
                <c:pt idx="148" formatCode="_(* #,##0_);_(* \(#,##0\);_(* &quot;-&quot;??_);_(@_)">
                  <c:v>5071</c:v>
                </c:pt>
                <c:pt idx="149" formatCode="_(* #,##0_);_(* \(#,##0\);_(* &quot;-&quot;??_);_(@_)">
                  <c:v>5044</c:v>
                </c:pt>
                <c:pt idx="150" formatCode="_(* #,##0_);_(* \(#,##0\);_(* &quot;-&quot;??_);_(@_)">
                  <c:v>5286</c:v>
                </c:pt>
                <c:pt idx="151" formatCode="_(* #,##0_);_(* \(#,##0\);_(* &quot;-&quot;??_);_(@_)">
                  <c:v>4513</c:v>
                </c:pt>
                <c:pt idx="152" formatCode="_(* #,##0_);_(* \(#,##0\);_(* &quot;-&quot;??_);_(@_)">
                  <c:v>5430</c:v>
                </c:pt>
                <c:pt idx="153" formatCode="_(* #,##0_);_(* \(#,##0\);_(* &quot;-&quot;??_);_(@_)">
                  <c:v>4227</c:v>
                </c:pt>
                <c:pt idx="154" formatCode="_(* #,##0_);_(* \(#,##0\);_(* &quot;-&quot;??_);_(@_)">
                  <c:v>5428</c:v>
                </c:pt>
                <c:pt idx="155" formatCode="_(* #,##0_);_(* \(#,##0\);_(* &quot;-&quot;??_);_(@_)">
                  <c:v>6113</c:v>
                </c:pt>
                <c:pt idx="156">
                  <c:v>5961</c:v>
                </c:pt>
                <c:pt idx="157">
                  <c:v>4733</c:v>
                </c:pt>
                <c:pt idx="158">
                  <c:v>2174</c:v>
                </c:pt>
                <c:pt idx="159">
                  <c:v>32</c:v>
                </c:pt>
                <c:pt idx="160">
                  <c:v>56</c:v>
                </c:pt>
                <c:pt idx="161">
                  <c:v>99</c:v>
                </c:pt>
                <c:pt idx="162">
                  <c:v>201</c:v>
                </c:pt>
                <c:pt idx="163">
                  <c:v>218</c:v>
                </c:pt>
                <c:pt idx="164">
                  <c:v>423</c:v>
                </c:pt>
                <c:pt idx="165">
                  <c:v>1349</c:v>
                </c:pt>
                <c:pt idx="166">
                  <c:v>1549</c:v>
                </c:pt>
                <c:pt idx="167">
                  <c:v>1964</c:v>
                </c:pt>
                <c:pt idx="168">
                  <c:v>2113</c:v>
                </c:pt>
                <c:pt idx="169">
                  <c:v>1427</c:v>
                </c:pt>
                <c:pt idx="170">
                  <c:v>1870</c:v>
                </c:pt>
                <c:pt idx="171">
                  <c:v>1489</c:v>
                </c:pt>
                <c:pt idx="172">
                  <c:v>1774</c:v>
                </c:pt>
              </c:numCache>
            </c:numRef>
          </c:val>
          <c:smooth val="0"/>
          <c:extLst>
            <c:ext xmlns:c16="http://schemas.microsoft.com/office/drawing/2014/chart" uri="{C3380CC4-5D6E-409C-BE32-E72D297353CC}">
              <c16:uniqueId val="{00000000-E690-4C59-A7C2-6B6BC695708B}"/>
            </c:ext>
          </c:extLst>
        </c:ser>
        <c:ser>
          <c:idx val="6"/>
          <c:order val="6"/>
          <c:tx>
            <c:strRef>
              <c:f>'Tendencias nacionalidad'!$C$60</c:f>
              <c:strCache>
                <c:ptCount val="1"/>
                <c:pt idx="0">
                  <c:v>Perú</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nacionalidad'!$D$60:$GA$60</c15:sqref>
                  </c15:fullRef>
                </c:ext>
              </c:extLst>
              <c:f>'Tendencias nacionalidad'!$D$60:$FT$60</c:f>
              <c:numCache>
                <c:formatCode>#,##0</c:formatCode>
                <c:ptCount val="173"/>
                <c:pt idx="0">
                  <c:v>597</c:v>
                </c:pt>
                <c:pt idx="1">
                  <c:v>619</c:v>
                </c:pt>
                <c:pt idx="2">
                  <c:v>664</c:v>
                </c:pt>
                <c:pt idx="3">
                  <c:v>603</c:v>
                </c:pt>
                <c:pt idx="4">
                  <c:v>624</c:v>
                </c:pt>
                <c:pt idx="5">
                  <c:v>757</c:v>
                </c:pt>
                <c:pt idx="6">
                  <c:v>855</c:v>
                </c:pt>
                <c:pt idx="7">
                  <c:v>821</c:v>
                </c:pt>
                <c:pt idx="8">
                  <c:v>861</c:v>
                </c:pt>
                <c:pt idx="9">
                  <c:v>909</c:v>
                </c:pt>
                <c:pt idx="10">
                  <c:v>950</c:v>
                </c:pt>
                <c:pt idx="11">
                  <c:v>519</c:v>
                </c:pt>
                <c:pt idx="12">
                  <c:v>656</c:v>
                </c:pt>
                <c:pt idx="13">
                  <c:v>1028</c:v>
                </c:pt>
                <c:pt idx="14">
                  <c:v>728</c:v>
                </c:pt>
                <c:pt idx="15">
                  <c:v>856</c:v>
                </c:pt>
                <c:pt idx="16">
                  <c:v>835</c:v>
                </c:pt>
                <c:pt idx="17">
                  <c:v>752</c:v>
                </c:pt>
                <c:pt idx="18">
                  <c:v>845</c:v>
                </c:pt>
                <c:pt idx="19">
                  <c:v>925</c:v>
                </c:pt>
                <c:pt idx="20">
                  <c:v>919</c:v>
                </c:pt>
                <c:pt idx="21">
                  <c:v>813</c:v>
                </c:pt>
                <c:pt idx="22">
                  <c:v>935</c:v>
                </c:pt>
                <c:pt idx="23">
                  <c:v>759</c:v>
                </c:pt>
                <c:pt idx="24">
                  <c:v>1199</c:v>
                </c:pt>
                <c:pt idx="25">
                  <c:v>857</c:v>
                </c:pt>
                <c:pt idx="26">
                  <c:v>1043</c:v>
                </c:pt>
                <c:pt idx="27">
                  <c:v>841</c:v>
                </c:pt>
                <c:pt idx="28">
                  <c:v>873</c:v>
                </c:pt>
                <c:pt idx="29">
                  <c:v>905</c:v>
                </c:pt>
                <c:pt idx="30">
                  <c:v>964</c:v>
                </c:pt>
                <c:pt idx="31">
                  <c:v>761</c:v>
                </c:pt>
                <c:pt idx="32">
                  <c:v>873</c:v>
                </c:pt>
                <c:pt idx="33">
                  <c:v>845</c:v>
                </c:pt>
                <c:pt idx="34">
                  <c:v>869</c:v>
                </c:pt>
                <c:pt idx="35">
                  <c:v>782</c:v>
                </c:pt>
                <c:pt idx="36">
                  <c:v>924</c:v>
                </c:pt>
                <c:pt idx="37">
                  <c:v>1186</c:v>
                </c:pt>
                <c:pt idx="38">
                  <c:v>910</c:v>
                </c:pt>
                <c:pt idx="39">
                  <c:v>828</c:v>
                </c:pt>
                <c:pt idx="40">
                  <c:v>935</c:v>
                </c:pt>
                <c:pt idx="41">
                  <c:v>820</c:v>
                </c:pt>
                <c:pt idx="42">
                  <c:v>779</c:v>
                </c:pt>
                <c:pt idx="43">
                  <c:v>919</c:v>
                </c:pt>
                <c:pt idx="44">
                  <c:v>728</c:v>
                </c:pt>
                <c:pt idx="45">
                  <c:v>943</c:v>
                </c:pt>
                <c:pt idx="46">
                  <c:v>971</c:v>
                </c:pt>
                <c:pt idx="47">
                  <c:v>681</c:v>
                </c:pt>
                <c:pt idx="48">
                  <c:v>724</c:v>
                </c:pt>
                <c:pt idx="49">
                  <c:v>842</c:v>
                </c:pt>
                <c:pt idx="50">
                  <c:v>1005</c:v>
                </c:pt>
                <c:pt idx="51">
                  <c:v>954</c:v>
                </c:pt>
                <c:pt idx="52">
                  <c:v>999</c:v>
                </c:pt>
                <c:pt idx="53">
                  <c:v>933</c:v>
                </c:pt>
                <c:pt idx="54">
                  <c:v>1055</c:v>
                </c:pt>
                <c:pt idx="55">
                  <c:v>987</c:v>
                </c:pt>
                <c:pt idx="56">
                  <c:v>933</c:v>
                </c:pt>
                <c:pt idx="57">
                  <c:v>1124</c:v>
                </c:pt>
                <c:pt idx="58">
                  <c:v>1562</c:v>
                </c:pt>
                <c:pt idx="59">
                  <c:v>831</c:v>
                </c:pt>
                <c:pt idx="60">
                  <c:v>932</c:v>
                </c:pt>
                <c:pt idx="61">
                  <c:v>818</c:v>
                </c:pt>
                <c:pt idx="62">
                  <c:v>1172</c:v>
                </c:pt>
                <c:pt idx="63">
                  <c:v>1112</c:v>
                </c:pt>
                <c:pt idx="64">
                  <c:v>1238</c:v>
                </c:pt>
                <c:pt idx="65">
                  <c:v>1179</c:v>
                </c:pt>
                <c:pt idx="66">
                  <c:v>1336</c:v>
                </c:pt>
                <c:pt idx="67">
                  <c:v>1297</c:v>
                </c:pt>
                <c:pt idx="68">
                  <c:v>1381</c:v>
                </c:pt>
                <c:pt idx="69">
                  <c:v>1530</c:v>
                </c:pt>
                <c:pt idx="70">
                  <c:v>1372</c:v>
                </c:pt>
                <c:pt idx="71">
                  <c:v>931</c:v>
                </c:pt>
                <c:pt idx="72">
                  <c:v>1248</c:v>
                </c:pt>
                <c:pt idx="73">
                  <c:v>1342</c:v>
                </c:pt>
                <c:pt idx="74">
                  <c:v>1370</c:v>
                </c:pt>
                <c:pt idx="75">
                  <c:v>1459</c:v>
                </c:pt>
                <c:pt idx="76">
                  <c:v>1709</c:v>
                </c:pt>
                <c:pt idx="77">
                  <c:v>1759</c:v>
                </c:pt>
                <c:pt idx="78">
                  <c:v>1941</c:v>
                </c:pt>
                <c:pt idx="79">
                  <c:v>1512</c:v>
                </c:pt>
                <c:pt idx="80">
                  <c:v>1510</c:v>
                </c:pt>
                <c:pt idx="81">
                  <c:v>1280</c:v>
                </c:pt>
                <c:pt idx="82">
                  <c:v>1258</c:v>
                </c:pt>
                <c:pt idx="83">
                  <c:v>1183</c:v>
                </c:pt>
                <c:pt idx="84">
                  <c:v>1359</c:v>
                </c:pt>
                <c:pt idx="85">
                  <c:v>2651</c:v>
                </c:pt>
                <c:pt idx="86">
                  <c:v>1597</c:v>
                </c:pt>
                <c:pt idx="87">
                  <c:v>1563</c:v>
                </c:pt>
                <c:pt idx="88">
                  <c:v>1626</c:v>
                </c:pt>
                <c:pt idx="89">
                  <c:v>1960</c:v>
                </c:pt>
                <c:pt idx="90">
                  <c:v>1511</c:v>
                </c:pt>
                <c:pt idx="91">
                  <c:v>1434</c:v>
                </c:pt>
                <c:pt idx="92">
                  <c:v>1571</c:v>
                </c:pt>
                <c:pt idx="93">
                  <c:v>1512</c:v>
                </c:pt>
                <c:pt idx="94">
                  <c:v>1614</c:v>
                </c:pt>
                <c:pt idx="95">
                  <c:v>1304</c:v>
                </c:pt>
                <c:pt idx="96">
                  <c:v>1201</c:v>
                </c:pt>
                <c:pt idx="97">
                  <c:v>1299</c:v>
                </c:pt>
                <c:pt idx="98">
                  <c:v>1352</c:v>
                </c:pt>
                <c:pt idx="99">
                  <c:v>1279</c:v>
                </c:pt>
                <c:pt idx="100">
                  <c:v>1332</c:v>
                </c:pt>
                <c:pt idx="101">
                  <c:v>1003</c:v>
                </c:pt>
                <c:pt idx="102">
                  <c:v>1305</c:v>
                </c:pt>
                <c:pt idx="103">
                  <c:v>1008</c:v>
                </c:pt>
                <c:pt idx="104">
                  <c:v>1166</c:v>
                </c:pt>
                <c:pt idx="105">
                  <c:v>1289</c:v>
                </c:pt>
                <c:pt idx="106">
                  <c:v>1225</c:v>
                </c:pt>
                <c:pt idx="107">
                  <c:v>1000</c:v>
                </c:pt>
                <c:pt idx="108">
                  <c:v>1181</c:v>
                </c:pt>
                <c:pt idx="109">
                  <c:v>1107</c:v>
                </c:pt>
                <c:pt idx="110">
                  <c:v>1047</c:v>
                </c:pt>
                <c:pt idx="111">
                  <c:v>865</c:v>
                </c:pt>
                <c:pt idx="112">
                  <c:v>996</c:v>
                </c:pt>
                <c:pt idx="113">
                  <c:v>1029</c:v>
                </c:pt>
                <c:pt idx="114">
                  <c:v>1026</c:v>
                </c:pt>
                <c:pt idx="115">
                  <c:v>985</c:v>
                </c:pt>
                <c:pt idx="116" formatCode="General">
                  <c:v>1164</c:v>
                </c:pt>
                <c:pt idx="117">
                  <c:v>1353</c:v>
                </c:pt>
                <c:pt idx="118">
                  <c:v>1188</c:v>
                </c:pt>
                <c:pt idx="119">
                  <c:v>896</c:v>
                </c:pt>
                <c:pt idx="120">
                  <c:v>1029</c:v>
                </c:pt>
                <c:pt idx="121">
                  <c:v>798</c:v>
                </c:pt>
                <c:pt idx="122">
                  <c:v>1288</c:v>
                </c:pt>
                <c:pt idx="123">
                  <c:v>1344</c:v>
                </c:pt>
                <c:pt idx="124">
                  <c:v>1295</c:v>
                </c:pt>
                <c:pt idx="125">
                  <c:v>1374</c:v>
                </c:pt>
                <c:pt idx="126">
                  <c:v>1410</c:v>
                </c:pt>
                <c:pt idx="127">
                  <c:v>1173</c:v>
                </c:pt>
                <c:pt idx="128">
                  <c:v>1723</c:v>
                </c:pt>
                <c:pt idx="129">
                  <c:v>1669</c:v>
                </c:pt>
                <c:pt idx="130">
                  <c:v>1302</c:v>
                </c:pt>
                <c:pt idx="131">
                  <c:v>1261</c:v>
                </c:pt>
                <c:pt idx="132">
                  <c:v>1555</c:v>
                </c:pt>
                <c:pt idx="133">
                  <c:v>1225</c:v>
                </c:pt>
                <c:pt idx="134">
                  <c:v>1478</c:v>
                </c:pt>
                <c:pt idx="135">
                  <c:v>1463</c:v>
                </c:pt>
                <c:pt idx="136">
                  <c:v>1596</c:v>
                </c:pt>
                <c:pt idx="137">
                  <c:v>1775</c:v>
                </c:pt>
                <c:pt idx="138">
                  <c:v>1486</c:v>
                </c:pt>
                <c:pt idx="139">
                  <c:v>1271</c:v>
                </c:pt>
                <c:pt idx="140">
                  <c:v>1312</c:v>
                </c:pt>
                <c:pt idx="141">
                  <c:v>1756</c:v>
                </c:pt>
                <c:pt idx="142">
                  <c:v>1294</c:v>
                </c:pt>
                <c:pt idx="143">
                  <c:v>1227</c:v>
                </c:pt>
                <c:pt idx="144" formatCode="_(* #,##0_);_(* \(#,##0\);_(* &quot;-&quot;??_);_(@_)">
                  <c:v>1128</c:v>
                </c:pt>
                <c:pt idx="145">
                  <c:v>1306</c:v>
                </c:pt>
                <c:pt idx="146">
                  <c:v>1156</c:v>
                </c:pt>
                <c:pt idx="147">
                  <c:v>1277</c:v>
                </c:pt>
                <c:pt idx="148" formatCode="_(* #,##0_);_(* \(#,##0\);_(* &quot;-&quot;??_);_(@_)">
                  <c:v>1495</c:v>
                </c:pt>
                <c:pt idx="149" formatCode="_(* #,##0_);_(* \(#,##0\);_(* &quot;-&quot;??_);_(@_)">
                  <c:v>2157</c:v>
                </c:pt>
                <c:pt idx="150" formatCode="_(* #,##0_);_(* \(#,##0\);_(* &quot;-&quot;??_);_(@_)">
                  <c:v>1553</c:v>
                </c:pt>
                <c:pt idx="151" formatCode="_(* #,##0_);_(* \(#,##0\);_(* &quot;-&quot;??_);_(@_)">
                  <c:v>1363</c:v>
                </c:pt>
                <c:pt idx="152" formatCode="_(* #,##0_);_(* \(#,##0\);_(* &quot;-&quot;??_);_(@_)">
                  <c:v>1780</c:v>
                </c:pt>
                <c:pt idx="153" formatCode="_(* #,##0_);_(* \(#,##0\);_(* &quot;-&quot;??_);_(@_)">
                  <c:v>1568</c:v>
                </c:pt>
                <c:pt idx="154" formatCode="_(* #,##0_);_(* \(#,##0\);_(* &quot;-&quot;??_);_(@_)">
                  <c:v>1727</c:v>
                </c:pt>
                <c:pt idx="155" formatCode="_(* #,##0_);_(* \(#,##0\);_(* &quot;-&quot;??_);_(@_)">
                  <c:v>1580</c:v>
                </c:pt>
                <c:pt idx="156">
                  <c:v>1581</c:v>
                </c:pt>
                <c:pt idx="157">
                  <c:v>1552</c:v>
                </c:pt>
                <c:pt idx="158">
                  <c:v>622</c:v>
                </c:pt>
                <c:pt idx="159">
                  <c:v>9</c:v>
                </c:pt>
                <c:pt idx="160">
                  <c:v>9</c:v>
                </c:pt>
                <c:pt idx="161">
                  <c:v>10</c:v>
                </c:pt>
                <c:pt idx="162">
                  <c:v>37</c:v>
                </c:pt>
                <c:pt idx="163">
                  <c:v>81</c:v>
                </c:pt>
                <c:pt idx="164">
                  <c:v>96</c:v>
                </c:pt>
                <c:pt idx="165">
                  <c:v>728</c:v>
                </c:pt>
                <c:pt idx="166">
                  <c:v>365</c:v>
                </c:pt>
                <c:pt idx="167">
                  <c:v>501</c:v>
                </c:pt>
                <c:pt idx="168">
                  <c:v>409</c:v>
                </c:pt>
                <c:pt idx="169">
                  <c:v>230</c:v>
                </c:pt>
                <c:pt idx="170">
                  <c:v>254</c:v>
                </c:pt>
                <c:pt idx="171">
                  <c:v>310</c:v>
                </c:pt>
                <c:pt idx="172">
                  <c:v>595</c:v>
                </c:pt>
              </c:numCache>
            </c:numRef>
          </c:val>
          <c:smooth val="0"/>
          <c:extLst>
            <c:ext xmlns:c16="http://schemas.microsoft.com/office/drawing/2014/chart" uri="{C3380CC4-5D6E-409C-BE32-E72D297353CC}">
              <c16:uniqueId val="{00000001-E690-4C59-A7C2-6B6BC695708B}"/>
            </c:ext>
          </c:extLst>
        </c:ser>
        <c:ser>
          <c:idx val="8"/>
          <c:order val="8"/>
          <c:tx>
            <c:strRef>
              <c:f>'Tendencias nacionalidad'!$C$62</c:f>
              <c:strCache>
                <c:ptCount val="1"/>
                <c:pt idx="0">
                  <c:v>Argentina</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nacionalidad'!$D$62:$GA$62</c15:sqref>
                  </c15:fullRef>
                </c:ext>
              </c:extLst>
              <c:f>'Tendencias nacionalidad'!$D$62:$FT$62</c:f>
              <c:numCache>
                <c:formatCode>#,##0</c:formatCode>
                <c:ptCount val="173"/>
                <c:pt idx="0">
                  <c:v>789</c:v>
                </c:pt>
                <c:pt idx="1">
                  <c:v>633</c:v>
                </c:pt>
                <c:pt idx="2">
                  <c:v>790</c:v>
                </c:pt>
                <c:pt idx="3">
                  <c:v>531</c:v>
                </c:pt>
                <c:pt idx="4">
                  <c:v>677</c:v>
                </c:pt>
                <c:pt idx="5">
                  <c:v>720</c:v>
                </c:pt>
                <c:pt idx="6">
                  <c:v>840</c:v>
                </c:pt>
                <c:pt idx="7">
                  <c:v>638</c:v>
                </c:pt>
                <c:pt idx="8">
                  <c:v>799</c:v>
                </c:pt>
                <c:pt idx="9">
                  <c:v>895</c:v>
                </c:pt>
                <c:pt idx="10">
                  <c:v>815</c:v>
                </c:pt>
                <c:pt idx="11">
                  <c:v>556</c:v>
                </c:pt>
                <c:pt idx="12">
                  <c:v>877</c:v>
                </c:pt>
                <c:pt idx="13">
                  <c:v>1083</c:v>
                </c:pt>
                <c:pt idx="14">
                  <c:v>783</c:v>
                </c:pt>
                <c:pt idx="15">
                  <c:v>893</c:v>
                </c:pt>
                <c:pt idx="16">
                  <c:v>1008</c:v>
                </c:pt>
                <c:pt idx="17">
                  <c:v>891</c:v>
                </c:pt>
                <c:pt idx="18">
                  <c:v>1034</c:v>
                </c:pt>
                <c:pt idx="19">
                  <c:v>977</c:v>
                </c:pt>
                <c:pt idx="20">
                  <c:v>828</c:v>
                </c:pt>
                <c:pt idx="21">
                  <c:v>1198</c:v>
                </c:pt>
                <c:pt idx="22">
                  <c:v>1047</c:v>
                </c:pt>
                <c:pt idx="23">
                  <c:v>774</c:v>
                </c:pt>
                <c:pt idx="24">
                  <c:v>1114</c:v>
                </c:pt>
                <c:pt idx="25">
                  <c:v>722</c:v>
                </c:pt>
                <c:pt idx="26">
                  <c:v>846</c:v>
                </c:pt>
                <c:pt idx="27">
                  <c:v>796</c:v>
                </c:pt>
                <c:pt idx="28">
                  <c:v>856</c:v>
                </c:pt>
                <c:pt idx="29">
                  <c:v>916</c:v>
                </c:pt>
                <c:pt idx="30">
                  <c:v>901</c:v>
                </c:pt>
                <c:pt idx="31">
                  <c:v>883</c:v>
                </c:pt>
                <c:pt idx="32">
                  <c:v>875</c:v>
                </c:pt>
                <c:pt idx="33">
                  <c:v>977</c:v>
                </c:pt>
                <c:pt idx="34">
                  <c:v>967</c:v>
                </c:pt>
                <c:pt idx="35">
                  <c:v>772</c:v>
                </c:pt>
                <c:pt idx="36">
                  <c:v>1396</c:v>
                </c:pt>
                <c:pt idx="37">
                  <c:v>1205</c:v>
                </c:pt>
                <c:pt idx="38">
                  <c:v>912</c:v>
                </c:pt>
                <c:pt idx="39">
                  <c:v>908</c:v>
                </c:pt>
                <c:pt idx="40">
                  <c:v>967</c:v>
                </c:pt>
                <c:pt idx="41">
                  <c:v>882</c:v>
                </c:pt>
                <c:pt idx="42">
                  <c:v>1056</c:v>
                </c:pt>
                <c:pt idx="43">
                  <c:v>1101</c:v>
                </c:pt>
                <c:pt idx="44">
                  <c:v>976</c:v>
                </c:pt>
                <c:pt idx="45">
                  <c:v>1462</c:v>
                </c:pt>
                <c:pt idx="46">
                  <c:v>1545</c:v>
                </c:pt>
                <c:pt idx="47">
                  <c:v>986</c:v>
                </c:pt>
                <c:pt idx="48">
                  <c:v>1718</c:v>
                </c:pt>
                <c:pt idx="49">
                  <c:v>934</c:v>
                </c:pt>
                <c:pt idx="50">
                  <c:v>1091</c:v>
                </c:pt>
                <c:pt idx="51">
                  <c:v>1046</c:v>
                </c:pt>
                <c:pt idx="52">
                  <c:v>1461</c:v>
                </c:pt>
                <c:pt idx="53">
                  <c:v>1069</c:v>
                </c:pt>
                <c:pt idx="54">
                  <c:v>1551</c:v>
                </c:pt>
                <c:pt idx="55">
                  <c:v>1104</c:v>
                </c:pt>
                <c:pt idx="56">
                  <c:v>1190</c:v>
                </c:pt>
                <c:pt idx="57">
                  <c:v>1136</c:v>
                </c:pt>
                <c:pt idx="58">
                  <c:v>1275</c:v>
                </c:pt>
                <c:pt idx="59">
                  <c:v>1310</c:v>
                </c:pt>
                <c:pt idx="60">
                  <c:v>1784</c:v>
                </c:pt>
                <c:pt idx="61">
                  <c:v>1322</c:v>
                </c:pt>
                <c:pt idx="62">
                  <c:v>1395</c:v>
                </c:pt>
                <c:pt idx="63">
                  <c:v>1235</c:v>
                </c:pt>
                <c:pt idx="64">
                  <c:v>1315</c:v>
                </c:pt>
                <c:pt idx="65">
                  <c:v>1332</c:v>
                </c:pt>
                <c:pt idx="66">
                  <c:v>1518</c:v>
                </c:pt>
                <c:pt idx="67">
                  <c:v>1259</c:v>
                </c:pt>
                <c:pt idx="68">
                  <c:v>1472</c:v>
                </c:pt>
                <c:pt idx="69">
                  <c:v>1367</c:v>
                </c:pt>
                <c:pt idx="70">
                  <c:v>1601</c:v>
                </c:pt>
                <c:pt idx="71">
                  <c:v>1254</c:v>
                </c:pt>
                <c:pt idx="72">
                  <c:v>1879</c:v>
                </c:pt>
                <c:pt idx="73">
                  <c:v>1503</c:v>
                </c:pt>
                <c:pt idx="74">
                  <c:v>1512</c:v>
                </c:pt>
                <c:pt idx="75">
                  <c:v>1260</c:v>
                </c:pt>
                <c:pt idx="76">
                  <c:v>1274</c:v>
                </c:pt>
                <c:pt idx="77">
                  <c:v>1581</c:v>
                </c:pt>
                <c:pt idx="78">
                  <c:v>1834</c:v>
                </c:pt>
                <c:pt idx="79">
                  <c:v>1236</c:v>
                </c:pt>
                <c:pt idx="80">
                  <c:v>1466</c:v>
                </c:pt>
                <c:pt idx="81">
                  <c:v>1369</c:v>
                </c:pt>
                <c:pt idx="82">
                  <c:v>1577</c:v>
                </c:pt>
                <c:pt idx="83">
                  <c:v>2187</c:v>
                </c:pt>
                <c:pt idx="84">
                  <c:v>3220</c:v>
                </c:pt>
                <c:pt idx="85">
                  <c:v>2071</c:v>
                </c:pt>
                <c:pt idx="86">
                  <c:v>1743</c:v>
                </c:pt>
                <c:pt idx="87">
                  <c:v>1363</c:v>
                </c:pt>
                <c:pt idx="88">
                  <c:v>1349</c:v>
                </c:pt>
                <c:pt idx="89">
                  <c:v>1063</c:v>
                </c:pt>
                <c:pt idx="90">
                  <c:v>1787</c:v>
                </c:pt>
                <c:pt idx="91">
                  <c:v>1326</c:v>
                </c:pt>
                <c:pt idx="92">
                  <c:v>1425</c:v>
                </c:pt>
                <c:pt idx="93">
                  <c:v>1500</c:v>
                </c:pt>
                <c:pt idx="94">
                  <c:v>1769</c:v>
                </c:pt>
                <c:pt idx="95">
                  <c:v>2090</c:v>
                </c:pt>
                <c:pt idx="96">
                  <c:v>3295</c:v>
                </c:pt>
                <c:pt idx="97">
                  <c:v>2310</c:v>
                </c:pt>
                <c:pt idx="98">
                  <c:v>2105</c:v>
                </c:pt>
                <c:pt idx="99">
                  <c:v>1992</c:v>
                </c:pt>
                <c:pt idx="100">
                  <c:v>1818</c:v>
                </c:pt>
                <c:pt idx="101">
                  <c:v>1519</c:v>
                </c:pt>
                <c:pt idx="102">
                  <c:v>2089</c:v>
                </c:pt>
                <c:pt idx="103">
                  <c:v>1660</c:v>
                </c:pt>
                <c:pt idx="104">
                  <c:v>1946</c:v>
                </c:pt>
                <c:pt idx="105">
                  <c:v>1568</c:v>
                </c:pt>
                <c:pt idx="106">
                  <c:v>1851</c:v>
                </c:pt>
                <c:pt idx="107">
                  <c:v>2065</c:v>
                </c:pt>
                <c:pt idx="108">
                  <c:v>3139</c:v>
                </c:pt>
                <c:pt idx="109">
                  <c:v>2105</c:v>
                </c:pt>
                <c:pt idx="110">
                  <c:v>1755</c:v>
                </c:pt>
                <c:pt idx="111">
                  <c:v>1363</c:v>
                </c:pt>
                <c:pt idx="112">
                  <c:v>1165</c:v>
                </c:pt>
                <c:pt idx="113">
                  <c:v>1203</c:v>
                </c:pt>
                <c:pt idx="114">
                  <c:v>1589</c:v>
                </c:pt>
                <c:pt idx="115">
                  <c:v>910</c:v>
                </c:pt>
                <c:pt idx="116" formatCode="General">
                  <c:v>1071</c:v>
                </c:pt>
                <c:pt idx="117">
                  <c:v>1410</c:v>
                </c:pt>
                <c:pt idx="118">
                  <c:v>1145</c:v>
                </c:pt>
                <c:pt idx="119">
                  <c:v>1173</c:v>
                </c:pt>
                <c:pt idx="120">
                  <c:v>2221</c:v>
                </c:pt>
                <c:pt idx="121">
                  <c:v>1653</c:v>
                </c:pt>
                <c:pt idx="122">
                  <c:v>1131</c:v>
                </c:pt>
                <c:pt idx="123">
                  <c:v>1119</c:v>
                </c:pt>
                <c:pt idx="124">
                  <c:v>1057</c:v>
                </c:pt>
                <c:pt idx="125">
                  <c:v>1011</c:v>
                </c:pt>
                <c:pt idx="126">
                  <c:v>1532</c:v>
                </c:pt>
                <c:pt idx="127">
                  <c:v>1043</c:v>
                </c:pt>
                <c:pt idx="128">
                  <c:v>1075</c:v>
                </c:pt>
                <c:pt idx="129">
                  <c:v>1444</c:v>
                </c:pt>
                <c:pt idx="130">
                  <c:v>1289</c:v>
                </c:pt>
                <c:pt idx="131">
                  <c:v>1447</c:v>
                </c:pt>
                <c:pt idx="132">
                  <c:v>1936</c:v>
                </c:pt>
                <c:pt idx="133">
                  <c:v>1243</c:v>
                </c:pt>
                <c:pt idx="134">
                  <c:v>1312</c:v>
                </c:pt>
                <c:pt idx="135">
                  <c:v>1222</c:v>
                </c:pt>
                <c:pt idx="136">
                  <c:v>1260</c:v>
                </c:pt>
                <c:pt idx="137">
                  <c:v>1287</c:v>
                </c:pt>
                <c:pt idx="138">
                  <c:v>1555</c:v>
                </c:pt>
                <c:pt idx="139">
                  <c:v>855</c:v>
                </c:pt>
                <c:pt idx="140">
                  <c:v>1160</c:v>
                </c:pt>
                <c:pt idx="141">
                  <c:v>1155</c:v>
                </c:pt>
                <c:pt idx="142">
                  <c:v>1121</c:v>
                </c:pt>
                <c:pt idx="143">
                  <c:v>1093</c:v>
                </c:pt>
                <c:pt idx="144" formatCode="_(* #,##0_);_(* \(#,##0\);_(* &quot;-&quot;??_);_(@_)">
                  <c:v>1355</c:v>
                </c:pt>
                <c:pt idx="145">
                  <c:v>948</c:v>
                </c:pt>
                <c:pt idx="146">
                  <c:v>998</c:v>
                </c:pt>
                <c:pt idx="147">
                  <c:v>1768</c:v>
                </c:pt>
                <c:pt idx="148" formatCode="_(* #,##0_);_(* \(#,##0\);_(* &quot;-&quot;??_);_(@_)">
                  <c:v>1123</c:v>
                </c:pt>
                <c:pt idx="149" formatCode="_(* #,##0_);_(* \(#,##0\);_(* &quot;-&quot;??_);_(@_)">
                  <c:v>1251</c:v>
                </c:pt>
                <c:pt idx="150" formatCode="_(* #,##0_);_(* \(#,##0\);_(* &quot;-&quot;??_);_(@_)">
                  <c:v>1375</c:v>
                </c:pt>
                <c:pt idx="151" formatCode="_(* #,##0_);_(* \(#,##0\);_(* &quot;-&quot;??_);_(@_)">
                  <c:v>1547</c:v>
                </c:pt>
                <c:pt idx="152" formatCode="_(* #,##0_);_(* \(#,##0\);_(* &quot;-&quot;??_);_(@_)">
                  <c:v>1387</c:v>
                </c:pt>
                <c:pt idx="153" formatCode="_(* #,##0_);_(* \(#,##0\);_(* &quot;-&quot;??_);_(@_)">
                  <c:v>1045</c:v>
                </c:pt>
                <c:pt idx="154" formatCode="_(* #,##0_);_(* \(#,##0\);_(* &quot;-&quot;??_);_(@_)">
                  <c:v>1297</c:v>
                </c:pt>
                <c:pt idx="155" formatCode="_(* #,##0_);_(* \(#,##0\);_(* &quot;-&quot;??_);_(@_)">
                  <c:v>1336</c:v>
                </c:pt>
                <c:pt idx="156">
                  <c:v>1535</c:v>
                </c:pt>
                <c:pt idx="157">
                  <c:v>1245</c:v>
                </c:pt>
                <c:pt idx="158">
                  <c:v>601</c:v>
                </c:pt>
                <c:pt idx="159">
                  <c:v>8</c:v>
                </c:pt>
                <c:pt idx="160">
                  <c:v>13</c:v>
                </c:pt>
                <c:pt idx="161">
                  <c:v>16</c:v>
                </c:pt>
                <c:pt idx="162">
                  <c:v>20</c:v>
                </c:pt>
                <c:pt idx="163">
                  <c:v>18</c:v>
                </c:pt>
                <c:pt idx="164">
                  <c:v>66</c:v>
                </c:pt>
                <c:pt idx="165">
                  <c:v>114</c:v>
                </c:pt>
                <c:pt idx="166">
                  <c:v>147</c:v>
                </c:pt>
                <c:pt idx="167">
                  <c:v>285</c:v>
                </c:pt>
                <c:pt idx="168">
                  <c:v>391</c:v>
                </c:pt>
                <c:pt idx="169">
                  <c:v>262</c:v>
                </c:pt>
                <c:pt idx="170">
                  <c:v>281</c:v>
                </c:pt>
                <c:pt idx="171">
                  <c:v>217</c:v>
                </c:pt>
                <c:pt idx="172">
                  <c:v>229</c:v>
                </c:pt>
              </c:numCache>
            </c:numRef>
          </c:val>
          <c:smooth val="0"/>
          <c:extLst>
            <c:ext xmlns:c16="http://schemas.microsoft.com/office/drawing/2014/chart" uri="{C3380CC4-5D6E-409C-BE32-E72D297353CC}">
              <c16:uniqueId val="{00000002-E690-4C59-A7C2-6B6BC695708B}"/>
            </c:ext>
          </c:extLst>
        </c:ser>
        <c:ser>
          <c:idx val="11"/>
          <c:order val="11"/>
          <c:tx>
            <c:strRef>
              <c:f>'Tendencias nacionalidad'!$C$65</c:f>
              <c:strCache>
                <c:ptCount val="1"/>
                <c:pt idx="0">
                  <c:v>Brasil</c:v>
                </c:pt>
              </c:strCache>
            </c:strRef>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nacionalidad'!$D$65:$GA$65</c15:sqref>
                  </c15:fullRef>
                </c:ext>
              </c:extLst>
              <c:f>'Tendencias nacionalidad'!$D$65:$FT$65</c:f>
              <c:numCache>
                <c:formatCode>#,##0</c:formatCode>
                <c:ptCount val="173"/>
                <c:pt idx="0">
                  <c:v>601</c:v>
                </c:pt>
                <c:pt idx="1">
                  <c:v>485</c:v>
                </c:pt>
                <c:pt idx="2">
                  <c:v>562</c:v>
                </c:pt>
                <c:pt idx="3">
                  <c:v>458</c:v>
                </c:pt>
                <c:pt idx="4">
                  <c:v>506</c:v>
                </c:pt>
                <c:pt idx="5">
                  <c:v>493</c:v>
                </c:pt>
                <c:pt idx="6">
                  <c:v>640</c:v>
                </c:pt>
                <c:pt idx="7">
                  <c:v>660</c:v>
                </c:pt>
                <c:pt idx="8">
                  <c:v>623</c:v>
                </c:pt>
                <c:pt idx="9">
                  <c:v>809</c:v>
                </c:pt>
                <c:pt idx="10">
                  <c:v>721</c:v>
                </c:pt>
                <c:pt idx="11">
                  <c:v>581</c:v>
                </c:pt>
                <c:pt idx="12">
                  <c:v>742</c:v>
                </c:pt>
                <c:pt idx="13">
                  <c:v>1092</c:v>
                </c:pt>
                <c:pt idx="14">
                  <c:v>815</c:v>
                </c:pt>
                <c:pt idx="15">
                  <c:v>665</c:v>
                </c:pt>
                <c:pt idx="16">
                  <c:v>807</c:v>
                </c:pt>
                <c:pt idx="17">
                  <c:v>1147</c:v>
                </c:pt>
                <c:pt idx="18">
                  <c:v>1017</c:v>
                </c:pt>
                <c:pt idx="19">
                  <c:v>826</c:v>
                </c:pt>
                <c:pt idx="20">
                  <c:v>918</c:v>
                </c:pt>
                <c:pt idx="21">
                  <c:v>792</c:v>
                </c:pt>
                <c:pt idx="22">
                  <c:v>734</c:v>
                </c:pt>
                <c:pt idx="23">
                  <c:v>659</c:v>
                </c:pt>
                <c:pt idx="24">
                  <c:v>705</c:v>
                </c:pt>
                <c:pt idx="25">
                  <c:v>675</c:v>
                </c:pt>
                <c:pt idx="26">
                  <c:v>680</c:v>
                </c:pt>
                <c:pt idx="27">
                  <c:v>672</c:v>
                </c:pt>
                <c:pt idx="28">
                  <c:v>653</c:v>
                </c:pt>
                <c:pt idx="29">
                  <c:v>634</c:v>
                </c:pt>
                <c:pt idx="30">
                  <c:v>832</c:v>
                </c:pt>
                <c:pt idx="31">
                  <c:v>848</c:v>
                </c:pt>
                <c:pt idx="32">
                  <c:v>720</c:v>
                </c:pt>
                <c:pt idx="33">
                  <c:v>789</c:v>
                </c:pt>
                <c:pt idx="34">
                  <c:v>930</c:v>
                </c:pt>
                <c:pt idx="35">
                  <c:v>731</c:v>
                </c:pt>
                <c:pt idx="36">
                  <c:v>924</c:v>
                </c:pt>
                <c:pt idx="37">
                  <c:v>696</c:v>
                </c:pt>
                <c:pt idx="38">
                  <c:v>663</c:v>
                </c:pt>
                <c:pt idx="39">
                  <c:v>716</c:v>
                </c:pt>
                <c:pt idx="40">
                  <c:v>756</c:v>
                </c:pt>
                <c:pt idx="41">
                  <c:v>723</c:v>
                </c:pt>
                <c:pt idx="42">
                  <c:v>894</c:v>
                </c:pt>
                <c:pt idx="43">
                  <c:v>783</c:v>
                </c:pt>
                <c:pt idx="44">
                  <c:v>912</c:v>
                </c:pt>
                <c:pt idx="45">
                  <c:v>829</c:v>
                </c:pt>
                <c:pt idx="46">
                  <c:v>856</c:v>
                </c:pt>
                <c:pt idx="47">
                  <c:v>807</c:v>
                </c:pt>
                <c:pt idx="48">
                  <c:v>932</c:v>
                </c:pt>
                <c:pt idx="49">
                  <c:v>719</c:v>
                </c:pt>
                <c:pt idx="50">
                  <c:v>938</c:v>
                </c:pt>
                <c:pt idx="51">
                  <c:v>769</c:v>
                </c:pt>
                <c:pt idx="52">
                  <c:v>816</c:v>
                </c:pt>
                <c:pt idx="53">
                  <c:v>810</c:v>
                </c:pt>
                <c:pt idx="54">
                  <c:v>970</c:v>
                </c:pt>
                <c:pt idx="55">
                  <c:v>834</c:v>
                </c:pt>
                <c:pt idx="56">
                  <c:v>856</c:v>
                </c:pt>
                <c:pt idx="57">
                  <c:v>924</c:v>
                </c:pt>
                <c:pt idx="58">
                  <c:v>793</c:v>
                </c:pt>
                <c:pt idx="59">
                  <c:v>822</c:v>
                </c:pt>
                <c:pt idx="60">
                  <c:v>834</c:v>
                </c:pt>
                <c:pt idx="61">
                  <c:v>769</c:v>
                </c:pt>
                <c:pt idx="62">
                  <c:v>821</c:v>
                </c:pt>
                <c:pt idx="63">
                  <c:v>842</c:v>
                </c:pt>
                <c:pt idx="64">
                  <c:v>921</c:v>
                </c:pt>
                <c:pt idx="65">
                  <c:v>1131</c:v>
                </c:pt>
                <c:pt idx="66">
                  <c:v>1140</c:v>
                </c:pt>
                <c:pt idx="67">
                  <c:v>979</c:v>
                </c:pt>
                <c:pt idx="68">
                  <c:v>975</c:v>
                </c:pt>
                <c:pt idx="69">
                  <c:v>994</c:v>
                </c:pt>
                <c:pt idx="70">
                  <c:v>1053</c:v>
                </c:pt>
                <c:pt idx="71">
                  <c:v>931</c:v>
                </c:pt>
                <c:pt idx="72">
                  <c:v>941</c:v>
                </c:pt>
                <c:pt idx="73">
                  <c:v>723</c:v>
                </c:pt>
                <c:pt idx="74">
                  <c:v>783</c:v>
                </c:pt>
                <c:pt idx="75">
                  <c:v>862</c:v>
                </c:pt>
                <c:pt idx="76">
                  <c:v>903</c:v>
                </c:pt>
                <c:pt idx="77">
                  <c:v>861</c:v>
                </c:pt>
                <c:pt idx="78">
                  <c:v>932</c:v>
                </c:pt>
                <c:pt idx="79">
                  <c:v>714</c:v>
                </c:pt>
                <c:pt idx="80">
                  <c:v>996</c:v>
                </c:pt>
                <c:pt idx="81">
                  <c:v>940</c:v>
                </c:pt>
                <c:pt idx="82">
                  <c:v>1183</c:v>
                </c:pt>
                <c:pt idx="83">
                  <c:v>1214</c:v>
                </c:pt>
                <c:pt idx="84">
                  <c:v>1206</c:v>
                </c:pt>
                <c:pt idx="85">
                  <c:v>1082</c:v>
                </c:pt>
                <c:pt idx="86">
                  <c:v>958</c:v>
                </c:pt>
                <c:pt idx="87">
                  <c:v>984</c:v>
                </c:pt>
                <c:pt idx="88">
                  <c:v>1190</c:v>
                </c:pt>
                <c:pt idx="89">
                  <c:v>753</c:v>
                </c:pt>
                <c:pt idx="90">
                  <c:v>1072</c:v>
                </c:pt>
                <c:pt idx="91">
                  <c:v>1031</c:v>
                </c:pt>
                <c:pt idx="92">
                  <c:v>1195</c:v>
                </c:pt>
                <c:pt idx="93">
                  <c:v>1257</c:v>
                </c:pt>
                <c:pt idx="94">
                  <c:v>1415</c:v>
                </c:pt>
                <c:pt idx="95">
                  <c:v>1565</c:v>
                </c:pt>
                <c:pt idx="96">
                  <c:v>1621</c:v>
                </c:pt>
                <c:pt idx="97">
                  <c:v>1093</c:v>
                </c:pt>
                <c:pt idx="98">
                  <c:v>918</c:v>
                </c:pt>
                <c:pt idx="99">
                  <c:v>1026</c:v>
                </c:pt>
                <c:pt idx="100">
                  <c:v>1047</c:v>
                </c:pt>
                <c:pt idx="101">
                  <c:v>937</c:v>
                </c:pt>
                <c:pt idx="102">
                  <c:v>1223</c:v>
                </c:pt>
                <c:pt idx="103">
                  <c:v>939</c:v>
                </c:pt>
                <c:pt idx="104">
                  <c:v>863</c:v>
                </c:pt>
                <c:pt idx="105">
                  <c:v>940</c:v>
                </c:pt>
                <c:pt idx="106">
                  <c:v>1003</c:v>
                </c:pt>
                <c:pt idx="107">
                  <c:v>1325</c:v>
                </c:pt>
                <c:pt idx="108">
                  <c:v>965</c:v>
                </c:pt>
                <c:pt idx="109">
                  <c:v>748</c:v>
                </c:pt>
                <c:pt idx="110">
                  <c:v>734</c:v>
                </c:pt>
                <c:pt idx="111">
                  <c:v>736</c:v>
                </c:pt>
                <c:pt idx="112">
                  <c:v>751</c:v>
                </c:pt>
                <c:pt idx="113">
                  <c:v>821</c:v>
                </c:pt>
                <c:pt idx="114">
                  <c:v>874</c:v>
                </c:pt>
                <c:pt idx="115">
                  <c:v>960</c:v>
                </c:pt>
                <c:pt idx="116" formatCode="General">
                  <c:v>826</c:v>
                </c:pt>
                <c:pt idx="117">
                  <c:v>1331</c:v>
                </c:pt>
                <c:pt idx="118">
                  <c:v>981</c:v>
                </c:pt>
                <c:pt idx="119">
                  <c:v>896</c:v>
                </c:pt>
                <c:pt idx="120">
                  <c:v>1060</c:v>
                </c:pt>
                <c:pt idx="121">
                  <c:v>849</c:v>
                </c:pt>
                <c:pt idx="122">
                  <c:v>907</c:v>
                </c:pt>
                <c:pt idx="123">
                  <c:v>1130</c:v>
                </c:pt>
                <c:pt idx="124">
                  <c:v>878</c:v>
                </c:pt>
                <c:pt idx="125">
                  <c:v>938</c:v>
                </c:pt>
                <c:pt idx="126">
                  <c:v>1156</c:v>
                </c:pt>
                <c:pt idx="127">
                  <c:v>925</c:v>
                </c:pt>
                <c:pt idx="128">
                  <c:v>972</c:v>
                </c:pt>
                <c:pt idx="129">
                  <c:v>1125</c:v>
                </c:pt>
                <c:pt idx="130">
                  <c:v>1076</c:v>
                </c:pt>
                <c:pt idx="131">
                  <c:v>960</c:v>
                </c:pt>
                <c:pt idx="132">
                  <c:v>1141</c:v>
                </c:pt>
                <c:pt idx="133">
                  <c:v>1020</c:v>
                </c:pt>
                <c:pt idx="134">
                  <c:v>899</c:v>
                </c:pt>
                <c:pt idx="135">
                  <c:v>1032</c:v>
                </c:pt>
                <c:pt idx="136">
                  <c:v>1005</c:v>
                </c:pt>
                <c:pt idx="137">
                  <c:v>1056</c:v>
                </c:pt>
                <c:pt idx="138">
                  <c:v>1355</c:v>
                </c:pt>
                <c:pt idx="139">
                  <c:v>837</c:v>
                </c:pt>
                <c:pt idx="140">
                  <c:v>1152</c:v>
                </c:pt>
                <c:pt idx="141">
                  <c:v>1381</c:v>
                </c:pt>
                <c:pt idx="142">
                  <c:v>1016</c:v>
                </c:pt>
                <c:pt idx="143">
                  <c:v>1162</c:v>
                </c:pt>
                <c:pt idx="144" formatCode="_(* #,##0_);_(* \(#,##0\);_(* &quot;-&quot;??_);_(@_)">
                  <c:v>2040</c:v>
                </c:pt>
                <c:pt idx="145">
                  <c:v>1025</c:v>
                </c:pt>
                <c:pt idx="146">
                  <c:v>1254</c:v>
                </c:pt>
                <c:pt idx="147">
                  <c:v>1827</c:v>
                </c:pt>
                <c:pt idx="148" formatCode="_(* #,##0_);_(* \(#,##0\);_(* &quot;-&quot;??_);_(@_)">
                  <c:v>1348</c:v>
                </c:pt>
                <c:pt idx="149" formatCode="_(* #,##0_);_(* \(#,##0\);_(* &quot;-&quot;??_);_(@_)">
                  <c:v>1543</c:v>
                </c:pt>
                <c:pt idx="150" formatCode="_(* #,##0_);_(* \(#,##0\);_(* &quot;-&quot;??_);_(@_)">
                  <c:v>1780</c:v>
                </c:pt>
                <c:pt idx="151" formatCode="_(* #,##0_);_(* \(#,##0\);_(* &quot;-&quot;??_);_(@_)">
                  <c:v>1558</c:v>
                </c:pt>
                <c:pt idx="152" formatCode="_(* #,##0_);_(* \(#,##0\);_(* &quot;-&quot;??_);_(@_)">
                  <c:v>1957</c:v>
                </c:pt>
                <c:pt idx="153" formatCode="_(* #,##0_);_(* \(#,##0\);_(* &quot;-&quot;??_);_(@_)">
                  <c:v>972</c:v>
                </c:pt>
                <c:pt idx="154" formatCode="_(* #,##0_);_(* \(#,##0\);_(* &quot;-&quot;??_);_(@_)">
                  <c:v>1447</c:v>
                </c:pt>
                <c:pt idx="155" formatCode="_(* #,##0_);_(* \(#,##0\);_(* &quot;-&quot;??_);_(@_)">
                  <c:v>1594</c:v>
                </c:pt>
                <c:pt idx="156">
                  <c:v>1536</c:v>
                </c:pt>
                <c:pt idx="157">
                  <c:v>1652</c:v>
                </c:pt>
                <c:pt idx="158">
                  <c:v>512</c:v>
                </c:pt>
                <c:pt idx="159">
                  <c:v>12</c:v>
                </c:pt>
                <c:pt idx="160">
                  <c:v>20</c:v>
                </c:pt>
                <c:pt idx="161">
                  <c:v>12</c:v>
                </c:pt>
                <c:pt idx="162">
                  <c:v>48</c:v>
                </c:pt>
                <c:pt idx="163">
                  <c:v>69</c:v>
                </c:pt>
                <c:pt idx="164">
                  <c:v>197</c:v>
                </c:pt>
                <c:pt idx="165">
                  <c:v>136</c:v>
                </c:pt>
                <c:pt idx="166">
                  <c:v>294</c:v>
                </c:pt>
                <c:pt idx="167">
                  <c:v>368</c:v>
                </c:pt>
                <c:pt idx="168">
                  <c:v>324</c:v>
                </c:pt>
                <c:pt idx="169">
                  <c:v>198</c:v>
                </c:pt>
                <c:pt idx="170">
                  <c:v>231</c:v>
                </c:pt>
                <c:pt idx="171">
                  <c:v>238</c:v>
                </c:pt>
                <c:pt idx="172">
                  <c:v>367</c:v>
                </c:pt>
              </c:numCache>
            </c:numRef>
          </c:val>
          <c:smooth val="0"/>
          <c:extLst>
            <c:ext xmlns:c16="http://schemas.microsoft.com/office/drawing/2014/chart" uri="{C3380CC4-5D6E-409C-BE32-E72D297353CC}">
              <c16:uniqueId val="{00000003-E690-4C59-A7C2-6B6BC695708B}"/>
            </c:ext>
          </c:extLst>
        </c:ser>
        <c:ser>
          <c:idx val="14"/>
          <c:order val="14"/>
          <c:tx>
            <c:strRef>
              <c:f>'Tendencias nacionalidad'!$C$68</c:f>
              <c:strCache>
                <c:ptCount val="1"/>
                <c:pt idx="0">
                  <c:v>Chile</c:v>
                </c:pt>
              </c:strCache>
            </c:strRef>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nacionalidad'!$D$68:$GA$68</c15:sqref>
                  </c15:fullRef>
                </c:ext>
              </c:extLst>
              <c:f>'Tendencias nacionalidad'!$D$68:$FT$68</c:f>
              <c:numCache>
                <c:formatCode>#,##0</c:formatCode>
                <c:ptCount val="173"/>
                <c:pt idx="0">
                  <c:v>802</c:v>
                </c:pt>
                <c:pt idx="1">
                  <c:v>792</c:v>
                </c:pt>
                <c:pt idx="2">
                  <c:v>587</c:v>
                </c:pt>
                <c:pt idx="3">
                  <c:v>506</c:v>
                </c:pt>
                <c:pt idx="4">
                  <c:v>581</c:v>
                </c:pt>
                <c:pt idx="5">
                  <c:v>629</c:v>
                </c:pt>
                <c:pt idx="6">
                  <c:v>849</c:v>
                </c:pt>
                <c:pt idx="7">
                  <c:v>779</c:v>
                </c:pt>
                <c:pt idx="8">
                  <c:v>784</c:v>
                </c:pt>
                <c:pt idx="9">
                  <c:v>779</c:v>
                </c:pt>
                <c:pt idx="10">
                  <c:v>668</c:v>
                </c:pt>
                <c:pt idx="11">
                  <c:v>701</c:v>
                </c:pt>
                <c:pt idx="12">
                  <c:v>1001</c:v>
                </c:pt>
                <c:pt idx="13">
                  <c:v>1416</c:v>
                </c:pt>
                <c:pt idx="14">
                  <c:v>639</c:v>
                </c:pt>
                <c:pt idx="15">
                  <c:v>628</c:v>
                </c:pt>
                <c:pt idx="16">
                  <c:v>690</c:v>
                </c:pt>
                <c:pt idx="17">
                  <c:v>720</c:v>
                </c:pt>
                <c:pt idx="18">
                  <c:v>888</c:v>
                </c:pt>
                <c:pt idx="19">
                  <c:v>967</c:v>
                </c:pt>
                <c:pt idx="20">
                  <c:v>909</c:v>
                </c:pt>
                <c:pt idx="21">
                  <c:v>1253</c:v>
                </c:pt>
                <c:pt idx="22">
                  <c:v>761</c:v>
                </c:pt>
                <c:pt idx="23">
                  <c:v>760</c:v>
                </c:pt>
                <c:pt idx="24">
                  <c:v>1134</c:v>
                </c:pt>
                <c:pt idx="25">
                  <c:v>933</c:v>
                </c:pt>
                <c:pt idx="26">
                  <c:v>642</c:v>
                </c:pt>
                <c:pt idx="27">
                  <c:v>704</c:v>
                </c:pt>
                <c:pt idx="28">
                  <c:v>710.5</c:v>
                </c:pt>
                <c:pt idx="29">
                  <c:v>717</c:v>
                </c:pt>
                <c:pt idx="30">
                  <c:v>970</c:v>
                </c:pt>
                <c:pt idx="31">
                  <c:v>720</c:v>
                </c:pt>
                <c:pt idx="32">
                  <c:v>889</c:v>
                </c:pt>
                <c:pt idx="33">
                  <c:v>728</c:v>
                </c:pt>
                <c:pt idx="34">
                  <c:v>715</c:v>
                </c:pt>
                <c:pt idx="35">
                  <c:v>609</c:v>
                </c:pt>
                <c:pt idx="36">
                  <c:v>929</c:v>
                </c:pt>
                <c:pt idx="37">
                  <c:v>1114</c:v>
                </c:pt>
                <c:pt idx="38">
                  <c:v>507</c:v>
                </c:pt>
                <c:pt idx="39">
                  <c:v>594</c:v>
                </c:pt>
                <c:pt idx="40">
                  <c:v>755</c:v>
                </c:pt>
                <c:pt idx="41">
                  <c:v>691</c:v>
                </c:pt>
                <c:pt idx="42">
                  <c:v>751</c:v>
                </c:pt>
                <c:pt idx="43">
                  <c:v>618</c:v>
                </c:pt>
                <c:pt idx="44">
                  <c:v>842</c:v>
                </c:pt>
                <c:pt idx="45">
                  <c:v>882</c:v>
                </c:pt>
                <c:pt idx="46">
                  <c:v>665</c:v>
                </c:pt>
                <c:pt idx="47">
                  <c:v>729</c:v>
                </c:pt>
                <c:pt idx="48">
                  <c:v>1099</c:v>
                </c:pt>
                <c:pt idx="49">
                  <c:v>1133</c:v>
                </c:pt>
                <c:pt idx="50">
                  <c:v>791</c:v>
                </c:pt>
                <c:pt idx="51">
                  <c:v>698</c:v>
                </c:pt>
                <c:pt idx="52">
                  <c:v>822</c:v>
                </c:pt>
                <c:pt idx="53">
                  <c:v>1050</c:v>
                </c:pt>
                <c:pt idx="54">
                  <c:v>1309</c:v>
                </c:pt>
                <c:pt idx="55">
                  <c:v>1070</c:v>
                </c:pt>
                <c:pt idx="56">
                  <c:v>936</c:v>
                </c:pt>
                <c:pt idx="57">
                  <c:v>966</c:v>
                </c:pt>
                <c:pt idx="58">
                  <c:v>790</c:v>
                </c:pt>
                <c:pt idx="59">
                  <c:v>1233</c:v>
                </c:pt>
                <c:pt idx="60">
                  <c:v>1072</c:v>
                </c:pt>
                <c:pt idx="61">
                  <c:v>1312</c:v>
                </c:pt>
                <c:pt idx="62">
                  <c:v>911</c:v>
                </c:pt>
                <c:pt idx="63">
                  <c:v>896</c:v>
                </c:pt>
                <c:pt idx="64">
                  <c:v>1004</c:v>
                </c:pt>
                <c:pt idx="65">
                  <c:v>1107</c:v>
                </c:pt>
                <c:pt idx="66">
                  <c:v>1277</c:v>
                </c:pt>
                <c:pt idx="67">
                  <c:v>1067</c:v>
                </c:pt>
                <c:pt idx="68">
                  <c:v>1066</c:v>
                </c:pt>
                <c:pt idx="69">
                  <c:v>2214</c:v>
                </c:pt>
                <c:pt idx="70">
                  <c:v>992</c:v>
                </c:pt>
                <c:pt idx="71">
                  <c:v>895</c:v>
                </c:pt>
                <c:pt idx="72">
                  <c:v>1139</c:v>
                </c:pt>
                <c:pt idx="73">
                  <c:v>1193</c:v>
                </c:pt>
                <c:pt idx="74">
                  <c:v>722</c:v>
                </c:pt>
                <c:pt idx="75">
                  <c:v>797</c:v>
                </c:pt>
                <c:pt idx="76">
                  <c:v>886</c:v>
                </c:pt>
                <c:pt idx="77">
                  <c:v>854</c:v>
                </c:pt>
                <c:pt idx="78">
                  <c:v>1141</c:v>
                </c:pt>
                <c:pt idx="79">
                  <c:v>1070</c:v>
                </c:pt>
                <c:pt idx="80">
                  <c:v>1090</c:v>
                </c:pt>
                <c:pt idx="81">
                  <c:v>1003</c:v>
                </c:pt>
                <c:pt idx="82">
                  <c:v>834</c:v>
                </c:pt>
                <c:pt idx="83">
                  <c:v>772</c:v>
                </c:pt>
                <c:pt idx="84">
                  <c:v>967</c:v>
                </c:pt>
                <c:pt idx="85">
                  <c:v>1087</c:v>
                </c:pt>
                <c:pt idx="86">
                  <c:v>951</c:v>
                </c:pt>
                <c:pt idx="87">
                  <c:v>958</c:v>
                </c:pt>
                <c:pt idx="88">
                  <c:v>1130</c:v>
                </c:pt>
                <c:pt idx="89">
                  <c:v>879</c:v>
                </c:pt>
                <c:pt idx="90">
                  <c:v>1213</c:v>
                </c:pt>
                <c:pt idx="91">
                  <c:v>1124</c:v>
                </c:pt>
                <c:pt idx="92">
                  <c:v>1100</c:v>
                </c:pt>
                <c:pt idx="93">
                  <c:v>1128</c:v>
                </c:pt>
                <c:pt idx="94">
                  <c:v>1166</c:v>
                </c:pt>
                <c:pt idx="95">
                  <c:v>1185</c:v>
                </c:pt>
                <c:pt idx="96">
                  <c:v>1056</c:v>
                </c:pt>
                <c:pt idx="97">
                  <c:v>1492</c:v>
                </c:pt>
                <c:pt idx="98">
                  <c:v>967</c:v>
                </c:pt>
                <c:pt idx="99">
                  <c:v>831</c:v>
                </c:pt>
                <c:pt idx="100">
                  <c:v>973</c:v>
                </c:pt>
                <c:pt idx="101">
                  <c:v>804</c:v>
                </c:pt>
                <c:pt idx="102">
                  <c:v>1001</c:v>
                </c:pt>
                <c:pt idx="103">
                  <c:v>697</c:v>
                </c:pt>
                <c:pt idx="104">
                  <c:v>700</c:v>
                </c:pt>
                <c:pt idx="105">
                  <c:v>837</c:v>
                </c:pt>
                <c:pt idx="106">
                  <c:v>824</c:v>
                </c:pt>
                <c:pt idx="107">
                  <c:v>804</c:v>
                </c:pt>
                <c:pt idx="108">
                  <c:v>874</c:v>
                </c:pt>
                <c:pt idx="109">
                  <c:v>931</c:v>
                </c:pt>
                <c:pt idx="110">
                  <c:v>634</c:v>
                </c:pt>
                <c:pt idx="111">
                  <c:v>630</c:v>
                </c:pt>
                <c:pt idx="112">
                  <c:v>593</c:v>
                </c:pt>
                <c:pt idx="113">
                  <c:v>783</c:v>
                </c:pt>
                <c:pt idx="114">
                  <c:v>933</c:v>
                </c:pt>
                <c:pt idx="115">
                  <c:v>646</c:v>
                </c:pt>
                <c:pt idx="116" formatCode="General">
                  <c:v>846</c:v>
                </c:pt>
                <c:pt idx="117">
                  <c:v>1359</c:v>
                </c:pt>
                <c:pt idx="118">
                  <c:v>938</c:v>
                </c:pt>
                <c:pt idx="119">
                  <c:v>883</c:v>
                </c:pt>
                <c:pt idx="120">
                  <c:v>1275</c:v>
                </c:pt>
                <c:pt idx="121">
                  <c:v>1308</c:v>
                </c:pt>
                <c:pt idx="122">
                  <c:v>867</c:v>
                </c:pt>
                <c:pt idx="123">
                  <c:v>810</c:v>
                </c:pt>
                <c:pt idx="124">
                  <c:v>726</c:v>
                </c:pt>
                <c:pt idx="125">
                  <c:v>709</c:v>
                </c:pt>
                <c:pt idx="126">
                  <c:v>1106</c:v>
                </c:pt>
                <c:pt idx="127">
                  <c:v>799</c:v>
                </c:pt>
                <c:pt idx="128">
                  <c:v>770</c:v>
                </c:pt>
                <c:pt idx="129">
                  <c:v>928</c:v>
                </c:pt>
                <c:pt idx="130">
                  <c:v>755</c:v>
                </c:pt>
                <c:pt idx="131">
                  <c:v>901</c:v>
                </c:pt>
                <c:pt idx="132">
                  <c:v>1141</c:v>
                </c:pt>
                <c:pt idx="133">
                  <c:v>1396</c:v>
                </c:pt>
                <c:pt idx="134">
                  <c:v>984</c:v>
                </c:pt>
                <c:pt idx="135">
                  <c:v>888</c:v>
                </c:pt>
                <c:pt idx="136">
                  <c:v>825</c:v>
                </c:pt>
                <c:pt idx="137">
                  <c:v>879</c:v>
                </c:pt>
                <c:pt idx="138">
                  <c:v>1124</c:v>
                </c:pt>
                <c:pt idx="139">
                  <c:v>824</c:v>
                </c:pt>
                <c:pt idx="140">
                  <c:v>945</c:v>
                </c:pt>
                <c:pt idx="141">
                  <c:v>1036</c:v>
                </c:pt>
                <c:pt idx="142">
                  <c:v>853</c:v>
                </c:pt>
                <c:pt idx="143">
                  <c:v>802</c:v>
                </c:pt>
                <c:pt idx="144" formatCode="_(* #,##0_);_(* \(#,##0\);_(* &quot;-&quot;??_);_(@_)">
                  <c:v>1003</c:v>
                </c:pt>
                <c:pt idx="145">
                  <c:v>1204</c:v>
                </c:pt>
                <c:pt idx="146">
                  <c:v>853</c:v>
                </c:pt>
                <c:pt idx="147">
                  <c:v>1299</c:v>
                </c:pt>
                <c:pt idx="148" formatCode="_(* #,##0_);_(* \(#,##0\);_(* &quot;-&quot;??_);_(@_)">
                  <c:v>1321</c:v>
                </c:pt>
                <c:pt idx="149" formatCode="_(* #,##0_);_(* \(#,##0\);_(* &quot;-&quot;??_);_(@_)">
                  <c:v>1452</c:v>
                </c:pt>
                <c:pt idx="150" formatCode="_(* #,##0_);_(* \(#,##0\);_(* &quot;-&quot;??_);_(@_)">
                  <c:v>1791</c:v>
                </c:pt>
                <c:pt idx="151" formatCode="_(* #,##0_);_(* \(#,##0\);_(* &quot;-&quot;??_);_(@_)">
                  <c:v>1495</c:v>
                </c:pt>
                <c:pt idx="152" formatCode="_(* #,##0_);_(* \(#,##0\);_(* &quot;-&quot;??_);_(@_)">
                  <c:v>1858</c:v>
                </c:pt>
                <c:pt idx="153" formatCode="_(* #,##0_);_(* \(#,##0\);_(* &quot;-&quot;??_);_(@_)">
                  <c:v>1132</c:v>
                </c:pt>
                <c:pt idx="154" formatCode="_(* #,##0_);_(* \(#,##0\);_(* &quot;-&quot;??_);_(@_)">
                  <c:v>1226</c:v>
                </c:pt>
                <c:pt idx="155" formatCode="_(* #,##0_);_(* \(#,##0\);_(* &quot;-&quot;??_);_(@_)">
                  <c:v>1409</c:v>
                </c:pt>
                <c:pt idx="156">
                  <c:v>1782</c:v>
                </c:pt>
                <c:pt idx="157">
                  <c:v>1775</c:v>
                </c:pt>
                <c:pt idx="158">
                  <c:v>541</c:v>
                </c:pt>
                <c:pt idx="159">
                  <c:v>13</c:v>
                </c:pt>
                <c:pt idx="160">
                  <c:v>9</c:v>
                </c:pt>
                <c:pt idx="161">
                  <c:v>19</c:v>
                </c:pt>
                <c:pt idx="162">
                  <c:v>29</c:v>
                </c:pt>
                <c:pt idx="163">
                  <c:v>30</c:v>
                </c:pt>
                <c:pt idx="164">
                  <c:v>64</c:v>
                </c:pt>
                <c:pt idx="165">
                  <c:v>142</c:v>
                </c:pt>
                <c:pt idx="166">
                  <c:v>127</c:v>
                </c:pt>
                <c:pt idx="167">
                  <c:v>326</c:v>
                </c:pt>
                <c:pt idx="168">
                  <c:v>263</c:v>
                </c:pt>
                <c:pt idx="169">
                  <c:v>165</c:v>
                </c:pt>
                <c:pt idx="170">
                  <c:v>208</c:v>
                </c:pt>
                <c:pt idx="171">
                  <c:v>113</c:v>
                </c:pt>
                <c:pt idx="172">
                  <c:v>145</c:v>
                </c:pt>
              </c:numCache>
            </c:numRef>
          </c:val>
          <c:smooth val="0"/>
          <c:extLst>
            <c:ext xmlns:c16="http://schemas.microsoft.com/office/drawing/2014/chart" uri="{C3380CC4-5D6E-409C-BE32-E72D297353CC}">
              <c16:uniqueId val="{00000004-E690-4C59-A7C2-6B6BC695708B}"/>
            </c:ext>
          </c:extLst>
        </c:ser>
        <c:dLbls>
          <c:showLegendKey val="0"/>
          <c:showVal val="0"/>
          <c:showCatName val="0"/>
          <c:showSerName val="0"/>
          <c:showPercent val="0"/>
          <c:showBubbleSize val="0"/>
        </c:dLbls>
        <c:marker val="1"/>
        <c:smooth val="0"/>
        <c:axId val="939981295"/>
        <c:axId val="939983375"/>
        <c:extLst>
          <c:ext xmlns:c15="http://schemas.microsoft.com/office/drawing/2012/chart" uri="{02D57815-91ED-43cb-92C2-25804820EDAC}">
            <c15:filteredLineSeries>
              <c15:ser>
                <c:idx val="0"/>
                <c:order val="0"/>
                <c:tx>
                  <c:strRef>
                    <c:extLst>
                      <c:ext uri="{02D57815-91ED-43cb-92C2-25804820EDAC}">
                        <c15:formulaRef>
                          <c15:sqref>'Tendencias nacionalidad'!$C$54</c15:sqref>
                        </c15:formulaRef>
                      </c:ext>
                    </c:extLst>
                    <c:strCache>
                      <c:ptCount val="1"/>
                      <c:pt idx="0">
                        <c:v>Estados Unidos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extLst>
                      <c:ex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uri="{02D57815-91ED-43cb-92C2-25804820EDAC}">
                        <c15:fullRef>
                          <c15:sqref>'Tendencias nacionalidad'!$D$54:$GA$54</c15:sqref>
                        </c15:fullRef>
                        <c15:formulaRef>
                          <c15:sqref>'Tendencias nacionalidad'!$D$54:$FT$54</c15:sqref>
                        </c15:formulaRef>
                      </c:ext>
                    </c:extLst>
                    <c:numCache>
                      <c:formatCode>#,##0</c:formatCode>
                      <c:ptCount val="173"/>
                      <c:pt idx="0">
                        <c:v>7760</c:v>
                      </c:pt>
                      <c:pt idx="1">
                        <c:v>7608</c:v>
                      </c:pt>
                      <c:pt idx="2">
                        <c:v>9828</c:v>
                      </c:pt>
                      <c:pt idx="3">
                        <c:v>7137</c:v>
                      </c:pt>
                      <c:pt idx="4">
                        <c:v>8490</c:v>
                      </c:pt>
                      <c:pt idx="5">
                        <c:v>14706</c:v>
                      </c:pt>
                      <c:pt idx="6">
                        <c:v>16146</c:v>
                      </c:pt>
                      <c:pt idx="7">
                        <c:v>12359</c:v>
                      </c:pt>
                      <c:pt idx="8">
                        <c:v>6638</c:v>
                      </c:pt>
                      <c:pt idx="9">
                        <c:v>7413</c:v>
                      </c:pt>
                      <c:pt idx="10">
                        <c:v>8563</c:v>
                      </c:pt>
                      <c:pt idx="11">
                        <c:v>11317</c:v>
                      </c:pt>
                      <c:pt idx="12">
                        <c:v>10075</c:v>
                      </c:pt>
                      <c:pt idx="13">
                        <c:v>13044</c:v>
                      </c:pt>
                      <c:pt idx="14">
                        <c:v>11621</c:v>
                      </c:pt>
                      <c:pt idx="15">
                        <c:v>8418</c:v>
                      </c:pt>
                      <c:pt idx="16">
                        <c:v>11294</c:v>
                      </c:pt>
                      <c:pt idx="17">
                        <c:v>18034</c:v>
                      </c:pt>
                      <c:pt idx="18">
                        <c:v>16699</c:v>
                      </c:pt>
                      <c:pt idx="19">
                        <c:v>12325</c:v>
                      </c:pt>
                      <c:pt idx="20">
                        <c:v>7659</c:v>
                      </c:pt>
                      <c:pt idx="21">
                        <c:v>7702</c:v>
                      </c:pt>
                      <c:pt idx="22">
                        <c:v>8570</c:v>
                      </c:pt>
                      <c:pt idx="23">
                        <c:v>11704</c:v>
                      </c:pt>
                      <c:pt idx="24">
                        <c:v>9962</c:v>
                      </c:pt>
                      <c:pt idx="25">
                        <c:v>9139</c:v>
                      </c:pt>
                      <c:pt idx="26">
                        <c:v>10302</c:v>
                      </c:pt>
                      <c:pt idx="27">
                        <c:v>8924</c:v>
                      </c:pt>
                      <c:pt idx="28">
                        <c:v>12993</c:v>
                      </c:pt>
                      <c:pt idx="29">
                        <c:v>17062</c:v>
                      </c:pt>
                      <c:pt idx="30">
                        <c:v>16655</c:v>
                      </c:pt>
                      <c:pt idx="31">
                        <c:v>11416</c:v>
                      </c:pt>
                      <c:pt idx="32">
                        <c:v>6635</c:v>
                      </c:pt>
                      <c:pt idx="33">
                        <c:v>7211</c:v>
                      </c:pt>
                      <c:pt idx="34">
                        <c:v>7598</c:v>
                      </c:pt>
                      <c:pt idx="35">
                        <c:v>11858</c:v>
                      </c:pt>
                      <c:pt idx="36">
                        <c:v>9232</c:v>
                      </c:pt>
                      <c:pt idx="37">
                        <c:v>8487</c:v>
                      </c:pt>
                      <c:pt idx="38">
                        <c:v>10219</c:v>
                      </c:pt>
                      <c:pt idx="39">
                        <c:v>7810</c:v>
                      </c:pt>
                      <c:pt idx="40">
                        <c:v>10758</c:v>
                      </c:pt>
                      <c:pt idx="41">
                        <c:v>15930</c:v>
                      </c:pt>
                      <c:pt idx="42">
                        <c:v>15799</c:v>
                      </c:pt>
                      <c:pt idx="43">
                        <c:v>10584</c:v>
                      </c:pt>
                      <c:pt idx="44">
                        <c:v>6327</c:v>
                      </c:pt>
                      <c:pt idx="45">
                        <c:v>7725</c:v>
                      </c:pt>
                      <c:pt idx="46">
                        <c:v>7556</c:v>
                      </c:pt>
                      <c:pt idx="47">
                        <c:v>11437</c:v>
                      </c:pt>
                      <c:pt idx="48">
                        <c:v>9093</c:v>
                      </c:pt>
                      <c:pt idx="49">
                        <c:v>9118</c:v>
                      </c:pt>
                      <c:pt idx="50">
                        <c:v>11492</c:v>
                      </c:pt>
                      <c:pt idx="51">
                        <c:v>9029</c:v>
                      </c:pt>
                      <c:pt idx="52">
                        <c:v>11497</c:v>
                      </c:pt>
                      <c:pt idx="53">
                        <c:v>16581</c:v>
                      </c:pt>
                      <c:pt idx="54">
                        <c:v>16087</c:v>
                      </c:pt>
                      <c:pt idx="55">
                        <c:v>10842</c:v>
                      </c:pt>
                      <c:pt idx="56">
                        <c:v>6954</c:v>
                      </c:pt>
                      <c:pt idx="57">
                        <c:v>7874</c:v>
                      </c:pt>
                      <c:pt idx="58">
                        <c:v>8957</c:v>
                      </c:pt>
                      <c:pt idx="59">
                        <c:v>12798</c:v>
                      </c:pt>
                      <c:pt idx="60">
                        <c:v>9054</c:v>
                      </c:pt>
                      <c:pt idx="61">
                        <c:v>8325</c:v>
                      </c:pt>
                      <c:pt idx="62">
                        <c:v>11925</c:v>
                      </c:pt>
                      <c:pt idx="63">
                        <c:v>9068</c:v>
                      </c:pt>
                      <c:pt idx="64">
                        <c:v>11902</c:v>
                      </c:pt>
                      <c:pt idx="65">
                        <c:v>18638</c:v>
                      </c:pt>
                      <c:pt idx="66">
                        <c:v>18162</c:v>
                      </c:pt>
                      <c:pt idx="67">
                        <c:v>12296</c:v>
                      </c:pt>
                      <c:pt idx="68">
                        <c:v>8393</c:v>
                      </c:pt>
                      <c:pt idx="69">
                        <c:v>9607</c:v>
                      </c:pt>
                      <c:pt idx="70">
                        <c:v>9130</c:v>
                      </c:pt>
                      <c:pt idx="71">
                        <c:v>14125</c:v>
                      </c:pt>
                      <c:pt idx="72">
                        <c:v>11222</c:v>
                      </c:pt>
                      <c:pt idx="73">
                        <c:v>10182</c:v>
                      </c:pt>
                      <c:pt idx="74">
                        <c:v>12798</c:v>
                      </c:pt>
                      <c:pt idx="75">
                        <c:v>8722</c:v>
                      </c:pt>
                      <c:pt idx="76">
                        <c:v>11830</c:v>
                      </c:pt>
                      <c:pt idx="77">
                        <c:v>18551</c:v>
                      </c:pt>
                      <c:pt idx="78">
                        <c:v>17188</c:v>
                      </c:pt>
                      <c:pt idx="79">
                        <c:v>11501</c:v>
                      </c:pt>
                      <c:pt idx="80">
                        <c:v>8067</c:v>
                      </c:pt>
                      <c:pt idx="81">
                        <c:v>9168</c:v>
                      </c:pt>
                      <c:pt idx="82">
                        <c:v>8606</c:v>
                      </c:pt>
                      <c:pt idx="83">
                        <c:v>13760</c:v>
                      </c:pt>
                      <c:pt idx="84">
                        <c:v>10287</c:v>
                      </c:pt>
                      <c:pt idx="85">
                        <c:v>10836</c:v>
                      </c:pt>
                      <c:pt idx="86">
                        <c:v>12287</c:v>
                      </c:pt>
                      <c:pt idx="87">
                        <c:v>9534</c:v>
                      </c:pt>
                      <c:pt idx="88">
                        <c:v>12241</c:v>
                      </c:pt>
                      <c:pt idx="89">
                        <c:v>19418</c:v>
                      </c:pt>
                      <c:pt idx="90">
                        <c:v>18361</c:v>
                      </c:pt>
                      <c:pt idx="91">
                        <c:v>11442</c:v>
                      </c:pt>
                      <c:pt idx="92">
                        <c:v>7926</c:v>
                      </c:pt>
                      <c:pt idx="93">
                        <c:v>9349</c:v>
                      </c:pt>
                      <c:pt idx="94">
                        <c:v>9325</c:v>
                      </c:pt>
                      <c:pt idx="95">
                        <c:v>16124</c:v>
                      </c:pt>
                      <c:pt idx="96">
                        <c:v>13066</c:v>
                      </c:pt>
                      <c:pt idx="97">
                        <c:v>11670</c:v>
                      </c:pt>
                      <c:pt idx="98">
                        <c:v>13778</c:v>
                      </c:pt>
                      <c:pt idx="99">
                        <c:v>10311</c:v>
                      </c:pt>
                      <c:pt idx="100">
                        <c:v>13333</c:v>
                      </c:pt>
                      <c:pt idx="101">
                        <c:v>20663</c:v>
                      </c:pt>
                      <c:pt idx="102">
                        <c:v>21177</c:v>
                      </c:pt>
                      <c:pt idx="103">
                        <c:v>12790</c:v>
                      </c:pt>
                      <c:pt idx="104">
                        <c:v>8295</c:v>
                      </c:pt>
                      <c:pt idx="105">
                        <c:v>10454</c:v>
                      </c:pt>
                      <c:pt idx="106">
                        <c:v>10526</c:v>
                      </c:pt>
                      <c:pt idx="107">
                        <c:v>17781</c:v>
                      </c:pt>
                      <c:pt idx="108">
                        <c:v>13010</c:v>
                      </c:pt>
                      <c:pt idx="109">
                        <c:v>12991</c:v>
                      </c:pt>
                      <c:pt idx="110">
                        <c:v>16523</c:v>
                      </c:pt>
                      <c:pt idx="111">
                        <c:v>11438</c:v>
                      </c:pt>
                      <c:pt idx="112">
                        <c:v>14743</c:v>
                      </c:pt>
                      <c:pt idx="113">
                        <c:v>22278</c:v>
                      </c:pt>
                      <c:pt idx="114">
                        <c:v>20718</c:v>
                      </c:pt>
                      <c:pt idx="115">
                        <c:v>12747</c:v>
                      </c:pt>
                      <c:pt idx="116" formatCode="General">
                        <c:v>8085</c:v>
                      </c:pt>
                      <c:pt idx="117">
                        <c:v>8608</c:v>
                      </c:pt>
                      <c:pt idx="118">
                        <c:v>8458</c:v>
                      </c:pt>
                      <c:pt idx="119">
                        <c:v>14249</c:v>
                      </c:pt>
                      <c:pt idx="120">
                        <c:v>10839</c:v>
                      </c:pt>
                      <c:pt idx="121">
                        <c:v>9438</c:v>
                      </c:pt>
                      <c:pt idx="122">
                        <c:v>12542</c:v>
                      </c:pt>
                      <c:pt idx="123">
                        <c:v>10543</c:v>
                      </c:pt>
                      <c:pt idx="124">
                        <c:v>11258</c:v>
                      </c:pt>
                      <c:pt idx="125">
                        <c:v>20272</c:v>
                      </c:pt>
                      <c:pt idx="126">
                        <c:v>17940</c:v>
                      </c:pt>
                      <c:pt idx="127">
                        <c:v>10624</c:v>
                      </c:pt>
                      <c:pt idx="128">
                        <c:v>7285</c:v>
                      </c:pt>
                      <c:pt idx="129">
                        <c:v>7872</c:v>
                      </c:pt>
                      <c:pt idx="130">
                        <c:v>8957</c:v>
                      </c:pt>
                      <c:pt idx="131">
                        <c:v>14636</c:v>
                      </c:pt>
                      <c:pt idx="132">
                        <c:v>11180</c:v>
                      </c:pt>
                      <c:pt idx="133">
                        <c:v>10692</c:v>
                      </c:pt>
                      <c:pt idx="134">
                        <c:v>15555</c:v>
                      </c:pt>
                      <c:pt idx="135">
                        <c:v>9707</c:v>
                      </c:pt>
                      <c:pt idx="136">
                        <c:v>13514</c:v>
                      </c:pt>
                      <c:pt idx="137">
                        <c:v>21285</c:v>
                      </c:pt>
                      <c:pt idx="138">
                        <c:v>17119</c:v>
                      </c:pt>
                      <c:pt idx="139">
                        <c:v>10772</c:v>
                      </c:pt>
                      <c:pt idx="140">
                        <c:v>7523</c:v>
                      </c:pt>
                      <c:pt idx="141">
                        <c:v>8091</c:v>
                      </c:pt>
                      <c:pt idx="142">
                        <c:v>8887</c:v>
                      </c:pt>
                      <c:pt idx="143">
                        <c:v>14417</c:v>
                      </c:pt>
                      <c:pt idx="144" formatCode="_(* #,##0_);_(* \(#,##0\);_(* &quot;-&quot;??_);_(@_)">
                        <c:v>11535</c:v>
                      </c:pt>
                      <c:pt idx="145">
                        <c:v>10029</c:v>
                      </c:pt>
                      <c:pt idx="146">
                        <c:v>13852</c:v>
                      </c:pt>
                      <c:pt idx="147">
                        <c:v>10247</c:v>
                      </c:pt>
                      <c:pt idx="148" formatCode="_(* #,##0_);_(* \(#,##0\);_(* &quot;-&quot;??_);_(@_)">
                        <c:v>10194</c:v>
                      </c:pt>
                      <c:pt idx="149" formatCode="_(* #,##0_);_(* \(#,##0\);_(* &quot;-&quot;??_);_(@_)">
                        <c:v>27252</c:v>
                      </c:pt>
                      <c:pt idx="150" formatCode="_(* #,##0_);_(* \(#,##0\);_(* &quot;-&quot;??_);_(@_)">
                        <c:v>24033</c:v>
                      </c:pt>
                      <c:pt idx="151" formatCode="_(* #,##0_);_(* \(#,##0\);_(* &quot;-&quot;??_);_(@_)">
                        <c:v>16389</c:v>
                      </c:pt>
                      <c:pt idx="152" formatCode="_(* #,##0_);_(* \(#,##0\);_(* &quot;-&quot;??_);_(@_)">
                        <c:v>12076</c:v>
                      </c:pt>
                      <c:pt idx="153" formatCode="_(* #,##0_);_(* \(#,##0\);_(* &quot;-&quot;??_);_(@_)">
                        <c:v>10654</c:v>
                      </c:pt>
                      <c:pt idx="154" formatCode="_(* #,##0_);_(* \(#,##0\);_(* &quot;-&quot;??_);_(@_)">
                        <c:v>13694</c:v>
                      </c:pt>
                      <c:pt idx="155" formatCode="_(* #,##0_);_(* \(#,##0\);_(* &quot;-&quot;??_);_(@_)">
                        <c:v>20560</c:v>
                      </c:pt>
                      <c:pt idx="156">
                        <c:v>15918</c:v>
                      </c:pt>
                      <c:pt idx="157">
                        <c:v>16475</c:v>
                      </c:pt>
                      <c:pt idx="158">
                        <c:v>6730</c:v>
                      </c:pt>
                      <c:pt idx="159">
                        <c:v>88</c:v>
                      </c:pt>
                      <c:pt idx="160">
                        <c:v>146</c:v>
                      </c:pt>
                      <c:pt idx="161">
                        <c:v>570</c:v>
                      </c:pt>
                      <c:pt idx="162">
                        <c:v>1194</c:v>
                      </c:pt>
                      <c:pt idx="163">
                        <c:v>1377</c:v>
                      </c:pt>
                      <c:pt idx="164">
                        <c:v>1707</c:v>
                      </c:pt>
                      <c:pt idx="165">
                        <c:v>2600</c:v>
                      </c:pt>
                      <c:pt idx="166">
                        <c:v>3904</c:v>
                      </c:pt>
                      <c:pt idx="167">
                        <c:v>7006</c:v>
                      </c:pt>
                      <c:pt idx="168">
                        <c:v>4551</c:v>
                      </c:pt>
                      <c:pt idx="169">
                        <c:v>3828</c:v>
                      </c:pt>
                      <c:pt idx="170">
                        <c:v>5327</c:v>
                      </c:pt>
                      <c:pt idx="171">
                        <c:v>5475</c:v>
                      </c:pt>
                      <c:pt idx="172">
                        <c:v>6558</c:v>
                      </c:pt>
                    </c:numCache>
                  </c:numRef>
                </c:val>
                <c:smooth val="0"/>
                <c:extLst>
                  <c:ext xmlns:c16="http://schemas.microsoft.com/office/drawing/2014/chart" uri="{C3380CC4-5D6E-409C-BE32-E72D297353CC}">
                    <c16:uniqueId val="{00000005-E690-4C59-A7C2-6B6BC695708B}"/>
                  </c:ext>
                </c:extLst>
              </c15:ser>
            </c15:filteredLineSeries>
            <c15:filteredLineSeries>
              <c15:ser>
                <c:idx val="2"/>
                <c:order val="2"/>
                <c:tx>
                  <c:strRef>
                    <c:extLst xmlns:c15="http://schemas.microsoft.com/office/drawing/2012/chart">
                      <c:ext xmlns:c15="http://schemas.microsoft.com/office/drawing/2012/chart" uri="{02D57815-91ED-43cb-92C2-25804820EDAC}">
                        <c15:formulaRef>
                          <c15:sqref>'Tendencias nacionalidad'!$C$56</c15:sqref>
                        </c15:formulaRef>
                      </c:ext>
                    </c:extLst>
                    <c:strCache>
                      <c:ptCount val="1"/>
                      <c:pt idx="0">
                        <c:v>España</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nacionalidad'!$D$56:$GA$56</c15:sqref>
                        </c15:fullRef>
                        <c15:formulaRef>
                          <c15:sqref>'Tendencias nacionalidad'!$D$56:$FT$56</c15:sqref>
                        </c15:formulaRef>
                      </c:ext>
                    </c:extLst>
                    <c:numCache>
                      <c:formatCode>#,##0</c:formatCode>
                      <c:ptCount val="173"/>
                      <c:pt idx="0">
                        <c:v>1324</c:v>
                      </c:pt>
                      <c:pt idx="1">
                        <c:v>1555</c:v>
                      </c:pt>
                      <c:pt idx="2">
                        <c:v>1410</c:v>
                      </c:pt>
                      <c:pt idx="3">
                        <c:v>1429</c:v>
                      </c:pt>
                      <c:pt idx="4">
                        <c:v>1418</c:v>
                      </c:pt>
                      <c:pt idx="5">
                        <c:v>2607</c:v>
                      </c:pt>
                      <c:pt idx="6">
                        <c:v>2835</c:v>
                      </c:pt>
                      <c:pt idx="7">
                        <c:v>2685</c:v>
                      </c:pt>
                      <c:pt idx="8">
                        <c:v>2112</c:v>
                      </c:pt>
                      <c:pt idx="9">
                        <c:v>1839</c:v>
                      </c:pt>
                      <c:pt idx="10">
                        <c:v>2329</c:v>
                      </c:pt>
                      <c:pt idx="11">
                        <c:v>2088</c:v>
                      </c:pt>
                      <c:pt idx="12">
                        <c:v>1837</c:v>
                      </c:pt>
                      <c:pt idx="13">
                        <c:v>2639</c:v>
                      </c:pt>
                      <c:pt idx="14">
                        <c:v>1865</c:v>
                      </c:pt>
                      <c:pt idx="15">
                        <c:v>1646</c:v>
                      </c:pt>
                      <c:pt idx="16">
                        <c:v>2039</c:v>
                      </c:pt>
                      <c:pt idx="17">
                        <c:v>3303</c:v>
                      </c:pt>
                      <c:pt idx="18">
                        <c:v>2996</c:v>
                      </c:pt>
                      <c:pt idx="19">
                        <c:v>3169</c:v>
                      </c:pt>
                      <c:pt idx="20">
                        <c:v>2100</c:v>
                      </c:pt>
                      <c:pt idx="21">
                        <c:v>1903</c:v>
                      </c:pt>
                      <c:pt idx="22">
                        <c:v>2662</c:v>
                      </c:pt>
                      <c:pt idx="23">
                        <c:v>1902</c:v>
                      </c:pt>
                      <c:pt idx="24">
                        <c:v>2189</c:v>
                      </c:pt>
                      <c:pt idx="25">
                        <c:v>2306</c:v>
                      </c:pt>
                      <c:pt idx="26">
                        <c:v>2100</c:v>
                      </c:pt>
                      <c:pt idx="27">
                        <c:v>2003</c:v>
                      </c:pt>
                      <c:pt idx="28">
                        <c:v>3328</c:v>
                      </c:pt>
                      <c:pt idx="29">
                        <c:v>4653</c:v>
                      </c:pt>
                      <c:pt idx="30">
                        <c:v>3137</c:v>
                      </c:pt>
                      <c:pt idx="31">
                        <c:v>3497</c:v>
                      </c:pt>
                      <c:pt idx="32">
                        <c:v>2351</c:v>
                      </c:pt>
                      <c:pt idx="33">
                        <c:v>2125</c:v>
                      </c:pt>
                      <c:pt idx="34">
                        <c:v>2575</c:v>
                      </c:pt>
                      <c:pt idx="35">
                        <c:v>2250</c:v>
                      </c:pt>
                      <c:pt idx="36">
                        <c:v>2074</c:v>
                      </c:pt>
                      <c:pt idx="37">
                        <c:v>2222</c:v>
                      </c:pt>
                      <c:pt idx="38">
                        <c:v>2157</c:v>
                      </c:pt>
                      <c:pt idx="39">
                        <c:v>1650</c:v>
                      </c:pt>
                      <c:pt idx="40">
                        <c:v>2169</c:v>
                      </c:pt>
                      <c:pt idx="41">
                        <c:v>4211</c:v>
                      </c:pt>
                      <c:pt idx="42">
                        <c:v>3416</c:v>
                      </c:pt>
                      <c:pt idx="43">
                        <c:v>3730</c:v>
                      </c:pt>
                      <c:pt idx="44">
                        <c:v>2638</c:v>
                      </c:pt>
                      <c:pt idx="45">
                        <c:v>2451</c:v>
                      </c:pt>
                      <c:pt idx="46">
                        <c:v>2709</c:v>
                      </c:pt>
                      <c:pt idx="47">
                        <c:v>2407</c:v>
                      </c:pt>
                      <c:pt idx="48">
                        <c:v>2245</c:v>
                      </c:pt>
                      <c:pt idx="49">
                        <c:v>2360</c:v>
                      </c:pt>
                      <c:pt idx="50">
                        <c:v>1994</c:v>
                      </c:pt>
                      <c:pt idx="51">
                        <c:v>2054</c:v>
                      </c:pt>
                      <c:pt idx="52">
                        <c:v>1974</c:v>
                      </c:pt>
                      <c:pt idx="53">
                        <c:v>4580</c:v>
                      </c:pt>
                      <c:pt idx="54">
                        <c:v>3668</c:v>
                      </c:pt>
                      <c:pt idx="55">
                        <c:v>3797</c:v>
                      </c:pt>
                      <c:pt idx="56">
                        <c:v>2808</c:v>
                      </c:pt>
                      <c:pt idx="57">
                        <c:v>2386</c:v>
                      </c:pt>
                      <c:pt idx="58">
                        <c:v>2699</c:v>
                      </c:pt>
                      <c:pt idx="59">
                        <c:v>2363</c:v>
                      </c:pt>
                      <c:pt idx="60">
                        <c:v>2062</c:v>
                      </c:pt>
                      <c:pt idx="61">
                        <c:v>2453</c:v>
                      </c:pt>
                      <c:pt idx="62">
                        <c:v>2219</c:v>
                      </c:pt>
                      <c:pt idx="63">
                        <c:v>2379</c:v>
                      </c:pt>
                      <c:pt idx="64">
                        <c:v>2483</c:v>
                      </c:pt>
                      <c:pt idx="65">
                        <c:v>4629</c:v>
                      </c:pt>
                      <c:pt idx="66">
                        <c:v>3352</c:v>
                      </c:pt>
                      <c:pt idx="67">
                        <c:v>3785</c:v>
                      </c:pt>
                      <c:pt idx="68">
                        <c:v>3170</c:v>
                      </c:pt>
                      <c:pt idx="69">
                        <c:v>2516</c:v>
                      </c:pt>
                      <c:pt idx="70">
                        <c:v>2627</c:v>
                      </c:pt>
                      <c:pt idx="71">
                        <c:v>2343</c:v>
                      </c:pt>
                      <c:pt idx="72">
                        <c:v>2275</c:v>
                      </c:pt>
                      <c:pt idx="73">
                        <c:v>2408</c:v>
                      </c:pt>
                      <c:pt idx="74">
                        <c:v>2259</c:v>
                      </c:pt>
                      <c:pt idx="75">
                        <c:v>2051</c:v>
                      </c:pt>
                      <c:pt idx="76">
                        <c:v>2962</c:v>
                      </c:pt>
                      <c:pt idx="77">
                        <c:v>4633</c:v>
                      </c:pt>
                      <c:pt idx="78">
                        <c:v>3650</c:v>
                      </c:pt>
                      <c:pt idx="79">
                        <c:v>3942</c:v>
                      </c:pt>
                      <c:pt idx="80">
                        <c:v>3578</c:v>
                      </c:pt>
                      <c:pt idx="81">
                        <c:v>2866</c:v>
                      </c:pt>
                      <c:pt idx="82">
                        <c:v>3622</c:v>
                      </c:pt>
                      <c:pt idx="83">
                        <c:v>3262</c:v>
                      </c:pt>
                      <c:pt idx="84">
                        <c:v>4693</c:v>
                      </c:pt>
                      <c:pt idx="85">
                        <c:v>3329</c:v>
                      </c:pt>
                      <c:pt idx="86">
                        <c:v>3172</c:v>
                      </c:pt>
                      <c:pt idx="87">
                        <c:v>2855</c:v>
                      </c:pt>
                      <c:pt idx="88">
                        <c:v>3070</c:v>
                      </c:pt>
                      <c:pt idx="89">
                        <c:v>1437</c:v>
                      </c:pt>
                      <c:pt idx="90">
                        <c:v>4812</c:v>
                      </c:pt>
                      <c:pt idx="91">
                        <c:v>4547</c:v>
                      </c:pt>
                      <c:pt idx="92">
                        <c:v>3616</c:v>
                      </c:pt>
                      <c:pt idx="93">
                        <c:v>3498</c:v>
                      </c:pt>
                      <c:pt idx="94">
                        <c:v>3618</c:v>
                      </c:pt>
                      <c:pt idx="95">
                        <c:v>3484</c:v>
                      </c:pt>
                      <c:pt idx="96">
                        <c:v>3113</c:v>
                      </c:pt>
                      <c:pt idx="97">
                        <c:v>3325</c:v>
                      </c:pt>
                      <c:pt idx="98">
                        <c:v>3195</c:v>
                      </c:pt>
                      <c:pt idx="99">
                        <c:v>2623</c:v>
                      </c:pt>
                      <c:pt idx="100">
                        <c:v>3137</c:v>
                      </c:pt>
                      <c:pt idx="101">
                        <c:v>5235</c:v>
                      </c:pt>
                      <c:pt idx="102">
                        <c:v>4766</c:v>
                      </c:pt>
                      <c:pt idx="103">
                        <c:v>4153</c:v>
                      </c:pt>
                      <c:pt idx="104">
                        <c:v>3633</c:v>
                      </c:pt>
                      <c:pt idx="105">
                        <c:v>3383</c:v>
                      </c:pt>
                      <c:pt idx="106">
                        <c:v>3320</c:v>
                      </c:pt>
                      <c:pt idx="107">
                        <c:v>3878</c:v>
                      </c:pt>
                      <c:pt idx="108">
                        <c:v>2964</c:v>
                      </c:pt>
                      <c:pt idx="109">
                        <c:v>3137</c:v>
                      </c:pt>
                      <c:pt idx="110">
                        <c:v>3077</c:v>
                      </c:pt>
                      <c:pt idx="111">
                        <c:v>2577</c:v>
                      </c:pt>
                      <c:pt idx="112">
                        <c:v>2847</c:v>
                      </c:pt>
                      <c:pt idx="113">
                        <c:v>5765</c:v>
                      </c:pt>
                      <c:pt idx="114">
                        <c:v>4826</c:v>
                      </c:pt>
                      <c:pt idx="115">
                        <c:v>4045</c:v>
                      </c:pt>
                      <c:pt idx="116" formatCode="General">
                        <c:v>2741</c:v>
                      </c:pt>
                      <c:pt idx="117">
                        <c:v>2404</c:v>
                      </c:pt>
                      <c:pt idx="118">
                        <c:v>2367</c:v>
                      </c:pt>
                      <c:pt idx="119">
                        <c:v>2423</c:v>
                      </c:pt>
                      <c:pt idx="120">
                        <c:v>1937</c:v>
                      </c:pt>
                      <c:pt idx="121">
                        <c:v>1872</c:v>
                      </c:pt>
                      <c:pt idx="122">
                        <c:v>1901</c:v>
                      </c:pt>
                      <c:pt idx="123">
                        <c:v>2061</c:v>
                      </c:pt>
                      <c:pt idx="124">
                        <c:v>1740</c:v>
                      </c:pt>
                      <c:pt idx="125">
                        <c:v>3360</c:v>
                      </c:pt>
                      <c:pt idx="126">
                        <c:v>2960</c:v>
                      </c:pt>
                      <c:pt idx="127">
                        <c:v>2392</c:v>
                      </c:pt>
                      <c:pt idx="128">
                        <c:v>2217</c:v>
                      </c:pt>
                      <c:pt idx="129">
                        <c:v>2173</c:v>
                      </c:pt>
                      <c:pt idx="130">
                        <c:v>2397</c:v>
                      </c:pt>
                      <c:pt idx="131">
                        <c:v>2655</c:v>
                      </c:pt>
                      <c:pt idx="132">
                        <c:v>2327</c:v>
                      </c:pt>
                      <c:pt idx="133">
                        <c:v>2245</c:v>
                      </c:pt>
                      <c:pt idx="134">
                        <c:v>2500</c:v>
                      </c:pt>
                      <c:pt idx="135">
                        <c:v>2062</c:v>
                      </c:pt>
                      <c:pt idx="136">
                        <c:v>2145</c:v>
                      </c:pt>
                      <c:pt idx="137">
                        <c:v>3948</c:v>
                      </c:pt>
                      <c:pt idx="138">
                        <c:v>3670</c:v>
                      </c:pt>
                      <c:pt idx="139">
                        <c:v>3213</c:v>
                      </c:pt>
                      <c:pt idx="140">
                        <c:v>2579</c:v>
                      </c:pt>
                      <c:pt idx="141">
                        <c:v>2489</c:v>
                      </c:pt>
                      <c:pt idx="142">
                        <c:v>2626</c:v>
                      </c:pt>
                      <c:pt idx="143">
                        <c:v>2981</c:v>
                      </c:pt>
                      <c:pt idx="144" formatCode="_(* #,##0_);_(* \(#,##0\);_(* &quot;-&quot;??_);_(@_)">
                        <c:v>1985</c:v>
                      </c:pt>
                      <c:pt idx="145">
                        <c:v>2280</c:v>
                      </c:pt>
                      <c:pt idx="146">
                        <c:v>2141</c:v>
                      </c:pt>
                      <c:pt idx="147">
                        <c:v>2248</c:v>
                      </c:pt>
                      <c:pt idx="148" formatCode="_(* #,##0_);_(* \(#,##0\);_(* &quot;-&quot;??_);_(@_)">
                        <c:v>4117</c:v>
                      </c:pt>
                      <c:pt idx="149" formatCode="_(* #,##0_);_(* \(#,##0\);_(* &quot;-&quot;??_);_(@_)">
                        <c:v>7279</c:v>
                      </c:pt>
                      <c:pt idx="150" formatCode="_(* #,##0_);_(* \(#,##0\);_(* &quot;-&quot;??_);_(@_)">
                        <c:v>8646</c:v>
                      </c:pt>
                      <c:pt idx="151" formatCode="_(* #,##0_);_(* \(#,##0\);_(* &quot;-&quot;??_);_(@_)">
                        <c:v>7778</c:v>
                      </c:pt>
                      <c:pt idx="152" formatCode="_(* #,##0_);_(* \(#,##0\);_(* &quot;-&quot;??_);_(@_)">
                        <c:v>6031</c:v>
                      </c:pt>
                      <c:pt idx="153" formatCode="_(* #,##0_);_(* \(#,##0\);_(* &quot;-&quot;??_);_(@_)">
                        <c:v>4476</c:v>
                      </c:pt>
                      <c:pt idx="154" formatCode="_(* #,##0_);_(* \(#,##0\);_(* &quot;-&quot;??_);_(@_)">
                        <c:v>5469</c:v>
                      </c:pt>
                      <c:pt idx="155" formatCode="_(* #,##0_);_(* \(#,##0\);_(* &quot;-&quot;??_);_(@_)">
                        <c:v>7951</c:v>
                      </c:pt>
                      <c:pt idx="156">
                        <c:v>4895</c:v>
                      </c:pt>
                      <c:pt idx="157">
                        <c:v>5061</c:v>
                      </c:pt>
                      <c:pt idx="158">
                        <c:v>1744</c:v>
                      </c:pt>
                      <c:pt idx="159">
                        <c:v>42</c:v>
                      </c:pt>
                      <c:pt idx="160">
                        <c:v>49</c:v>
                      </c:pt>
                      <c:pt idx="161">
                        <c:v>94</c:v>
                      </c:pt>
                      <c:pt idx="162">
                        <c:v>976</c:v>
                      </c:pt>
                      <c:pt idx="163">
                        <c:v>912</c:v>
                      </c:pt>
                      <c:pt idx="164">
                        <c:v>1188</c:v>
                      </c:pt>
                      <c:pt idx="165">
                        <c:v>1364</c:v>
                      </c:pt>
                      <c:pt idx="166">
                        <c:v>1646</c:v>
                      </c:pt>
                      <c:pt idx="167">
                        <c:v>2750</c:v>
                      </c:pt>
                      <c:pt idx="168">
                        <c:v>2113</c:v>
                      </c:pt>
                      <c:pt idx="169">
                        <c:v>1570</c:v>
                      </c:pt>
                      <c:pt idx="170">
                        <c:v>2019</c:v>
                      </c:pt>
                      <c:pt idx="171">
                        <c:v>1576</c:v>
                      </c:pt>
                      <c:pt idx="172">
                        <c:v>1610</c:v>
                      </c:pt>
                    </c:numCache>
                  </c:numRef>
                </c:val>
                <c:smooth val="0"/>
                <c:extLst xmlns:c15="http://schemas.microsoft.com/office/drawing/2012/chart">
                  <c:ext xmlns:c16="http://schemas.microsoft.com/office/drawing/2014/chart" uri="{C3380CC4-5D6E-409C-BE32-E72D297353CC}">
                    <c16:uniqueId val="{00000006-E690-4C59-A7C2-6B6BC695708B}"/>
                  </c:ext>
                </c:extLst>
              </c15:ser>
            </c15:filteredLineSeries>
            <c15:filteredLineSeries>
              <c15:ser>
                <c:idx val="3"/>
                <c:order val="3"/>
                <c:tx>
                  <c:strRef>
                    <c:extLst xmlns:c15="http://schemas.microsoft.com/office/drawing/2012/chart">
                      <c:ext xmlns:c15="http://schemas.microsoft.com/office/drawing/2012/chart" uri="{02D57815-91ED-43cb-92C2-25804820EDAC}">
                        <c15:formulaRef>
                          <c15:sqref>'Tendencias nacionalidad'!$C$57</c15:sqref>
                        </c15:formulaRef>
                      </c:ext>
                    </c:extLst>
                    <c:strCache>
                      <c:ptCount val="1"/>
                      <c:pt idx="0">
                        <c:v>México</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nacionalidad'!$D$57:$GA$57</c15:sqref>
                        </c15:fullRef>
                        <c15:formulaRef>
                          <c15:sqref>'Tendencias nacionalidad'!$D$57:$FT$57</c15:sqref>
                        </c15:formulaRef>
                      </c:ext>
                    </c:extLst>
                    <c:numCache>
                      <c:formatCode>#,##0</c:formatCode>
                      <c:ptCount val="173"/>
                      <c:pt idx="0">
                        <c:v>342</c:v>
                      </c:pt>
                      <c:pt idx="1">
                        <c:v>325</c:v>
                      </c:pt>
                      <c:pt idx="2">
                        <c:v>440</c:v>
                      </c:pt>
                      <c:pt idx="3">
                        <c:v>392</c:v>
                      </c:pt>
                      <c:pt idx="4">
                        <c:v>377</c:v>
                      </c:pt>
                      <c:pt idx="5">
                        <c:v>432</c:v>
                      </c:pt>
                      <c:pt idx="6">
                        <c:v>744</c:v>
                      </c:pt>
                      <c:pt idx="7">
                        <c:v>705</c:v>
                      </c:pt>
                      <c:pt idx="8">
                        <c:v>586</c:v>
                      </c:pt>
                      <c:pt idx="9">
                        <c:v>717</c:v>
                      </c:pt>
                      <c:pt idx="10">
                        <c:v>686</c:v>
                      </c:pt>
                      <c:pt idx="11">
                        <c:v>372</c:v>
                      </c:pt>
                      <c:pt idx="12">
                        <c:v>410</c:v>
                      </c:pt>
                      <c:pt idx="13">
                        <c:v>574</c:v>
                      </c:pt>
                      <c:pt idx="14">
                        <c:v>487</c:v>
                      </c:pt>
                      <c:pt idx="15">
                        <c:v>479</c:v>
                      </c:pt>
                      <c:pt idx="16">
                        <c:v>793</c:v>
                      </c:pt>
                      <c:pt idx="17">
                        <c:v>734</c:v>
                      </c:pt>
                      <c:pt idx="18">
                        <c:v>771</c:v>
                      </c:pt>
                      <c:pt idx="19">
                        <c:v>700</c:v>
                      </c:pt>
                      <c:pt idx="20">
                        <c:v>748</c:v>
                      </c:pt>
                      <c:pt idx="21">
                        <c:v>982</c:v>
                      </c:pt>
                      <c:pt idx="22">
                        <c:v>878</c:v>
                      </c:pt>
                      <c:pt idx="23">
                        <c:v>637</c:v>
                      </c:pt>
                      <c:pt idx="24">
                        <c:v>523</c:v>
                      </c:pt>
                      <c:pt idx="25">
                        <c:v>468</c:v>
                      </c:pt>
                      <c:pt idx="26">
                        <c:v>576</c:v>
                      </c:pt>
                      <c:pt idx="27">
                        <c:v>748</c:v>
                      </c:pt>
                      <c:pt idx="28">
                        <c:v>686.5</c:v>
                      </c:pt>
                      <c:pt idx="29">
                        <c:v>625</c:v>
                      </c:pt>
                      <c:pt idx="30">
                        <c:v>812</c:v>
                      </c:pt>
                      <c:pt idx="31">
                        <c:v>649</c:v>
                      </c:pt>
                      <c:pt idx="32">
                        <c:v>789</c:v>
                      </c:pt>
                      <c:pt idx="33">
                        <c:v>775</c:v>
                      </c:pt>
                      <c:pt idx="34">
                        <c:v>715</c:v>
                      </c:pt>
                      <c:pt idx="35">
                        <c:v>854</c:v>
                      </c:pt>
                      <c:pt idx="36">
                        <c:v>597</c:v>
                      </c:pt>
                      <c:pt idx="37">
                        <c:v>512</c:v>
                      </c:pt>
                      <c:pt idx="38">
                        <c:v>746</c:v>
                      </c:pt>
                      <c:pt idx="39">
                        <c:v>803</c:v>
                      </c:pt>
                      <c:pt idx="40">
                        <c:v>767</c:v>
                      </c:pt>
                      <c:pt idx="41">
                        <c:v>836</c:v>
                      </c:pt>
                      <c:pt idx="42">
                        <c:v>966</c:v>
                      </c:pt>
                      <c:pt idx="43">
                        <c:v>923</c:v>
                      </c:pt>
                      <c:pt idx="44">
                        <c:v>647</c:v>
                      </c:pt>
                      <c:pt idx="45">
                        <c:v>940</c:v>
                      </c:pt>
                      <c:pt idx="46">
                        <c:v>839</c:v>
                      </c:pt>
                      <c:pt idx="47">
                        <c:v>742</c:v>
                      </c:pt>
                      <c:pt idx="48">
                        <c:v>640</c:v>
                      </c:pt>
                      <c:pt idx="49">
                        <c:v>651</c:v>
                      </c:pt>
                      <c:pt idx="50">
                        <c:v>859</c:v>
                      </c:pt>
                      <c:pt idx="51">
                        <c:v>1037</c:v>
                      </c:pt>
                      <c:pt idx="52">
                        <c:v>1051</c:v>
                      </c:pt>
                      <c:pt idx="53">
                        <c:v>1180</c:v>
                      </c:pt>
                      <c:pt idx="54">
                        <c:v>1219</c:v>
                      </c:pt>
                      <c:pt idx="55">
                        <c:v>1102</c:v>
                      </c:pt>
                      <c:pt idx="56">
                        <c:v>841</c:v>
                      </c:pt>
                      <c:pt idx="57">
                        <c:v>1028</c:v>
                      </c:pt>
                      <c:pt idx="58">
                        <c:v>1132</c:v>
                      </c:pt>
                      <c:pt idx="59">
                        <c:v>930</c:v>
                      </c:pt>
                      <c:pt idx="60">
                        <c:v>131</c:v>
                      </c:pt>
                      <c:pt idx="61">
                        <c:v>779</c:v>
                      </c:pt>
                      <c:pt idx="62">
                        <c:v>894</c:v>
                      </c:pt>
                      <c:pt idx="63">
                        <c:v>942</c:v>
                      </c:pt>
                      <c:pt idx="64">
                        <c:v>1059</c:v>
                      </c:pt>
                      <c:pt idx="65">
                        <c:v>1016</c:v>
                      </c:pt>
                      <c:pt idx="66">
                        <c:v>1165</c:v>
                      </c:pt>
                      <c:pt idx="67">
                        <c:v>913</c:v>
                      </c:pt>
                      <c:pt idx="68">
                        <c:v>955</c:v>
                      </c:pt>
                      <c:pt idx="69">
                        <c:v>1191</c:v>
                      </c:pt>
                      <c:pt idx="70">
                        <c:v>1067</c:v>
                      </c:pt>
                      <c:pt idx="71">
                        <c:v>1084</c:v>
                      </c:pt>
                      <c:pt idx="72">
                        <c:v>850</c:v>
                      </c:pt>
                      <c:pt idx="73">
                        <c:v>816</c:v>
                      </c:pt>
                      <c:pt idx="74">
                        <c:v>1061</c:v>
                      </c:pt>
                      <c:pt idx="75">
                        <c:v>1104</c:v>
                      </c:pt>
                      <c:pt idx="76">
                        <c:v>971</c:v>
                      </c:pt>
                      <c:pt idx="77">
                        <c:v>925</c:v>
                      </c:pt>
                      <c:pt idx="78">
                        <c:v>1157</c:v>
                      </c:pt>
                      <c:pt idx="79">
                        <c:v>914</c:v>
                      </c:pt>
                      <c:pt idx="80">
                        <c:v>977</c:v>
                      </c:pt>
                      <c:pt idx="81">
                        <c:v>994</c:v>
                      </c:pt>
                      <c:pt idx="82">
                        <c:v>1010</c:v>
                      </c:pt>
                      <c:pt idx="83">
                        <c:v>1471</c:v>
                      </c:pt>
                      <c:pt idx="84">
                        <c:v>1161</c:v>
                      </c:pt>
                      <c:pt idx="85">
                        <c:v>1292</c:v>
                      </c:pt>
                      <c:pt idx="86">
                        <c:v>1612</c:v>
                      </c:pt>
                      <c:pt idx="87">
                        <c:v>1518</c:v>
                      </c:pt>
                      <c:pt idx="88">
                        <c:v>1350</c:v>
                      </c:pt>
                      <c:pt idx="89">
                        <c:v>1490</c:v>
                      </c:pt>
                      <c:pt idx="90">
                        <c:v>1712</c:v>
                      </c:pt>
                      <c:pt idx="91">
                        <c:v>1328</c:v>
                      </c:pt>
                      <c:pt idx="92">
                        <c:v>1559</c:v>
                      </c:pt>
                      <c:pt idx="93">
                        <c:v>1567</c:v>
                      </c:pt>
                      <c:pt idx="94">
                        <c:v>1967</c:v>
                      </c:pt>
                      <c:pt idx="95">
                        <c:v>1576</c:v>
                      </c:pt>
                      <c:pt idx="96">
                        <c:v>1180</c:v>
                      </c:pt>
                      <c:pt idx="97">
                        <c:v>1207</c:v>
                      </c:pt>
                      <c:pt idx="98">
                        <c:v>1707</c:v>
                      </c:pt>
                      <c:pt idx="99">
                        <c:v>1417</c:v>
                      </c:pt>
                      <c:pt idx="100">
                        <c:v>1426</c:v>
                      </c:pt>
                      <c:pt idx="101">
                        <c:v>1346</c:v>
                      </c:pt>
                      <c:pt idx="102">
                        <c:v>1759</c:v>
                      </c:pt>
                      <c:pt idx="103">
                        <c:v>1362</c:v>
                      </c:pt>
                      <c:pt idx="104">
                        <c:v>1364</c:v>
                      </c:pt>
                      <c:pt idx="105">
                        <c:v>1673</c:v>
                      </c:pt>
                      <c:pt idx="106">
                        <c:v>1398</c:v>
                      </c:pt>
                      <c:pt idx="107">
                        <c:v>1325</c:v>
                      </c:pt>
                      <c:pt idx="108">
                        <c:v>1187</c:v>
                      </c:pt>
                      <c:pt idx="109">
                        <c:v>1174</c:v>
                      </c:pt>
                      <c:pt idx="110">
                        <c:v>1524</c:v>
                      </c:pt>
                      <c:pt idx="111">
                        <c:v>1104</c:v>
                      </c:pt>
                      <c:pt idx="112">
                        <c:v>1264</c:v>
                      </c:pt>
                      <c:pt idx="113">
                        <c:v>1329</c:v>
                      </c:pt>
                      <c:pt idx="114">
                        <c:v>1498</c:v>
                      </c:pt>
                      <c:pt idx="115">
                        <c:v>1248</c:v>
                      </c:pt>
                      <c:pt idx="116" formatCode="General">
                        <c:v>1308</c:v>
                      </c:pt>
                      <c:pt idx="117">
                        <c:v>1953</c:v>
                      </c:pt>
                      <c:pt idx="118">
                        <c:v>1459</c:v>
                      </c:pt>
                      <c:pt idx="119">
                        <c:v>1279</c:v>
                      </c:pt>
                      <c:pt idx="120">
                        <c:v>1089</c:v>
                      </c:pt>
                      <c:pt idx="121">
                        <c:v>1033</c:v>
                      </c:pt>
                      <c:pt idx="122">
                        <c:v>1340</c:v>
                      </c:pt>
                      <c:pt idx="123">
                        <c:v>1541</c:v>
                      </c:pt>
                      <c:pt idx="124">
                        <c:v>1270</c:v>
                      </c:pt>
                      <c:pt idx="125">
                        <c:v>1466</c:v>
                      </c:pt>
                      <c:pt idx="126">
                        <c:v>1782</c:v>
                      </c:pt>
                      <c:pt idx="127">
                        <c:v>1384</c:v>
                      </c:pt>
                      <c:pt idx="128">
                        <c:v>1310</c:v>
                      </c:pt>
                      <c:pt idx="129">
                        <c:v>1643</c:v>
                      </c:pt>
                      <c:pt idx="130">
                        <c:v>1674</c:v>
                      </c:pt>
                      <c:pt idx="131">
                        <c:v>1625</c:v>
                      </c:pt>
                      <c:pt idx="132">
                        <c:v>1302</c:v>
                      </c:pt>
                      <c:pt idx="133">
                        <c:v>1297</c:v>
                      </c:pt>
                      <c:pt idx="134">
                        <c:v>1472</c:v>
                      </c:pt>
                      <c:pt idx="135">
                        <c:v>1656</c:v>
                      </c:pt>
                      <c:pt idx="136">
                        <c:v>1613</c:v>
                      </c:pt>
                      <c:pt idx="137">
                        <c:v>1730</c:v>
                      </c:pt>
                      <c:pt idx="138">
                        <c:v>2122</c:v>
                      </c:pt>
                      <c:pt idx="139">
                        <c:v>1672</c:v>
                      </c:pt>
                      <c:pt idx="140">
                        <c:v>1935</c:v>
                      </c:pt>
                      <c:pt idx="141">
                        <c:v>2094</c:v>
                      </c:pt>
                      <c:pt idx="142">
                        <c:v>1907</c:v>
                      </c:pt>
                      <c:pt idx="143">
                        <c:v>1793</c:v>
                      </c:pt>
                      <c:pt idx="144" formatCode="_(* #,##0_);_(* \(#,##0\);_(* &quot;-&quot;??_);_(@_)">
                        <c:v>1454</c:v>
                      </c:pt>
                      <c:pt idx="145">
                        <c:v>1596</c:v>
                      </c:pt>
                      <c:pt idx="146">
                        <c:v>1930</c:v>
                      </c:pt>
                      <c:pt idx="147">
                        <c:v>2053</c:v>
                      </c:pt>
                      <c:pt idx="148" formatCode="_(* #,##0_);_(* \(#,##0\);_(* &quot;-&quot;??_);_(@_)">
                        <c:v>1644</c:v>
                      </c:pt>
                      <c:pt idx="149" formatCode="_(* #,##0_);_(* \(#,##0\);_(* &quot;-&quot;??_);_(@_)">
                        <c:v>1820</c:v>
                      </c:pt>
                      <c:pt idx="150" formatCode="_(* #,##0_);_(* \(#,##0\);_(* &quot;-&quot;??_);_(@_)">
                        <c:v>1932</c:v>
                      </c:pt>
                      <c:pt idx="151" formatCode="_(* #,##0_);_(* \(#,##0\);_(* &quot;-&quot;??_);_(@_)">
                        <c:v>1590</c:v>
                      </c:pt>
                      <c:pt idx="152" formatCode="_(* #,##0_);_(* \(#,##0\);_(* &quot;-&quot;??_);_(@_)">
                        <c:v>1672</c:v>
                      </c:pt>
                      <c:pt idx="153" formatCode="_(* #,##0_);_(* \(#,##0\);_(* &quot;-&quot;??_);_(@_)">
                        <c:v>1400</c:v>
                      </c:pt>
                      <c:pt idx="154" formatCode="_(* #,##0_);_(* \(#,##0\);_(* &quot;-&quot;??_);_(@_)">
                        <c:v>1836</c:v>
                      </c:pt>
                      <c:pt idx="155" formatCode="_(* #,##0_);_(* \(#,##0\);_(* &quot;-&quot;??_);_(@_)">
                        <c:v>2108</c:v>
                      </c:pt>
                      <c:pt idx="156">
                        <c:v>1799</c:v>
                      </c:pt>
                      <c:pt idx="157">
                        <c:v>1661</c:v>
                      </c:pt>
                      <c:pt idx="158">
                        <c:v>771</c:v>
                      </c:pt>
                      <c:pt idx="159">
                        <c:v>15</c:v>
                      </c:pt>
                      <c:pt idx="160">
                        <c:v>12</c:v>
                      </c:pt>
                      <c:pt idx="161">
                        <c:v>37</c:v>
                      </c:pt>
                      <c:pt idx="162">
                        <c:v>43</c:v>
                      </c:pt>
                      <c:pt idx="163">
                        <c:v>355</c:v>
                      </c:pt>
                      <c:pt idx="164">
                        <c:v>419</c:v>
                      </c:pt>
                      <c:pt idx="165">
                        <c:v>477</c:v>
                      </c:pt>
                      <c:pt idx="166">
                        <c:v>574</c:v>
                      </c:pt>
                      <c:pt idx="167">
                        <c:v>731</c:v>
                      </c:pt>
                      <c:pt idx="168">
                        <c:v>699</c:v>
                      </c:pt>
                      <c:pt idx="169">
                        <c:v>570</c:v>
                      </c:pt>
                      <c:pt idx="170">
                        <c:v>525</c:v>
                      </c:pt>
                      <c:pt idx="171">
                        <c:v>407</c:v>
                      </c:pt>
                      <c:pt idx="172">
                        <c:v>549</c:v>
                      </c:pt>
                    </c:numCache>
                  </c:numRef>
                </c:val>
                <c:smooth val="0"/>
                <c:extLst xmlns:c15="http://schemas.microsoft.com/office/drawing/2012/chart">
                  <c:ext xmlns:c16="http://schemas.microsoft.com/office/drawing/2014/chart" uri="{C3380CC4-5D6E-409C-BE32-E72D297353CC}">
                    <c16:uniqueId val="{00000007-E690-4C59-A7C2-6B6BC695708B}"/>
                  </c:ext>
                </c:extLst>
              </c15:ser>
            </c15:filteredLineSeries>
            <c15:filteredLineSeries>
              <c15:ser>
                <c:idx val="4"/>
                <c:order val="4"/>
                <c:tx>
                  <c:strRef>
                    <c:extLst xmlns:c15="http://schemas.microsoft.com/office/drawing/2012/chart">
                      <c:ext xmlns:c15="http://schemas.microsoft.com/office/drawing/2012/chart" uri="{02D57815-91ED-43cb-92C2-25804820EDAC}">
                        <c15:formulaRef>
                          <c15:sqref>'Tendencias nacionalidad'!$C$58</c15:sqref>
                        </c15:formulaRef>
                      </c:ext>
                    </c:extLst>
                    <c:strCache>
                      <c:ptCount val="1"/>
                      <c:pt idx="0">
                        <c:v>Alemania</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nacionalidad'!$D$58:$GA$58</c15:sqref>
                        </c15:fullRef>
                        <c15:formulaRef>
                          <c15:sqref>'Tendencias nacionalidad'!$D$58:$FT$58</c15:sqref>
                        </c15:formulaRef>
                      </c:ext>
                    </c:extLst>
                    <c:numCache>
                      <c:formatCode>#,##0</c:formatCode>
                      <c:ptCount val="173"/>
                      <c:pt idx="0">
                        <c:v>979</c:v>
                      </c:pt>
                      <c:pt idx="1">
                        <c:v>1028</c:v>
                      </c:pt>
                      <c:pt idx="2">
                        <c:v>1191</c:v>
                      </c:pt>
                      <c:pt idx="3">
                        <c:v>822</c:v>
                      </c:pt>
                      <c:pt idx="4">
                        <c:v>771</c:v>
                      </c:pt>
                      <c:pt idx="5">
                        <c:v>743</c:v>
                      </c:pt>
                      <c:pt idx="6">
                        <c:v>1668</c:v>
                      </c:pt>
                      <c:pt idx="7">
                        <c:v>1648</c:v>
                      </c:pt>
                      <c:pt idx="8">
                        <c:v>1293</c:v>
                      </c:pt>
                      <c:pt idx="9">
                        <c:v>1389</c:v>
                      </c:pt>
                      <c:pt idx="10">
                        <c:v>1328</c:v>
                      </c:pt>
                      <c:pt idx="11">
                        <c:v>1045</c:v>
                      </c:pt>
                      <c:pt idx="12">
                        <c:v>1064</c:v>
                      </c:pt>
                      <c:pt idx="13">
                        <c:v>1703</c:v>
                      </c:pt>
                      <c:pt idx="14">
                        <c:v>1525</c:v>
                      </c:pt>
                      <c:pt idx="15">
                        <c:v>905</c:v>
                      </c:pt>
                      <c:pt idx="16">
                        <c:v>1008</c:v>
                      </c:pt>
                      <c:pt idx="17">
                        <c:v>1074</c:v>
                      </c:pt>
                      <c:pt idx="18">
                        <c:v>1651</c:v>
                      </c:pt>
                      <c:pt idx="19">
                        <c:v>1896</c:v>
                      </c:pt>
                      <c:pt idx="20">
                        <c:v>1295</c:v>
                      </c:pt>
                      <c:pt idx="21">
                        <c:v>1655</c:v>
                      </c:pt>
                      <c:pt idx="22">
                        <c:v>1637</c:v>
                      </c:pt>
                      <c:pt idx="23">
                        <c:v>1309</c:v>
                      </c:pt>
                      <c:pt idx="24">
                        <c:v>1162</c:v>
                      </c:pt>
                      <c:pt idx="25">
                        <c:v>1372</c:v>
                      </c:pt>
                      <c:pt idx="26">
                        <c:v>1251</c:v>
                      </c:pt>
                      <c:pt idx="27">
                        <c:v>1188</c:v>
                      </c:pt>
                      <c:pt idx="28">
                        <c:v>1125.5</c:v>
                      </c:pt>
                      <c:pt idx="29">
                        <c:v>1063</c:v>
                      </c:pt>
                      <c:pt idx="30">
                        <c:v>1694</c:v>
                      </c:pt>
                      <c:pt idx="31">
                        <c:v>1936</c:v>
                      </c:pt>
                      <c:pt idx="32">
                        <c:v>1190</c:v>
                      </c:pt>
                      <c:pt idx="33">
                        <c:v>1628</c:v>
                      </c:pt>
                      <c:pt idx="34">
                        <c:v>1627</c:v>
                      </c:pt>
                      <c:pt idx="35">
                        <c:v>1330</c:v>
                      </c:pt>
                      <c:pt idx="36">
                        <c:v>1167</c:v>
                      </c:pt>
                      <c:pt idx="37">
                        <c:v>1178</c:v>
                      </c:pt>
                      <c:pt idx="38">
                        <c:v>1274</c:v>
                      </c:pt>
                      <c:pt idx="39">
                        <c:v>821</c:v>
                      </c:pt>
                      <c:pt idx="40">
                        <c:v>976</c:v>
                      </c:pt>
                      <c:pt idx="41">
                        <c:v>1016</c:v>
                      </c:pt>
                      <c:pt idx="42">
                        <c:v>1824</c:v>
                      </c:pt>
                      <c:pt idx="43">
                        <c:v>1850</c:v>
                      </c:pt>
                      <c:pt idx="44">
                        <c:v>1266</c:v>
                      </c:pt>
                      <c:pt idx="45">
                        <c:v>1582</c:v>
                      </c:pt>
                      <c:pt idx="46">
                        <c:v>1470</c:v>
                      </c:pt>
                      <c:pt idx="47">
                        <c:v>1296</c:v>
                      </c:pt>
                      <c:pt idx="48">
                        <c:v>1126</c:v>
                      </c:pt>
                      <c:pt idx="49">
                        <c:v>1446</c:v>
                      </c:pt>
                      <c:pt idx="50">
                        <c:v>1204</c:v>
                      </c:pt>
                      <c:pt idx="51">
                        <c:v>1160</c:v>
                      </c:pt>
                      <c:pt idx="52">
                        <c:v>926</c:v>
                      </c:pt>
                      <c:pt idx="53">
                        <c:v>1107</c:v>
                      </c:pt>
                      <c:pt idx="54">
                        <c:v>1753</c:v>
                      </c:pt>
                      <c:pt idx="55">
                        <c:v>2142</c:v>
                      </c:pt>
                      <c:pt idx="56">
                        <c:v>1459</c:v>
                      </c:pt>
                      <c:pt idx="57">
                        <c:v>1726</c:v>
                      </c:pt>
                      <c:pt idx="58">
                        <c:v>1523</c:v>
                      </c:pt>
                      <c:pt idx="59">
                        <c:v>1238</c:v>
                      </c:pt>
                      <c:pt idx="60">
                        <c:v>1222</c:v>
                      </c:pt>
                      <c:pt idx="61">
                        <c:v>1433</c:v>
                      </c:pt>
                      <c:pt idx="62">
                        <c:v>1585</c:v>
                      </c:pt>
                      <c:pt idx="63">
                        <c:v>1043</c:v>
                      </c:pt>
                      <c:pt idx="64">
                        <c:v>1060</c:v>
                      </c:pt>
                      <c:pt idx="65">
                        <c:v>1097</c:v>
                      </c:pt>
                      <c:pt idx="66">
                        <c:v>1975</c:v>
                      </c:pt>
                      <c:pt idx="67">
                        <c:v>2483</c:v>
                      </c:pt>
                      <c:pt idx="68">
                        <c:v>1516</c:v>
                      </c:pt>
                      <c:pt idx="69">
                        <c:v>1776</c:v>
                      </c:pt>
                      <c:pt idx="70">
                        <c:v>1812</c:v>
                      </c:pt>
                      <c:pt idx="71">
                        <c:v>1505</c:v>
                      </c:pt>
                      <c:pt idx="72">
                        <c:v>1259</c:v>
                      </c:pt>
                      <c:pt idx="73">
                        <c:v>1498</c:v>
                      </c:pt>
                      <c:pt idx="74">
                        <c:v>1791</c:v>
                      </c:pt>
                      <c:pt idx="75">
                        <c:v>999</c:v>
                      </c:pt>
                      <c:pt idx="76">
                        <c:v>1135</c:v>
                      </c:pt>
                      <c:pt idx="77">
                        <c:v>1094</c:v>
                      </c:pt>
                      <c:pt idx="78">
                        <c:v>1954</c:v>
                      </c:pt>
                      <c:pt idx="79">
                        <c:v>2103</c:v>
                      </c:pt>
                      <c:pt idx="80">
                        <c:v>1514</c:v>
                      </c:pt>
                      <c:pt idx="81">
                        <c:v>1650</c:v>
                      </c:pt>
                      <c:pt idx="82">
                        <c:v>1669</c:v>
                      </c:pt>
                      <c:pt idx="83">
                        <c:v>1507</c:v>
                      </c:pt>
                      <c:pt idx="84">
                        <c:v>1252</c:v>
                      </c:pt>
                      <c:pt idx="85">
                        <c:v>1443</c:v>
                      </c:pt>
                      <c:pt idx="86">
                        <c:v>1447</c:v>
                      </c:pt>
                      <c:pt idx="87">
                        <c:v>1394</c:v>
                      </c:pt>
                      <c:pt idx="88">
                        <c:v>1109</c:v>
                      </c:pt>
                      <c:pt idx="89">
                        <c:v>986</c:v>
                      </c:pt>
                      <c:pt idx="90">
                        <c:v>2241</c:v>
                      </c:pt>
                      <c:pt idx="91">
                        <c:v>2458</c:v>
                      </c:pt>
                      <c:pt idx="92">
                        <c:v>1566</c:v>
                      </c:pt>
                      <c:pt idx="93">
                        <c:v>1926</c:v>
                      </c:pt>
                      <c:pt idx="94">
                        <c:v>1800</c:v>
                      </c:pt>
                      <c:pt idx="95">
                        <c:v>1600</c:v>
                      </c:pt>
                      <c:pt idx="96">
                        <c:v>1310</c:v>
                      </c:pt>
                      <c:pt idx="97">
                        <c:v>1458</c:v>
                      </c:pt>
                      <c:pt idx="98">
                        <c:v>1764</c:v>
                      </c:pt>
                      <c:pt idx="99">
                        <c:v>1021</c:v>
                      </c:pt>
                      <c:pt idx="100">
                        <c:v>1209</c:v>
                      </c:pt>
                      <c:pt idx="101">
                        <c:v>1089</c:v>
                      </c:pt>
                      <c:pt idx="102">
                        <c:v>1876</c:v>
                      </c:pt>
                      <c:pt idx="103">
                        <c:v>2424</c:v>
                      </c:pt>
                      <c:pt idx="104">
                        <c:v>1390</c:v>
                      </c:pt>
                      <c:pt idx="105">
                        <c:v>1890</c:v>
                      </c:pt>
                      <c:pt idx="106">
                        <c:v>1595</c:v>
                      </c:pt>
                      <c:pt idx="107">
                        <c:v>1538</c:v>
                      </c:pt>
                      <c:pt idx="108">
                        <c:v>1219</c:v>
                      </c:pt>
                      <c:pt idx="109">
                        <c:v>1461</c:v>
                      </c:pt>
                      <c:pt idx="110">
                        <c:v>1530</c:v>
                      </c:pt>
                      <c:pt idx="111">
                        <c:v>984</c:v>
                      </c:pt>
                      <c:pt idx="112">
                        <c:v>1111</c:v>
                      </c:pt>
                      <c:pt idx="113">
                        <c:v>1105</c:v>
                      </c:pt>
                      <c:pt idx="114">
                        <c:v>2133</c:v>
                      </c:pt>
                      <c:pt idx="115">
                        <c:v>2090</c:v>
                      </c:pt>
                      <c:pt idx="116" formatCode="General">
                        <c:v>1304</c:v>
                      </c:pt>
                      <c:pt idx="117">
                        <c:v>1939</c:v>
                      </c:pt>
                      <c:pt idx="118">
                        <c:v>1447</c:v>
                      </c:pt>
                      <c:pt idx="119">
                        <c:v>1384</c:v>
                      </c:pt>
                      <c:pt idx="120">
                        <c:v>1181</c:v>
                      </c:pt>
                      <c:pt idx="121">
                        <c:v>1257</c:v>
                      </c:pt>
                      <c:pt idx="122">
                        <c:v>1493</c:v>
                      </c:pt>
                      <c:pt idx="123">
                        <c:v>1328</c:v>
                      </c:pt>
                      <c:pt idx="124">
                        <c:v>1017</c:v>
                      </c:pt>
                      <c:pt idx="125">
                        <c:v>1177</c:v>
                      </c:pt>
                      <c:pt idx="126">
                        <c:v>1762</c:v>
                      </c:pt>
                      <c:pt idx="127">
                        <c:v>2116</c:v>
                      </c:pt>
                      <c:pt idx="128">
                        <c:v>1515</c:v>
                      </c:pt>
                      <c:pt idx="129">
                        <c:v>2079</c:v>
                      </c:pt>
                      <c:pt idx="130">
                        <c:v>1709</c:v>
                      </c:pt>
                      <c:pt idx="131">
                        <c:v>1429</c:v>
                      </c:pt>
                      <c:pt idx="132">
                        <c:v>1364</c:v>
                      </c:pt>
                      <c:pt idx="133">
                        <c:v>1772</c:v>
                      </c:pt>
                      <c:pt idx="134">
                        <c:v>1987</c:v>
                      </c:pt>
                      <c:pt idx="135">
                        <c:v>1233</c:v>
                      </c:pt>
                      <c:pt idx="136">
                        <c:v>1437</c:v>
                      </c:pt>
                      <c:pt idx="137">
                        <c:v>1289</c:v>
                      </c:pt>
                      <c:pt idx="138">
                        <c:v>2110</c:v>
                      </c:pt>
                      <c:pt idx="139">
                        <c:v>2013</c:v>
                      </c:pt>
                      <c:pt idx="140">
                        <c:v>1690</c:v>
                      </c:pt>
                      <c:pt idx="141">
                        <c:v>1860</c:v>
                      </c:pt>
                      <c:pt idx="142">
                        <c:v>2026</c:v>
                      </c:pt>
                      <c:pt idx="143">
                        <c:v>1630</c:v>
                      </c:pt>
                      <c:pt idx="144" formatCode="_(* #,##0_);_(* \(#,##0\);_(* &quot;-&quot;??_);_(@_)">
                        <c:v>1437</c:v>
                      </c:pt>
                      <c:pt idx="145">
                        <c:v>1736</c:v>
                      </c:pt>
                      <c:pt idx="146">
                        <c:v>1752</c:v>
                      </c:pt>
                      <c:pt idx="147">
                        <c:v>1612</c:v>
                      </c:pt>
                      <c:pt idx="148" formatCode="_(* #,##0_);_(* \(#,##0\);_(* &quot;-&quot;??_);_(@_)">
                        <c:v>1388</c:v>
                      </c:pt>
                      <c:pt idx="149" formatCode="_(* #,##0_);_(* \(#,##0\);_(* &quot;-&quot;??_);_(@_)">
                        <c:v>1538</c:v>
                      </c:pt>
                      <c:pt idx="150" formatCode="_(* #,##0_);_(* \(#,##0\);_(* &quot;-&quot;??_);_(@_)">
                        <c:v>2642</c:v>
                      </c:pt>
                      <c:pt idx="151" formatCode="_(* #,##0_);_(* \(#,##0\);_(* &quot;-&quot;??_);_(@_)">
                        <c:v>2517</c:v>
                      </c:pt>
                      <c:pt idx="152" formatCode="_(* #,##0_);_(* \(#,##0\);_(* &quot;-&quot;??_);_(@_)">
                        <c:v>1974</c:v>
                      </c:pt>
                      <c:pt idx="153" formatCode="_(* #,##0_);_(* \(#,##0\);_(* &quot;-&quot;??_);_(@_)">
                        <c:v>1837</c:v>
                      </c:pt>
                      <c:pt idx="154" formatCode="_(* #,##0_);_(* \(#,##0\);_(* &quot;-&quot;??_);_(@_)">
                        <c:v>2241</c:v>
                      </c:pt>
                      <c:pt idx="155" formatCode="_(* #,##0_);_(* \(#,##0\);_(* &quot;-&quot;??_);_(@_)">
                        <c:v>2074</c:v>
                      </c:pt>
                      <c:pt idx="156">
                        <c:v>1785</c:v>
                      </c:pt>
                      <c:pt idx="157">
                        <c:v>2078</c:v>
                      </c:pt>
                      <c:pt idx="158">
                        <c:v>880</c:v>
                      </c:pt>
                      <c:pt idx="159">
                        <c:v>9</c:v>
                      </c:pt>
                      <c:pt idx="160">
                        <c:v>12</c:v>
                      </c:pt>
                      <c:pt idx="161">
                        <c:v>19</c:v>
                      </c:pt>
                      <c:pt idx="162">
                        <c:v>54</c:v>
                      </c:pt>
                      <c:pt idx="163">
                        <c:v>137</c:v>
                      </c:pt>
                      <c:pt idx="164">
                        <c:v>139</c:v>
                      </c:pt>
                      <c:pt idx="165">
                        <c:v>179</c:v>
                      </c:pt>
                      <c:pt idx="166">
                        <c:v>145</c:v>
                      </c:pt>
                      <c:pt idx="167">
                        <c:v>331</c:v>
                      </c:pt>
                      <c:pt idx="168">
                        <c:v>281</c:v>
                      </c:pt>
                      <c:pt idx="169">
                        <c:v>166</c:v>
                      </c:pt>
                      <c:pt idx="170">
                        <c:v>258</c:v>
                      </c:pt>
                      <c:pt idx="171">
                        <c:v>249</c:v>
                      </c:pt>
                      <c:pt idx="172">
                        <c:v>270</c:v>
                      </c:pt>
                    </c:numCache>
                  </c:numRef>
                </c:val>
                <c:smooth val="0"/>
                <c:extLst xmlns:c15="http://schemas.microsoft.com/office/drawing/2012/chart">
                  <c:ext xmlns:c16="http://schemas.microsoft.com/office/drawing/2014/chart" uri="{C3380CC4-5D6E-409C-BE32-E72D297353CC}">
                    <c16:uniqueId val="{00000008-E690-4C59-A7C2-6B6BC695708B}"/>
                  </c:ext>
                </c:extLst>
              </c15:ser>
            </c15:filteredLineSeries>
            <c15:filteredLineSeries>
              <c15:ser>
                <c:idx val="5"/>
                <c:order val="5"/>
                <c:tx>
                  <c:strRef>
                    <c:extLst xmlns:c15="http://schemas.microsoft.com/office/drawing/2012/chart">
                      <c:ext xmlns:c15="http://schemas.microsoft.com/office/drawing/2012/chart" uri="{02D57815-91ED-43cb-92C2-25804820EDAC}">
                        <c15:formulaRef>
                          <c15:sqref>'Tendencias nacionalidad'!$C$59</c15:sqref>
                        </c15:formulaRef>
                      </c:ext>
                    </c:extLst>
                    <c:strCache>
                      <c:ptCount val="1"/>
                      <c:pt idx="0">
                        <c:v>Canadá</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nacionalidad'!$D$59:$GA$59</c15:sqref>
                        </c15:fullRef>
                        <c15:formulaRef>
                          <c15:sqref>'Tendencias nacionalidad'!$D$59:$FT$59</c15:sqref>
                        </c15:formulaRef>
                      </c:ext>
                    </c:extLst>
                    <c:numCache>
                      <c:formatCode>#,##0</c:formatCode>
                      <c:ptCount val="173"/>
                      <c:pt idx="0">
                        <c:v>1097</c:v>
                      </c:pt>
                      <c:pt idx="1">
                        <c:v>1128</c:v>
                      </c:pt>
                      <c:pt idx="2">
                        <c:v>1588</c:v>
                      </c:pt>
                      <c:pt idx="3">
                        <c:v>794</c:v>
                      </c:pt>
                      <c:pt idx="4">
                        <c:v>1013</c:v>
                      </c:pt>
                      <c:pt idx="5">
                        <c:v>864</c:v>
                      </c:pt>
                      <c:pt idx="6">
                        <c:v>1335</c:v>
                      </c:pt>
                      <c:pt idx="7">
                        <c:v>1183</c:v>
                      </c:pt>
                      <c:pt idx="8">
                        <c:v>675</c:v>
                      </c:pt>
                      <c:pt idx="9">
                        <c:v>1026</c:v>
                      </c:pt>
                      <c:pt idx="10">
                        <c:v>1173</c:v>
                      </c:pt>
                      <c:pt idx="11">
                        <c:v>1378</c:v>
                      </c:pt>
                      <c:pt idx="12">
                        <c:v>1388</c:v>
                      </c:pt>
                      <c:pt idx="13">
                        <c:v>2196</c:v>
                      </c:pt>
                      <c:pt idx="14">
                        <c:v>1673</c:v>
                      </c:pt>
                      <c:pt idx="15">
                        <c:v>1110</c:v>
                      </c:pt>
                      <c:pt idx="16">
                        <c:v>1238</c:v>
                      </c:pt>
                      <c:pt idx="17">
                        <c:v>1120</c:v>
                      </c:pt>
                      <c:pt idx="18">
                        <c:v>1523</c:v>
                      </c:pt>
                      <c:pt idx="19">
                        <c:v>1054</c:v>
                      </c:pt>
                      <c:pt idx="20">
                        <c:v>752</c:v>
                      </c:pt>
                      <c:pt idx="21">
                        <c:v>1026</c:v>
                      </c:pt>
                      <c:pt idx="22">
                        <c:v>1336</c:v>
                      </c:pt>
                      <c:pt idx="23">
                        <c:v>1471</c:v>
                      </c:pt>
                      <c:pt idx="24">
                        <c:v>1451</c:v>
                      </c:pt>
                      <c:pt idx="25">
                        <c:v>1549</c:v>
                      </c:pt>
                      <c:pt idx="26">
                        <c:v>1686</c:v>
                      </c:pt>
                      <c:pt idx="27">
                        <c:v>1231</c:v>
                      </c:pt>
                      <c:pt idx="28">
                        <c:v>1258.5</c:v>
                      </c:pt>
                      <c:pt idx="29">
                        <c:v>1286</c:v>
                      </c:pt>
                      <c:pt idx="30">
                        <c:v>1497</c:v>
                      </c:pt>
                      <c:pt idx="31">
                        <c:v>1229</c:v>
                      </c:pt>
                      <c:pt idx="32">
                        <c:v>696</c:v>
                      </c:pt>
                      <c:pt idx="33">
                        <c:v>955</c:v>
                      </c:pt>
                      <c:pt idx="34">
                        <c:v>1183</c:v>
                      </c:pt>
                      <c:pt idx="35">
                        <c:v>1674</c:v>
                      </c:pt>
                      <c:pt idx="36">
                        <c:v>1425</c:v>
                      </c:pt>
                      <c:pt idx="37">
                        <c:v>1645</c:v>
                      </c:pt>
                      <c:pt idx="38">
                        <c:v>1789</c:v>
                      </c:pt>
                      <c:pt idx="39">
                        <c:v>1180</c:v>
                      </c:pt>
                      <c:pt idx="40">
                        <c:v>1399</c:v>
                      </c:pt>
                      <c:pt idx="41">
                        <c:v>1174</c:v>
                      </c:pt>
                      <c:pt idx="42">
                        <c:v>1698</c:v>
                      </c:pt>
                      <c:pt idx="43">
                        <c:v>1224</c:v>
                      </c:pt>
                      <c:pt idx="44">
                        <c:v>650</c:v>
                      </c:pt>
                      <c:pt idx="45">
                        <c:v>1101</c:v>
                      </c:pt>
                      <c:pt idx="46">
                        <c:v>1202</c:v>
                      </c:pt>
                      <c:pt idx="47">
                        <c:v>1523</c:v>
                      </c:pt>
                      <c:pt idx="48">
                        <c:v>1487</c:v>
                      </c:pt>
                      <c:pt idx="49">
                        <c:v>1741</c:v>
                      </c:pt>
                      <c:pt idx="50">
                        <c:v>1757</c:v>
                      </c:pt>
                      <c:pt idx="51">
                        <c:v>1161</c:v>
                      </c:pt>
                      <c:pt idx="52">
                        <c:v>1486</c:v>
                      </c:pt>
                      <c:pt idx="53">
                        <c:v>1172</c:v>
                      </c:pt>
                      <c:pt idx="54">
                        <c:v>1748</c:v>
                      </c:pt>
                      <c:pt idx="55">
                        <c:v>1257</c:v>
                      </c:pt>
                      <c:pt idx="56">
                        <c:v>770</c:v>
                      </c:pt>
                      <c:pt idx="57">
                        <c:v>1371</c:v>
                      </c:pt>
                      <c:pt idx="58">
                        <c:v>1247</c:v>
                      </c:pt>
                      <c:pt idx="59">
                        <c:v>1717</c:v>
                      </c:pt>
                      <c:pt idx="60">
                        <c:v>1699</c:v>
                      </c:pt>
                      <c:pt idx="61">
                        <c:v>1657</c:v>
                      </c:pt>
                      <c:pt idx="62">
                        <c:v>1895</c:v>
                      </c:pt>
                      <c:pt idx="63">
                        <c:v>1311</c:v>
                      </c:pt>
                      <c:pt idx="64">
                        <c:v>1551</c:v>
                      </c:pt>
                      <c:pt idx="65">
                        <c:v>1339</c:v>
                      </c:pt>
                      <c:pt idx="66">
                        <c:v>1694</c:v>
                      </c:pt>
                      <c:pt idx="67">
                        <c:v>1391</c:v>
                      </c:pt>
                      <c:pt idx="68">
                        <c:v>950</c:v>
                      </c:pt>
                      <c:pt idx="69">
                        <c:v>1450</c:v>
                      </c:pt>
                      <c:pt idx="70">
                        <c:v>1542</c:v>
                      </c:pt>
                      <c:pt idx="71">
                        <c:v>1940</c:v>
                      </c:pt>
                      <c:pt idx="72">
                        <c:v>1614</c:v>
                      </c:pt>
                      <c:pt idx="73">
                        <c:v>1762</c:v>
                      </c:pt>
                      <c:pt idx="74">
                        <c:v>2027</c:v>
                      </c:pt>
                      <c:pt idx="75">
                        <c:v>1646</c:v>
                      </c:pt>
                      <c:pt idx="76">
                        <c:v>1560</c:v>
                      </c:pt>
                      <c:pt idx="77">
                        <c:v>1312</c:v>
                      </c:pt>
                      <c:pt idx="78">
                        <c:v>1894</c:v>
                      </c:pt>
                      <c:pt idx="79">
                        <c:v>1246</c:v>
                      </c:pt>
                      <c:pt idx="80">
                        <c:v>1069</c:v>
                      </c:pt>
                      <c:pt idx="81">
                        <c:v>1302</c:v>
                      </c:pt>
                      <c:pt idx="82">
                        <c:v>1849</c:v>
                      </c:pt>
                      <c:pt idx="83">
                        <c:v>1875</c:v>
                      </c:pt>
                      <c:pt idx="84">
                        <c:v>1969</c:v>
                      </c:pt>
                      <c:pt idx="85">
                        <c:v>2078</c:v>
                      </c:pt>
                      <c:pt idx="86">
                        <c:v>2126</c:v>
                      </c:pt>
                      <c:pt idx="87">
                        <c:v>1741</c:v>
                      </c:pt>
                      <c:pt idx="88">
                        <c:v>1834</c:v>
                      </c:pt>
                      <c:pt idx="89">
                        <c:v>1415</c:v>
                      </c:pt>
                      <c:pt idx="90">
                        <c:v>1946</c:v>
                      </c:pt>
                      <c:pt idx="91">
                        <c:v>1377</c:v>
                      </c:pt>
                      <c:pt idx="92">
                        <c:v>1099</c:v>
                      </c:pt>
                      <c:pt idx="93">
                        <c:v>1315</c:v>
                      </c:pt>
                      <c:pt idx="94">
                        <c:v>1764</c:v>
                      </c:pt>
                      <c:pt idx="95">
                        <c:v>2184</c:v>
                      </c:pt>
                      <c:pt idx="96">
                        <c:v>2293</c:v>
                      </c:pt>
                      <c:pt idx="97">
                        <c:v>2373</c:v>
                      </c:pt>
                      <c:pt idx="98">
                        <c:v>2492</c:v>
                      </c:pt>
                      <c:pt idx="99">
                        <c:v>1804</c:v>
                      </c:pt>
                      <c:pt idx="100">
                        <c:v>1766</c:v>
                      </c:pt>
                      <c:pt idx="101">
                        <c:v>1447</c:v>
                      </c:pt>
                      <c:pt idx="102">
                        <c:v>1820</c:v>
                      </c:pt>
                      <c:pt idx="103">
                        <c:v>1470</c:v>
                      </c:pt>
                      <c:pt idx="104">
                        <c:v>1006</c:v>
                      </c:pt>
                      <c:pt idx="105">
                        <c:v>1543</c:v>
                      </c:pt>
                      <c:pt idx="106">
                        <c:v>1675</c:v>
                      </c:pt>
                      <c:pt idx="107">
                        <c:v>1968</c:v>
                      </c:pt>
                      <c:pt idx="108">
                        <c:v>2212</c:v>
                      </c:pt>
                      <c:pt idx="109">
                        <c:v>2279</c:v>
                      </c:pt>
                      <c:pt idx="110">
                        <c:v>2405</c:v>
                      </c:pt>
                      <c:pt idx="111">
                        <c:v>1417</c:v>
                      </c:pt>
                      <c:pt idx="112">
                        <c:v>1492</c:v>
                      </c:pt>
                      <c:pt idx="113">
                        <c:v>1401</c:v>
                      </c:pt>
                      <c:pt idx="114">
                        <c:v>1771</c:v>
                      </c:pt>
                      <c:pt idx="115">
                        <c:v>1274</c:v>
                      </c:pt>
                      <c:pt idx="116" formatCode="General">
                        <c:v>881</c:v>
                      </c:pt>
                      <c:pt idx="117">
                        <c:v>1361</c:v>
                      </c:pt>
                      <c:pt idx="118">
                        <c:v>1421</c:v>
                      </c:pt>
                      <c:pt idx="119">
                        <c:v>1636</c:v>
                      </c:pt>
                      <c:pt idx="120">
                        <c:v>1773</c:v>
                      </c:pt>
                      <c:pt idx="121">
                        <c:v>1831</c:v>
                      </c:pt>
                      <c:pt idx="122">
                        <c:v>2120</c:v>
                      </c:pt>
                      <c:pt idx="123">
                        <c:v>1423</c:v>
                      </c:pt>
                      <c:pt idx="124">
                        <c:v>1427</c:v>
                      </c:pt>
                      <c:pt idx="125">
                        <c:v>1092</c:v>
                      </c:pt>
                      <c:pt idx="126">
                        <c:v>1458</c:v>
                      </c:pt>
                      <c:pt idx="127">
                        <c:v>1343</c:v>
                      </c:pt>
                      <c:pt idx="128">
                        <c:v>861</c:v>
                      </c:pt>
                      <c:pt idx="129">
                        <c:v>1355</c:v>
                      </c:pt>
                      <c:pt idx="130">
                        <c:v>1698</c:v>
                      </c:pt>
                      <c:pt idx="131">
                        <c:v>1912</c:v>
                      </c:pt>
                      <c:pt idx="132">
                        <c:v>2025</c:v>
                      </c:pt>
                      <c:pt idx="133">
                        <c:v>2289</c:v>
                      </c:pt>
                      <c:pt idx="134">
                        <c:v>2452</c:v>
                      </c:pt>
                      <c:pt idx="135">
                        <c:v>1346</c:v>
                      </c:pt>
                      <c:pt idx="136">
                        <c:v>1691</c:v>
                      </c:pt>
                      <c:pt idx="137">
                        <c:v>1280</c:v>
                      </c:pt>
                      <c:pt idx="138">
                        <c:v>1777</c:v>
                      </c:pt>
                      <c:pt idx="139">
                        <c:v>1210</c:v>
                      </c:pt>
                      <c:pt idx="140">
                        <c:v>1034</c:v>
                      </c:pt>
                      <c:pt idx="141">
                        <c:v>1386</c:v>
                      </c:pt>
                      <c:pt idx="142">
                        <c:v>1601</c:v>
                      </c:pt>
                      <c:pt idx="143">
                        <c:v>1810</c:v>
                      </c:pt>
                      <c:pt idx="144" formatCode="_(* #,##0_);_(* \(#,##0\);_(* &quot;-&quot;??_);_(@_)">
                        <c:v>2035</c:v>
                      </c:pt>
                      <c:pt idx="145">
                        <c:v>2191</c:v>
                      </c:pt>
                      <c:pt idx="146">
                        <c:v>2327</c:v>
                      </c:pt>
                      <c:pt idx="147">
                        <c:v>1596</c:v>
                      </c:pt>
                      <c:pt idx="148" formatCode="_(* #,##0_);_(* \(#,##0\);_(* &quot;-&quot;??_);_(@_)">
                        <c:v>2092</c:v>
                      </c:pt>
                      <c:pt idx="149" formatCode="_(* #,##0_);_(* \(#,##0\);_(* &quot;-&quot;??_);_(@_)">
                        <c:v>1594</c:v>
                      </c:pt>
                      <c:pt idx="150" formatCode="_(* #,##0_);_(* \(#,##0\);_(* &quot;-&quot;??_);_(@_)">
                        <c:v>2060</c:v>
                      </c:pt>
                      <c:pt idx="151" formatCode="_(* #,##0_);_(* \(#,##0\);_(* &quot;-&quot;??_);_(@_)">
                        <c:v>1657</c:v>
                      </c:pt>
                      <c:pt idx="152" formatCode="_(* #,##0_);_(* \(#,##0\);_(* &quot;-&quot;??_);_(@_)">
                        <c:v>1555</c:v>
                      </c:pt>
                      <c:pt idx="153" formatCode="_(* #,##0_);_(* \(#,##0\);_(* &quot;-&quot;??_);_(@_)">
                        <c:v>1477</c:v>
                      </c:pt>
                      <c:pt idx="154" formatCode="_(* #,##0_);_(* \(#,##0\);_(* &quot;-&quot;??_);_(@_)">
                        <c:v>2134</c:v>
                      </c:pt>
                      <c:pt idx="155" formatCode="_(* #,##0_);_(* \(#,##0\);_(* &quot;-&quot;??_);_(@_)">
                        <c:v>3145</c:v>
                      </c:pt>
                      <c:pt idx="156">
                        <c:v>3444</c:v>
                      </c:pt>
                      <c:pt idx="157">
                        <c:v>3918</c:v>
                      </c:pt>
                      <c:pt idx="158">
                        <c:v>1407</c:v>
                      </c:pt>
                      <c:pt idx="160">
                        <c:v>6</c:v>
                      </c:pt>
                      <c:pt idx="161">
                        <c:v>27</c:v>
                      </c:pt>
                      <c:pt idx="162">
                        <c:v>81</c:v>
                      </c:pt>
                      <c:pt idx="163">
                        <c:v>101</c:v>
                      </c:pt>
                      <c:pt idx="164">
                        <c:v>100</c:v>
                      </c:pt>
                      <c:pt idx="165">
                        <c:v>146</c:v>
                      </c:pt>
                      <c:pt idx="166">
                        <c:v>248</c:v>
                      </c:pt>
                      <c:pt idx="167">
                        <c:v>319</c:v>
                      </c:pt>
                      <c:pt idx="168">
                        <c:v>263</c:v>
                      </c:pt>
                      <c:pt idx="169">
                        <c:v>101</c:v>
                      </c:pt>
                      <c:pt idx="170">
                        <c:v>134</c:v>
                      </c:pt>
                      <c:pt idx="171">
                        <c:v>136</c:v>
                      </c:pt>
                      <c:pt idx="172">
                        <c:v>142</c:v>
                      </c:pt>
                    </c:numCache>
                  </c:numRef>
                </c:val>
                <c:smooth val="0"/>
                <c:extLst xmlns:c15="http://schemas.microsoft.com/office/drawing/2012/chart">
                  <c:ext xmlns:c16="http://schemas.microsoft.com/office/drawing/2014/chart" uri="{C3380CC4-5D6E-409C-BE32-E72D297353CC}">
                    <c16:uniqueId val="{00000009-E690-4C59-A7C2-6B6BC695708B}"/>
                  </c:ext>
                </c:extLst>
              </c15:ser>
            </c15:filteredLineSeries>
            <c15:filteredLineSeries>
              <c15:ser>
                <c:idx val="7"/>
                <c:order val="7"/>
                <c:tx>
                  <c:strRef>
                    <c:extLst xmlns:c15="http://schemas.microsoft.com/office/drawing/2012/chart">
                      <c:ext xmlns:c15="http://schemas.microsoft.com/office/drawing/2012/chart" uri="{02D57815-91ED-43cb-92C2-25804820EDAC}">
                        <c15:formulaRef>
                          <c15:sqref>'Tendencias nacionalidad'!$C$61</c15:sqref>
                        </c15:formulaRef>
                      </c:ext>
                    </c:extLst>
                    <c:strCache>
                      <c:ptCount val="1"/>
                      <c:pt idx="0">
                        <c:v>Reino Unido</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nacionalidad'!$D$61:$GA$61</c15:sqref>
                        </c15:fullRef>
                        <c15:formulaRef>
                          <c15:sqref>'Tendencias nacionalidad'!$D$61:$FT$61</c15:sqref>
                        </c15:formulaRef>
                      </c:ext>
                    </c:extLst>
                    <c:numCache>
                      <c:formatCode>#,##0</c:formatCode>
                      <c:ptCount val="173"/>
                      <c:pt idx="0">
                        <c:v>1260</c:v>
                      </c:pt>
                      <c:pt idx="1">
                        <c:v>1276</c:v>
                      </c:pt>
                      <c:pt idx="2">
                        <c:v>1273</c:v>
                      </c:pt>
                      <c:pt idx="3">
                        <c:v>1609</c:v>
                      </c:pt>
                      <c:pt idx="4">
                        <c:v>1342</c:v>
                      </c:pt>
                      <c:pt idx="5">
                        <c:v>1217</c:v>
                      </c:pt>
                      <c:pt idx="6">
                        <c:v>2417</c:v>
                      </c:pt>
                      <c:pt idx="7">
                        <c:v>1711</c:v>
                      </c:pt>
                      <c:pt idx="8">
                        <c:v>1389</c:v>
                      </c:pt>
                      <c:pt idx="9">
                        <c:v>1689</c:v>
                      </c:pt>
                      <c:pt idx="10">
                        <c:v>1780</c:v>
                      </c:pt>
                      <c:pt idx="11">
                        <c:v>1105</c:v>
                      </c:pt>
                      <c:pt idx="12">
                        <c:v>1501</c:v>
                      </c:pt>
                      <c:pt idx="13">
                        <c:v>2067</c:v>
                      </c:pt>
                      <c:pt idx="14">
                        <c:v>1748</c:v>
                      </c:pt>
                      <c:pt idx="15">
                        <c:v>1878</c:v>
                      </c:pt>
                      <c:pt idx="16">
                        <c:v>1744</c:v>
                      </c:pt>
                      <c:pt idx="17">
                        <c:v>1450</c:v>
                      </c:pt>
                      <c:pt idx="18">
                        <c:v>2185</c:v>
                      </c:pt>
                      <c:pt idx="19">
                        <c:v>1787</c:v>
                      </c:pt>
                      <c:pt idx="20">
                        <c:v>1529</c:v>
                      </c:pt>
                      <c:pt idx="21">
                        <c:v>1653</c:v>
                      </c:pt>
                      <c:pt idx="22">
                        <c:v>1668</c:v>
                      </c:pt>
                      <c:pt idx="23">
                        <c:v>1114</c:v>
                      </c:pt>
                      <c:pt idx="24">
                        <c:v>1499</c:v>
                      </c:pt>
                      <c:pt idx="25">
                        <c:v>1325</c:v>
                      </c:pt>
                      <c:pt idx="26">
                        <c:v>1263</c:v>
                      </c:pt>
                      <c:pt idx="27">
                        <c:v>1502</c:v>
                      </c:pt>
                      <c:pt idx="28">
                        <c:v>1439.5</c:v>
                      </c:pt>
                      <c:pt idx="29">
                        <c:v>1377</c:v>
                      </c:pt>
                      <c:pt idx="30">
                        <c:v>2221</c:v>
                      </c:pt>
                      <c:pt idx="31">
                        <c:v>1438</c:v>
                      </c:pt>
                      <c:pt idx="32">
                        <c:v>1140</c:v>
                      </c:pt>
                      <c:pt idx="33">
                        <c:v>1561</c:v>
                      </c:pt>
                      <c:pt idx="34">
                        <c:v>1508</c:v>
                      </c:pt>
                      <c:pt idx="35">
                        <c:v>1164</c:v>
                      </c:pt>
                      <c:pt idx="36">
                        <c:v>1064</c:v>
                      </c:pt>
                      <c:pt idx="37">
                        <c:v>994</c:v>
                      </c:pt>
                      <c:pt idx="38">
                        <c:v>1080</c:v>
                      </c:pt>
                      <c:pt idx="39">
                        <c:v>1258</c:v>
                      </c:pt>
                      <c:pt idx="40">
                        <c:v>1059</c:v>
                      </c:pt>
                      <c:pt idx="41">
                        <c:v>1091</c:v>
                      </c:pt>
                      <c:pt idx="42">
                        <c:v>2091</c:v>
                      </c:pt>
                      <c:pt idx="43">
                        <c:v>1225</c:v>
                      </c:pt>
                      <c:pt idx="44">
                        <c:v>975</c:v>
                      </c:pt>
                      <c:pt idx="45">
                        <c:v>1230</c:v>
                      </c:pt>
                      <c:pt idx="46">
                        <c:v>1152</c:v>
                      </c:pt>
                      <c:pt idx="47">
                        <c:v>925</c:v>
                      </c:pt>
                      <c:pt idx="48">
                        <c:v>1025</c:v>
                      </c:pt>
                      <c:pt idx="49">
                        <c:v>900</c:v>
                      </c:pt>
                      <c:pt idx="50">
                        <c:v>988</c:v>
                      </c:pt>
                      <c:pt idx="51">
                        <c:v>1272</c:v>
                      </c:pt>
                      <c:pt idx="52">
                        <c:v>1126</c:v>
                      </c:pt>
                      <c:pt idx="53">
                        <c:v>1015</c:v>
                      </c:pt>
                      <c:pt idx="54">
                        <c:v>2074</c:v>
                      </c:pt>
                      <c:pt idx="55">
                        <c:v>1207</c:v>
                      </c:pt>
                      <c:pt idx="56">
                        <c:v>944</c:v>
                      </c:pt>
                      <c:pt idx="57">
                        <c:v>1417</c:v>
                      </c:pt>
                      <c:pt idx="58">
                        <c:v>1382</c:v>
                      </c:pt>
                      <c:pt idx="59">
                        <c:v>934</c:v>
                      </c:pt>
                      <c:pt idx="60">
                        <c:v>898</c:v>
                      </c:pt>
                      <c:pt idx="61">
                        <c:v>919</c:v>
                      </c:pt>
                      <c:pt idx="62">
                        <c:v>1062</c:v>
                      </c:pt>
                      <c:pt idx="63">
                        <c:v>1197</c:v>
                      </c:pt>
                      <c:pt idx="64">
                        <c:v>1156</c:v>
                      </c:pt>
                      <c:pt idx="65">
                        <c:v>1051</c:v>
                      </c:pt>
                      <c:pt idx="66">
                        <c:v>1995</c:v>
                      </c:pt>
                      <c:pt idx="67">
                        <c:v>1140</c:v>
                      </c:pt>
                      <c:pt idx="68">
                        <c:v>909</c:v>
                      </c:pt>
                      <c:pt idx="69">
                        <c:v>1154</c:v>
                      </c:pt>
                      <c:pt idx="70">
                        <c:v>1295</c:v>
                      </c:pt>
                      <c:pt idx="71">
                        <c:v>1103</c:v>
                      </c:pt>
                      <c:pt idx="72">
                        <c:v>1090</c:v>
                      </c:pt>
                      <c:pt idx="73">
                        <c:v>977</c:v>
                      </c:pt>
                      <c:pt idx="74">
                        <c:v>1157</c:v>
                      </c:pt>
                      <c:pt idx="75">
                        <c:v>1135</c:v>
                      </c:pt>
                      <c:pt idx="76">
                        <c:v>1253</c:v>
                      </c:pt>
                      <c:pt idx="77">
                        <c:v>1120</c:v>
                      </c:pt>
                      <c:pt idx="78">
                        <c:v>2381</c:v>
                      </c:pt>
                      <c:pt idx="79">
                        <c:v>1417</c:v>
                      </c:pt>
                      <c:pt idx="80">
                        <c:v>1070</c:v>
                      </c:pt>
                      <c:pt idx="81">
                        <c:v>1403</c:v>
                      </c:pt>
                      <c:pt idx="82">
                        <c:v>1588</c:v>
                      </c:pt>
                      <c:pt idx="83">
                        <c:v>935</c:v>
                      </c:pt>
                      <c:pt idx="84">
                        <c:v>1166</c:v>
                      </c:pt>
                      <c:pt idx="85">
                        <c:v>1197</c:v>
                      </c:pt>
                      <c:pt idx="86">
                        <c:v>1218</c:v>
                      </c:pt>
                      <c:pt idx="87">
                        <c:v>1543</c:v>
                      </c:pt>
                      <c:pt idx="88">
                        <c:v>1497</c:v>
                      </c:pt>
                      <c:pt idx="89">
                        <c:v>1386</c:v>
                      </c:pt>
                      <c:pt idx="90">
                        <c:v>2484</c:v>
                      </c:pt>
                      <c:pt idx="91">
                        <c:v>1411</c:v>
                      </c:pt>
                      <c:pt idx="92">
                        <c:v>1179</c:v>
                      </c:pt>
                      <c:pt idx="93">
                        <c:v>1580</c:v>
                      </c:pt>
                      <c:pt idx="94">
                        <c:v>1532</c:v>
                      </c:pt>
                      <c:pt idx="95">
                        <c:v>1130</c:v>
                      </c:pt>
                      <c:pt idx="96">
                        <c:v>1217</c:v>
                      </c:pt>
                      <c:pt idx="97">
                        <c:v>1190</c:v>
                      </c:pt>
                      <c:pt idx="98">
                        <c:v>1225</c:v>
                      </c:pt>
                      <c:pt idx="99">
                        <c:v>1363</c:v>
                      </c:pt>
                      <c:pt idx="100">
                        <c:v>1425</c:v>
                      </c:pt>
                      <c:pt idx="101">
                        <c:v>1441</c:v>
                      </c:pt>
                      <c:pt idx="102">
                        <c:v>2802</c:v>
                      </c:pt>
                      <c:pt idx="103">
                        <c:v>1381</c:v>
                      </c:pt>
                      <c:pt idx="104">
                        <c:v>1092</c:v>
                      </c:pt>
                      <c:pt idx="105">
                        <c:v>1519</c:v>
                      </c:pt>
                      <c:pt idx="106">
                        <c:v>1658</c:v>
                      </c:pt>
                      <c:pt idx="107">
                        <c:v>1266</c:v>
                      </c:pt>
                      <c:pt idx="108">
                        <c:v>1300</c:v>
                      </c:pt>
                      <c:pt idx="109">
                        <c:v>1442</c:v>
                      </c:pt>
                      <c:pt idx="110">
                        <c:v>1528</c:v>
                      </c:pt>
                      <c:pt idx="111">
                        <c:v>1307</c:v>
                      </c:pt>
                      <c:pt idx="112">
                        <c:v>1382</c:v>
                      </c:pt>
                      <c:pt idx="113">
                        <c:v>1465</c:v>
                      </c:pt>
                      <c:pt idx="114">
                        <c:v>2920</c:v>
                      </c:pt>
                      <c:pt idx="115">
                        <c:v>1383</c:v>
                      </c:pt>
                      <c:pt idx="116" formatCode="General">
                        <c:v>1079</c:v>
                      </c:pt>
                      <c:pt idx="117">
                        <c:v>1606</c:v>
                      </c:pt>
                      <c:pt idx="118">
                        <c:v>1282</c:v>
                      </c:pt>
                      <c:pt idx="119">
                        <c:v>964</c:v>
                      </c:pt>
                      <c:pt idx="120">
                        <c:v>1117</c:v>
                      </c:pt>
                      <c:pt idx="121">
                        <c:v>1160</c:v>
                      </c:pt>
                      <c:pt idx="122">
                        <c:v>1175</c:v>
                      </c:pt>
                      <c:pt idx="123">
                        <c:v>1542</c:v>
                      </c:pt>
                      <c:pt idx="124">
                        <c:v>1184</c:v>
                      </c:pt>
                      <c:pt idx="125">
                        <c:v>1335</c:v>
                      </c:pt>
                      <c:pt idx="126">
                        <c:v>2297</c:v>
                      </c:pt>
                      <c:pt idx="127">
                        <c:v>1142</c:v>
                      </c:pt>
                      <c:pt idx="128">
                        <c:v>1058</c:v>
                      </c:pt>
                      <c:pt idx="129">
                        <c:v>1309</c:v>
                      </c:pt>
                      <c:pt idx="130">
                        <c:v>1336</c:v>
                      </c:pt>
                      <c:pt idx="131">
                        <c:v>1167</c:v>
                      </c:pt>
                      <c:pt idx="132">
                        <c:v>1254</c:v>
                      </c:pt>
                      <c:pt idx="133">
                        <c:v>1291</c:v>
                      </c:pt>
                      <c:pt idx="134">
                        <c:v>1485</c:v>
                      </c:pt>
                      <c:pt idx="135">
                        <c:v>1293</c:v>
                      </c:pt>
                      <c:pt idx="136">
                        <c:v>1573</c:v>
                      </c:pt>
                      <c:pt idx="137">
                        <c:v>1297</c:v>
                      </c:pt>
                      <c:pt idx="138">
                        <c:v>2452</c:v>
                      </c:pt>
                      <c:pt idx="139">
                        <c:v>1513</c:v>
                      </c:pt>
                      <c:pt idx="140">
                        <c:v>1089</c:v>
                      </c:pt>
                      <c:pt idx="141">
                        <c:v>1329</c:v>
                      </c:pt>
                      <c:pt idx="142">
                        <c:v>1462</c:v>
                      </c:pt>
                      <c:pt idx="143">
                        <c:v>1313</c:v>
                      </c:pt>
                      <c:pt idx="144" formatCode="_(* #,##0_);_(* \(#,##0\);_(* &quot;-&quot;??_);_(@_)">
                        <c:v>1244</c:v>
                      </c:pt>
                      <c:pt idx="145">
                        <c:v>1234</c:v>
                      </c:pt>
                      <c:pt idx="146">
                        <c:v>1311</c:v>
                      </c:pt>
                      <c:pt idx="147">
                        <c:v>1662</c:v>
                      </c:pt>
                      <c:pt idx="148" formatCode="_(* #,##0_);_(* \(#,##0\);_(* &quot;-&quot;??_);_(@_)">
                        <c:v>1707</c:v>
                      </c:pt>
                      <c:pt idx="149" formatCode="_(* #,##0_);_(* \(#,##0\);_(* &quot;-&quot;??_);_(@_)">
                        <c:v>1425</c:v>
                      </c:pt>
                      <c:pt idx="150" formatCode="_(* #,##0_);_(* \(#,##0\);_(* &quot;-&quot;??_);_(@_)">
                        <c:v>2786</c:v>
                      </c:pt>
                      <c:pt idx="151" formatCode="_(* #,##0_);_(* \(#,##0\);_(* &quot;-&quot;??_);_(@_)">
                        <c:v>1489</c:v>
                      </c:pt>
                      <c:pt idx="152" formatCode="_(* #,##0_);_(* \(#,##0\);_(* &quot;-&quot;??_);_(@_)">
                        <c:v>1465</c:v>
                      </c:pt>
                      <c:pt idx="153" formatCode="_(* #,##0_);_(* \(#,##0\);_(* &quot;-&quot;??_);_(@_)">
                        <c:v>1380</c:v>
                      </c:pt>
                      <c:pt idx="154" formatCode="_(* #,##0_);_(* \(#,##0\);_(* &quot;-&quot;??_);_(@_)">
                        <c:v>1705</c:v>
                      </c:pt>
                      <c:pt idx="155" formatCode="_(* #,##0_);_(* \(#,##0\);_(* &quot;-&quot;??_);_(@_)">
                        <c:v>1455</c:v>
                      </c:pt>
                      <c:pt idx="156">
                        <c:v>1574</c:v>
                      </c:pt>
                      <c:pt idx="157">
                        <c:v>1589</c:v>
                      </c:pt>
                      <c:pt idx="158">
                        <c:v>625</c:v>
                      </c:pt>
                      <c:pt idx="159">
                        <c:v>10</c:v>
                      </c:pt>
                      <c:pt idx="160">
                        <c:v>13</c:v>
                      </c:pt>
                      <c:pt idx="161">
                        <c:v>43</c:v>
                      </c:pt>
                      <c:pt idx="162">
                        <c:v>111</c:v>
                      </c:pt>
                      <c:pt idx="163">
                        <c:v>75</c:v>
                      </c:pt>
                      <c:pt idx="164">
                        <c:v>83</c:v>
                      </c:pt>
                      <c:pt idx="165">
                        <c:v>144</c:v>
                      </c:pt>
                      <c:pt idx="166">
                        <c:v>168</c:v>
                      </c:pt>
                      <c:pt idx="167">
                        <c:v>209</c:v>
                      </c:pt>
                      <c:pt idx="168">
                        <c:v>127</c:v>
                      </c:pt>
                      <c:pt idx="169">
                        <c:v>84</c:v>
                      </c:pt>
                      <c:pt idx="170">
                        <c:v>106</c:v>
                      </c:pt>
                      <c:pt idx="171">
                        <c:v>88</c:v>
                      </c:pt>
                      <c:pt idx="172">
                        <c:v>97</c:v>
                      </c:pt>
                    </c:numCache>
                  </c:numRef>
                </c:val>
                <c:smooth val="0"/>
                <c:extLst xmlns:c15="http://schemas.microsoft.com/office/drawing/2012/chart">
                  <c:ext xmlns:c16="http://schemas.microsoft.com/office/drawing/2014/chart" uri="{C3380CC4-5D6E-409C-BE32-E72D297353CC}">
                    <c16:uniqueId val="{0000000A-E690-4C59-A7C2-6B6BC695708B}"/>
                  </c:ext>
                </c:extLst>
              </c15:ser>
            </c15:filteredLineSeries>
            <c15:filteredLineSeries>
              <c15:ser>
                <c:idx val="9"/>
                <c:order val="9"/>
                <c:tx>
                  <c:strRef>
                    <c:extLst xmlns:c15="http://schemas.microsoft.com/office/drawing/2012/chart">
                      <c:ext xmlns:c15="http://schemas.microsoft.com/office/drawing/2012/chart" uri="{02D57815-91ED-43cb-92C2-25804820EDAC}">
                        <c15:formulaRef>
                          <c15:sqref>'Tendencias nacionalidad'!$C$63</c15:sqref>
                        </c15:formulaRef>
                      </c:ext>
                    </c:extLst>
                    <c:strCache>
                      <c:ptCount val="1"/>
                      <c:pt idx="0">
                        <c:v>Francia</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nacionalidad'!$D$63:$GA$63</c15:sqref>
                        </c15:fullRef>
                        <c15:formulaRef>
                          <c15:sqref>'Tendencias nacionalidad'!$D$63:$FT$63</c15:sqref>
                        </c15:formulaRef>
                      </c:ext>
                    </c:extLst>
                    <c:numCache>
                      <c:formatCode>#,##0</c:formatCode>
                      <c:ptCount val="173"/>
                      <c:pt idx="0">
                        <c:v>543</c:v>
                      </c:pt>
                      <c:pt idx="1">
                        <c:v>685</c:v>
                      </c:pt>
                      <c:pt idx="2">
                        <c:v>788</c:v>
                      </c:pt>
                      <c:pt idx="3">
                        <c:v>824</c:v>
                      </c:pt>
                      <c:pt idx="4">
                        <c:v>704</c:v>
                      </c:pt>
                      <c:pt idx="5">
                        <c:v>744</c:v>
                      </c:pt>
                      <c:pt idx="6">
                        <c:v>1339</c:v>
                      </c:pt>
                      <c:pt idx="7">
                        <c:v>1363</c:v>
                      </c:pt>
                      <c:pt idx="8">
                        <c:v>964</c:v>
                      </c:pt>
                      <c:pt idx="9">
                        <c:v>1261</c:v>
                      </c:pt>
                      <c:pt idx="10">
                        <c:v>1037</c:v>
                      </c:pt>
                      <c:pt idx="11">
                        <c:v>669</c:v>
                      </c:pt>
                      <c:pt idx="12">
                        <c:v>824</c:v>
                      </c:pt>
                      <c:pt idx="13">
                        <c:v>1149</c:v>
                      </c:pt>
                      <c:pt idx="14">
                        <c:v>823</c:v>
                      </c:pt>
                      <c:pt idx="15">
                        <c:v>1148</c:v>
                      </c:pt>
                      <c:pt idx="16">
                        <c:v>934</c:v>
                      </c:pt>
                      <c:pt idx="17">
                        <c:v>975</c:v>
                      </c:pt>
                      <c:pt idx="18">
                        <c:v>1638</c:v>
                      </c:pt>
                      <c:pt idx="19">
                        <c:v>1653</c:v>
                      </c:pt>
                      <c:pt idx="20">
                        <c:v>1093</c:v>
                      </c:pt>
                      <c:pt idx="21">
                        <c:v>1377</c:v>
                      </c:pt>
                      <c:pt idx="22">
                        <c:v>1200</c:v>
                      </c:pt>
                      <c:pt idx="23">
                        <c:v>673</c:v>
                      </c:pt>
                      <c:pt idx="24">
                        <c:v>983</c:v>
                      </c:pt>
                      <c:pt idx="25">
                        <c:v>1015</c:v>
                      </c:pt>
                      <c:pt idx="26">
                        <c:v>796</c:v>
                      </c:pt>
                      <c:pt idx="27">
                        <c:v>1016</c:v>
                      </c:pt>
                      <c:pt idx="28">
                        <c:v>965</c:v>
                      </c:pt>
                      <c:pt idx="29">
                        <c:v>914</c:v>
                      </c:pt>
                      <c:pt idx="30">
                        <c:v>1694</c:v>
                      </c:pt>
                      <c:pt idx="31">
                        <c:v>1736</c:v>
                      </c:pt>
                      <c:pt idx="32">
                        <c:v>1131</c:v>
                      </c:pt>
                      <c:pt idx="33">
                        <c:v>1386</c:v>
                      </c:pt>
                      <c:pt idx="34">
                        <c:v>1175</c:v>
                      </c:pt>
                      <c:pt idx="35">
                        <c:v>749</c:v>
                      </c:pt>
                      <c:pt idx="36">
                        <c:v>742</c:v>
                      </c:pt>
                      <c:pt idx="37">
                        <c:v>833</c:v>
                      </c:pt>
                      <c:pt idx="38">
                        <c:v>1023</c:v>
                      </c:pt>
                      <c:pt idx="39">
                        <c:v>740</c:v>
                      </c:pt>
                      <c:pt idx="40">
                        <c:v>1128</c:v>
                      </c:pt>
                      <c:pt idx="41">
                        <c:v>840</c:v>
                      </c:pt>
                      <c:pt idx="42">
                        <c:v>1883</c:v>
                      </c:pt>
                      <c:pt idx="43">
                        <c:v>1664</c:v>
                      </c:pt>
                      <c:pt idx="44">
                        <c:v>843</c:v>
                      </c:pt>
                      <c:pt idx="45">
                        <c:v>1482</c:v>
                      </c:pt>
                      <c:pt idx="46">
                        <c:v>1372</c:v>
                      </c:pt>
                      <c:pt idx="47">
                        <c:v>727</c:v>
                      </c:pt>
                      <c:pt idx="48">
                        <c:v>759</c:v>
                      </c:pt>
                      <c:pt idx="49">
                        <c:v>756</c:v>
                      </c:pt>
                      <c:pt idx="50">
                        <c:v>935</c:v>
                      </c:pt>
                      <c:pt idx="51">
                        <c:v>872</c:v>
                      </c:pt>
                      <c:pt idx="52">
                        <c:v>1262</c:v>
                      </c:pt>
                      <c:pt idx="53">
                        <c:v>730</c:v>
                      </c:pt>
                      <c:pt idx="54">
                        <c:v>1595</c:v>
                      </c:pt>
                      <c:pt idx="55">
                        <c:v>1453</c:v>
                      </c:pt>
                      <c:pt idx="56">
                        <c:v>992</c:v>
                      </c:pt>
                      <c:pt idx="57">
                        <c:v>1427</c:v>
                      </c:pt>
                      <c:pt idx="58">
                        <c:v>1289</c:v>
                      </c:pt>
                      <c:pt idx="59">
                        <c:v>680</c:v>
                      </c:pt>
                      <c:pt idx="60">
                        <c:v>673</c:v>
                      </c:pt>
                      <c:pt idx="61">
                        <c:v>845</c:v>
                      </c:pt>
                      <c:pt idx="62">
                        <c:v>756</c:v>
                      </c:pt>
                      <c:pt idx="63">
                        <c:v>782</c:v>
                      </c:pt>
                      <c:pt idx="64">
                        <c:v>829</c:v>
                      </c:pt>
                      <c:pt idx="65">
                        <c:v>701</c:v>
                      </c:pt>
                      <c:pt idx="66">
                        <c:v>1552</c:v>
                      </c:pt>
                      <c:pt idx="67">
                        <c:v>1404</c:v>
                      </c:pt>
                      <c:pt idx="68">
                        <c:v>1214</c:v>
                      </c:pt>
                      <c:pt idx="69">
                        <c:v>1410</c:v>
                      </c:pt>
                      <c:pt idx="70">
                        <c:v>1180</c:v>
                      </c:pt>
                      <c:pt idx="71">
                        <c:v>745</c:v>
                      </c:pt>
                      <c:pt idx="72">
                        <c:v>880</c:v>
                      </c:pt>
                      <c:pt idx="73">
                        <c:v>808</c:v>
                      </c:pt>
                      <c:pt idx="74">
                        <c:v>969</c:v>
                      </c:pt>
                      <c:pt idx="75">
                        <c:v>844</c:v>
                      </c:pt>
                      <c:pt idx="76">
                        <c:v>1026</c:v>
                      </c:pt>
                      <c:pt idx="77">
                        <c:v>860</c:v>
                      </c:pt>
                      <c:pt idx="78">
                        <c:v>1550</c:v>
                      </c:pt>
                      <c:pt idx="79">
                        <c:v>1310</c:v>
                      </c:pt>
                      <c:pt idx="80">
                        <c:v>1292</c:v>
                      </c:pt>
                      <c:pt idx="81">
                        <c:v>1197</c:v>
                      </c:pt>
                      <c:pt idx="82">
                        <c:v>1162</c:v>
                      </c:pt>
                      <c:pt idx="83">
                        <c:v>751</c:v>
                      </c:pt>
                      <c:pt idx="84">
                        <c:v>877</c:v>
                      </c:pt>
                      <c:pt idx="85">
                        <c:v>898</c:v>
                      </c:pt>
                      <c:pt idx="86">
                        <c:v>932</c:v>
                      </c:pt>
                      <c:pt idx="87">
                        <c:v>964</c:v>
                      </c:pt>
                      <c:pt idx="88">
                        <c:v>964</c:v>
                      </c:pt>
                      <c:pt idx="89">
                        <c:v>934</c:v>
                      </c:pt>
                      <c:pt idx="90">
                        <c:v>1664</c:v>
                      </c:pt>
                      <c:pt idx="91">
                        <c:v>1228</c:v>
                      </c:pt>
                      <c:pt idx="92">
                        <c:v>1269</c:v>
                      </c:pt>
                      <c:pt idx="93">
                        <c:v>1389</c:v>
                      </c:pt>
                      <c:pt idx="94">
                        <c:v>1581</c:v>
                      </c:pt>
                      <c:pt idx="95">
                        <c:v>983</c:v>
                      </c:pt>
                      <c:pt idx="96">
                        <c:v>1065</c:v>
                      </c:pt>
                      <c:pt idx="97">
                        <c:v>1008</c:v>
                      </c:pt>
                      <c:pt idx="98">
                        <c:v>802</c:v>
                      </c:pt>
                      <c:pt idx="99">
                        <c:v>921</c:v>
                      </c:pt>
                      <c:pt idx="100">
                        <c:v>958</c:v>
                      </c:pt>
                      <c:pt idx="101">
                        <c:v>965</c:v>
                      </c:pt>
                      <c:pt idx="102">
                        <c:v>1548</c:v>
                      </c:pt>
                      <c:pt idx="103">
                        <c:v>1233</c:v>
                      </c:pt>
                      <c:pt idx="104">
                        <c:v>1512</c:v>
                      </c:pt>
                      <c:pt idx="105">
                        <c:v>1510</c:v>
                      </c:pt>
                      <c:pt idx="106">
                        <c:v>1671</c:v>
                      </c:pt>
                      <c:pt idx="107">
                        <c:v>856</c:v>
                      </c:pt>
                      <c:pt idx="108">
                        <c:v>953</c:v>
                      </c:pt>
                      <c:pt idx="109">
                        <c:v>996</c:v>
                      </c:pt>
                      <c:pt idx="110">
                        <c:v>916</c:v>
                      </c:pt>
                      <c:pt idx="111">
                        <c:v>945</c:v>
                      </c:pt>
                      <c:pt idx="112">
                        <c:v>905</c:v>
                      </c:pt>
                      <c:pt idx="113">
                        <c:v>1030</c:v>
                      </c:pt>
                      <c:pt idx="114">
                        <c:v>1552</c:v>
                      </c:pt>
                      <c:pt idx="115">
                        <c:v>1191</c:v>
                      </c:pt>
                      <c:pt idx="116" formatCode="General">
                        <c:v>950</c:v>
                      </c:pt>
                      <c:pt idx="117">
                        <c:v>1536</c:v>
                      </c:pt>
                      <c:pt idx="118">
                        <c:v>1546</c:v>
                      </c:pt>
                      <c:pt idx="119">
                        <c:v>835</c:v>
                      </c:pt>
                      <c:pt idx="120">
                        <c:v>933</c:v>
                      </c:pt>
                      <c:pt idx="121">
                        <c:v>916</c:v>
                      </c:pt>
                      <c:pt idx="122">
                        <c:v>937</c:v>
                      </c:pt>
                      <c:pt idx="123">
                        <c:v>939</c:v>
                      </c:pt>
                      <c:pt idx="124">
                        <c:v>912</c:v>
                      </c:pt>
                      <c:pt idx="125">
                        <c:v>911</c:v>
                      </c:pt>
                      <c:pt idx="126">
                        <c:v>1705</c:v>
                      </c:pt>
                      <c:pt idx="127">
                        <c:v>1227</c:v>
                      </c:pt>
                      <c:pt idx="128">
                        <c:v>1164</c:v>
                      </c:pt>
                      <c:pt idx="129">
                        <c:v>1553</c:v>
                      </c:pt>
                      <c:pt idx="130">
                        <c:v>1734</c:v>
                      </c:pt>
                      <c:pt idx="131">
                        <c:v>865</c:v>
                      </c:pt>
                      <c:pt idx="132">
                        <c:v>1076</c:v>
                      </c:pt>
                      <c:pt idx="133">
                        <c:v>1089</c:v>
                      </c:pt>
                      <c:pt idx="134">
                        <c:v>834</c:v>
                      </c:pt>
                      <c:pt idx="135">
                        <c:v>1162</c:v>
                      </c:pt>
                      <c:pt idx="136">
                        <c:v>1082</c:v>
                      </c:pt>
                      <c:pt idx="137">
                        <c:v>1183</c:v>
                      </c:pt>
                      <c:pt idx="138">
                        <c:v>1912</c:v>
                      </c:pt>
                      <c:pt idx="139">
                        <c:v>1373</c:v>
                      </c:pt>
                      <c:pt idx="140">
                        <c:v>1332</c:v>
                      </c:pt>
                      <c:pt idx="141">
                        <c:v>1688</c:v>
                      </c:pt>
                      <c:pt idx="142">
                        <c:v>1480</c:v>
                      </c:pt>
                      <c:pt idx="143">
                        <c:v>952</c:v>
                      </c:pt>
                      <c:pt idx="144" formatCode="_(* #,##0_);_(* \(#,##0\);_(* &quot;-&quot;??_);_(@_)">
                        <c:v>1067</c:v>
                      </c:pt>
                      <c:pt idx="145">
                        <c:v>1374</c:v>
                      </c:pt>
                      <c:pt idx="146">
                        <c:v>865</c:v>
                      </c:pt>
                      <c:pt idx="147">
                        <c:v>1271</c:v>
                      </c:pt>
                      <c:pt idx="148" formatCode="_(* #,##0_);_(* \(#,##0\);_(* &quot;-&quot;??_);_(@_)">
                        <c:v>1648</c:v>
                      </c:pt>
                      <c:pt idx="149" formatCode="_(* #,##0_);_(* \(#,##0\);_(* &quot;-&quot;??_);_(@_)">
                        <c:v>1645</c:v>
                      </c:pt>
                      <c:pt idx="150" formatCode="_(* #,##0_);_(* \(#,##0\);_(* &quot;-&quot;??_);_(@_)">
                        <c:v>2746</c:v>
                      </c:pt>
                      <c:pt idx="151" formatCode="_(* #,##0_);_(* \(#,##0\);_(* &quot;-&quot;??_);_(@_)">
                        <c:v>2514</c:v>
                      </c:pt>
                      <c:pt idx="152" formatCode="_(* #,##0_);_(* \(#,##0\);_(* &quot;-&quot;??_);_(@_)">
                        <c:v>2251</c:v>
                      </c:pt>
                      <c:pt idx="153" formatCode="_(* #,##0_);_(* \(#,##0\);_(* &quot;-&quot;??_);_(@_)">
                        <c:v>1562</c:v>
                      </c:pt>
                      <c:pt idx="154" formatCode="_(* #,##0_);_(* \(#,##0\);_(* &quot;-&quot;??_);_(@_)">
                        <c:v>1949</c:v>
                      </c:pt>
                      <c:pt idx="155" formatCode="_(* #,##0_);_(* \(#,##0\);_(* &quot;-&quot;??_);_(@_)">
                        <c:v>1590</c:v>
                      </c:pt>
                      <c:pt idx="156">
                        <c:v>1717</c:v>
                      </c:pt>
                      <c:pt idx="157">
                        <c:v>1675</c:v>
                      </c:pt>
                      <c:pt idx="158">
                        <c:v>661</c:v>
                      </c:pt>
                      <c:pt idx="159">
                        <c:v>2</c:v>
                      </c:pt>
                      <c:pt idx="160">
                        <c:v>18</c:v>
                      </c:pt>
                      <c:pt idx="161">
                        <c:v>11</c:v>
                      </c:pt>
                      <c:pt idx="162">
                        <c:v>68</c:v>
                      </c:pt>
                      <c:pt idx="163">
                        <c:v>158</c:v>
                      </c:pt>
                      <c:pt idx="164">
                        <c:v>152</c:v>
                      </c:pt>
                      <c:pt idx="165">
                        <c:v>261</c:v>
                      </c:pt>
                      <c:pt idx="166">
                        <c:v>186</c:v>
                      </c:pt>
                      <c:pt idx="167">
                        <c:v>413</c:v>
                      </c:pt>
                      <c:pt idx="168">
                        <c:v>431</c:v>
                      </c:pt>
                      <c:pt idx="169">
                        <c:v>209</c:v>
                      </c:pt>
                      <c:pt idx="170">
                        <c:v>211</c:v>
                      </c:pt>
                      <c:pt idx="171">
                        <c:v>238</c:v>
                      </c:pt>
                      <c:pt idx="172">
                        <c:v>277</c:v>
                      </c:pt>
                    </c:numCache>
                  </c:numRef>
                </c:val>
                <c:smooth val="0"/>
                <c:extLst xmlns:c15="http://schemas.microsoft.com/office/drawing/2012/chart">
                  <c:ext xmlns:c16="http://schemas.microsoft.com/office/drawing/2014/chart" uri="{C3380CC4-5D6E-409C-BE32-E72D297353CC}">
                    <c16:uniqueId val="{0000000B-E690-4C59-A7C2-6B6BC695708B}"/>
                  </c:ext>
                </c:extLst>
              </c15:ser>
            </c15:filteredLineSeries>
            <c15:filteredLineSeries>
              <c15:ser>
                <c:idx val="10"/>
                <c:order val="10"/>
                <c:tx>
                  <c:strRef>
                    <c:extLst xmlns:c15="http://schemas.microsoft.com/office/drawing/2012/chart">
                      <c:ext xmlns:c15="http://schemas.microsoft.com/office/drawing/2012/chart" uri="{02D57815-91ED-43cb-92C2-25804820EDAC}">
                        <c15:formulaRef>
                          <c15:sqref>'Tendencias nacionalidad'!$C$64</c15:sqref>
                        </c15:formulaRef>
                      </c:ext>
                    </c:extLst>
                    <c:strCache>
                      <c:ptCount val="1"/>
                      <c:pt idx="0">
                        <c:v>Venezuela</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nacionalidad'!$D$64:$GA$64</c15:sqref>
                        </c15:fullRef>
                        <c15:formulaRef>
                          <c15:sqref>'Tendencias nacionalidad'!$D$64:$FT$64</c15:sqref>
                        </c15:formulaRef>
                      </c:ext>
                    </c:extLst>
                    <c:numCache>
                      <c:formatCode>#,##0</c:formatCode>
                      <c:ptCount val="173"/>
                      <c:pt idx="0">
                        <c:v>753</c:v>
                      </c:pt>
                      <c:pt idx="1">
                        <c:v>714</c:v>
                      </c:pt>
                      <c:pt idx="2">
                        <c:v>737</c:v>
                      </c:pt>
                      <c:pt idx="3">
                        <c:v>613</c:v>
                      </c:pt>
                      <c:pt idx="4">
                        <c:v>651</c:v>
                      </c:pt>
                      <c:pt idx="5">
                        <c:v>747</c:v>
                      </c:pt>
                      <c:pt idx="6">
                        <c:v>827</c:v>
                      </c:pt>
                      <c:pt idx="7">
                        <c:v>1300</c:v>
                      </c:pt>
                      <c:pt idx="8">
                        <c:v>952</c:v>
                      </c:pt>
                      <c:pt idx="9">
                        <c:v>1111</c:v>
                      </c:pt>
                      <c:pt idx="10">
                        <c:v>1099</c:v>
                      </c:pt>
                      <c:pt idx="11">
                        <c:v>1314</c:v>
                      </c:pt>
                      <c:pt idx="12">
                        <c:v>827</c:v>
                      </c:pt>
                      <c:pt idx="13">
                        <c:v>1276</c:v>
                      </c:pt>
                      <c:pt idx="14">
                        <c:v>1217</c:v>
                      </c:pt>
                      <c:pt idx="15">
                        <c:v>1118</c:v>
                      </c:pt>
                      <c:pt idx="16">
                        <c:v>1255</c:v>
                      </c:pt>
                      <c:pt idx="17">
                        <c:v>1036</c:v>
                      </c:pt>
                      <c:pt idx="18">
                        <c:v>1195</c:v>
                      </c:pt>
                      <c:pt idx="19">
                        <c:v>1641</c:v>
                      </c:pt>
                      <c:pt idx="20">
                        <c:v>1154</c:v>
                      </c:pt>
                      <c:pt idx="21">
                        <c:v>1777</c:v>
                      </c:pt>
                      <c:pt idx="22">
                        <c:v>1428</c:v>
                      </c:pt>
                      <c:pt idx="23">
                        <c:v>2225</c:v>
                      </c:pt>
                      <c:pt idx="24">
                        <c:v>1083</c:v>
                      </c:pt>
                      <c:pt idx="25">
                        <c:v>1249</c:v>
                      </c:pt>
                      <c:pt idx="26">
                        <c:v>1024</c:v>
                      </c:pt>
                      <c:pt idx="27">
                        <c:v>1356</c:v>
                      </c:pt>
                      <c:pt idx="28">
                        <c:v>1292</c:v>
                      </c:pt>
                      <c:pt idx="29">
                        <c:v>1228</c:v>
                      </c:pt>
                      <c:pt idx="30">
                        <c:v>1508</c:v>
                      </c:pt>
                      <c:pt idx="31">
                        <c:v>2113</c:v>
                      </c:pt>
                      <c:pt idx="32">
                        <c:v>1520</c:v>
                      </c:pt>
                      <c:pt idx="33">
                        <c:v>1841</c:v>
                      </c:pt>
                      <c:pt idx="34">
                        <c:v>2046</c:v>
                      </c:pt>
                      <c:pt idx="35">
                        <c:v>3228</c:v>
                      </c:pt>
                      <c:pt idx="36">
                        <c:v>1651</c:v>
                      </c:pt>
                      <c:pt idx="37">
                        <c:v>2875</c:v>
                      </c:pt>
                      <c:pt idx="38">
                        <c:v>1387</c:v>
                      </c:pt>
                      <c:pt idx="39">
                        <c:v>1111</c:v>
                      </c:pt>
                      <c:pt idx="40">
                        <c:v>1191</c:v>
                      </c:pt>
                      <c:pt idx="41">
                        <c:v>1113</c:v>
                      </c:pt>
                      <c:pt idx="42">
                        <c:v>1335</c:v>
                      </c:pt>
                      <c:pt idx="43">
                        <c:v>1591</c:v>
                      </c:pt>
                      <c:pt idx="44">
                        <c:v>1306</c:v>
                      </c:pt>
                      <c:pt idx="45">
                        <c:v>1534</c:v>
                      </c:pt>
                      <c:pt idx="46">
                        <c:v>1720</c:v>
                      </c:pt>
                      <c:pt idx="47">
                        <c:v>1968</c:v>
                      </c:pt>
                      <c:pt idx="48">
                        <c:v>1032</c:v>
                      </c:pt>
                      <c:pt idx="49">
                        <c:v>1376</c:v>
                      </c:pt>
                      <c:pt idx="50">
                        <c:v>1492</c:v>
                      </c:pt>
                      <c:pt idx="51">
                        <c:v>1632</c:v>
                      </c:pt>
                      <c:pt idx="52">
                        <c:v>1480</c:v>
                      </c:pt>
                      <c:pt idx="53">
                        <c:v>1340</c:v>
                      </c:pt>
                      <c:pt idx="54">
                        <c:v>1534</c:v>
                      </c:pt>
                      <c:pt idx="55">
                        <c:v>1989</c:v>
                      </c:pt>
                      <c:pt idx="56">
                        <c:v>2317</c:v>
                      </c:pt>
                      <c:pt idx="57">
                        <c:v>2313</c:v>
                      </c:pt>
                      <c:pt idx="58">
                        <c:v>2294</c:v>
                      </c:pt>
                      <c:pt idx="59">
                        <c:v>2927</c:v>
                      </c:pt>
                      <c:pt idx="60">
                        <c:v>1103</c:v>
                      </c:pt>
                      <c:pt idx="61">
                        <c:v>1731</c:v>
                      </c:pt>
                      <c:pt idx="62">
                        <c:v>1529</c:v>
                      </c:pt>
                      <c:pt idx="63">
                        <c:v>1459</c:v>
                      </c:pt>
                      <c:pt idx="64">
                        <c:v>1418</c:v>
                      </c:pt>
                      <c:pt idx="65">
                        <c:v>1675</c:v>
                      </c:pt>
                      <c:pt idx="66">
                        <c:v>1770</c:v>
                      </c:pt>
                      <c:pt idx="67">
                        <c:v>2101</c:v>
                      </c:pt>
                      <c:pt idx="68">
                        <c:v>2091</c:v>
                      </c:pt>
                      <c:pt idx="69">
                        <c:v>2502</c:v>
                      </c:pt>
                      <c:pt idx="70">
                        <c:v>4173</c:v>
                      </c:pt>
                      <c:pt idx="71">
                        <c:v>4955</c:v>
                      </c:pt>
                      <c:pt idx="72">
                        <c:v>3054</c:v>
                      </c:pt>
                      <c:pt idx="73">
                        <c:v>4459</c:v>
                      </c:pt>
                      <c:pt idx="74">
                        <c:v>4045</c:v>
                      </c:pt>
                      <c:pt idx="75">
                        <c:v>4332</c:v>
                      </c:pt>
                      <c:pt idx="76">
                        <c:v>4937</c:v>
                      </c:pt>
                      <c:pt idx="77">
                        <c:v>5647</c:v>
                      </c:pt>
                      <c:pt idx="78">
                        <c:v>7092</c:v>
                      </c:pt>
                      <c:pt idx="79">
                        <c:v>7074</c:v>
                      </c:pt>
                      <c:pt idx="80">
                        <c:v>7620</c:v>
                      </c:pt>
                      <c:pt idx="81">
                        <c:v>10699</c:v>
                      </c:pt>
                      <c:pt idx="82">
                        <c:v>11241</c:v>
                      </c:pt>
                      <c:pt idx="83">
                        <c:v>7989</c:v>
                      </c:pt>
                      <c:pt idx="84">
                        <c:v>4693</c:v>
                      </c:pt>
                      <c:pt idx="85">
                        <c:v>5741</c:v>
                      </c:pt>
                      <c:pt idx="86">
                        <c:v>5725</c:v>
                      </c:pt>
                      <c:pt idx="87">
                        <c:v>5619</c:v>
                      </c:pt>
                      <c:pt idx="88">
                        <c:v>5346</c:v>
                      </c:pt>
                      <c:pt idx="89">
                        <c:v>6807</c:v>
                      </c:pt>
                      <c:pt idx="90">
                        <c:v>6926</c:v>
                      </c:pt>
                      <c:pt idx="91">
                        <c:v>8583</c:v>
                      </c:pt>
                      <c:pt idx="92">
                        <c:v>9992</c:v>
                      </c:pt>
                      <c:pt idx="93">
                        <c:v>9297</c:v>
                      </c:pt>
                      <c:pt idx="94">
                        <c:v>10296</c:v>
                      </c:pt>
                      <c:pt idx="95">
                        <c:v>11157</c:v>
                      </c:pt>
                      <c:pt idx="96">
                        <c:v>2358</c:v>
                      </c:pt>
                      <c:pt idx="97">
                        <c:v>2290</c:v>
                      </c:pt>
                      <c:pt idx="98">
                        <c:v>4142</c:v>
                      </c:pt>
                      <c:pt idx="99">
                        <c:v>6065</c:v>
                      </c:pt>
                      <c:pt idx="100">
                        <c:v>5121</c:v>
                      </c:pt>
                      <c:pt idx="101">
                        <c:v>3749</c:v>
                      </c:pt>
                      <c:pt idx="102">
                        <c:v>2801</c:v>
                      </c:pt>
                      <c:pt idx="103">
                        <c:v>3138</c:v>
                      </c:pt>
                      <c:pt idx="104">
                        <c:v>4863</c:v>
                      </c:pt>
                      <c:pt idx="105">
                        <c:v>5562</c:v>
                      </c:pt>
                      <c:pt idx="106">
                        <c:v>6086</c:v>
                      </c:pt>
                      <c:pt idx="107">
                        <c:v>5218</c:v>
                      </c:pt>
                      <c:pt idx="108">
                        <c:v>3766</c:v>
                      </c:pt>
                      <c:pt idx="109">
                        <c:v>3119</c:v>
                      </c:pt>
                      <c:pt idx="110">
                        <c:v>3278</c:v>
                      </c:pt>
                      <c:pt idx="111">
                        <c:v>2499</c:v>
                      </c:pt>
                      <c:pt idx="112">
                        <c:v>2287</c:v>
                      </c:pt>
                      <c:pt idx="113">
                        <c:v>1861</c:v>
                      </c:pt>
                      <c:pt idx="114">
                        <c:v>1997</c:v>
                      </c:pt>
                      <c:pt idx="115">
                        <c:v>1859</c:v>
                      </c:pt>
                      <c:pt idx="116" formatCode="General">
                        <c:v>1632</c:v>
                      </c:pt>
                      <c:pt idx="117">
                        <c:v>1802</c:v>
                      </c:pt>
                      <c:pt idx="118">
                        <c:v>2234</c:v>
                      </c:pt>
                      <c:pt idx="119">
                        <c:v>2275</c:v>
                      </c:pt>
                      <c:pt idx="120">
                        <c:v>2611</c:v>
                      </c:pt>
                      <c:pt idx="121">
                        <c:v>2623</c:v>
                      </c:pt>
                      <c:pt idx="122">
                        <c:v>3077</c:v>
                      </c:pt>
                      <c:pt idx="123">
                        <c:v>1899</c:v>
                      </c:pt>
                      <c:pt idx="124">
                        <c:v>1788</c:v>
                      </c:pt>
                      <c:pt idx="125">
                        <c:v>1844</c:v>
                      </c:pt>
                      <c:pt idx="126">
                        <c:v>2187</c:v>
                      </c:pt>
                      <c:pt idx="127">
                        <c:v>1627</c:v>
                      </c:pt>
                      <c:pt idx="128">
                        <c:v>1459</c:v>
                      </c:pt>
                      <c:pt idx="129">
                        <c:v>1321</c:v>
                      </c:pt>
                      <c:pt idx="130">
                        <c:v>1420</c:v>
                      </c:pt>
                      <c:pt idx="131">
                        <c:v>1417</c:v>
                      </c:pt>
                      <c:pt idx="132">
                        <c:v>1226</c:v>
                      </c:pt>
                      <c:pt idx="133">
                        <c:v>1186</c:v>
                      </c:pt>
                      <c:pt idx="134">
                        <c:v>1106</c:v>
                      </c:pt>
                      <c:pt idx="135">
                        <c:v>1006</c:v>
                      </c:pt>
                      <c:pt idx="136">
                        <c:v>1115</c:v>
                      </c:pt>
                      <c:pt idx="137">
                        <c:v>1223</c:v>
                      </c:pt>
                      <c:pt idx="138">
                        <c:v>1373</c:v>
                      </c:pt>
                      <c:pt idx="139">
                        <c:v>1180</c:v>
                      </c:pt>
                      <c:pt idx="140">
                        <c:v>1316</c:v>
                      </c:pt>
                      <c:pt idx="141">
                        <c:v>1366</c:v>
                      </c:pt>
                      <c:pt idx="142">
                        <c:v>1417</c:v>
                      </c:pt>
                      <c:pt idx="143">
                        <c:v>1480</c:v>
                      </c:pt>
                      <c:pt idx="144" formatCode="_(* #,##0_);_(* \(#,##0\);_(* &quot;-&quot;??_);_(@_)">
                        <c:v>839</c:v>
                      </c:pt>
                      <c:pt idx="145">
                        <c:v>615</c:v>
                      </c:pt>
                      <c:pt idx="146">
                        <c:v>713</c:v>
                      </c:pt>
                      <c:pt idx="147">
                        <c:v>970</c:v>
                      </c:pt>
                      <c:pt idx="148" formatCode="_(* #,##0_);_(* \(#,##0\);_(* &quot;-&quot;??_);_(@_)">
                        <c:v>1338</c:v>
                      </c:pt>
                      <c:pt idx="149" formatCode="_(* #,##0_);_(* \(#,##0\);_(* &quot;-&quot;??_);_(@_)">
                        <c:v>1196</c:v>
                      </c:pt>
                      <c:pt idx="150" formatCode="_(* #,##0_);_(* \(#,##0\);_(* &quot;-&quot;??_);_(@_)">
                        <c:v>1791</c:v>
                      </c:pt>
                      <c:pt idx="151" formatCode="_(* #,##0_);_(* \(#,##0\);_(* &quot;-&quot;??_);_(@_)">
                        <c:v>1978</c:v>
                      </c:pt>
                      <c:pt idx="152" formatCode="_(* #,##0_);_(* \(#,##0\);_(* &quot;-&quot;??_);_(@_)">
                        <c:v>959</c:v>
                      </c:pt>
                      <c:pt idx="153" formatCode="_(* #,##0_);_(* \(#,##0\);_(* &quot;-&quot;??_);_(@_)">
                        <c:v>956</c:v>
                      </c:pt>
                      <c:pt idx="154" formatCode="_(* #,##0_);_(* \(#,##0\);_(* &quot;-&quot;??_);_(@_)">
                        <c:v>1165</c:v>
                      </c:pt>
                      <c:pt idx="155" formatCode="_(* #,##0_);_(* \(#,##0\);_(* &quot;-&quot;??_);_(@_)">
                        <c:v>1300</c:v>
                      </c:pt>
                      <c:pt idx="156">
                        <c:v>1957</c:v>
                      </c:pt>
                      <c:pt idx="157">
                        <c:v>980</c:v>
                      </c:pt>
                      <c:pt idx="158">
                        <c:v>604</c:v>
                      </c:pt>
                      <c:pt idx="159">
                        <c:v>15</c:v>
                      </c:pt>
                      <c:pt idx="160">
                        <c:v>28</c:v>
                      </c:pt>
                      <c:pt idx="161">
                        <c:v>30</c:v>
                      </c:pt>
                      <c:pt idx="162">
                        <c:v>79</c:v>
                      </c:pt>
                      <c:pt idx="163">
                        <c:v>74</c:v>
                      </c:pt>
                      <c:pt idx="164">
                        <c:v>158</c:v>
                      </c:pt>
                      <c:pt idx="165">
                        <c:v>136</c:v>
                      </c:pt>
                      <c:pt idx="166">
                        <c:v>327</c:v>
                      </c:pt>
                      <c:pt idx="167">
                        <c:v>284</c:v>
                      </c:pt>
                      <c:pt idx="168">
                        <c:v>409</c:v>
                      </c:pt>
                      <c:pt idx="169">
                        <c:v>282</c:v>
                      </c:pt>
                      <c:pt idx="170">
                        <c:v>283</c:v>
                      </c:pt>
                      <c:pt idx="171">
                        <c:v>342</c:v>
                      </c:pt>
                      <c:pt idx="172">
                        <c:v>477</c:v>
                      </c:pt>
                    </c:numCache>
                  </c:numRef>
                </c:val>
                <c:smooth val="0"/>
                <c:extLst xmlns:c15="http://schemas.microsoft.com/office/drawing/2012/chart">
                  <c:ext xmlns:c16="http://schemas.microsoft.com/office/drawing/2014/chart" uri="{C3380CC4-5D6E-409C-BE32-E72D297353CC}">
                    <c16:uniqueId val="{0000000C-E690-4C59-A7C2-6B6BC695708B}"/>
                  </c:ext>
                </c:extLst>
              </c15:ser>
            </c15:filteredLineSeries>
            <c15:filteredLineSeries>
              <c15:ser>
                <c:idx val="12"/>
                <c:order val="12"/>
                <c:tx>
                  <c:strRef>
                    <c:extLst xmlns:c15="http://schemas.microsoft.com/office/drawing/2012/chart">
                      <c:ext xmlns:c15="http://schemas.microsoft.com/office/drawing/2012/chart" uri="{02D57815-91ED-43cb-92C2-25804820EDAC}">
                        <c15:formulaRef>
                          <c15:sqref>'Tendencias nacionalidad'!$C$66</c15:sqref>
                        </c15:formulaRef>
                      </c:ext>
                    </c:extLst>
                    <c:strCache>
                      <c:ptCount val="1"/>
                      <c:pt idx="0">
                        <c:v>Países Bajo (Holanda)</c:v>
                      </c:pt>
                    </c:strCache>
                  </c:strRef>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nacionalidad'!$D$66:$GA$66</c15:sqref>
                        </c15:fullRef>
                        <c15:formulaRef>
                          <c15:sqref>'Tendencias nacionalidad'!$D$66:$FT$66</c15:sqref>
                        </c15:formulaRef>
                      </c:ext>
                    </c:extLst>
                    <c:numCache>
                      <c:formatCode>#,##0</c:formatCode>
                      <c:ptCount val="173"/>
                      <c:pt idx="0">
                        <c:v>367</c:v>
                      </c:pt>
                      <c:pt idx="1">
                        <c:v>335</c:v>
                      </c:pt>
                      <c:pt idx="2">
                        <c:v>364</c:v>
                      </c:pt>
                      <c:pt idx="3">
                        <c:v>343</c:v>
                      </c:pt>
                      <c:pt idx="4">
                        <c:v>321</c:v>
                      </c:pt>
                      <c:pt idx="5">
                        <c:v>421</c:v>
                      </c:pt>
                      <c:pt idx="6">
                        <c:v>1328</c:v>
                      </c:pt>
                      <c:pt idx="7">
                        <c:v>606</c:v>
                      </c:pt>
                      <c:pt idx="8">
                        <c:v>710</c:v>
                      </c:pt>
                      <c:pt idx="9">
                        <c:v>637</c:v>
                      </c:pt>
                      <c:pt idx="10">
                        <c:v>607</c:v>
                      </c:pt>
                      <c:pt idx="11">
                        <c:v>455</c:v>
                      </c:pt>
                      <c:pt idx="12">
                        <c:v>449</c:v>
                      </c:pt>
                      <c:pt idx="13">
                        <c:v>677</c:v>
                      </c:pt>
                      <c:pt idx="14">
                        <c:v>399</c:v>
                      </c:pt>
                      <c:pt idx="15">
                        <c:v>431</c:v>
                      </c:pt>
                      <c:pt idx="16">
                        <c:v>467</c:v>
                      </c:pt>
                      <c:pt idx="17">
                        <c:v>553</c:v>
                      </c:pt>
                      <c:pt idx="18">
                        <c:v>1757</c:v>
                      </c:pt>
                      <c:pt idx="19">
                        <c:v>735</c:v>
                      </c:pt>
                      <c:pt idx="20">
                        <c:v>835</c:v>
                      </c:pt>
                      <c:pt idx="21">
                        <c:v>626</c:v>
                      </c:pt>
                      <c:pt idx="22">
                        <c:v>706</c:v>
                      </c:pt>
                      <c:pt idx="23">
                        <c:v>541</c:v>
                      </c:pt>
                      <c:pt idx="24">
                        <c:v>469</c:v>
                      </c:pt>
                      <c:pt idx="25">
                        <c:v>395</c:v>
                      </c:pt>
                      <c:pt idx="26">
                        <c:v>369</c:v>
                      </c:pt>
                      <c:pt idx="27">
                        <c:v>552</c:v>
                      </c:pt>
                      <c:pt idx="28">
                        <c:v>528.5</c:v>
                      </c:pt>
                      <c:pt idx="29">
                        <c:v>505</c:v>
                      </c:pt>
                      <c:pt idx="30">
                        <c:v>1602</c:v>
                      </c:pt>
                      <c:pt idx="31">
                        <c:v>575</c:v>
                      </c:pt>
                      <c:pt idx="32">
                        <c:v>499</c:v>
                      </c:pt>
                      <c:pt idx="33">
                        <c:v>639</c:v>
                      </c:pt>
                      <c:pt idx="34">
                        <c:v>543</c:v>
                      </c:pt>
                      <c:pt idx="35">
                        <c:v>581</c:v>
                      </c:pt>
                      <c:pt idx="36">
                        <c:v>434</c:v>
                      </c:pt>
                      <c:pt idx="37">
                        <c:v>396</c:v>
                      </c:pt>
                      <c:pt idx="38">
                        <c:v>432</c:v>
                      </c:pt>
                      <c:pt idx="39">
                        <c:v>463</c:v>
                      </c:pt>
                      <c:pt idx="40">
                        <c:v>441</c:v>
                      </c:pt>
                      <c:pt idx="41">
                        <c:v>377</c:v>
                      </c:pt>
                      <c:pt idx="42">
                        <c:v>1417</c:v>
                      </c:pt>
                      <c:pt idx="43">
                        <c:v>511</c:v>
                      </c:pt>
                      <c:pt idx="44">
                        <c:v>455</c:v>
                      </c:pt>
                      <c:pt idx="45">
                        <c:v>706</c:v>
                      </c:pt>
                      <c:pt idx="46">
                        <c:v>468</c:v>
                      </c:pt>
                      <c:pt idx="47">
                        <c:v>524</c:v>
                      </c:pt>
                      <c:pt idx="48">
                        <c:v>438</c:v>
                      </c:pt>
                      <c:pt idx="49">
                        <c:v>331</c:v>
                      </c:pt>
                      <c:pt idx="50">
                        <c:v>359</c:v>
                      </c:pt>
                      <c:pt idx="51">
                        <c:v>410</c:v>
                      </c:pt>
                      <c:pt idx="52">
                        <c:v>374</c:v>
                      </c:pt>
                      <c:pt idx="53">
                        <c:v>359</c:v>
                      </c:pt>
                      <c:pt idx="54">
                        <c:v>1243</c:v>
                      </c:pt>
                      <c:pt idx="55">
                        <c:v>455</c:v>
                      </c:pt>
                      <c:pt idx="56">
                        <c:v>514</c:v>
                      </c:pt>
                      <c:pt idx="57">
                        <c:v>723</c:v>
                      </c:pt>
                      <c:pt idx="58">
                        <c:v>623</c:v>
                      </c:pt>
                      <c:pt idx="59">
                        <c:v>735</c:v>
                      </c:pt>
                      <c:pt idx="60">
                        <c:v>332</c:v>
                      </c:pt>
                      <c:pt idx="61">
                        <c:v>352</c:v>
                      </c:pt>
                      <c:pt idx="62">
                        <c:v>638</c:v>
                      </c:pt>
                      <c:pt idx="63">
                        <c:v>642</c:v>
                      </c:pt>
                      <c:pt idx="64">
                        <c:v>601</c:v>
                      </c:pt>
                      <c:pt idx="65">
                        <c:v>662</c:v>
                      </c:pt>
                      <c:pt idx="66">
                        <c:v>1316</c:v>
                      </c:pt>
                      <c:pt idx="67">
                        <c:v>757</c:v>
                      </c:pt>
                      <c:pt idx="68">
                        <c:v>771</c:v>
                      </c:pt>
                      <c:pt idx="69">
                        <c:v>824</c:v>
                      </c:pt>
                      <c:pt idx="70">
                        <c:v>633</c:v>
                      </c:pt>
                      <c:pt idx="71">
                        <c:v>769</c:v>
                      </c:pt>
                      <c:pt idx="72">
                        <c:v>724</c:v>
                      </c:pt>
                      <c:pt idx="73">
                        <c:v>624</c:v>
                      </c:pt>
                      <c:pt idx="74">
                        <c:v>698</c:v>
                      </c:pt>
                      <c:pt idx="75">
                        <c:v>891</c:v>
                      </c:pt>
                      <c:pt idx="76">
                        <c:v>886</c:v>
                      </c:pt>
                      <c:pt idx="77">
                        <c:v>710</c:v>
                      </c:pt>
                      <c:pt idx="78">
                        <c:v>1482</c:v>
                      </c:pt>
                      <c:pt idx="79">
                        <c:v>838</c:v>
                      </c:pt>
                      <c:pt idx="80">
                        <c:v>807</c:v>
                      </c:pt>
                      <c:pt idx="81">
                        <c:v>948</c:v>
                      </c:pt>
                      <c:pt idx="82">
                        <c:v>938</c:v>
                      </c:pt>
                      <c:pt idx="83">
                        <c:v>944</c:v>
                      </c:pt>
                      <c:pt idx="84">
                        <c:v>899</c:v>
                      </c:pt>
                      <c:pt idx="85">
                        <c:v>843</c:v>
                      </c:pt>
                      <c:pt idx="86">
                        <c:v>878</c:v>
                      </c:pt>
                      <c:pt idx="87">
                        <c:v>841</c:v>
                      </c:pt>
                      <c:pt idx="88">
                        <c:v>842</c:v>
                      </c:pt>
                      <c:pt idx="89">
                        <c:v>797</c:v>
                      </c:pt>
                      <c:pt idx="90">
                        <c:v>1571</c:v>
                      </c:pt>
                      <c:pt idx="91">
                        <c:v>851</c:v>
                      </c:pt>
                      <c:pt idx="92">
                        <c:v>1035</c:v>
                      </c:pt>
                      <c:pt idx="93">
                        <c:v>1030</c:v>
                      </c:pt>
                      <c:pt idx="94">
                        <c:v>948</c:v>
                      </c:pt>
                      <c:pt idx="95">
                        <c:v>981</c:v>
                      </c:pt>
                      <c:pt idx="96">
                        <c:v>855</c:v>
                      </c:pt>
                      <c:pt idx="97">
                        <c:v>841</c:v>
                      </c:pt>
                      <c:pt idx="98">
                        <c:v>827</c:v>
                      </c:pt>
                      <c:pt idx="99">
                        <c:v>901</c:v>
                      </c:pt>
                      <c:pt idx="100">
                        <c:v>901</c:v>
                      </c:pt>
                      <c:pt idx="101">
                        <c:v>856</c:v>
                      </c:pt>
                      <c:pt idx="102">
                        <c:v>1787</c:v>
                      </c:pt>
                      <c:pt idx="103">
                        <c:v>764</c:v>
                      </c:pt>
                      <c:pt idx="104">
                        <c:v>989</c:v>
                      </c:pt>
                      <c:pt idx="105">
                        <c:v>1108</c:v>
                      </c:pt>
                      <c:pt idx="106">
                        <c:v>937</c:v>
                      </c:pt>
                      <c:pt idx="107">
                        <c:v>924</c:v>
                      </c:pt>
                      <c:pt idx="108">
                        <c:v>975</c:v>
                      </c:pt>
                      <c:pt idx="109">
                        <c:v>931</c:v>
                      </c:pt>
                      <c:pt idx="110">
                        <c:v>933</c:v>
                      </c:pt>
                      <c:pt idx="111">
                        <c:v>938</c:v>
                      </c:pt>
                      <c:pt idx="112">
                        <c:v>939</c:v>
                      </c:pt>
                      <c:pt idx="113">
                        <c:v>948</c:v>
                      </c:pt>
                      <c:pt idx="114">
                        <c:v>1894</c:v>
                      </c:pt>
                      <c:pt idx="115">
                        <c:v>1056</c:v>
                      </c:pt>
                      <c:pt idx="116" formatCode="General">
                        <c:v>1150</c:v>
                      </c:pt>
                      <c:pt idx="117">
                        <c:v>1239</c:v>
                      </c:pt>
                      <c:pt idx="118">
                        <c:v>926</c:v>
                      </c:pt>
                      <c:pt idx="119">
                        <c:v>928</c:v>
                      </c:pt>
                      <c:pt idx="120">
                        <c:v>846</c:v>
                      </c:pt>
                      <c:pt idx="121">
                        <c:v>781</c:v>
                      </c:pt>
                      <c:pt idx="122">
                        <c:v>837</c:v>
                      </c:pt>
                      <c:pt idx="123">
                        <c:v>939</c:v>
                      </c:pt>
                      <c:pt idx="124">
                        <c:v>801</c:v>
                      </c:pt>
                      <c:pt idx="125">
                        <c:v>778</c:v>
                      </c:pt>
                      <c:pt idx="126">
                        <c:v>1612</c:v>
                      </c:pt>
                      <c:pt idx="127">
                        <c:v>968</c:v>
                      </c:pt>
                      <c:pt idx="128">
                        <c:v>1028</c:v>
                      </c:pt>
                      <c:pt idx="129">
                        <c:v>920</c:v>
                      </c:pt>
                      <c:pt idx="130">
                        <c:v>885</c:v>
                      </c:pt>
                      <c:pt idx="131">
                        <c:v>950</c:v>
                      </c:pt>
                      <c:pt idx="132">
                        <c:v>866</c:v>
                      </c:pt>
                      <c:pt idx="133">
                        <c:v>853</c:v>
                      </c:pt>
                      <c:pt idx="134">
                        <c:v>898</c:v>
                      </c:pt>
                      <c:pt idx="135">
                        <c:v>1073</c:v>
                      </c:pt>
                      <c:pt idx="136">
                        <c:v>931</c:v>
                      </c:pt>
                      <c:pt idx="137">
                        <c:v>941</c:v>
                      </c:pt>
                      <c:pt idx="138">
                        <c:v>1802</c:v>
                      </c:pt>
                      <c:pt idx="139">
                        <c:v>1092</c:v>
                      </c:pt>
                      <c:pt idx="140">
                        <c:v>1158</c:v>
                      </c:pt>
                      <c:pt idx="141">
                        <c:v>1103</c:v>
                      </c:pt>
                      <c:pt idx="142">
                        <c:v>1010</c:v>
                      </c:pt>
                      <c:pt idx="143">
                        <c:v>1007</c:v>
                      </c:pt>
                      <c:pt idx="144" formatCode="_(* #,##0_);_(* \(#,##0\);_(* &quot;-&quot;??_);_(@_)">
                        <c:v>981</c:v>
                      </c:pt>
                      <c:pt idx="145">
                        <c:v>895</c:v>
                      </c:pt>
                      <c:pt idx="146">
                        <c:v>974</c:v>
                      </c:pt>
                      <c:pt idx="147">
                        <c:v>1041</c:v>
                      </c:pt>
                      <c:pt idx="148" formatCode="_(* #,##0_);_(* \(#,##0\);_(* &quot;-&quot;??_);_(@_)">
                        <c:v>1032</c:v>
                      </c:pt>
                      <c:pt idx="149" formatCode="_(* #,##0_);_(* \(#,##0\);_(* &quot;-&quot;??_);_(@_)">
                        <c:v>969</c:v>
                      </c:pt>
                      <c:pt idx="150" formatCode="_(* #,##0_);_(* \(#,##0\);_(* &quot;-&quot;??_);_(@_)">
                        <c:v>2132</c:v>
                      </c:pt>
                      <c:pt idx="151" formatCode="_(* #,##0_);_(* \(#,##0\);_(* &quot;-&quot;??_);_(@_)">
                        <c:v>1183</c:v>
                      </c:pt>
                      <c:pt idx="152" formatCode="_(* #,##0_);_(* \(#,##0\);_(* &quot;-&quot;??_);_(@_)">
                        <c:v>1236</c:v>
                      </c:pt>
                      <c:pt idx="153" formatCode="_(* #,##0_);_(* \(#,##0\);_(* &quot;-&quot;??_);_(@_)">
                        <c:v>803</c:v>
                      </c:pt>
                      <c:pt idx="154" formatCode="_(* #,##0_);_(* \(#,##0\);_(* &quot;-&quot;??_);_(@_)">
                        <c:v>1077</c:v>
                      </c:pt>
                      <c:pt idx="155" formatCode="_(* #,##0_);_(* \(#,##0\);_(* &quot;-&quot;??_);_(@_)">
                        <c:v>1204</c:v>
                      </c:pt>
                      <c:pt idx="156">
                        <c:v>1022</c:v>
                      </c:pt>
                      <c:pt idx="157">
                        <c:v>944</c:v>
                      </c:pt>
                      <c:pt idx="158">
                        <c:v>564</c:v>
                      </c:pt>
                      <c:pt idx="159">
                        <c:v>50</c:v>
                      </c:pt>
                      <c:pt idx="160">
                        <c:v>87</c:v>
                      </c:pt>
                      <c:pt idx="161">
                        <c:v>159</c:v>
                      </c:pt>
                      <c:pt idx="162">
                        <c:v>268</c:v>
                      </c:pt>
                      <c:pt idx="163">
                        <c:v>310</c:v>
                      </c:pt>
                      <c:pt idx="164">
                        <c:v>137</c:v>
                      </c:pt>
                      <c:pt idx="165">
                        <c:v>147</c:v>
                      </c:pt>
                      <c:pt idx="166">
                        <c:v>115</c:v>
                      </c:pt>
                      <c:pt idx="167">
                        <c:v>375</c:v>
                      </c:pt>
                      <c:pt idx="168">
                        <c:v>346</c:v>
                      </c:pt>
                      <c:pt idx="169">
                        <c:v>103</c:v>
                      </c:pt>
                      <c:pt idx="170">
                        <c:v>130</c:v>
                      </c:pt>
                      <c:pt idx="171">
                        <c:v>121</c:v>
                      </c:pt>
                      <c:pt idx="172">
                        <c:v>109</c:v>
                      </c:pt>
                    </c:numCache>
                  </c:numRef>
                </c:val>
                <c:smooth val="0"/>
                <c:extLst xmlns:c15="http://schemas.microsoft.com/office/drawing/2012/chart">
                  <c:ext xmlns:c16="http://schemas.microsoft.com/office/drawing/2014/chart" uri="{C3380CC4-5D6E-409C-BE32-E72D297353CC}">
                    <c16:uniqueId val="{0000000D-E690-4C59-A7C2-6B6BC695708B}"/>
                  </c:ext>
                </c:extLst>
              </c15:ser>
            </c15:filteredLineSeries>
            <c15:filteredLineSeries>
              <c15:ser>
                <c:idx val="13"/>
                <c:order val="13"/>
                <c:tx>
                  <c:strRef>
                    <c:extLst xmlns:c15="http://schemas.microsoft.com/office/drawing/2012/chart">
                      <c:ext xmlns:c15="http://schemas.microsoft.com/office/drawing/2012/chart" uri="{02D57815-91ED-43cb-92C2-25804820EDAC}">
                        <c15:formulaRef>
                          <c15:sqref>'Tendencias nacionalidad'!$C$67</c15:sqref>
                        </c15:formulaRef>
                      </c:ext>
                    </c:extLst>
                    <c:strCache>
                      <c:ptCount val="1"/>
                      <c:pt idx="0">
                        <c:v>China República Popular</c:v>
                      </c:pt>
                    </c:strCache>
                  </c:strRef>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nacionalidad'!$D$67:$GA$67</c15:sqref>
                        </c15:fullRef>
                        <c15:formulaRef>
                          <c15:sqref>'Tendencias nacionalidad'!$D$67:$FT$67</c15:sqref>
                        </c15:formulaRef>
                      </c:ext>
                    </c:extLst>
                    <c:numCache>
                      <c:formatCode>#,##0</c:formatCode>
                      <c:ptCount val="173"/>
                      <c:pt idx="0">
                        <c:v>133</c:v>
                      </c:pt>
                      <c:pt idx="1">
                        <c:v>92</c:v>
                      </c:pt>
                      <c:pt idx="2">
                        <c:v>219</c:v>
                      </c:pt>
                      <c:pt idx="3">
                        <c:v>122</c:v>
                      </c:pt>
                      <c:pt idx="4">
                        <c:v>192</c:v>
                      </c:pt>
                      <c:pt idx="5">
                        <c:v>123</c:v>
                      </c:pt>
                      <c:pt idx="6">
                        <c:v>158</c:v>
                      </c:pt>
                      <c:pt idx="7">
                        <c:v>152</c:v>
                      </c:pt>
                      <c:pt idx="8">
                        <c:v>231</c:v>
                      </c:pt>
                      <c:pt idx="9">
                        <c:v>178</c:v>
                      </c:pt>
                      <c:pt idx="10">
                        <c:v>149</c:v>
                      </c:pt>
                      <c:pt idx="11">
                        <c:v>195</c:v>
                      </c:pt>
                      <c:pt idx="12">
                        <c:v>187</c:v>
                      </c:pt>
                      <c:pt idx="13">
                        <c:v>200</c:v>
                      </c:pt>
                      <c:pt idx="14">
                        <c:v>290</c:v>
                      </c:pt>
                      <c:pt idx="15">
                        <c:v>345</c:v>
                      </c:pt>
                      <c:pt idx="16">
                        <c:v>276</c:v>
                      </c:pt>
                      <c:pt idx="17">
                        <c:v>382</c:v>
                      </c:pt>
                      <c:pt idx="18">
                        <c:v>2179</c:v>
                      </c:pt>
                      <c:pt idx="19">
                        <c:v>1374</c:v>
                      </c:pt>
                      <c:pt idx="20">
                        <c:v>1684</c:v>
                      </c:pt>
                      <c:pt idx="21">
                        <c:v>1102</c:v>
                      </c:pt>
                      <c:pt idx="22">
                        <c:v>766</c:v>
                      </c:pt>
                      <c:pt idx="23">
                        <c:v>229</c:v>
                      </c:pt>
                      <c:pt idx="24">
                        <c:v>215</c:v>
                      </c:pt>
                      <c:pt idx="25">
                        <c:v>310</c:v>
                      </c:pt>
                      <c:pt idx="26">
                        <c:v>284</c:v>
                      </c:pt>
                      <c:pt idx="27">
                        <c:v>259</c:v>
                      </c:pt>
                      <c:pt idx="28">
                        <c:v>282</c:v>
                      </c:pt>
                      <c:pt idx="29">
                        <c:v>305</c:v>
                      </c:pt>
                      <c:pt idx="30">
                        <c:v>334</c:v>
                      </c:pt>
                      <c:pt idx="31">
                        <c:v>413</c:v>
                      </c:pt>
                      <c:pt idx="32">
                        <c:v>465</c:v>
                      </c:pt>
                      <c:pt idx="33">
                        <c:v>391</c:v>
                      </c:pt>
                      <c:pt idx="34">
                        <c:v>626</c:v>
                      </c:pt>
                      <c:pt idx="35">
                        <c:v>354</c:v>
                      </c:pt>
                      <c:pt idx="36">
                        <c:v>309</c:v>
                      </c:pt>
                      <c:pt idx="37">
                        <c:v>310</c:v>
                      </c:pt>
                      <c:pt idx="38">
                        <c:v>261</c:v>
                      </c:pt>
                      <c:pt idx="39">
                        <c:v>201</c:v>
                      </c:pt>
                      <c:pt idx="40">
                        <c:v>223</c:v>
                      </c:pt>
                      <c:pt idx="41">
                        <c:v>264</c:v>
                      </c:pt>
                      <c:pt idx="42">
                        <c:v>253</c:v>
                      </c:pt>
                      <c:pt idx="43">
                        <c:v>336</c:v>
                      </c:pt>
                      <c:pt idx="44">
                        <c:v>245</c:v>
                      </c:pt>
                      <c:pt idx="45">
                        <c:v>111</c:v>
                      </c:pt>
                      <c:pt idx="46">
                        <c:v>335</c:v>
                      </c:pt>
                      <c:pt idx="47">
                        <c:v>418</c:v>
                      </c:pt>
                      <c:pt idx="48">
                        <c:v>275</c:v>
                      </c:pt>
                      <c:pt idx="49">
                        <c:v>351</c:v>
                      </c:pt>
                      <c:pt idx="50">
                        <c:v>351</c:v>
                      </c:pt>
                      <c:pt idx="51">
                        <c:v>297</c:v>
                      </c:pt>
                      <c:pt idx="52">
                        <c:v>296</c:v>
                      </c:pt>
                      <c:pt idx="53">
                        <c:v>312</c:v>
                      </c:pt>
                      <c:pt idx="54">
                        <c:v>299</c:v>
                      </c:pt>
                      <c:pt idx="55">
                        <c:v>450</c:v>
                      </c:pt>
                      <c:pt idx="56">
                        <c:v>428</c:v>
                      </c:pt>
                      <c:pt idx="57">
                        <c:v>477</c:v>
                      </c:pt>
                      <c:pt idx="58">
                        <c:v>485</c:v>
                      </c:pt>
                      <c:pt idx="59">
                        <c:v>438</c:v>
                      </c:pt>
                      <c:pt idx="60">
                        <c:v>198</c:v>
                      </c:pt>
                      <c:pt idx="61">
                        <c:v>557</c:v>
                      </c:pt>
                      <c:pt idx="62">
                        <c:v>561</c:v>
                      </c:pt>
                      <c:pt idx="63">
                        <c:v>523</c:v>
                      </c:pt>
                      <c:pt idx="64">
                        <c:v>701</c:v>
                      </c:pt>
                      <c:pt idx="65">
                        <c:v>470</c:v>
                      </c:pt>
                      <c:pt idx="66">
                        <c:v>598</c:v>
                      </c:pt>
                      <c:pt idx="67">
                        <c:v>647</c:v>
                      </c:pt>
                      <c:pt idx="68">
                        <c:v>674</c:v>
                      </c:pt>
                      <c:pt idx="69">
                        <c:v>826</c:v>
                      </c:pt>
                      <c:pt idx="70">
                        <c:v>646</c:v>
                      </c:pt>
                      <c:pt idx="71">
                        <c:v>532</c:v>
                      </c:pt>
                      <c:pt idx="72">
                        <c:v>83</c:v>
                      </c:pt>
                      <c:pt idx="73">
                        <c:v>440</c:v>
                      </c:pt>
                      <c:pt idx="74">
                        <c:v>582</c:v>
                      </c:pt>
                      <c:pt idx="75">
                        <c:v>655</c:v>
                      </c:pt>
                      <c:pt idx="76">
                        <c:v>704</c:v>
                      </c:pt>
                      <c:pt idx="77">
                        <c:v>612</c:v>
                      </c:pt>
                      <c:pt idx="78">
                        <c:v>427</c:v>
                      </c:pt>
                      <c:pt idx="79">
                        <c:v>751</c:v>
                      </c:pt>
                      <c:pt idx="80">
                        <c:v>724</c:v>
                      </c:pt>
                      <c:pt idx="81">
                        <c:v>697</c:v>
                      </c:pt>
                      <c:pt idx="82">
                        <c:v>655</c:v>
                      </c:pt>
                      <c:pt idx="83">
                        <c:v>657</c:v>
                      </c:pt>
                      <c:pt idx="84">
                        <c:v>636</c:v>
                      </c:pt>
                      <c:pt idx="85">
                        <c:v>674</c:v>
                      </c:pt>
                      <c:pt idx="86">
                        <c:v>840</c:v>
                      </c:pt>
                      <c:pt idx="87">
                        <c:v>702</c:v>
                      </c:pt>
                      <c:pt idx="88">
                        <c:v>659</c:v>
                      </c:pt>
                      <c:pt idx="89">
                        <c:v>639</c:v>
                      </c:pt>
                      <c:pt idx="90">
                        <c:v>825</c:v>
                      </c:pt>
                      <c:pt idx="91">
                        <c:v>721</c:v>
                      </c:pt>
                      <c:pt idx="92">
                        <c:v>869</c:v>
                      </c:pt>
                      <c:pt idx="93">
                        <c:v>817</c:v>
                      </c:pt>
                      <c:pt idx="94">
                        <c:v>785</c:v>
                      </c:pt>
                      <c:pt idx="95">
                        <c:v>701</c:v>
                      </c:pt>
                      <c:pt idx="96">
                        <c:v>740</c:v>
                      </c:pt>
                      <c:pt idx="97">
                        <c:v>531</c:v>
                      </c:pt>
                      <c:pt idx="98">
                        <c:v>1029</c:v>
                      </c:pt>
                      <c:pt idx="99">
                        <c:v>933</c:v>
                      </c:pt>
                      <c:pt idx="100">
                        <c:v>904</c:v>
                      </c:pt>
                      <c:pt idx="101">
                        <c:v>798</c:v>
                      </c:pt>
                      <c:pt idx="102">
                        <c:v>804</c:v>
                      </c:pt>
                      <c:pt idx="103">
                        <c:v>967</c:v>
                      </c:pt>
                      <c:pt idx="104">
                        <c:v>871</c:v>
                      </c:pt>
                      <c:pt idx="105">
                        <c:v>837</c:v>
                      </c:pt>
                      <c:pt idx="106">
                        <c:v>793</c:v>
                      </c:pt>
                      <c:pt idx="107">
                        <c:v>654</c:v>
                      </c:pt>
                      <c:pt idx="108">
                        <c:v>624</c:v>
                      </c:pt>
                      <c:pt idx="109">
                        <c:v>600</c:v>
                      </c:pt>
                      <c:pt idx="110">
                        <c:v>1169</c:v>
                      </c:pt>
                      <c:pt idx="111">
                        <c:v>845</c:v>
                      </c:pt>
                      <c:pt idx="112">
                        <c:v>896</c:v>
                      </c:pt>
                      <c:pt idx="113">
                        <c:v>878</c:v>
                      </c:pt>
                      <c:pt idx="114">
                        <c:v>890</c:v>
                      </c:pt>
                      <c:pt idx="115">
                        <c:v>1046</c:v>
                      </c:pt>
                      <c:pt idx="116" formatCode="General">
                        <c:v>969</c:v>
                      </c:pt>
                      <c:pt idx="117">
                        <c:v>1285</c:v>
                      </c:pt>
                      <c:pt idx="118">
                        <c:v>1577</c:v>
                      </c:pt>
                      <c:pt idx="119">
                        <c:v>1083</c:v>
                      </c:pt>
                      <c:pt idx="120">
                        <c:v>863</c:v>
                      </c:pt>
                      <c:pt idx="121">
                        <c:v>879</c:v>
                      </c:pt>
                      <c:pt idx="122">
                        <c:v>1309</c:v>
                      </c:pt>
                      <c:pt idx="123">
                        <c:v>1057</c:v>
                      </c:pt>
                      <c:pt idx="124">
                        <c:v>1204</c:v>
                      </c:pt>
                      <c:pt idx="125">
                        <c:v>1104</c:v>
                      </c:pt>
                      <c:pt idx="126">
                        <c:v>1164</c:v>
                      </c:pt>
                      <c:pt idx="127">
                        <c:v>1313</c:v>
                      </c:pt>
                      <c:pt idx="128">
                        <c:v>1214</c:v>
                      </c:pt>
                      <c:pt idx="129">
                        <c:v>1036</c:v>
                      </c:pt>
                      <c:pt idx="130">
                        <c:v>1147</c:v>
                      </c:pt>
                      <c:pt idx="131">
                        <c:v>1102</c:v>
                      </c:pt>
                      <c:pt idx="132">
                        <c:v>938</c:v>
                      </c:pt>
                      <c:pt idx="133">
                        <c:v>995</c:v>
                      </c:pt>
                      <c:pt idx="134">
                        <c:v>1373</c:v>
                      </c:pt>
                      <c:pt idx="135">
                        <c:v>866</c:v>
                      </c:pt>
                      <c:pt idx="136">
                        <c:v>931</c:v>
                      </c:pt>
                      <c:pt idx="137">
                        <c:v>952</c:v>
                      </c:pt>
                      <c:pt idx="138">
                        <c:v>1110</c:v>
                      </c:pt>
                      <c:pt idx="139">
                        <c:v>924</c:v>
                      </c:pt>
                      <c:pt idx="140">
                        <c:v>1152</c:v>
                      </c:pt>
                      <c:pt idx="141">
                        <c:v>876</c:v>
                      </c:pt>
                      <c:pt idx="142">
                        <c:v>1153</c:v>
                      </c:pt>
                      <c:pt idx="143">
                        <c:v>969</c:v>
                      </c:pt>
                      <c:pt idx="144" formatCode="_(* #,##0_);_(* \(#,##0\);_(* &quot;-&quot;??_);_(@_)">
                        <c:v>840</c:v>
                      </c:pt>
                      <c:pt idx="145">
                        <c:v>981</c:v>
                      </c:pt>
                      <c:pt idx="146">
                        <c:v>1154</c:v>
                      </c:pt>
                      <c:pt idx="147">
                        <c:v>849</c:v>
                      </c:pt>
                      <c:pt idx="148" formatCode="_(* #,##0_);_(* \(#,##0\);_(* &quot;-&quot;??_);_(@_)">
                        <c:v>1263</c:v>
                      </c:pt>
                      <c:pt idx="149" formatCode="_(* #,##0_);_(* \(#,##0\);_(* &quot;-&quot;??_);_(@_)">
                        <c:v>1087</c:v>
                      </c:pt>
                      <c:pt idx="150" formatCode="_(* #,##0_);_(* \(#,##0\);_(* &quot;-&quot;??_);_(@_)">
                        <c:v>1326</c:v>
                      </c:pt>
                      <c:pt idx="151" formatCode="_(* #,##0_);_(* \(#,##0\);_(* &quot;-&quot;??_);_(@_)">
                        <c:v>1264</c:v>
                      </c:pt>
                      <c:pt idx="152" formatCode="_(* #,##0_);_(* \(#,##0\);_(* &quot;-&quot;??_);_(@_)">
                        <c:v>1156</c:v>
                      </c:pt>
                      <c:pt idx="153" formatCode="_(* #,##0_);_(* \(#,##0\);_(* &quot;-&quot;??_);_(@_)">
                        <c:v>845</c:v>
                      </c:pt>
                      <c:pt idx="154" formatCode="_(* #,##0_);_(* \(#,##0\);_(* &quot;-&quot;??_);_(@_)">
                        <c:v>961</c:v>
                      </c:pt>
                      <c:pt idx="155" formatCode="_(* #,##0_);_(* \(#,##0\);_(* &quot;-&quot;??_);_(@_)">
                        <c:v>979</c:v>
                      </c:pt>
                      <c:pt idx="156">
                        <c:v>895</c:v>
                      </c:pt>
                      <c:pt idx="157">
                        <c:v>578</c:v>
                      </c:pt>
                      <c:pt idx="158">
                        <c:v>220</c:v>
                      </c:pt>
                      <c:pt idx="161">
                        <c:v>2</c:v>
                      </c:pt>
                      <c:pt idx="162">
                        <c:v>70</c:v>
                      </c:pt>
                      <c:pt idx="163">
                        <c:v>91</c:v>
                      </c:pt>
                      <c:pt idx="164">
                        <c:v>153</c:v>
                      </c:pt>
                      <c:pt idx="165">
                        <c:v>172</c:v>
                      </c:pt>
                      <c:pt idx="166">
                        <c:v>167</c:v>
                      </c:pt>
                      <c:pt idx="167">
                        <c:v>211</c:v>
                      </c:pt>
                      <c:pt idx="168">
                        <c:v>166</c:v>
                      </c:pt>
                      <c:pt idx="169">
                        <c:v>194</c:v>
                      </c:pt>
                      <c:pt idx="170">
                        <c:v>301</c:v>
                      </c:pt>
                      <c:pt idx="171">
                        <c:v>270</c:v>
                      </c:pt>
                      <c:pt idx="172">
                        <c:v>275</c:v>
                      </c:pt>
                    </c:numCache>
                  </c:numRef>
                </c:val>
                <c:smooth val="0"/>
                <c:extLst xmlns:c15="http://schemas.microsoft.com/office/drawing/2012/chart">
                  <c:ext xmlns:c16="http://schemas.microsoft.com/office/drawing/2014/chart" uri="{C3380CC4-5D6E-409C-BE32-E72D297353CC}">
                    <c16:uniqueId val="{0000000E-E690-4C59-A7C2-6B6BC695708B}"/>
                  </c:ext>
                </c:extLst>
              </c15:ser>
            </c15:filteredLineSeries>
            <c15:filteredLineSeries>
              <c15:ser>
                <c:idx val="15"/>
                <c:order val="15"/>
                <c:tx>
                  <c:strRef>
                    <c:extLst xmlns:c15="http://schemas.microsoft.com/office/drawing/2012/chart">
                      <c:ext xmlns:c15="http://schemas.microsoft.com/office/drawing/2012/chart" uri="{02D57815-91ED-43cb-92C2-25804820EDAC}">
                        <c15:formulaRef>
                          <c15:sqref>'Tendencias nacionalidad'!$C$69</c15:sqref>
                        </c15:formulaRef>
                      </c:ext>
                    </c:extLst>
                    <c:strCache>
                      <c:ptCount val="1"/>
                      <c:pt idx="0">
                        <c:v>Panamá</c:v>
                      </c:pt>
                    </c:strCache>
                  </c:strRef>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nacionalidad'!$D$69:$GA$69</c15:sqref>
                        </c15:fullRef>
                        <c15:formulaRef>
                          <c15:sqref>'Tendencias nacionalidad'!$D$69:$FT$69</c15:sqref>
                        </c15:formulaRef>
                      </c:ext>
                    </c:extLst>
                    <c:numCache>
                      <c:formatCode>#,##0</c:formatCode>
                      <c:ptCount val="173"/>
                      <c:pt idx="0">
                        <c:v>89</c:v>
                      </c:pt>
                      <c:pt idx="1">
                        <c:v>97</c:v>
                      </c:pt>
                      <c:pt idx="2">
                        <c:v>98</c:v>
                      </c:pt>
                      <c:pt idx="3">
                        <c:v>73</c:v>
                      </c:pt>
                      <c:pt idx="4">
                        <c:v>107</c:v>
                      </c:pt>
                      <c:pt idx="5">
                        <c:v>108</c:v>
                      </c:pt>
                      <c:pt idx="6">
                        <c:v>114</c:v>
                      </c:pt>
                      <c:pt idx="7">
                        <c:v>116</c:v>
                      </c:pt>
                      <c:pt idx="8">
                        <c:v>115</c:v>
                      </c:pt>
                      <c:pt idx="9">
                        <c:v>116</c:v>
                      </c:pt>
                      <c:pt idx="10">
                        <c:v>219</c:v>
                      </c:pt>
                      <c:pt idx="11">
                        <c:v>117</c:v>
                      </c:pt>
                      <c:pt idx="12">
                        <c:v>110</c:v>
                      </c:pt>
                      <c:pt idx="13">
                        <c:v>177</c:v>
                      </c:pt>
                      <c:pt idx="14">
                        <c:v>117</c:v>
                      </c:pt>
                      <c:pt idx="15">
                        <c:v>96</c:v>
                      </c:pt>
                      <c:pt idx="16">
                        <c:v>143</c:v>
                      </c:pt>
                      <c:pt idx="17">
                        <c:v>107</c:v>
                      </c:pt>
                      <c:pt idx="18">
                        <c:v>186</c:v>
                      </c:pt>
                      <c:pt idx="19">
                        <c:v>197</c:v>
                      </c:pt>
                      <c:pt idx="20">
                        <c:v>181</c:v>
                      </c:pt>
                      <c:pt idx="21">
                        <c:v>189</c:v>
                      </c:pt>
                      <c:pt idx="22">
                        <c:v>292</c:v>
                      </c:pt>
                      <c:pt idx="23">
                        <c:v>152</c:v>
                      </c:pt>
                      <c:pt idx="24">
                        <c:v>164</c:v>
                      </c:pt>
                      <c:pt idx="25">
                        <c:v>132</c:v>
                      </c:pt>
                      <c:pt idx="26">
                        <c:v>166</c:v>
                      </c:pt>
                      <c:pt idx="27">
                        <c:v>106</c:v>
                      </c:pt>
                      <c:pt idx="28">
                        <c:v>116.5</c:v>
                      </c:pt>
                      <c:pt idx="29">
                        <c:v>127</c:v>
                      </c:pt>
                      <c:pt idx="30">
                        <c:v>145</c:v>
                      </c:pt>
                      <c:pt idx="31">
                        <c:v>105</c:v>
                      </c:pt>
                      <c:pt idx="32">
                        <c:v>149</c:v>
                      </c:pt>
                      <c:pt idx="33">
                        <c:v>163</c:v>
                      </c:pt>
                      <c:pt idx="34">
                        <c:v>184</c:v>
                      </c:pt>
                      <c:pt idx="35">
                        <c:v>125</c:v>
                      </c:pt>
                      <c:pt idx="36">
                        <c:v>154</c:v>
                      </c:pt>
                      <c:pt idx="37">
                        <c:v>218</c:v>
                      </c:pt>
                      <c:pt idx="38">
                        <c:v>150</c:v>
                      </c:pt>
                      <c:pt idx="39">
                        <c:v>189</c:v>
                      </c:pt>
                      <c:pt idx="40">
                        <c:v>141</c:v>
                      </c:pt>
                      <c:pt idx="41">
                        <c:v>141</c:v>
                      </c:pt>
                      <c:pt idx="42">
                        <c:v>147</c:v>
                      </c:pt>
                      <c:pt idx="43">
                        <c:v>136</c:v>
                      </c:pt>
                      <c:pt idx="44">
                        <c:v>118</c:v>
                      </c:pt>
                      <c:pt idx="45">
                        <c:v>121</c:v>
                      </c:pt>
                      <c:pt idx="46">
                        <c:v>165</c:v>
                      </c:pt>
                      <c:pt idx="47">
                        <c:v>149</c:v>
                      </c:pt>
                      <c:pt idx="48">
                        <c:v>161</c:v>
                      </c:pt>
                      <c:pt idx="49">
                        <c:v>180</c:v>
                      </c:pt>
                      <c:pt idx="50">
                        <c:v>463</c:v>
                      </c:pt>
                      <c:pt idx="51">
                        <c:v>340</c:v>
                      </c:pt>
                      <c:pt idx="52">
                        <c:v>336</c:v>
                      </c:pt>
                      <c:pt idx="53">
                        <c:v>396</c:v>
                      </c:pt>
                      <c:pt idx="54">
                        <c:v>334</c:v>
                      </c:pt>
                      <c:pt idx="55">
                        <c:v>362</c:v>
                      </c:pt>
                      <c:pt idx="56">
                        <c:v>336</c:v>
                      </c:pt>
                      <c:pt idx="57">
                        <c:v>395</c:v>
                      </c:pt>
                      <c:pt idx="58">
                        <c:v>356</c:v>
                      </c:pt>
                      <c:pt idx="59">
                        <c:v>381</c:v>
                      </c:pt>
                      <c:pt idx="60">
                        <c:v>131</c:v>
                      </c:pt>
                      <c:pt idx="61">
                        <c:v>193</c:v>
                      </c:pt>
                      <c:pt idx="62">
                        <c:v>397</c:v>
                      </c:pt>
                      <c:pt idx="63">
                        <c:v>386</c:v>
                      </c:pt>
                      <c:pt idx="64">
                        <c:v>468</c:v>
                      </c:pt>
                      <c:pt idx="65">
                        <c:v>379</c:v>
                      </c:pt>
                      <c:pt idx="66">
                        <c:v>392</c:v>
                      </c:pt>
                      <c:pt idx="67">
                        <c:v>350</c:v>
                      </c:pt>
                      <c:pt idx="68">
                        <c:v>379</c:v>
                      </c:pt>
                      <c:pt idx="69">
                        <c:v>342</c:v>
                      </c:pt>
                      <c:pt idx="70">
                        <c:v>432</c:v>
                      </c:pt>
                      <c:pt idx="71">
                        <c:v>353</c:v>
                      </c:pt>
                      <c:pt idx="72">
                        <c:v>362</c:v>
                      </c:pt>
                      <c:pt idx="73">
                        <c:v>407</c:v>
                      </c:pt>
                      <c:pt idx="74">
                        <c:v>490</c:v>
                      </c:pt>
                      <c:pt idx="75">
                        <c:v>520</c:v>
                      </c:pt>
                      <c:pt idx="76">
                        <c:v>497</c:v>
                      </c:pt>
                      <c:pt idx="77">
                        <c:v>497</c:v>
                      </c:pt>
                      <c:pt idx="78">
                        <c:v>513</c:v>
                      </c:pt>
                      <c:pt idx="79">
                        <c:v>460</c:v>
                      </c:pt>
                      <c:pt idx="80">
                        <c:v>520</c:v>
                      </c:pt>
                      <c:pt idx="81">
                        <c:v>501</c:v>
                      </c:pt>
                      <c:pt idx="82">
                        <c:v>503</c:v>
                      </c:pt>
                      <c:pt idx="83">
                        <c:v>525</c:v>
                      </c:pt>
                      <c:pt idx="84">
                        <c:v>471</c:v>
                      </c:pt>
                      <c:pt idx="85">
                        <c:v>474</c:v>
                      </c:pt>
                      <c:pt idx="86">
                        <c:v>491</c:v>
                      </c:pt>
                      <c:pt idx="87">
                        <c:v>485</c:v>
                      </c:pt>
                      <c:pt idx="88">
                        <c:v>565</c:v>
                      </c:pt>
                      <c:pt idx="89">
                        <c:v>493</c:v>
                      </c:pt>
                      <c:pt idx="90">
                        <c:v>498</c:v>
                      </c:pt>
                      <c:pt idx="91">
                        <c:v>493</c:v>
                      </c:pt>
                      <c:pt idx="92">
                        <c:v>543</c:v>
                      </c:pt>
                      <c:pt idx="93">
                        <c:v>389</c:v>
                      </c:pt>
                      <c:pt idx="94">
                        <c:v>471</c:v>
                      </c:pt>
                      <c:pt idx="95">
                        <c:v>478</c:v>
                      </c:pt>
                      <c:pt idx="96">
                        <c:v>398</c:v>
                      </c:pt>
                      <c:pt idx="97">
                        <c:v>376</c:v>
                      </c:pt>
                      <c:pt idx="98">
                        <c:v>343</c:v>
                      </c:pt>
                      <c:pt idx="99">
                        <c:v>380</c:v>
                      </c:pt>
                      <c:pt idx="100">
                        <c:v>488</c:v>
                      </c:pt>
                      <c:pt idx="101">
                        <c:v>366</c:v>
                      </c:pt>
                      <c:pt idx="102">
                        <c:v>598</c:v>
                      </c:pt>
                      <c:pt idx="103">
                        <c:v>512</c:v>
                      </c:pt>
                      <c:pt idx="104">
                        <c:v>557</c:v>
                      </c:pt>
                      <c:pt idx="105">
                        <c:v>698</c:v>
                      </c:pt>
                      <c:pt idx="106">
                        <c:v>731</c:v>
                      </c:pt>
                      <c:pt idx="107">
                        <c:v>700</c:v>
                      </c:pt>
                      <c:pt idx="108">
                        <c:v>891</c:v>
                      </c:pt>
                      <c:pt idx="109">
                        <c:v>862</c:v>
                      </c:pt>
                      <c:pt idx="110">
                        <c:v>915</c:v>
                      </c:pt>
                      <c:pt idx="111">
                        <c:v>629</c:v>
                      </c:pt>
                      <c:pt idx="112">
                        <c:v>786</c:v>
                      </c:pt>
                      <c:pt idx="113">
                        <c:v>756</c:v>
                      </c:pt>
                      <c:pt idx="114">
                        <c:v>817</c:v>
                      </c:pt>
                      <c:pt idx="115">
                        <c:v>802</c:v>
                      </c:pt>
                      <c:pt idx="116" formatCode="General">
                        <c:v>586</c:v>
                      </c:pt>
                      <c:pt idx="117">
                        <c:v>872</c:v>
                      </c:pt>
                      <c:pt idx="118">
                        <c:v>883</c:v>
                      </c:pt>
                      <c:pt idx="119">
                        <c:v>763</c:v>
                      </c:pt>
                      <c:pt idx="120">
                        <c:v>841</c:v>
                      </c:pt>
                      <c:pt idx="121">
                        <c:v>806</c:v>
                      </c:pt>
                      <c:pt idx="122">
                        <c:v>689</c:v>
                      </c:pt>
                      <c:pt idx="123">
                        <c:v>656</c:v>
                      </c:pt>
                      <c:pt idx="124">
                        <c:v>636</c:v>
                      </c:pt>
                      <c:pt idx="125">
                        <c:v>814</c:v>
                      </c:pt>
                      <c:pt idx="126">
                        <c:v>711</c:v>
                      </c:pt>
                      <c:pt idx="127">
                        <c:v>815</c:v>
                      </c:pt>
                      <c:pt idx="128">
                        <c:v>811</c:v>
                      </c:pt>
                      <c:pt idx="129">
                        <c:v>824</c:v>
                      </c:pt>
                      <c:pt idx="130">
                        <c:v>864</c:v>
                      </c:pt>
                      <c:pt idx="131">
                        <c:v>729</c:v>
                      </c:pt>
                      <c:pt idx="132">
                        <c:v>769</c:v>
                      </c:pt>
                      <c:pt idx="133">
                        <c:v>683</c:v>
                      </c:pt>
                      <c:pt idx="134">
                        <c:v>727</c:v>
                      </c:pt>
                      <c:pt idx="135">
                        <c:v>707</c:v>
                      </c:pt>
                      <c:pt idx="136">
                        <c:v>717</c:v>
                      </c:pt>
                      <c:pt idx="137">
                        <c:v>800</c:v>
                      </c:pt>
                      <c:pt idx="138">
                        <c:v>836</c:v>
                      </c:pt>
                      <c:pt idx="139">
                        <c:v>819</c:v>
                      </c:pt>
                      <c:pt idx="140">
                        <c:v>868</c:v>
                      </c:pt>
                      <c:pt idx="141">
                        <c:v>902</c:v>
                      </c:pt>
                      <c:pt idx="142">
                        <c:v>926</c:v>
                      </c:pt>
                      <c:pt idx="143">
                        <c:v>860</c:v>
                      </c:pt>
                      <c:pt idx="144" formatCode="_(* #,##0_);_(* \(#,##0\);_(* &quot;-&quot;??_);_(@_)">
                        <c:v>840</c:v>
                      </c:pt>
                      <c:pt idx="145">
                        <c:v>828</c:v>
                      </c:pt>
                      <c:pt idx="146">
                        <c:v>1084</c:v>
                      </c:pt>
                      <c:pt idx="147">
                        <c:v>812</c:v>
                      </c:pt>
                      <c:pt idx="148" formatCode="_(* #,##0_);_(* \(#,##0\);_(* &quot;-&quot;??_);_(@_)">
                        <c:v>848</c:v>
                      </c:pt>
                      <c:pt idx="149" formatCode="_(* #,##0_);_(* \(#,##0\);_(* &quot;-&quot;??_);_(@_)">
                        <c:v>1008</c:v>
                      </c:pt>
                      <c:pt idx="150" formatCode="_(* #,##0_);_(* \(#,##0\);_(* &quot;-&quot;??_);_(@_)">
                        <c:v>995</c:v>
                      </c:pt>
                      <c:pt idx="151" formatCode="_(* #,##0_);_(* \(#,##0\);_(* &quot;-&quot;??_);_(@_)">
                        <c:v>1071</c:v>
                      </c:pt>
                      <c:pt idx="152" formatCode="_(* #,##0_);_(* \(#,##0\);_(* &quot;-&quot;??_);_(@_)">
                        <c:v>633</c:v>
                      </c:pt>
                      <c:pt idx="153" formatCode="_(* #,##0_);_(* \(#,##0\);_(* &quot;-&quot;??_);_(@_)">
                        <c:v>594</c:v>
                      </c:pt>
                      <c:pt idx="154" formatCode="_(* #,##0_);_(* \(#,##0\);_(* &quot;-&quot;??_);_(@_)">
                        <c:v>724</c:v>
                      </c:pt>
                      <c:pt idx="155" formatCode="_(* #,##0_);_(* \(#,##0\);_(* &quot;-&quot;??_);_(@_)">
                        <c:v>705</c:v>
                      </c:pt>
                      <c:pt idx="156">
                        <c:v>773</c:v>
                      </c:pt>
                      <c:pt idx="157">
                        <c:v>747</c:v>
                      </c:pt>
                      <c:pt idx="158">
                        <c:v>271</c:v>
                      </c:pt>
                      <c:pt idx="162">
                        <c:v>1</c:v>
                      </c:pt>
                      <c:pt idx="163">
                        <c:v>15</c:v>
                      </c:pt>
                      <c:pt idx="164">
                        <c:v>5</c:v>
                      </c:pt>
                      <c:pt idx="165">
                        <c:v>40</c:v>
                      </c:pt>
                      <c:pt idx="166">
                        <c:v>320</c:v>
                      </c:pt>
                      <c:pt idx="167">
                        <c:v>353</c:v>
                      </c:pt>
                      <c:pt idx="168">
                        <c:v>378</c:v>
                      </c:pt>
                      <c:pt idx="169">
                        <c:v>219</c:v>
                      </c:pt>
                      <c:pt idx="170">
                        <c:v>215</c:v>
                      </c:pt>
                      <c:pt idx="171">
                        <c:v>218</c:v>
                      </c:pt>
                      <c:pt idx="172">
                        <c:v>265</c:v>
                      </c:pt>
                    </c:numCache>
                  </c:numRef>
                </c:val>
                <c:smooth val="0"/>
                <c:extLst xmlns:c15="http://schemas.microsoft.com/office/drawing/2012/chart">
                  <c:ext xmlns:c16="http://schemas.microsoft.com/office/drawing/2014/chart" uri="{C3380CC4-5D6E-409C-BE32-E72D297353CC}">
                    <c16:uniqueId val="{0000000F-E690-4C59-A7C2-6B6BC695708B}"/>
                  </c:ext>
                </c:extLst>
              </c15:ser>
            </c15:filteredLineSeries>
            <c15:filteredLineSeries>
              <c15:ser>
                <c:idx val="16"/>
                <c:order val="16"/>
                <c:tx>
                  <c:strRef>
                    <c:extLst xmlns:c15="http://schemas.microsoft.com/office/drawing/2012/chart">
                      <c:ext xmlns:c15="http://schemas.microsoft.com/office/drawing/2012/chart" uri="{02D57815-91ED-43cb-92C2-25804820EDAC}">
                        <c15:formulaRef>
                          <c15:sqref>'Tendencias nacionalidad'!$C$70</c15:sqref>
                        </c15:formulaRef>
                      </c:ext>
                    </c:extLst>
                    <c:strCache>
                      <c:ptCount val="1"/>
                      <c:pt idx="0">
                        <c:v>Italia</c:v>
                      </c:pt>
                    </c:strCache>
                  </c:strRef>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nacionalidad'!$D$70:$GA$70</c15:sqref>
                        </c15:fullRef>
                        <c15:formulaRef>
                          <c15:sqref>'Tendencias nacionalidad'!$D$70:$FT$70</c15:sqref>
                        </c15:formulaRef>
                      </c:ext>
                    </c:extLst>
                    <c:numCache>
                      <c:formatCode>#,##0</c:formatCode>
                      <c:ptCount val="173"/>
                      <c:pt idx="0">
                        <c:v>549</c:v>
                      </c:pt>
                      <c:pt idx="1">
                        <c:v>378</c:v>
                      </c:pt>
                      <c:pt idx="2">
                        <c:v>399</c:v>
                      </c:pt>
                      <c:pt idx="3">
                        <c:v>391</c:v>
                      </c:pt>
                      <c:pt idx="4">
                        <c:v>397</c:v>
                      </c:pt>
                      <c:pt idx="5">
                        <c:v>487</c:v>
                      </c:pt>
                      <c:pt idx="6">
                        <c:v>844</c:v>
                      </c:pt>
                      <c:pt idx="7">
                        <c:v>1198</c:v>
                      </c:pt>
                      <c:pt idx="8">
                        <c:v>469</c:v>
                      </c:pt>
                      <c:pt idx="9">
                        <c:v>573</c:v>
                      </c:pt>
                      <c:pt idx="10">
                        <c:v>556</c:v>
                      </c:pt>
                      <c:pt idx="11">
                        <c:v>606</c:v>
                      </c:pt>
                      <c:pt idx="12">
                        <c:v>658</c:v>
                      </c:pt>
                      <c:pt idx="13">
                        <c:v>721</c:v>
                      </c:pt>
                      <c:pt idx="14">
                        <c:v>522</c:v>
                      </c:pt>
                      <c:pt idx="15">
                        <c:v>491</c:v>
                      </c:pt>
                      <c:pt idx="16">
                        <c:v>485</c:v>
                      </c:pt>
                      <c:pt idx="17">
                        <c:v>640</c:v>
                      </c:pt>
                      <c:pt idx="18">
                        <c:v>950</c:v>
                      </c:pt>
                      <c:pt idx="19">
                        <c:v>1246</c:v>
                      </c:pt>
                      <c:pt idx="20">
                        <c:v>719</c:v>
                      </c:pt>
                      <c:pt idx="21">
                        <c:v>629</c:v>
                      </c:pt>
                      <c:pt idx="22">
                        <c:v>701</c:v>
                      </c:pt>
                      <c:pt idx="23">
                        <c:v>596</c:v>
                      </c:pt>
                      <c:pt idx="24">
                        <c:v>761</c:v>
                      </c:pt>
                      <c:pt idx="25">
                        <c:v>540</c:v>
                      </c:pt>
                      <c:pt idx="26">
                        <c:v>496</c:v>
                      </c:pt>
                      <c:pt idx="27">
                        <c:v>503</c:v>
                      </c:pt>
                      <c:pt idx="28">
                        <c:v>608</c:v>
                      </c:pt>
                      <c:pt idx="29">
                        <c:v>713</c:v>
                      </c:pt>
                      <c:pt idx="30">
                        <c:v>1022</c:v>
                      </c:pt>
                      <c:pt idx="31">
                        <c:v>1396</c:v>
                      </c:pt>
                      <c:pt idx="32">
                        <c:v>602</c:v>
                      </c:pt>
                      <c:pt idx="33">
                        <c:v>609</c:v>
                      </c:pt>
                      <c:pt idx="34">
                        <c:v>680</c:v>
                      </c:pt>
                      <c:pt idx="35">
                        <c:v>666</c:v>
                      </c:pt>
                      <c:pt idx="36">
                        <c:v>637</c:v>
                      </c:pt>
                      <c:pt idx="37">
                        <c:v>545</c:v>
                      </c:pt>
                      <c:pt idx="38">
                        <c:v>550</c:v>
                      </c:pt>
                      <c:pt idx="39">
                        <c:v>538</c:v>
                      </c:pt>
                      <c:pt idx="40">
                        <c:v>528</c:v>
                      </c:pt>
                      <c:pt idx="41">
                        <c:v>635</c:v>
                      </c:pt>
                      <c:pt idx="42">
                        <c:v>849</c:v>
                      </c:pt>
                      <c:pt idx="43">
                        <c:v>1276</c:v>
                      </c:pt>
                      <c:pt idx="44">
                        <c:v>521</c:v>
                      </c:pt>
                      <c:pt idx="45">
                        <c:v>614</c:v>
                      </c:pt>
                      <c:pt idx="46">
                        <c:v>715</c:v>
                      </c:pt>
                      <c:pt idx="47">
                        <c:v>639</c:v>
                      </c:pt>
                      <c:pt idx="48">
                        <c:v>595</c:v>
                      </c:pt>
                      <c:pt idx="49">
                        <c:v>497</c:v>
                      </c:pt>
                      <c:pt idx="50">
                        <c:v>505</c:v>
                      </c:pt>
                      <c:pt idx="51">
                        <c:v>417</c:v>
                      </c:pt>
                      <c:pt idx="52">
                        <c:v>543</c:v>
                      </c:pt>
                      <c:pt idx="53">
                        <c:v>559</c:v>
                      </c:pt>
                      <c:pt idx="54">
                        <c:v>777</c:v>
                      </c:pt>
                      <c:pt idx="55">
                        <c:v>1289</c:v>
                      </c:pt>
                      <c:pt idx="56">
                        <c:v>535</c:v>
                      </c:pt>
                      <c:pt idx="57">
                        <c:v>653</c:v>
                      </c:pt>
                      <c:pt idx="58">
                        <c:v>682</c:v>
                      </c:pt>
                      <c:pt idx="59">
                        <c:v>664</c:v>
                      </c:pt>
                      <c:pt idx="60">
                        <c:v>551</c:v>
                      </c:pt>
                      <c:pt idx="61">
                        <c:v>522</c:v>
                      </c:pt>
                      <c:pt idx="62">
                        <c:v>534</c:v>
                      </c:pt>
                      <c:pt idx="63">
                        <c:v>525</c:v>
                      </c:pt>
                      <c:pt idx="64">
                        <c:v>544</c:v>
                      </c:pt>
                      <c:pt idx="65">
                        <c:v>656</c:v>
                      </c:pt>
                      <c:pt idx="66">
                        <c:v>836</c:v>
                      </c:pt>
                      <c:pt idx="67">
                        <c:v>1119</c:v>
                      </c:pt>
                      <c:pt idx="68">
                        <c:v>550</c:v>
                      </c:pt>
                      <c:pt idx="69">
                        <c:v>658</c:v>
                      </c:pt>
                      <c:pt idx="70">
                        <c:v>688</c:v>
                      </c:pt>
                      <c:pt idx="71">
                        <c:v>574</c:v>
                      </c:pt>
                      <c:pt idx="72">
                        <c:v>600</c:v>
                      </c:pt>
                      <c:pt idx="73">
                        <c:v>512</c:v>
                      </c:pt>
                      <c:pt idx="74">
                        <c:v>542</c:v>
                      </c:pt>
                      <c:pt idx="75">
                        <c:v>511</c:v>
                      </c:pt>
                      <c:pt idx="76">
                        <c:v>483</c:v>
                      </c:pt>
                      <c:pt idx="77">
                        <c:v>646</c:v>
                      </c:pt>
                      <c:pt idx="78">
                        <c:v>665</c:v>
                      </c:pt>
                      <c:pt idx="79">
                        <c:v>935</c:v>
                      </c:pt>
                      <c:pt idx="80">
                        <c:v>579</c:v>
                      </c:pt>
                      <c:pt idx="81">
                        <c:v>611</c:v>
                      </c:pt>
                      <c:pt idx="82">
                        <c:v>678</c:v>
                      </c:pt>
                      <c:pt idx="83">
                        <c:v>758</c:v>
                      </c:pt>
                      <c:pt idx="84">
                        <c:v>698</c:v>
                      </c:pt>
                      <c:pt idx="85">
                        <c:v>643</c:v>
                      </c:pt>
                      <c:pt idx="86">
                        <c:v>609</c:v>
                      </c:pt>
                      <c:pt idx="87">
                        <c:v>572</c:v>
                      </c:pt>
                      <c:pt idx="88">
                        <c:v>490</c:v>
                      </c:pt>
                      <c:pt idx="89">
                        <c:v>643</c:v>
                      </c:pt>
                      <c:pt idx="90">
                        <c:v>814</c:v>
                      </c:pt>
                      <c:pt idx="91">
                        <c:v>1057</c:v>
                      </c:pt>
                      <c:pt idx="92">
                        <c:v>554</c:v>
                      </c:pt>
                      <c:pt idx="93">
                        <c:v>636</c:v>
                      </c:pt>
                      <c:pt idx="94">
                        <c:v>734</c:v>
                      </c:pt>
                      <c:pt idx="95">
                        <c:v>716</c:v>
                      </c:pt>
                      <c:pt idx="96">
                        <c:v>704</c:v>
                      </c:pt>
                      <c:pt idx="97">
                        <c:v>575</c:v>
                      </c:pt>
                      <c:pt idx="98">
                        <c:v>571</c:v>
                      </c:pt>
                      <c:pt idx="99">
                        <c:v>525</c:v>
                      </c:pt>
                      <c:pt idx="100">
                        <c:v>537</c:v>
                      </c:pt>
                      <c:pt idx="101">
                        <c:v>740</c:v>
                      </c:pt>
                      <c:pt idx="102">
                        <c:v>857</c:v>
                      </c:pt>
                      <c:pt idx="103">
                        <c:v>1052</c:v>
                      </c:pt>
                      <c:pt idx="104">
                        <c:v>643</c:v>
                      </c:pt>
                      <c:pt idx="105">
                        <c:v>549</c:v>
                      </c:pt>
                      <c:pt idx="106">
                        <c:v>656</c:v>
                      </c:pt>
                      <c:pt idx="107">
                        <c:v>699</c:v>
                      </c:pt>
                      <c:pt idx="108">
                        <c:v>630</c:v>
                      </c:pt>
                      <c:pt idx="109">
                        <c:v>567</c:v>
                      </c:pt>
                      <c:pt idx="110">
                        <c:v>515</c:v>
                      </c:pt>
                      <c:pt idx="111">
                        <c:v>517</c:v>
                      </c:pt>
                      <c:pt idx="112">
                        <c:v>530</c:v>
                      </c:pt>
                      <c:pt idx="113">
                        <c:v>594</c:v>
                      </c:pt>
                      <c:pt idx="114">
                        <c:v>797</c:v>
                      </c:pt>
                      <c:pt idx="115">
                        <c:v>968</c:v>
                      </c:pt>
                      <c:pt idx="116" formatCode="General">
                        <c:v>506</c:v>
                      </c:pt>
                      <c:pt idx="117">
                        <c:v>663</c:v>
                      </c:pt>
                      <c:pt idx="118">
                        <c:v>605</c:v>
                      </c:pt>
                      <c:pt idx="119">
                        <c:v>640</c:v>
                      </c:pt>
                      <c:pt idx="120">
                        <c:v>661</c:v>
                      </c:pt>
                      <c:pt idx="121">
                        <c:v>472</c:v>
                      </c:pt>
                      <c:pt idx="122">
                        <c:v>508</c:v>
                      </c:pt>
                      <c:pt idx="123">
                        <c:v>543</c:v>
                      </c:pt>
                      <c:pt idx="124">
                        <c:v>594</c:v>
                      </c:pt>
                      <c:pt idx="125">
                        <c:v>673</c:v>
                      </c:pt>
                      <c:pt idx="126">
                        <c:v>769</c:v>
                      </c:pt>
                      <c:pt idx="127">
                        <c:v>922</c:v>
                      </c:pt>
                      <c:pt idx="128">
                        <c:v>542</c:v>
                      </c:pt>
                      <c:pt idx="129">
                        <c:v>601</c:v>
                      </c:pt>
                      <c:pt idx="130">
                        <c:v>691</c:v>
                      </c:pt>
                      <c:pt idx="131">
                        <c:v>768</c:v>
                      </c:pt>
                      <c:pt idx="132">
                        <c:v>637</c:v>
                      </c:pt>
                      <c:pt idx="133">
                        <c:v>567</c:v>
                      </c:pt>
                      <c:pt idx="134">
                        <c:v>562</c:v>
                      </c:pt>
                      <c:pt idx="135">
                        <c:v>572</c:v>
                      </c:pt>
                      <c:pt idx="136">
                        <c:v>529</c:v>
                      </c:pt>
                      <c:pt idx="137">
                        <c:v>741</c:v>
                      </c:pt>
                      <c:pt idx="138">
                        <c:v>937</c:v>
                      </c:pt>
                      <c:pt idx="139">
                        <c:v>1050</c:v>
                      </c:pt>
                      <c:pt idx="140">
                        <c:v>478</c:v>
                      </c:pt>
                      <c:pt idx="141">
                        <c:v>576</c:v>
                      </c:pt>
                      <c:pt idx="142">
                        <c:v>721</c:v>
                      </c:pt>
                      <c:pt idx="143">
                        <c:v>705</c:v>
                      </c:pt>
                      <c:pt idx="144" formatCode="_(* #,##0_);_(* \(#,##0\);_(* &quot;-&quot;??_);_(@_)">
                        <c:v>645</c:v>
                      </c:pt>
                      <c:pt idx="145">
                        <c:v>546</c:v>
                      </c:pt>
                      <c:pt idx="146">
                        <c:v>565</c:v>
                      </c:pt>
                      <c:pt idx="147">
                        <c:v>674</c:v>
                      </c:pt>
                      <c:pt idx="148" formatCode="_(* #,##0_);_(* \(#,##0\);_(* &quot;-&quot;??_);_(@_)">
                        <c:v>751</c:v>
                      </c:pt>
                      <c:pt idx="149" formatCode="_(* #,##0_);_(* \(#,##0\);_(* &quot;-&quot;??_);_(@_)">
                        <c:v>951</c:v>
                      </c:pt>
                      <c:pt idx="150" formatCode="_(* #,##0_);_(* \(#,##0\);_(* &quot;-&quot;??_);_(@_)">
                        <c:v>1213</c:v>
                      </c:pt>
                      <c:pt idx="151" formatCode="_(* #,##0_);_(* \(#,##0\);_(* &quot;-&quot;??_);_(@_)">
                        <c:v>1585</c:v>
                      </c:pt>
                      <c:pt idx="152" formatCode="_(* #,##0_);_(* \(#,##0\);_(* &quot;-&quot;??_);_(@_)">
                        <c:v>988</c:v>
                      </c:pt>
                      <c:pt idx="153" formatCode="_(* #,##0_);_(* \(#,##0\);_(* &quot;-&quot;??_);_(@_)">
                        <c:v>728</c:v>
                      </c:pt>
                      <c:pt idx="154" formatCode="_(* #,##0_);_(* \(#,##0\);_(* &quot;-&quot;??_);_(@_)">
                        <c:v>1072</c:v>
                      </c:pt>
                      <c:pt idx="155" formatCode="_(* #,##0_);_(* \(#,##0\);_(* &quot;-&quot;??_);_(@_)">
                        <c:v>1209</c:v>
                      </c:pt>
                      <c:pt idx="156">
                        <c:v>1044</c:v>
                      </c:pt>
                      <c:pt idx="157">
                        <c:v>854</c:v>
                      </c:pt>
                      <c:pt idx="158">
                        <c:v>254</c:v>
                      </c:pt>
                      <c:pt idx="159">
                        <c:v>4</c:v>
                      </c:pt>
                      <c:pt idx="160">
                        <c:v>15</c:v>
                      </c:pt>
                      <c:pt idx="161">
                        <c:v>14</c:v>
                      </c:pt>
                      <c:pt idx="162">
                        <c:v>82</c:v>
                      </c:pt>
                      <c:pt idx="163">
                        <c:v>59</c:v>
                      </c:pt>
                      <c:pt idx="164">
                        <c:v>126</c:v>
                      </c:pt>
                      <c:pt idx="165">
                        <c:v>186</c:v>
                      </c:pt>
                      <c:pt idx="166">
                        <c:v>183</c:v>
                      </c:pt>
                      <c:pt idx="167">
                        <c:v>227</c:v>
                      </c:pt>
                      <c:pt idx="168">
                        <c:v>251</c:v>
                      </c:pt>
                      <c:pt idx="169">
                        <c:v>155</c:v>
                      </c:pt>
                      <c:pt idx="170">
                        <c:v>187</c:v>
                      </c:pt>
                      <c:pt idx="171">
                        <c:v>208</c:v>
                      </c:pt>
                      <c:pt idx="172">
                        <c:v>226</c:v>
                      </c:pt>
                    </c:numCache>
                  </c:numRef>
                </c:val>
                <c:smooth val="0"/>
                <c:extLst xmlns:c15="http://schemas.microsoft.com/office/drawing/2012/chart">
                  <c:ext xmlns:c16="http://schemas.microsoft.com/office/drawing/2014/chart" uri="{C3380CC4-5D6E-409C-BE32-E72D297353CC}">
                    <c16:uniqueId val="{00000010-E690-4C59-A7C2-6B6BC695708B}"/>
                  </c:ext>
                </c:extLst>
              </c15:ser>
            </c15:filteredLineSeries>
            <c15:filteredLineSeries>
              <c15:ser>
                <c:idx val="17"/>
                <c:order val="17"/>
                <c:tx>
                  <c:strRef>
                    <c:extLst xmlns:c15="http://schemas.microsoft.com/office/drawing/2012/chart">
                      <c:ext xmlns:c15="http://schemas.microsoft.com/office/drawing/2012/chart" uri="{02D57815-91ED-43cb-92C2-25804820EDAC}">
                        <c15:formulaRef>
                          <c15:sqref>'Tendencias nacionalidad'!$C$71</c15:sqref>
                        </c15:formulaRef>
                      </c:ext>
                    </c:extLst>
                    <c:strCache>
                      <c:ptCount val="1"/>
                      <c:pt idx="0">
                        <c:v>Suiza</c:v>
                      </c:pt>
                    </c:strCache>
                  </c:strRef>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nacionalidad'!$D$71:$GA$71</c15:sqref>
                        </c15:fullRef>
                        <c15:formulaRef>
                          <c15:sqref>'Tendencias nacionalidad'!$D$71:$FT$71</c15:sqref>
                        </c15:formulaRef>
                      </c:ext>
                    </c:extLst>
                    <c:numCache>
                      <c:formatCode>#,##0</c:formatCode>
                      <c:ptCount val="173"/>
                      <c:pt idx="0">
                        <c:v>364</c:v>
                      </c:pt>
                      <c:pt idx="1">
                        <c:v>398</c:v>
                      </c:pt>
                      <c:pt idx="2">
                        <c:v>362</c:v>
                      </c:pt>
                      <c:pt idx="3">
                        <c:v>333</c:v>
                      </c:pt>
                      <c:pt idx="4">
                        <c:v>305</c:v>
                      </c:pt>
                      <c:pt idx="5">
                        <c:v>347</c:v>
                      </c:pt>
                      <c:pt idx="6">
                        <c:v>748</c:v>
                      </c:pt>
                      <c:pt idx="7">
                        <c:v>334</c:v>
                      </c:pt>
                      <c:pt idx="8">
                        <c:v>478</c:v>
                      </c:pt>
                      <c:pt idx="9">
                        <c:v>546</c:v>
                      </c:pt>
                      <c:pt idx="10">
                        <c:v>492</c:v>
                      </c:pt>
                      <c:pt idx="11">
                        <c:v>429</c:v>
                      </c:pt>
                      <c:pt idx="12">
                        <c:v>442</c:v>
                      </c:pt>
                      <c:pt idx="13">
                        <c:v>593</c:v>
                      </c:pt>
                      <c:pt idx="14">
                        <c:v>475</c:v>
                      </c:pt>
                      <c:pt idx="15">
                        <c:v>378</c:v>
                      </c:pt>
                      <c:pt idx="16">
                        <c:v>364</c:v>
                      </c:pt>
                      <c:pt idx="17">
                        <c:v>401</c:v>
                      </c:pt>
                      <c:pt idx="18">
                        <c:v>795</c:v>
                      </c:pt>
                      <c:pt idx="19">
                        <c:v>418</c:v>
                      </c:pt>
                      <c:pt idx="20">
                        <c:v>410</c:v>
                      </c:pt>
                      <c:pt idx="21">
                        <c:v>462</c:v>
                      </c:pt>
                      <c:pt idx="22">
                        <c:v>547</c:v>
                      </c:pt>
                      <c:pt idx="23">
                        <c:v>450</c:v>
                      </c:pt>
                      <c:pt idx="24">
                        <c:v>472</c:v>
                      </c:pt>
                      <c:pt idx="25">
                        <c:v>324</c:v>
                      </c:pt>
                      <c:pt idx="26">
                        <c:v>379</c:v>
                      </c:pt>
                      <c:pt idx="27">
                        <c:v>343</c:v>
                      </c:pt>
                      <c:pt idx="28">
                        <c:v>385.5</c:v>
                      </c:pt>
                      <c:pt idx="29">
                        <c:v>428</c:v>
                      </c:pt>
                      <c:pt idx="30">
                        <c:v>875</c:v>
                      </c:pt>
                      <c:pt idx="31">
                        <c:v>391</c:v>
                      </c:pt>
                      <c:pt idx="32">
                        <c:v>458</c:v>
                      </c:pt>
                      <c:pt idx="33">
                        <c:v>460</c:v>
                      </c:pt>
                      <c:pt idx="34">
                        <c:v>532</c:v>
                      </c:pt>
                      <c:pt idx="35">
                        <c:v>487</c:v>
                      </c:pt>
                      <c:pt idx="36">
                        <c:v>443</c:v>
                      </c:pt>
                      <c:pt idx="37">
                        <c:v>376</c:v>
                      </c:pt>
                      <c:pt idx="38">
                        <c:v>358</c:v>
                      </c:pt>
                      <c:pt idx="39">
                        <c:v>310</c:v>
                      </c:pt>
                      <c:pt idx="40">
                        <c:v>315</c:v>
                      </c:pt>
                      <c:pt idx="41">
                        <c:v>379</c:v>
                      </c:pt>
                      <c:pt idx="42">
                        <c:v>783</c:v>
                      </c:pt>
                      <c:pt idx="43">
                        <c:v>396</c:v>
                      </c:pt>
                      <c:pt idx="44">
                        <c:v>362</c:v>
                      </c:pt>
                      <c:pt idx="45">
                        <c:v>563</c:v>
                      </c:pt>
                      <c:pt idx="46">
                        <c:v>559</c:v>
                      </c:pt>
                      <c:pt idx="47">
                        <c:v>469</c:v>
                      </c:pt>
                      <c:pt idx="48">
                        <c:v>429</c:v>
                      </c:pt>
                      <c:pt idx="49">
                        <c:v>404</c:v>
                      </c:pt>
                      <c:pt idx="50">
                        <c:v>315</c:v>
                      </c:pt>
                      <c:pt idx="51">
                        <c:v>400</c:v>
                      </c:pt>
                      <c:pt idx="52">
                        <c:v>329</c:v>
                      </c:pt>
                      <c:pt idx="53">
                        <c:v>370</c:v>
                      </c:pt>
                      <c:pt idx="54">
                        <c:v>834</c:v>
                      </c:pt>
                      <c:pt idx="55">
                        <c:v>402</c:v>
                      </c:pt>
                      <c:pt idx="56">
                        <c:v>363</c:v>
                      </c:pt>
                      <c:pt idx="57">
                        <c:v>578</c:v>
                      </c:pt>
                      <c:pt idx="58">
                        <c:v>603</c:v>
                      </c:pt>
                      <c:pt idx="59">
                        <c:v>577</c:v>
                      </c:pt>
                      <c:pt idx="60">
                        <c:v>442</c:v>
                      </c:pt>
                      <c:pt idx="61">
                        <c:v>386</c:v>
                      </c:pt>
                      <c:pt idx="62">
                        <c:v>342</c:v>
                      </c:pt>
                      <c:pt idx="63">
                        <c:v>413</c:v>
                      </c:pt>
                      <c:pt idx="64">
                        <c:v>323</c:v>
                      </c:pt>
                      <c:pt idx="65">
                        <c:v>446</c:v>
                      </c:pt>
                      <c:pt idx="66">
                        <c:v>986</c:v>
                      </c:pt>
                      <c:pt idx="67">
                        <c:v>441</c:v>
                      </c:pt>
                      <c:pt idx="68">
                        <c:v>500</c:v>
                      </c:pt>
                      <c:pt idx="69">
                        <c:v>622</c:v>
                      </c:pt>
                      <c:pt idx="70">
                        <c:v>645</c:v>
                      </c:pt>
                      <c:pt idx="71">
                        <c:v>674</c:v>
                      </c:pt>
                      <c:pt idx="72">
                        <c:v>449</c:v>
                      </c:pt>
                      <c:pt idx="73">
                        <c:v>392</c:v>
                      </c:pt>
                      <c:pt idx="74">
                        <c:v>495</c:v>
                      </c:pt>
                      <c:pt idx="75">
                        <c:v>430</c:v>
                      </c:pt>
                      <c:pt idx="76">
                        <c:v>411</c:v>
                      </c:pt>
                      <c:pt idx="77">
                        <c:v>419</c:v>
                      </c:pt>
                      <c:pt idx="78">
                        <c:v>996</c:v>
                      </c:pt>
                      <c:pt idx="79">
                        <c:v>438</c:v>
                      </c:pt>
                      <c:pt idx="80">
                        <c:v>418</c:v>
                      </c:pt>
                      <c:pt idx="81">
                        <c:v>574</c:v>
                      </c:pt>
                      <c:pt idx="82">
                        <c:v>598</c:v>
                      </c:pt>
                      <c:pt idx="83">
                        <c:v>671</c:v>
                      </c:pt>
                      <c:pt idx="84">
                        <c:v>474</c:v>
                      </c:pt>
                      <c:pt idx="85">
                        <c:v>485</c:v>
                      </c:pt>
                      <c:pt idx="86">
                        <c:v>443</c:v>
                      </c:pt>
                      <c:pt idx="87">
                        <c:v>516</c:v>
                      </c:pt>
                      <c:pt idx="88">
                        <c:v>447</c:v>
                      </c:pt>
                      <c:pt idx="89">
                        <c:v>401</c:v>
                      </c:pt>
                      <c:pt idx="90">
                        <c:v>1000</c:v>
                      </c:pt>
                      <c:pt idx="91">
                        <c:v>403</c:v>
                      </c:pt>
                      <c:pt idx="92">
                        <c:v>432</c:v>
                      </c:pt>
                      <c:pt idx="93">
                        <c:v>612</c:v>
                      </c:pt>
                      <c:pt idx="94">
                        <c:v>615</c:v>
                      </c:pt>
                      <c:pt idx="95">
                        <c:v>638</c:v>
                      </c:pt>
                      <c:pt idx="96">
                        <c:v>514</c:v>
                      </c:pt>
                      <c:pt idx="97">
                        <c:v>443</c:v>
                      </c:pt>
                      <c:pt idx="98">
                        <c:v>472</c:v>
                      </c:pt>
                      <c:pt idx="99">
                        <c:v>513</c:v>
                      </c:pt>
                      <c:pt idx="100">
                        <c:v>444</c:v>
                      </c:pt>
                      <c:pt idx="101">
                        <c:v>445</c:v>
                      </c:pt>
                      <c:pt idx="102">
                        <c:v>1074</c:v>
                      </c:pt>
                      <c:pt idx="103">
                        <c:v>403</c:v>
                      </c:pt>
                      <c:pt idx="104">
                        <c:v>441</c:v>
                      </c:pt>
                      <c:pt idx="105">
                        <c:v>599</c:v>
                      </c:pt>
                      <c:pt idx="106">
                        <c:v>582</c:v>
                      </c:pt>
                      <c:pt idx="107">
                        <c:v>596</c:v>
                      </c:pt>
                      <c:pt idx="108">
                        <c:v>566</c:v>
                      </c:pt>
                      <c:pt idx="109">
                        <c:v>575</c:v>
                      </c:pt>
                      <c:pt idx="110">
                        <c:v>533</c:v>
                      </c:pt>
                      <c:pt idx="111">
                        <c:v>489</c:v>
                      </c:pt>
                      <c:pt idx="112">
                        <c:v>387</c:v>
                      </c:pt>
                      <c:pt idx="113">
                        <c:v>383</c:v>
                      </c:pt>
                      <c:pt idx="114">
                        <c:v>1133</c:v>
                      </c:pt>
                      <c:pt idx="115">
                        <c:v>480</c:v>
                      </c:pt>
                      <c:pt idx="116" formatCode="General">
                        <c:v>403</c:v>
                      </c:pt>
                      <c:pt idx="117">
                        <c:v>692</c:v>
                      </c:pt>
                      <c:pt idx="118">
                        <c:v>501</c:v>
                      </c:pt>
                      <c:pt idx="119">
                        <c:v>545</c:v>
                      </c:pt>
                      <c:pt idx="120">
                        <c:v>510</c:v>
                      </c:pt>
                      <c:pt idx="121">
                        <c:v>457</c:v>
                      </c:pt>
                      <c:pt idx="122">
                        <c:v>436</c:v>
                      </c:pt>
                      <c:pt idx="123">
                        <c:v>611</c:v>
                      </c:pt>
                      <c:pt idx="124">
                        <c:v>335</c:v>
                      </c:pt>
                      <c:pt idx="125">
                        <c:v>452</c:v>
                      </c:pt>
                      <c:pt idx="126">
                        <c:v>981</c:v>
                      </c:pt>
                      <c:pt idx="127">
                        <c:v>427</c:v>
                      </c:pt>
                      <c:pt idx="128">
                        <c:v>447</c:v>
                      </c:pt>
                      <c:pt idx="129">
                        <c:v>575</c:v>
                      </c:pt>
                      <c:pt idx="130">
                        <c:v>478</c:v>
                      </c:pt>
                      <c:pt idx="131">
                        <c:v>579</c:v>
                      </c:pt>
                      <c:pt idx="132">
                        <c:v>507</c:v>
                      </c:pt>
                      <c:pt idx="133">
                        <c:v>534</c:v>
                      </c:pt>
                      <c:pt idx="134">
                        <c:v>515</c:v>
                      </c:pt>
                      <c:pt idx="135">
                        <c:v>487</c:v>
                      </c:pt>
                      <c:pt idx="136">
                        <c:v>373</c:v>
                      </c:pt>
                      <c:pt idx="137">
                        <c:v>437</c:v>
                      </c:pt>
                      <c:pt idx="138">
                        <c:v>1093</c:v>
                      </c:pt>
                      <c:pt idx="139">
                        <c:v>415</c:v>
                      </c:pt>
                      <c:pt idx="140">
                        <c:v>526</c:v>
                      </c:pt>
                      <c:pt idx="141">
                        <c:v>655</c:v>
                      </c:pt>
                      <c:pt idx="142">
                        <c:v>579</c:v>
                      </c:pt>
                      <c:pt idx="143">
                        <c:v>714</c:v>
                      </c:pt>
                      <c:pt idx="144" formatCode="_(* #,##0_);_(* \(#,##0\);_(* &quot;-&quot;??_);_(@_)">
                        <c:v>500</c:v>
                      </c:pt>
                      <c:pt idx="145">
                        <c:v>462</c:v>
                      </c:pt>
                      <c:pt idx="146">
                        <c:v>398</c:v>
                      </c:pt>
                      <c:pt idx="147">
                        <c:v>546</c:v>
                      </c:pt>
                      <c:pt idx="148" formatCode="_(* #,##0_);_(* \(#,##0\);_(* &quot;-&quot;??_);_(@_)">
                        <c:v>441</c:v>
                      </c:pt>
                      <c:pt idx="149" formatCode="_(* #,##0_);_(* \(#,##0\);_(* &quot;-&quot;??_);_(@_)">
                        <c:v>503</c:v>
                      </c:pt>
                      <c:pt idx="150" formatCode="_(* #,##0_);_(* \(#,##0\);_(* &quot;-&quot;??_);_(@_)">
                        <c:v>1198</c:v>
                      </c:pt>
                      <c:pt idx="151" formatCode="_(* #,##0_);_(* \(#,##0\);_(* &quot;-&quot;??_);_(@_)">
                        <c:v>550</c:v>
                      </c:pt>
                      <c:pt idx="152" formatCode="_(* #,##0_);_(* \(#,##0\);_(* &quot;-&quot;??_);_(@_)">
                        <c:v>532</c:v>
                      </c:pt>
                      <c:pt idx="153" formatCode="_(* #,##0_);_(* \(#,##0\);_(* &quot;-&quot;??_);_(@_)">
                        <c:v>538</c:v>
                      </c:pt>
                      <c:pt idx="154" formatCode="_(* #,##0_);_(* \(#,##0\);_(* &quot;-&quot;??_);_(@_)">
                        <c:v>589</c:v>
                      </c:pt>
                      <c:pt idx="155" formatCode="_(* #,##0_);_(* \(#,##0\);_(* &quot;-&quot;??_);_(@_)">
                        <c:v>776</c:v>
                      </c:pt>
                      <c:pt idx="156">
                        <c:v>571</c:v>
                      </c:pt>
                      <c:pt idx="157">
                        <c:v>552</c:v>
                      </c:pt>
                      <c:pt idx="158">
                        <c:v>193</c:v>
                      </c:pt>
                      <c:pt idx="159">
                        <c:v>35</c:v>
                      </c:pt>
                      <c:pt idx="160">
                        <c:v>2</c:v>
                      </c:pt>
                      <c:pt idx="161">
                        <c:v>3</c:v>
                      </c:pt>
                      <c:pt idx="162">
                        <c:v>30</c:v>
                      </c:pt>
                      <c:pt idx="163">
                        <c:v>34</c:v>
                      </c:pt>
                      <c:pt idx="164">
                        <c:v>34</c:v>
                      </c:pt>
                      <c:pt idx="165">
                        <c:v>67</c:v>
                      </c:pt>
                      <c:pt idx="166">
                        <c:v>84</c:v>
                      </c:pt>
                      <c:pt idx="167">
                        <c:v>202</c:v>
                      </c:pt>
                      <c:pt idx="168">
                        <c:v>103</c:v>
                      </c:pt>
                      <c:pt idx="169">
                        <c:v>118</c:v>
                      </c:pt>
                      <c:pt idx="170">
                        <c:v>135</c:v>
                      </c:pt>
                      <c:pt idx="171">
                        <c:v>186</c:v>
                      </c:pt>
                      <c:pt idx="172">
                        <c:v>125</c:v>
                      </c:pt>
                    </c:numCache>
                  </c:numRef>
                </c:val>
                <c:smooth val="0"/>
                <c:extLst xmlns:c15="http://schemas.microsoft.com/office/drawing/2012/chart">
                  <c:ext xmlns:c16="http://schemas.microsoft.com/office/drawing/2014/chart" uri="{C3380CC4-5D6E-409C-BE32-E72D297353CC}">
                    <c16:uniqueId val="{00000011-E690-4C59-A7C2-6B6BC695708B}"/>
                  </c:ext>
                </c:extLst>
              </c15:ser>
            </c15:filteredLineSeries>
            <c15:filteredLineSeries>
              <c15:ser>
                <c:idx val="18"/>
                <c:order val="18"/>
                <c:tx>
                  <c:strRef>
                    <c:extLst xmlns:c15="http://schemas.microsoft.com/office/drawing/2012/chart">
                      <c:ext xmlns:c15="http://schemas.microsoft.com/office/drawing/2012/chart" uri="{02D57815-91ED-43cb-92C2-25804820EDAC}">
                        <c15:formulaRef>
                          <c15:sqref>'Tendencias nacionalidad'!$C$72</c15:sqref>
                        </c15:formulaRef>
                      </c:ext>
                    </c:extLst>
                    <c:strCache>
                      <c:ptCount val="1"/>
                      <c:pt idx="0">
                        <c:v>Australia</c:v>
                      </c:pt>
                    </c:strCache>
                  </c:strRef>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nacionalidad'!$D$72:$GA$72</c15:sqref>
                        </c15:fullRef>
                        <c15:formulaRef>
                          <c15:sqref>'Tendencias nacionalidad'!$D$72:$FT$72</c15:sqref>
                        </c15:formulaRef>
                      </c:ext>
                    </c:extLst>
                    <c:numCache>
                      <c:formatCode>#,##0</c:formatCode>
                      <c:ptCount val="173"/>
                      <c:pt idx="0">
                        <c:v>286</c:v>
                      </c:pt>
                      <c:pt idx="1">
                        <c:v>223</c:v>
                      </c:pt>
                      <c:pt idx="2">
                        <c:v>234</c:v>
                      </c:pt>
                      <c:pt idx="3">
                        <c:v>325</c:v>
                      </c:pt>
                      <c:pt idx="4">
                        <c:v>318</c:v>
                      </c:pt>
                      <c:pt idx="5">
                        <c:v>277</c:v>
                      </c:pt>
                      <c:pt idx="6">
                        <c:v>322</c:v>
                      </c:pt>
                      <c:pt idx="7">
                        <c:v>300</c:v>
                      </c:pt>
                      <c:pt idx="8">
                        <c:v>421</c:v>
                      </c:pt>
                      <c:pt idx="9">
                        <c:v>451</c:v>
                      </c:pt>
                      <c:pt idx="10">
                        <c:v>458</c:v>
                      </c:pt>
                      <c:pt idx="11">
                        <c:v>428</c:v>
                      </c:pt>
                      <c:pt idx="12">
                        <c:v>405</c:v>
                      </c:pt>
                      <c:pt idx="13">
                        <c:v>516</c:v>
                      </c:pt>
                      <c:pt idx="14">
                        <c:v>459</c:v>
                      </c:pt>
                      <c:pt idx="15">
                        <c:v>570</c:v>
                      </c:pt>
                      <c:pt idx="16">
                        <c:v>475</c:v>
                      </c:pt>
                      <c:pt idx="17">
                        <c:v>319</c:v>
                      </c:pt>
                      <c:pt idx="18">
                        <c:v>354</c:v>
                      </c:pt>
                      <c:pt idx="19">
                        <c:v>498</c:v>
                      </c:pt>
                      <c:pt idx="20">
                        <c:v>495</c:v>
                      </c:pt>
                      <c:pt idx="21">
                        <c:v>611</c:v>
                      </c:pt>
                      <c:pt idx="22">
                        <c:v>484</c:v>
                      </c:pt>
                      <c:pt idx="23">
                        <c:v>517</c:v>
                      </c:pt>
                      <c:pt idx="24">
                        <c:v>373</c:v>
                      </c:pt>
                      <c:pt idx="25">
                        <c:v>273</c:v>
                      </c:pt>
                      <c:pt idx="26">
                        <c:v>366</c:v>
                      </c:pt>
                      <c:pt idx="27">
                        <c:v>426</c:v>
                      </c:pt>
                      <c:pt idx="28">
                        <c:v>404</c:v>
                      </c:pt>
                      <c:pt idx="29">
                        <c:v>382</c:v>
                      </c:pt>
                      <c:pt idx="30">
                        <c:v>369</c:v>
                      </c:pt>
                      <c:pt idx="31">
                        <c:v>469</c:v>
                      </c:pt>
                      <c:pt idx="32">
                        <c:v>494</c:v>
                      </c:pt>
                      <c:pt idx="33">
                        <c:v>512</c:v>
                      </c:pt>
                      <c:pt idx="34">
                        <c:v>510</c:v>
                      </c:pt>
                      <c:pt idx="35">
                        <c:v>568</c:v>
                      </c:pt>
                      <c:pt idx="36">
                        <c:v>469</c:v>
                      </c:pt>
                      <c:pt idx="37">
                        <c:v>260</c:v>
                      </c:pt>
                      <c:pt idx="38">
                        <c:v>424</c:v>
                      </c:pt>
                      <c:pt idx="39">
                        <c:v>545</c:v>
                      </c:pt>
                      <c:pt idx="40">
                        <c:v>529</c:v>
                      </c:pt>
                      <c:pt idx="41">
                        <c:v>447</c:v>
                      </c:pt>
                      <c:pt idx="42">
                        <c:v>422</c:v>
                      </c:pt>
                      <c:pt idx="43">
                        <c:v>436</c:v>
                      </c:pt>
                      <c:pt idx="44">
                        <c:v>464</c:v>
                      </c:pt>
                      <c:pt idx="45">
                        <c:v>558</c:v>
                      </c:pt>
                      <c:pt idx="46">
                        <c:v>513</c:v>
                      </c:pt>
                      <c:pt idx="47">
                        <c:v>529</c:v>
                      </c:pt>
                      <c:pt idx="48">
                        <c:v>503</c:v>
                      </c:pt>
                      <c:pt idx="49">
                        <c:v>295</c:v>
                      </c:pt>
                      <c:pt idx="50">
                        <c:v>499</c:v>
                      </c:pt>
                      <c:pt idx="51">
                        <c:v>579</c:v>
                      </c:pt>
                      <c:pt idx="52">
                        <c:v>572</c:v>
                      </c:pt>
                      <c:pt idx="53">
                        <c:v>431</c:v>
                      </c:pt>
                      <c:pt idx="54">
                        <c:v>461</c:v>
                      </c:pt>
                      <c:pt idx="55">
                        <c:v>457</c:v>
                      </c:pt>
                      <c:pt idx="56">
                        <c:v>507</c:v>
                      </c:pt>
                      <c:pt idx="57">
                        <c:v>654</c:v>
                      </c:pt>
                      <c:pt idx="58">
                        <c:v>660</c:v>
                      </c:pt>
                      <c:pt idx="59">
                        <c:v>629</c:v>
                      </c:pt>
                      <c:pt idx="60">
                        <c:v>536</c:v>
                      </c:pt>
                      <c:pt idx="61">
                        <c:v>420</c:v>
                      </c:pt>
                      <c:pt idx="62">
                        <c:v>480</c:v>
                      </c:pt>
                      <c:pt idx="63">
                        <c:v>593</c:v>
                      </c:pt>
                      <c:pt idx="64">
                        <c:v>610</c:v>
                      </c:pt>
                      <c:pt idx="65">
                        <c:v>556</c:v>
                      </c:pt>
                      <c:pt idx="66">
                        <c:v>521</c:v>
                      </c:pt>
                      <c:pt idx="67">
                        <c:v>484</c:v>
                      </c:pt>
                      <c:pt idx="68">
                        <c:v>574</c:v>
                      </c:pt>
                      <c:pt idx="69">
                        <c:v>718</c:v>
                      </c:pt>
                      <c:pt idx="70">
                        <c:v>763</c:v>
                      </c:pt>
                      <c:pt idx="71">
                        <c:v>706</c:v>
                      </c:pt>
                      <c:pt idx="72">
                        <c:v>565</c:v>
                      </c:pt>
                      <c:pt idx="73">
                        <c:v>412</c:v>
                      </c:pt>
                      <c:pt idx="74">
                        <c:v>599</c:v>
                      </c:pt>
                      <c:pt idx="75">
                        <c:v>660</c:v>
                      </c:pt>
                      <c:pt idx="76">
                        <c:v>613</c:v>
                      </c:pt>
                      <c:pt idx="77">
                        <c:v>626</c:v>
                      </c:pt>
                      <c:pt idx="78">
                        <c:v>532</c:v>
                      </c:pt>
                      <c:pt idx="79">
                        <c:v>589</c:v>
                      </c:pt>
                      <c:pt idx="80">
                        <c:v>750</c:v>
                      </c:pt>
                      <c:pt idx="81">
                        <c:v>677</c:v>
                      </c:pt>
                      <c:pt idx="82">
                        <c:v>706</c:v>
                      </c:pt>
                      <c:pt idx="83">
                        <c:v>603</c:v>
                      </c:pt>
                      <c:pt idx="84">
                        <c:v>557</c:v>
                      </c:pt>
                      <c:pt idx="85">
                        <c:v>399</c:v>
                      </c:pt>
                      <c:pt idx="86">
                        <c:v>522</c:v>
                      </c:pt>
                      <c:pt idx="87">
                        <c:v>690</c:v>
                      </c:pt>
                      <c:pt idx="88">
                        <c:v>757</c:v>
                      </c:pt>
                      <c:pt idx="89">
                        <c:v>705</c:v>
                      </c:pt>
                      <c:pt idx="90">
                        <c:v>631</c:v>
                      </c:pt>
                      <c:pt idx="91">
                        <c:v>767</c:v>
                      </c:pt>
                      <c:pt idx="92">
                        <c:v>753</c:v>
                      </c:pt>
                      <c:pt idx="93">
                        <c:v>725</c:v>
                      </c:pt>
                      <c:pt idx="94">
                        <c:v>711</c:v>
                      </c:pt>
                      <c:pt idx="95">
                        <c:v>758</c:v>
                      </c:pt>
                      <c:pt idx="96">
                        <c:v>729</c:v>
                      </c:pt>
                      <c:pt idx="97">
                        <c:v>449</c:v>
                      </c:pt>
                      <c:pt idx="98">
                        <c:v>579</c:v>
                      </c:pt>
                      <c:pt idx="99">
                        <c:v>650</c:v>
                      </c:pt>
                      <c:pt idx="100">
                        <c:v>806</c:v>
                      </c:pt>
                      <c:pt idx="101">
                        <c:v>606</c:v>
                      </c:pt>
                      <c:pt idx="102">
                        <c:v>591</c:v>
                      </c:pt>
                      <c:pt idx="103">
                        <c:v>464</c:v>
                      </c:pt>
                      <c:pt idx="104">
                        <c:v>741</c:v>
                      </c:pt>
                      <c:pt idx="105">
                        <c:v>750</c:v>
                      </c:pt>
                      <c:pt idx="106">
                        <c:v>556</c:v>
                      </c:pt>
                      <c:pt idx="107">
                        <c:v>690</c:v>
                      </c:pt>
                      <c:pt idx="108">
                        <c:v>609</c:v>
                      </c:pt>
                      <c:pt idx="109">
                        <c:v>395</c:v>
                      </c:pt>
                      <c:pt idx="110">
                        <c:v>546</c:v>
                      </c:pt>
                      <c:pt idx="111">
                        <c:v>650</c:v>
                      </c:pt>
                      <c:pt idx="112">
                        <c:v>636</c:v>
                      </c:pt>
                      <c:pt idx="113">
                        <c:v>511</c:v>
                      </c:pt>
                      <c:pt idx="114">
                        <c:v>541</c:v>
                      </c:pt>
                      <c:pt idx="115">
                        <c:v>566</c:v>
                      </c:pt>
                      <c:pt idx="116" formatCode="General">
                        <c:v>611</c:v>
                      </c:pt>
                      <c:pt idx="117">
                        <c:v>811</c:v>
                      </c:pt>
                      <c:pt idx="118">
                        <c:v>600</c:v>
                      </c:pt>
                      <c:pt idx="119">
                        <c:v>536</c:v>
                      </c:pt>
                      <c:pt idx="120">
                        <c:v>502</c:v>
                      </c:pt>
                      <c:pt idx="121">
                        <c:v>379</c:v>
                      </c:pt>
                      <c:pt idx="122">
                        <c:v>480</c:v>
                      </c:pt>
                      <c:pt idx="123">
                        <c:v>624</c:v>
                      </c:pt>
                      <c:pt idx="124">
                        <c:v>603</c:v>
                      </c:pt>
                      <c:pt idx="125">
                        <c:v>484</c:v>
                      </c:pt>
                      <c:pt idx="126">
                        <c:v>514</c:v>
                      </c:pt>
                      <c:pt idx="127">
                        <c:v>473</c:v>
                      </c:pt>
                      <c:pt idx="128">
                        <c:v>733</c:v>
                      </c:pt>
                      <c:pt idx="129">
                        <c:v>686</c:v>
                      </c:pt>
                      <c:pt idx="130">
                        <c:v>593</c:v>
                      </c:pt>
                      <c:pt idx="131">
                        <c:v>569</c:v>
                      </c:pt>
                      <c:pt idx="132">
                        <c:v>523</c:v>
                      </c:pt>
                      <c:pt idx="133">
                        <c:v>452</c:v>
                      </c:pt>
                      <c:pt idx="134">
                        <c:v>441</c:v>
                      </c:pt>
                      <c:pt idx="135">
                        <c:v>586</c:v>
                      </c:pt>
                      <c:pt idx="136">
                        <c:v>641</c:v>
                      </c:pt>
                      <c:pt idx="137">
                        <c:v>594</c:v>
                      </c:pt>
                      <c:pt idx="138">
                        <c:v>593</c:v>
                      </c:pt>
                      <c:pt idx="139">
                        <c:v>523</c:v>
                      </c:pt>
                      <c:pt idx="140">
                        <c:v>644</c:v>
                      </c:pt>
                      <c:pt idx="141">
                        <c:v>673</c:v>
                      </c:pt>
                      <c:pt idx="142">
                        <c:v>567</c:v>
                      </c:pt>
                      <c:pt idx="143">
                        <c:v>592</c:v>
                      </c:pt>
                      <c:pt idx="144" formatCode="_(* #,##0_);_(* \(#,##0\);_(* &quot;-&quot;??_);_(@_)">
                        <c:v>571</c:v>
                      </c:pt>
                      <c:pt idx="145">
                        <c:v>364</c:v>
                      </c:pt>
                      <c:pt idx="146">
                        <c:v>471</c:v>
                      </c:pt>
                      <c:pt idx="147">
                        <c:v>623</c:v>
                      </c:pt>
                      <c:pt idx="148" formatCode="_(* #,##0_);_(* \(#,##0\);_(* &quot;-&quot;??_);_(@_)">
                        <c:v>642</c:v>
                      </c:pt>
                      <c:pt idx="149" formatCode="_(* #,##0_);_(* \(#,##0\);_(* &quot;-&quot;??_);_(@_)">
                        <c:v>533</c:v>
                      </c:pt>
                      <c:pt idx="150" formatCode="_(* #,##0_);_(* \(#,##0\);_(* &quot;-&quot;??_);_(@_)">
                        <c:v>547</c:v>
                      </c:pt>
                      <c:pt idx="151" formatCode="_(* #,##0_);_(* \(#,##0\);_(* &quot;-&quot;??_);_(@_)">
                        <c:v>544</c:v>
                      </c:pt>
                      <c:pt idx="152" formatCode="_(* #,##0_);_(* \(#,##0\);_(* &quot;-&quot;??_);_(@_)">
                        <c:v>664</c:v>
                      </c:pt>
                      <c:pt idx="153" formatCode="_(* #,##0_);_(* \(#,##0\);_(* &quot;-&quot;??_);_(@_)">
                        <c:v>547</c:v>
                      </c:pt>
                      <c:pt idx="154" formatCode="_(* #,##0_);_(* \(#,##0\);_(* &quot;-&quot;??_);_(@_)">
                        <c:v>572</c:v>
                      </c:pt>
                      <c:pt idx="155" formatCode="_(* #,##0_);_(* \(#,##0\);_(* &quot;-&quot;??_);_(@_)">
                        <c:v>604</c:v>
                      </c:pt>
                      <c:pt idx="156">
                        <c:v>647</c:v>
                      </c:pt>
                      <c:pt idx="157">
                        <c:v>431</c:v>
                      </c:pt>
                      <c:pt idx="158">
                        <c:v>182</c:v>
                      </c:pt>
                      <c:pt idx="159">
                        <c:v>2</c:v>
                      </c:pt>
                      <c:pt idx="160">
                        <c:v>4</c:v>
                      </c:pt>
                      <c:pt idx="161">
                        <c:v>5</c:v>
                      </c:pt>
                      <c:pt idx="162">
                        <c:v>7</c:v>
                      </c:pt>
                      <c:pt idx="163">
                        <c:v>5</c:v>
                      </c:pt>
                      <c:pt idx="164">
                        <c:v>7</c:v>
                      </c:pt>
                      <c:pt idx="165">
                        <c:v>13</c:v>
                      </c:pt>
                      <c:pt idx="166">
                        <c:v>30</c:v>
                      </c:pt>
                      <c:pt idx="167">
                        <c:v>13</c:v>
                      </c:pt>
                      <c:pt idx="168">
                        <c:v>13</c:v>
                      </c:pt>
                      <c:pt idx="169">
                        <c:v>4</c:v>
                      </c:pt>
                      <c:pt idx="170">
                        <c:v>13</c:v>
                      </c:pt>
                      <c:pt idx="171">
                        <c:v>17</c:v>
                      </c:pt>
                      <c:pt idx="172">
                        <c:v>13</c:v>
                      </c:pt>
                    </c:numCache>
                  </c:numRef>
                </c:val>
                <c:smooth val="0"/>
                <c:extLst xmlns:c15="http://schemas.microsoft.com/office/drawing/2012/chart">
                  <c:ext xmlns:c16="http://schemas.microsoft.com/office/drawing/2014/chart" uri="{C3380CC4-5D6E-409C-BE32-E72D297353CC}">
                    <c16:uniqueId val="{00000012-E690-4C59-A7C2-6B6BC695708B}"/>
                  </c:ext>
                </c:extLst>
              </c15:ser>
            </c15:filteredLineSeries>
            <c15:filteredLineSeries>
              <c15:ser>
                <c:idx val="19"/>
                <c:order val="19"/>
                <c:tx>
                  <c:strRef>
                    <c:extLst xmlns:c15="http://schemas.microsoft.com/office/drawing/2012/chart">
                      <c:ext xmlns:c15="http://schemas.microsoft.com/office/drawing/2012/chart" uri="{02D57815-91ED-43cb-92C2-25804820EDAC}">
                        <c15:formulaRef>
                          <c15:sqref>'Tendencias nacionalidad'!$C$73</c15:sqref>
                        </c15:formulaRef>
                      </c:ext>
                    </c:extLst>
                    <c:strCache>
                      <c:ptCount val="1"/>
                      <c:pt idx="0">
                        <c:v>Costa Rica</c:v>
                      </c:pt>
                    </c:strCache>
                  </c:strRef>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nacionalidad'!$D$73:$GA$73</c15:sqref>
                        </c15:fullRef>
                        <c15:formulaRef>
                          <c15:sqref>'Tendencias nacionalidad'!$D$73:$FT$73</c15:sqref>
                        </c15:formulaRef>
                      </c:ext>
                    </c:extLst>
                    <c:numCache>
                      <c:formatCode>#,##0</c:formatCode>
                      <c:ptCount val="173"/>
                      <c:pt idx="0">
                        <c:v>113</c:v>
                      </c:pt>
                      <c:pt idx="1">
                        <c:v>80</c:v>
                      </c:pt>
                      <c:pt idx="2">
                        <c:v>131</c:v>
                      </c:pt>
                      <c:pt idx="3">
                        <c:v>89</c:v>
                      </c:pt>
                      <c:pt idx="4">
                        <c:v>83</c:v>
                      </c:pt>
                      <c:pt idx="5">
                        <c:v>111</c:v>
                      </c:pt>
                      <c:pt idx="6">
                        <c:v>125</c:v>
                      </c:pt>
                      <c:pt idx="7">
                        <c:v>125</c:v>
                      </c:pt>
                      <c:pt idx="8">
                        <c:v>216</c:v>
                      </c:pt>
                      <c:pt idx="9">
                        <c:v>145</c:v>
                      </c:pt>
                      <c:pt idx="10">
                        <c:v>163</c:v>
                      </c:pt>
                      <c:pt idx="11">
                        <c:v>118</c:v>
                      </c:pt>
                      <c:pt idx="12">
                        <c:v>101</c:v>
                      </c:pt>
                      <c:pt idx="13">
                        <c:v>137</c:v>
                      </c:pt>
                      <c:pt idx="14">
                        <c:v>136</c:v>
                      </c:pt>
                      <c:pt idx="15">
                        <c:v>129</c:v>
                      </c:pt>
                      <c:pt idx="16">
                        <c:v>159</c:v>
                      </c:pt>
                      <c:pt idx="17">
                        <c:v>162</c:v>
                      </c:pt>
                      <c:pt idx="18">
                        <c:v>179</c:v>
                      </c:pt>
                      <c:pt idx="19">
                        <c:v>205</c:v>
                      </c:pt>
                      <c:pt idx="20">
                        <c:v>213</c:v>
                      </c:pt>
                      <c:pt idx="21">
                        <c:v>255</c:v>
                      </c:pt>
                      <c:pt idx="22">
                        <c:v>461</c:v>
                      </c:pt>
                      <c:pt idx="23">
                        <c:v>158</c:v>
                      </c:pt>
                      <c:pt idx="24">
                        <c:v>143</c:v>
                      </c:pt>
                      <c:pt idx="25">
                        <c:v>169</c:v>
                      </c:pt>
                      <c:pt idx="26">
                        <c:v>150</c:v>
                      </c:pt>
                      <c:pt idx="27">
                        <c:v>150</c:v>
                      </c:pt>
                      <c:pt idx="28">
                        <c:v>149</c:v>
                      </c:pt>
                      <c:pt idx="29">
                        <c:v>148</c:v>
                      </c:pt>
                      <c:pt idx="30">
                        <c:v>177</c:v>
                      </c:pt>
                      <c:pt idx="31">
                        <c:v>202</c:v>
                      </c:pt>
                      <c:pt idx="32">
                        <c:v>177</c:v>
                      </c:pt>
                      <c:pt idx="33">
                        <c:v>142</c:v>
                      </c:pt>
                      <c:pt idx="34">
                        <c:v>186</c:v>
                      </c:pt>
                      <c:pt idx="35">
                        <c:v>313</c:v>
                      </c:pt>
                      <c:pt idx="36">
                        <c:v>183</c:v>
                      </c:pt>
                      <c:pt idx="37">
                        <c:v>334</c:v>
                      </c:pt>
                      <c:pt idx="38">
                        <c:v>252</c:v>
                      </c:pt>
                      <c:pt idx="39">
                        <c:v>204</c:v>
                      </c:pt>
                      <c:pt idx="40">
                        <c:v>152</c:v>
                      </c:pt>
                      <c:pt idx="41">
                        <c:v>152</c:v>
                      </c:pt>
                      <c:pt idx="42">
                        <c:v>230</c:v>
                      </c:pt>
                      <c:pt idx="43">
                        <c:v>176</c:v>
                      </c:pt>
                      <c:pt idx="44">
                        <c:v>157</c:v>
                      </c:pt>
                      <c:pt idx="45">
                        <c:v>172</c:v>
                      </c:pt>
                      <c:pt idx="46">
                        <c:v>217</c:v>
                      </c:pt>
                      <c:pt idx="47">
                        <c:v>253</c:v>
                      </c:pt>
                      <c:pt idx="48">
                        <c:v>153</c:v>
                      </c:pt>
                      <c:pt idx="49">
                        <c:v>142</c:v>
                      </c:pt>
                      <c:pt idx="50">
                        <c:v>164</c:v>
                      </c:pt>
                      <c:pt idx="51">
                        <c:v>293</c:v>
                      </c:pt>
                      <c:pt idx="52">
                        <c:v>171</c:v>
                      </c:pt>
                      <c:pt idx="53">
                        <c:v>173</c:v>
                      </c:pt>
                      <c:pt idx="54">
                        <c:v>231</c:v>
                      </c:pt>
                      <c:pt idx="55">
                        <c:v>197</c:v>
                      </c:pt>
                      <c:pt idx="56">
                        <c:v>245</c:v>
                      </c:pt>
                      <c:pt idx="57">
                        <c:v>280</c:v>
                      </c:pt>
                      <c:pt idx="58">
                        <c:v>283</c:v>
                      </c:pt>
                      <c:pt idx="59">
                        <c:v>243</c:v>
                      </c:pt>
                      <c:pt idx="60">
                        <c:v>268</c:v>
                      </c:pt>
                      <c:pt idx="61">
                        <c:v>150</c:v>
                      </c:pt>
                      <c:pt idx="62">
                        <c:v>224</c:v>
                      </c:pt>
                      <c:pt idx="63">
                        <c:v>227</c:v>
                      </c:pt>
                      <c:pt idx="64">
                        <c:v>202</c:v>
                      </c:pt>
                      <c:pt idx="65">
                        <c:v>282</c:v>
                      </c:pt>
                      <c:pt idx="66">
                        <c:v>254</c:v>
                      </c:pt>
                      <c:pt idx="67">
                        <c:v>203</c:v>
                      </c:pt>
                      <c:pt idx="68">
                        <c:v>282</c:v>
                      </c:pt>
                      <c:pt idx="69">
                        <c:v>257</c:v>
                      </c:pt>
                      <c:pt idx="70">
                        <c:v>199</c:v>
                      </c:pt>
                      <c:pt idx="71">
                        <c:v>315</c:v>
                      </c:pt>
                      <c:pt idx="72">
                        <c:v>272</c:v>
                      </c:pt>
                      <c:pt idx="73">
                        <c:v>189</c:v>
                      </c:pt>
                      <c:pt idx="74">
                        <c:v>443</c:v>
                      </c:pt>
                      <c:pt idx="75">
                        <c:v>360</c:v>
                      </c:pt>
                      <c:pt idx="76">
                        <c:v>387</c:v>
                      </c:pt>
                      <c:pt idx="77">
                        <c:v>395</c:v>
                      </c:pt>
                      <c:pt idx="78">
                        <c:v>479</c:v>
                      </c:pt>
                      <c:pt idx="79">
                        <c:v>345</c:v>
                      </c:pt>
                      <c:pt idx="80">
                        <c:v>386</c:v>
                      </c:pt>
                      <c:pt idx="81">
                        <c:v>394</c:v>
                      </c:pt>
                      <c:pt idx="82">
                        <c:v>424</c:v>
                      </c:pt>
                      <c:pt idx="83">
                        <c:v>430</c:v>
                      </c:pt>
                      <c:pt idx="84">
                        <c:v>349</c:v>
                      </c:pt>
                      <c:pt idx="85">
                        <c:v>333</c:v>
                      </c:pt>
                      <c:pt idx="86">
                        <c:v>286</c:v>
                      </c:pt>
                      <c:pt idx="87">
                        <c:v>303</c:v>
                      </c:pt>
                      <c:pt idx="88">
                        <c:v>228</c:v>
                      </c:pt>
                      <c:pt idx="89">
                        <c:v>316</c:v>
                      </c:pt>
                      <c:pt idx="90">
                        <c:v>267</c:v>
                      </c:pt>
                      <c:pt idx="91">
                        <c:v>252</c:v>
                      </c:pt>
                      <c:pt idx="92">
                        <c:v>253</c:v>
                      </c:pt>
                      <c:pt idx="93">
                        <c:v>338</c:v>
                      </c:pt>
                      <c:pt idx="94">
                        <c:v>304</c:v>
                      </c:pt>
                      <c:pt idx="95">
                        <c:v>275</c:v>
                      </c:pt>
                      <c:pt idx="96">
                        <c:v>278</c:v>
                      </c:pt>
                      <c:pt idx="97">
                        <c:v>193</c:v>
                      </c:pt>
                      <c:pt idx="98">
                        <c:v>249</c:v>
                      </c:pt>
                      <c:pt idx="99">
                        <c:v>229</c:v>
                      </c:pt>
                      <c:pt idx="100">
                        <c:v>231</c:v>
                      </c:pt>
                      <c:pt idx="101">
                        <c:v>190</c:v>
                      </c:pt>
                      <c:pt idx="102">
                        <c:v>322</c:v>
                      </c:pt>
                      <c:pt idx="103">
                        <c:v>196</c:v>
                      </c:pt>
                      <c:pt idx="104">
                        <c:v>227</c:v>
                      </c:pt>
                      <c:pt idx="105">
                        <c:v>228</c:v>
                      </c:pt>
                      <c:pt idx="106">
                        <c:v>256</c:v>
                      </c:pt>
                      <c:pt idx="107">
                        <c:v>262</c:v>
                      </c:pt>
                      <c:pt idx="108">
                        <c:v>237</c:v>
                      </c:pt>
                      <c:pt idx="109">
                        <c:v>168</c:v>
                      </c:pt>
                      <c:pt idx="110">
                        <c:v>204</c:v>
                      </c:pt>
                      <c:pt idx="111">
                        <c:v>199</c:v>
                      </c:pt>
                      <c:pt idx="112">
                        <c:v>158</c:v>
                      </c:pt>
                      <c:pt idx="113">
                        <c:v>188</c:v>
                      </c:pt>
                      <c:pt idx="114">
                        <c:v>339</c:v>
                      </c:pt>
                      <c:pt idx="115">
                        <c:v>179</c:v>
                      </c:pt>
                      <c:pt idx="116" formatCode="General">
                        <c:v>191</c:v>
                      </c:pt>
                      <c:pt idx="117">
                        <c:v>315</c:v>
                      </c:pt>
                      <c:pt idx="118">
                        <c:v>275</c:v>
                      </c:pt>
                      <c:pt idx="119">
                        <c:v>226</c:v>
                      </c:pt>
                      <c:pt idx="120">
                        <c:v>390</c:v>
                      </c:pt>
                      <c:pt idx="121">
                        <c:v>471</c:v>
                      </c:pt>
                      <c:pt idx="122">
                        <c:v>444</c:v>
                      </c:pt>
                      <c:pt idx="123">
                        <c:v>759</c:v>
                      </c:pt>
                      <c:pt idx="124">
                        <c:v>521</c:v>
                      </c:pt>
                      <c:pt idx="125">
                        <c:v>439</c:v>
                      </c:pt>
                      <c:pt idx="126">
                        <c:v>488</c:v>
                      </c:pt>
                      <c:pt idx="127">
                        <c:v>356</c:v>
                      </c:pt>
                      <c:pt idx="128">
                        <c:v>426</c:v>
                      </c:pt>
                      <c:pt idx="129">
                        <c:v>447</c:v>
                      </c:pt>
                      <c:pt idx="130">
                        <c:v>495</c:v>
                      </c:pt>
                      <c:pt idx="131">
                        <c:v>605</c:v>
                      </c:pt>
                      <c:pt idx="132">
                        <c:v>506</c:v>
                      </c:pt>
                      <c:pt idx="133">
                        <c:v>426</c:v>
                      </c:pt>
                      <c:pt idx="134">
                        <c:v>456</c:v>
                      </c:pt>
                      <c:pt idx="135">
                        <c:v>390</c:v>
                      </c:pt>
                      <c:pt idx="136">
                        <c:v>427</c:v>
                      </c:pt>
                      <c:pt idx="137">
                        <c:v>471</c:v>
                      </c:pt>
                      <c:pt idx="138">
                        <c:v>587</c:v>
                      </c:pt>
                      <c:pt idx="139">
                        <c:v>397</c:v>
                      </c:pt>
                      <c:pt idx="140">
                        <c:v>461</c:v>
                      </c:pt>
                      <c:pt idx="141">
                        <c:v>502</c:v>
                      </c:pt>
                      <c:pt idx="142">
                        <c:v>499</c:v>
                      </c:pt>
                      <c:pt idx="143">
                        <c:v>531</c:v>
                      </c:pt>
                      <c:pt idx="144" formatCode="_(* #,##0_);_(* \(#,##0\);_(* &quot;-&quot;??_);_(@_)">
                        <c:v>495</c:v>
                      </c:pt>
                      <c:pt idx="145">
                        <c:v>377</c:v>
                      </c:pt>
                      <c:pt idx="146">
                        <c:v>451</c:v>
                      </c:pt>
                      <c:pt idx="147">
                        <c:v>422</c:v>
                      </c:pt>
                      <c:pt idx="148" formatCode="_(* #,##0_);_(* \(#,##0\);_(* &quot;-&quot;??_);_(@_)">
                        <c:v>387</c:v>
                      </c:pt>
                      <c:pt idx="149" formatCode="_(* #,##0_);_(* \(#,##0\);_(* &quot;-&quot;??_);_(@_)">
                        <c:v>474</c:v>
                      </c:pt>
                      <c:pt idx="150" formatCode="_(* #,##0_);_(* \(#,##0\);_(* &quot;-&quot;??_);_(@_)">
                        <c:v>548</c:v>
                      </c:pt>
                      <c:pt idx="151" formatCode="_(* #,##0_);_(* \(#,##0\);_(* &quot;-&quot;??_);_(@_)">
                        <c:v>402</c:v>
                      </c:pt>
                      <c:pt idx="152" formatCode="_(* #,##0_);_(* \(#,##0\);_(* &quot;-&quot;??_);_(@_)">
                        <c:v>511</c:v>
                      </c:pt>
                      <c:pt idx="153" formatCode="_(* #,##0_);_(* \(#,##0\);_(* &quot;-&quot;??_);_(@_)">
                        <c:v>346</c:v>
                      </c:pt>
                      <c:pt idx="154" formatCode="_(* #,##0_);_(* \(#,##0\);_(* &quot;-&quot;??_);_(@_)">
                        <c:v>543</c:v>
                      </c:pt>
                      <c:pt idx="155" formatCode="_(* #,##0_);_(* \(#,##0\);_(* &quot;-&quot;??_);_(@_)">
                        <c:v>517</c:v>
                      </c:pt>
                      <c:pt idx="156">
                        <c:v>505</c:v>
                      </c:pt>
                      <c:pt idx="157">
                        <c:v>402</c:v>
                      </c:pt>
                      <c:pt idx="158">
                        <c:v>207</c:v>
                      </c:pt>
                      <c:pt idx="160">
                        <c:v>1</c:v>
                      </c:pt>
                      <c:pt idx="161">
                        <c:v>2</c:v>
                      </c:pt>
                      <c:pt idx="162">
                        <c:v>1</c:v>
                      </c:pt>
                      <c:pt idx="163">
                        <c:v>5</c:v>
                      </c:pt>
                      <c:pt idx="164">
                        <c:v>3</c:v>
                      </c:pt>
                      <c:pt idx="165">
                        <c:v>9</c:v>
                      </c:pt>
                      <c:pt idx="166">
                        <c:v>56</c:v>
                      </c:pt>
                      <c:pt idx="167">
                        <c:v>61</c:v>
                      </c:pt>
                      <c:pt idx="168">
                        <c:v>44</c:v>
                      </c:pt>
                      <c:pt idx="169">
                        <c:v>33</c:v>
                      </c:pt>
                      <c:pt idx="170">
                        <c:v>81</c:v>
                      </c:pt>
                      <c:pt idx="171">
                        <c:v>34</c:v>
                      </c:pt>
                      <c:pt idx="172">
                        <c:v>41</c:v>
                      </c:pt>
                    </c:numCache>
                  </c:numRef>
                </c:val>
                <c:smooth val="0"/>
                <c:extLst xmlns:c15="http://schemas.microsoft.com/office/drawing/2012/chart">
                  <c:ext xmlns:c16="http://schemas.microsoft.com/office/drawing/2014/chart" uri="{C3380CC4-5D6E-409C-BE32-E72D297353CC}">
                    <c16:uniqueId val="{00000013-E690-4C59-A7C2-6B6BC695708B}"/>
                  </c:ext>
                </c:extLst>
              </c15:ser>
            </c15:filteredLineSeries>
            <c15:filteredLineSeries>
              <c15:ser>
                <c:idx val="20"/>
                <c:order val="20"/>
                <c:tx>
                  <c:strRef>
                    <c:extLst xmlns:c15="http://schemas.microsoft.com/office/drawing/2012/chart">
                      <c:ext xmlns:c15="http://schemas.microsoft.com/office/drawing/2012/chart" uri="{02D57815-91ED-43cb-92C2-25804820EDAC}">
                        <c15:formulaRef>
                          <c15:sqref>'Tendencias nacionalidad'!$C$74</c15:sqref>
                        </c15:formulaRef>
                      </c:ext>
                    </c:extLst>
                    <c:strCache>
                      <c:ptCount val="1"/>
                      <c:pt idx="0">
                        <c:v>Bélgica</c:v>
                      </c:pt>
                    </c:strCache>
                  </c:strRef>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nacionalidad'!$D$74:$GA$74</c15:sqref>
                        </c15:fullRef>
                        <c15:formulaRef>
                          <c15:sqref>'Tendencias nacionalidad'!$D$74:$FT$74</c15:sqref>
                        </c15:formulaRef>
                      </c:ext>
                    </c:extLst>
                    <c:numCache>
                      <c:formatCode>#,##0</c:formatCode>
                      <c:ptCount val="173"/>
                      <c:pt idx="0">
                        <c:v>191</c:v>
                      </c:pt>
                      <c:pt idx="1">
                        <c:v>147</c:v>
                      </c:pt>
                      <c:pt idx="2">
                        <c:v>184</c:v>
                      </c:pt>
                      <c:pt idx="3">
                        <c:v>164</c:v>
                      </c:pt>
                      <c:pt idx="4">
                        <c:v>171</c:v>
                      </c:pt>
                      <c:pt idx="5">
                        <c:v>315</c:v>
                      </c:pt>
                      <c:pt idx="6">
                        <c:v>438</c:v>
                      </c:pt>
                      <c:pt idx="7">
                        <c:v>326</c:v>
                      </c:pt>
                      <c:pt idx="8">
                        <c:v>276</c:v>
                      </c:pt>
                      <c:pt idx="9">
                        <c:v>312</c:v>
                      </c:pt>
                      <c:pt idx="10">
                        <c:v>240</c:v>
                      </c:pt>
                      <c:pt idx="11">
                        <c:v>141</c:v>
                      </c:pt>
                      <c:pt idx="12">
                        <c:v>227</c:v>
                      </c:pt>
                      <c:pt idx="13">
                        <c:v>309</c:v>
                      </c:pt>
                      <c:pt idx="14">
                        <c:v>244</c:v>
                      </c:pt>
                      <c:pt idx="15">
                        <c:v>211</c:v>
                      </c:pt>
                      <c:pt idx="16">
                        <c:v>218</c:v>
                      </c:pt>
                      <c:pt idx="17">
                        <c:v>331</c:v>
                      </c:pt>
                      <c:pt idx="18">
                        <c:v>626</c:v>
                      </c:pt>
                      <c:pt idx="19">
                        <c:v>308</c:v>
                      </c:pt>
                      <c:pt idx="20">
                        <c:v>265</c:v>
                      </c:pt>
                      <c:pt idx="21">
                        <c:v>268</c:v>
                      </c:pt>
                      <c:pt idx="22">
                        <c:v>267</c:v>
                      </c:pt>
                      <c:pt idx="23">
                        <c:v>167</c:v>
                      </c:pt>
                      <c:pt idx="24">
                        <c:v>197</c:v>
                      </c:pt>
                      <c:pt idx="25">
                        <c:v>192</c:v>
                      </c:pt>
                      <c:pt idx="26">
                        <c:v>173</c:v>
                      </c:pt>
                      <c:pt idx="27">
                        <c:v>357</c:v>
                      </c:pt>
                      <c:pt idx="28">
                        <c:v>355</c:v>
                      </c:pt>
                      <c:pt idx="29">
                        <c:v>353</c:v>
                      </c:pt>
                      <c:pt idx="30">
                        <c:v>540</c:v>
                      </c:pt>
                      <c:pt idx="31">
                        <c:v>350</c:v>
                      </c:pt>
                      <c:pt idx="32">
                        <c:v>282</c:v>
                      </c:pt>
                      <c:pt idx="33">
                        <c:v>316</c:v>
                      </c:pt>
                      <c:pt idx="34">
                        <c:v>221</c:v>
                      </c:pt>
                      <c:pt idx="35">
                        <c:v>212</c:v>
                      </c:pt>
                      <c:pt idx="36">
                        <c:v>233</c:v>
                      </c:pt>
                      <c:pt idx="37">
                        <c:v>194</c:v>
                      </c:pt>
                      <c:pt idx="38">
                        <c:v>155</c:v>
                      </c:pt>
                      <c:pt idx="39">
                        <c:v>196</c:v>
                      </c:pt>
                      <c:pt idx="40">
                        <c:v>171</c:v>
                      </c:pt>
                      <c:pt idx="41">
                        <c:v>316</c:v>
                      </c:pt>
                      <c:pt idx="42">
                        <c:v>607</c:v>
                      </c:pt>
                      <c:pt idx="43">
                        <c:v>289</c:v>
                      </c:pt>
                      <c:pt idx="44">
                        <c:v>282</c:v>
                      </c:pt>
                      <c:pt idx="45">
                        <c:v>216</c:v>
                      </c:pt>
                      <c:pt idx="46">
                        <c:v>267</c:v>
                      </c:pt>
                      <c:pt idx="47">
                        <c:v>190</c:v>
                      </c:pt>
                      <c:pt idx="48">
                        <c:v>184</c:v>
                      </c:pt>
                      <c:pt idx="49">
                        <c:v>211</c:v>
                      </c:pt>
                      <c:pt idx="50">
                        <c:v>169</c:v>
                      </c:pt>
                      <c:pt idx="51">
                        <c:v>205</c:v>
                      </c:pt>
                      <c:pt idx="52">
                        <c:v>200</c:v>
                      </c:pt>
                      <c:pt idx="53">
                        <c:v>313</c:v>
                      </c:pt>
                      <c:pt idx="54">
                        <c:v>620</c:v>
                      </c:pt>
                      <c:pt idx="55">
                        <c:v>258</c:v>
                      </c:pt>
                      <c:pt idx="56">
                        <c:v>275</c:v>
                      </c:pt>
                      <c:pt idx="57">
                        <c:v>302</c:v>
                      </c:pt>
                      <c:pt idx="58">
                        <c:v>305</c:v>
                      </c:pt>
                      <c:pt idx="59">
                        <c:v>214</c:v>
                      </c:pt>
                      <c:pt idx="60">
                        <c:v>196</c:v>
                      </c:pt>
                      <c:pt idx="61">
                        <c:v>218</c:v>
                      </c:pt>
                      <c:pt idx="62">
                        <c:v>222</c:v>
                      </c:pt>
                      <c:pt idx="63">
                        <c:v>155</c:v>
                      </c:pt>
                      <c:pt idx="64">
                        <c:v>206</c:v>
                      </c:pt>
                      <c:pt idx="65">
                        <c:v>450</c:v>
                      </c:pt>
                      <c:pt idx="66">
                        <c:v>575</c:v>
                      </c:pt>
                      <c:pt idx="67">
                        <c:v>291</c:v>
                      </c:pt>
                      <c:pt idx="68">
                        <c:v>229</c:v>
                      </c:pt>
                      <c:pt idx="69">
                        <c:v>271</c:v>
                      </c:pt>
                      <c:pt idx="70">
                        <c:v>261</c:v>
                      </c:pt>
                      <c:pt idx="71">
                        <c:v>255</c:v>
                      </c:pt>
                      <c:pt idx="72">
                        <c:v>204</c:v>
                      </c:pt>
                      <c:pt idx="73">
                        <c:v>192</c:v>
                      </c:pt>
                      <c:pt idx="74">
                        <c:v>280</c:v>
                      </c:pt>
                      <c:pt idx="75">
                        <c:v>160</c:v>
                      </c:pt>
                      <c:pt idx="76">
                        <c:v>223</c:v>
                      </c:pt>
                      <c:pt idx="77">
                        <c:v>404</c:v>
                      </c:pt>
                      <c:pt idx="78">
                        <c:v>597</c:v>
                      </c:pt>
                      <c:pt idx="79">
                        <c:v>307</c:v>
                      </c:pt>
                      <c:pt idx="80">
                        <c:v>259</c:v>
                      </c:pt>
                      <c:pt idx="81">
                        <c:v>272</c:v>
                      </c:pt>
                      <c:pt idx="82">
                        <c:v>263</c:v>
                      </c:pt>
                      <c:pt idx="83">
                        <c:v>290</c:v>
                      </c:pt>
                      <c:pt idx="84">
                        <c:v>251</c:v>
                      </c:pt>
                      <c:pt idx="85">
                        <c:v>233</c:v>
                      </c:pt>
                      <c:pt idx="86">
                        <c:v>238</c:v>
                      </c:pt>
                      <c:pt idx="87">
                        <c:v>277</c:v>
                      </c:pt>
                      <c:pt idx="88">
                        <c:v>207</c:v>
                      </c:pt>
                      <c:pt idx="89">
                        <c:v>470</c:v>
                      </c:pt>
                      <c:pt idx="90">
                        <c:v>549</c:v>
                      </c:pt>
                      <c:pt idx="91">
                        <c:v>239</c:v>
                      </c:pt>
                      <c:pt idx="92">
                        <c:v>269</c:v>
                      </c:pt>
                      <c:pt idx="93">
                        <c:v>283</c:v>
                      </c:pt>
                      <c:pt idx="94">
                        <c:v>246</c:v>
                      </c:pt>
                      <c:pt idx="95">
                        <c:v>254</c:v>
                      </c:pt>
                      <c:pt idx="96">
                        <c:v>241</c:v>
                      </c:pt>
                      <c:pt idx="97">
                        <c:v>223</c:v>
                      </c:pt>
                      <c:pt idx="98">
                        <c:v>216</c:v>
                      </c:pt>
                      <c:pt idx="99">
                        <c:v>246</c:v>
                      </c:pt>
                      <c:pt idx="100">
                        <c:v>178</c:v>
                      </c:pt>
                      <c:pt idx="101">
                        <c:v>422</c:v>
                      </c:pt>
                      <c:pt idx="102">
                        <c:v>543</c:v>
                      </c:pt>
                      <c:pt idx="103">
                        <c:v>270</c:v>
                      </c:pt>
                      <c:pt idx="104">
                        <c:v>258</c:v>
                      </c:pt>
                      <c:pt idx="105">
                        <c:v>297</c:v>
                      </c:pt>
                      <c:pt idx="106">
                        <c:v>250</c:v>
                      </c:pt>
                      <c:pt idx="107">
                        <c:v>227</c:v>
                      </c:pt>
                      <c:pt idx="108">
                        <c:v>280</c:v>
                      </c:pt>
                      <c:pt idx="109">
                        <c:v>197</c:v>
                      </c:pt>
                      <c:pt idx="110">
                        <c:v>236</c:v>
                      </c:pt>
                      <c:pt idx="111">
                        <c:v>158</c:v>
                      </c:pt>
                      <c:pt idx="112">
                        <c:v>178</c:v>
                      </c:pt>
                      <c:pt idx="113">
                        <c:v>492</c:v>
                      </c:pt>
                      <c:pt idx="114">
                        <c:v>634</c:v>
                      </c:pt>
                      <c:pt idx="115">
                        <c:v>279</c:v>
                      </c:pt>
                      <c:pt idx="116" formatCode="General">
                        <c:v>280</c:v>
                      </c:pt>
                      <c:pt idx="117">
                        <c:v>301</c:v>
                      </c:pt>
                      <c:pt idx="118">
                        <c:v>213</c:v>
                      </c:pt>
                      <c:pt idx="119">
                        <c:v>198</c:v>
                      </c:pt>
                      <c:pt idx="120">
                        <c:v>219</c:v>
                      </c:pt>
                      <c:pt idx="121">
                        <c:v>171</c:v>
                      </c:pt>
                      <c:pt idx="122">
                        <c:v>217</c:v>
                      </c:pt>
                      <c:pt idx="123">
                        <c:v>219</c:v>
                      </c:pt>
                      <c:pt idx="124">
                        <c:v>146</c:v>
                      </c:pt>
                      <c:pt idx="125">
                        <c:v>398</c:v>
                      </c:pt>
                      <c:pt idx="126">
                        <c:v>590</c:v>
                      </c:pt>
                      <c:pt idx="127">
                        <c:v>340</c:v>
                      </c:pt>
                      <c:pt idx="128">
                        <c:v>296</c:v>
                      </c:pt>
                      <c:pt idx="129">
                        <c:v>261</c:v>
                      </c:pt>
                      <c:pt idx="130">
                        <c:v>257</c:v>
                      </c:pt>
                      <c:pt idx="131">
                        <c:v>209</c:v>
                      </c:pt>
                      <c:pt idx="132">
                        <c:v>187</c:v>
                      </c:pt>
                      <c:pt idx="133">
                        <c:v>221</c:v>
                      </c:pt>
                      <c:pt idx="134">
                        <c:v>298</c:v>
                      </c:pt>
                      <c:pt idx="135">
                        <c:v>220</c:v>
                      </c:pt>
                      <c:pt idx="136">
                        <c:v>271</c:v>
                      </c:pt>
                      <c:pt idx="137">
                        <c:v>384</c:v>
                      </c:pt>
                      <c:pt idx="138">
                        <c:v>705</c:v>
                      </c:pt>
                      <c:pt idx="139">
                        <c:v>361</c:v>
                      </c:pt>
                      <c:pt idx="140">
                        <c:v>355</c:v>
                      </c:pt>
                      <c:pt idx="141">
                        <c:v>351</c:v>
                      </c:pt>
                      <c:pt idx="142">
                        <c:v>305</c:v>
                      </c:pt>
                      <c:pt idx="143">
                        <c:v>277</c:v>
                      </c:pt>
                      <c:pt idx="144" formatCode="_(* #,##0_);_(* \(#,##0\);_(* &quot;-&quot;??_);_(@_)">
                        <c:v>216</c:v>
                      </c:pt>
                      <c:pt idx="145">
                        <c:v>230</c:v>
                      </c:pt>
                      <c:pt idx="146">
                        <c:v>215</c:v>
                      </c:pt>
                      <c:pt idx="147">
                        <c:v>326</c:v>
                      </c:pt>
                      <c:pt idx="148" formatCode="_(* #,##0_);_(* \(#,##0\);_(* &quot;-&quot;??_);_(@_)">
                        <c:v>321</c:v>
                      </c:pt>
                      <c:pt idx="149" formatCode="_(* #,##0_);_(* \(#,##0\);_(* &quot;-&quot;??_);_(@_)">
                        <c:v>638</c:v>
                      </c:pt>
                      <c:pt idx="150" formatCode="_(* #,##0_);_(* \(#,##0\);_(* &quot;-&quot;??_);_(@_)">
                        <c:v>876</c:v>
                      </c:pt>
                      <c:pt idx="151" formatCode="_(* #,##0_);_(* \(#,##0\);_(* &quot;-&quot;??_);_(@_)">
                        <c:v>440</c:v>
                      </c:pt>
                      <c:pt idx="152" formatCode="_(* #,##0_);_(* \(#,##0\);_(* &quot;-&quot;??_);_(@_)">
                        <c:v>523</c:v>
                      </c:pt>
                      <c:pt idx="153" formatCode="_(* #,##0_);_(* \(#,##0\);_(* &quot;-&quot;??_);_(@_)">
                        <c:v>295</c:v>
                      </c:pt>
                      <c:pt idx="154" formatCode="_(* #,##0_);_(* \(#,##0\);_(* &quot;-&quot;??_);_(@_)">
                        <c:v>448</c:v>
                      </c:pt>
                      <c:pt idx="155" formatCode="_(* #,##0_);_(* \(#,##0\);_(* &quot;-&quot;??_);_(@_)">
                        <c:v>423</c:v>
                      </c:pt>
                      <c:pt idx="156">
                        <c:v>342</c:v>
                      </c:pt>
                      <c:pt idx="157">
                        <c:v>340</c:v>
                      </c:pt>
                      <c:pt idx="158">
                        <c:v>151</c:v>
                      </c:pt>
                      <c:pt idx="159">
                        <c:v>4</c:v>
                      </c:pt>
                      <c:pt idx="160">
                        <c:v>5</c:v>
                      </c:pt>
                      <c:pt idx="161">
                        <c:v>9</c:v>
                      </c:pt>
                      <c:pt idx="162">
                        <c:v>33</c:v>
                      </c:pt>
                      <c:pt idx="163">
                        <c:v>28</c:v>
                      </c:pt>
                      <c:pt idx="164">
                        <c:v>23</c:v>
                      </c:pt>
                      <c:pt idx="165">
                        <c:v>33</c:v>
                      </c:pt>
                      <c:pt idx="166">
                        <c:v>34</c:v>
                      </c:pt>
                      <c:pt idx="167">
                        <c:v>93</c:v>
                      </c:pt>
                      <c:pt idx="168">
                        <c:v>62</c:v>
                      </c:pt>
                      <c:pt idx="169">
                        <c:v>42</c:v>
                      </c:pt>
                      <c:pt idx="170">
                        <c:v>56</c:v>
                      </c:pt>
                      <c:pt idx="171">
                        <c:v>68</c:v>
                      </c:pt>
                      <c:pt idx="172">
                        <c:v>55</c:v>
                      </c:pt>
                    </c:numCache>
                  </c:numRef>
                </c:val>
                <c:smooth val="0"/>
                <c:extLst xmlns:c15="http://schemas.microsoft.com/office/drawing/2012/chart">
                  <c:ext xmlns:c16="http://schemas.microsoft.com/office/drawing/2014/chart" uri="{C3380CC4-5D6E-409C-BE32-E72D297353CC}">
                    <c16:uniqueId val="{00000014-E690-4C59-A7C2-6B6BC695708B}"/>
                  </c:ext>
                </c:extLst>
              </c15:ser>
            </c15:filteredLineSeries>
            <c15:filteredLineSeries>
              <c15:ser>
                <c:idx val="21"/>
                <c:order val="21"/>
                <c:tx>
                  <c:strRef>
                    <c:extLst xmlns:c15="http://schemas.microsoft.com/office/drawing/2012/chart">
                      <c:ext xmlns:c15="http://schemas.microsoft.com/office/drawing/2012/chart" uri="{02D57815-91ED-43cb-92C2-25804820EDAC}">
                        <c15:formulaRef>
                          <c15:sqref>'Tendencias nacionalidad'!$C$75</c15:sqref>
                        </c15:formulaRef>
                      </c:ext>
                    </c:extLst>
                    <c:strCache>
                      <c:ptCount val="1"/>
                      <c:pt idx="0">
                        <c:v>Japón</c:v>
                      </c:pt>
                    </c:strCache>
                  </c:strRef>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nacionalidad'!$D$75:$GA$75</c15:sqref>
                        </c15:fullRef>
                        <c15:formulaRef>
                          <c15:sqref>'Tendencias nacionalidad'!$D$75:$FT$75</c15:sqref>
                        </c15:formulaRef>
                      </c:ext>
                    </c:extLst>
                    <c:numCache>
                      <c:formatCode>#,##0</c:formatCode>
                      <c:ptCount val="173"/>
                      <c:pt idx="0">
                        <c:v>164</c:v>
                      </c:pt>
                      <c:pt idx="1">
                        <c:v>248</c:v>
                      </c:pt>
                      <c:pt idx="2">
                        <c:v>234</c:v>
                      </c:pt>
                      <c:pt idx="3">
                        <c:v>208</c:v>
                      </c:pt>
                      <c:pt idx="4">
                        <c:v>139</c:v>
                      </c:pt>
                      <c:pt idx="5">
                        <c:v>167</c:v>
                      </c:pt>
                      <c:pt idx="6">
                        <c:v>217</c:v>
                      </c:pt>
                      <c:pt idx="7">
                        <c:v>310</c:v>
                      </c:pt>
                      <c:pt idx="8">
                        <c:v>201</c:v>
                      </c:pt>
                      <c:pt idx="9">
                        <c:v>197</c:v>
                      </c:pt>
                      <c:pt idx="10">
                        <c:v>288</c:v>
                      </c:pt>
                      <c:pt idx="11">
                        <c:v>260</c:v>
                      </c:pt>
                      <c:pt idx="12">
                        <c:v>271</c:v>
                      </c:pt>
                      <c:pt idx="13">
                        <c:v>459</c:v>
                      </c:pt>
                      <c:pt idx="14">
                        <c:v>298</c:v>
                      </c:pt>
                      <c:pt idx="15">
                        <c:v>187</c:v>
                      </c:pt>
                      <c:pt idx="16">
                        <c:v>206</c:v>
                      </c:pt>
                      <c:pt idx="17">
                        <c:v>261</c:v>
                      </c:pt>
                      <c:pt idx="18">
                        <c:v>251</c:v>
                      </c:pt>
                      <c:pt idx="19">
                        <c:v>413</c:v>
                      </c:pt>
                      <c:pt idx="20">
                        <c:v>500</c:v>
                      </c:pt>
                      <c:pt idx="21">
                        <c:v>268</c:v>
                      </c:pt>
                      <c:pt idx="22">
                        <c:v>279</c:v>
                      </c:pt>
                      <c:pt idx="23">
                        <c:v>284</c:v>
                      </c:pt>
                      <c:pt idx="24">
                        <c:v>231</c:v>
                      </c:pt>
                      <c:pt idx="25">
                        <c:v>272</c:v>
                      </c:pt>
                      <c:pt idx="26">
                        <c:v>309</c:v>
                      </c:pt>
                      <c:pt idx="27">
                        <c:v>217</c:v>
                      </c:pt>
                      <c:pt idx="28">
                        <c:v>201.5</c:v>
                      </c:pt>
                      <c:pt idx="29">
                        <c:v>186</c:v>
                      </c:pt>
                      <c:pt idx="30">
                        <c:v>319</c:v>
                      </c:pt>
                      <c:pt idx="31">
                        <c:v>287</c:v>
                      </c:pt>
                      <c:pt idx="32">
                        <c:v>355</c:v>
                      </c:pt>
                      <c:pt idx="33">
                        <c:v>237</c:v>
                      </c:pt>
                      <c:pt idx="34">
                        <c:v>212</c:v>
                      </c:pt>
                      <c:pt idx="35">
                        <c:v>284</c:v>
                      </c:pt>
                      <c:pt idx="36">
                        <c:v>214</c:v>
                      </c:pt>
                      <c:pt idx="37">
                        <c:v>229</c:v>
                      </c:pt>
                      <c:pt idx="38">
                        <c:v>253</c:v>
                      </c:pt>
                      <c:pt idx="39">
                        <c:v>222</c:v>
                      </c:pt>
                      <c:pt idx="40">
                        <c:v>206</c:v>
                      </c:pt>
                      <c:pt idx="41">
                        <c:v>292</c:v>
                      </c:pt>
                      <c:pt idx="42">
                        <c:v>267</c:v>
                      </c:pt>
                      <c:pt idx="43">
                        <c:v>293</c:v>
                      </c:pt>
                      <c:pt idx="44">
                        <c:v>423</c:v>
                      </c:pt>
                      <c:pt idx="45">
                        <c:v>147</c:v>
                      </c:pt>
                      <c:pt idx="46">
                        <c:v>234</c:v>
                      </c:pt>
                      <c:pt idx="47">
                        <c:v>268</c:v>
                      </c:pt>
                      <c:pt idx="48">
                        <c:v>162</c:v>
                      </c:pt>
                      <c:pt idx="49">
                        <c:v>261</c:v>
                      </c:pt>
                      <c:pt idx="50">
                        <c:v>238</c:v>
                      </c:pt>
                      <c:pt idx="51">
                        <c:v>206</c:v>
                      </c:pt>
                      <c:pt idx="52">
                        <c:v>181</c:v>
                      </c:pt>
                      <c:pt idx="53">
                        <c:v>178</c:v>
                      </c:pt>
                      <c:pt idx="54">
                        <c:v>207</c:v>
                      </c:pt>
                      <c:pt idx="55">
                        <c:v>327</c:v>
                      </c:pt>
                      <c:pt idx="56">
                        <c:v>363</c:v>
                      </c:pt>
                      <c:pt idx="57">
                        <c:v>308</c:v>
                      </c:pt>
                      <c:pt idx="58">
                        <c:v>257</c:v>
                      </c:pt>
                      <c:pt idx="59">
                        <c:v>318</c:v>
                      </c:pt>
                      <c:pt idx="60">
                        <c:v>174</c:v>
                      </c:pt>
                      <c:pt idx="61">
                        <c:v>210</c:v>
                      </c:pt>
                      <c:pt idx="62">
                        <c:v>273</c:v>
                      </c:pt>
                      <c:pt idx="63">
                        <c:v>245</c:v>
                      </c:pt>
                      <c:pt idx="64">
                        <c:v>198</c:v>
                      </c:pt>
                      <c:pt idx="65">
                        <c:v>263</c:v>
                      </c:pt>
                      <c:pt idx="66">
                        <c:v>300</c:v>
                      </c:pt>
                      <c:pt idx="67">
                        <c:v>322</c:v>
                      </c:pt>
                      <c:pt idx="68">
                        <c:v>392</c:v>
                      </c:pt>
                      <c:pt idx="69">
                        <c:v>304</c:v>
                      </c:pt>
                      <c:pt idx="70">
                        <c:v>226</c:v>
                      </c:pt>
                      <c:pt idx="71">
                        <c:v>380</c:v>
                      </c:pt>
                      <c:pt idx="72">
                        <c:v>246</c:v>
                      </c:pt>
                      <c:pt idx="73">
                        <c:v>230</c:v>
                      </c:pt>
                      <c:pt idx="74">
                        <c:v>250</c:v>
                      </c:pt>
                      <c:pt idx="75">
                        <c:v>268</c:v>
                      </c:pt>
                      <c:pt idx="76">
                        <c:v>172</c:v>
                      </c:pt>
                      <c:pt idx="77">
                        <c:v>227</c:v>
                      </c:pt>
                      <c:pt idx="78">
                        <c:v>231</c:v>
                      </c:pt>
                      <c:pt idx="79">
                        <c:v>305</c:v>
                      </c:pt>
                      <c:pt idx="80">
                        <c:v>386</c:v>
                      </c:pt>
                      <c:pt idx="81">
                        <c:v>233</c:v>
                      </c:pt>
                      <c:pt idx="82">
                        <c:v>295</c:v>
                      </c:pt>
                      <c:pt idx="83">
                        <c:v>399</c:v>
                      </c:pt>
                      <c:pt idx="84">
                        <c:v>275</c:v>
                      </c:pt>
                      <c:pt idx="85">
                        <c:v>249</c:v>
                      </c:pt>
                      <c:pt idx="86">
                        <c:v>305</c:v>
                      </c:pt>
                      <c:pt idx="87">
                        <c:v>246</c:v>
                      </c:pt>
                      <c:pt idx="88">
                        <c:v>181</c:v>
                      </c:pt>
                      <c:pt idx="89">
                        <c:v>184</c:v>
                      </c:pt>
                      <c:pt idx="90">
                        <c:v>215</c:v>
                      </c:pt>
                      <c:pt idx="91">
                        <c:v>314</c:v>
                      </c:pt>
                      <c:pt idx="92">
                        <c:v>322</c:v>
                      </c:pt>
                      <c:pt idx="93">
                        <c:v>214</c:v>
                      </c:pt>
                      <c:pt idx="94">
                        <c:v>237</c:v>
                      </c:pt>
                      <c:pt idx="95">
                        <c:v>326</c:v>
                      </c:pt>
                      <c:pt idx="96">
                        <c:v>273</c:v>
                      </c:pt>
                      <c:pt idx="97">
                        <c:v>301</c:v>
                      </c:pt>
                      <c:pt idx="98">
                        <c:v>306</c:v>
                      </c:pt>
                      <c:pt idx="99">
                        <c:v>203</c:v>
                      </c:pt>
                      <c:pt idx="100">
                        <c:v>196</c:v>
                      </c:pt>
                      <c:pt idx="101">
                        <c:v>197</c:v>
                      </c:pt>
                      <c:pt idx="102">
                        <c:v>197</c:v>
                      </c:pt>
                      <c:pt idx="103">
                        <c:v>250</c:v>
                      </c:pt>
                      <c:pt idx="104">
                        <c:v>472</c:v>
                      </c:pt>
                      <c:pt idx="105">
                        <c:v>190</c:v>
                      </c:pt>
                      <c:pt idx="106">
                        <c:v>234</c:v>
                      </c:pt>
                      <c:pt idx="107">
                        <c:v>286</c:v>
                      </c:pt>
                      <c:pt idx="108">
                        <c:v>237</c:v>
                      </c:pt>
                      <c:pt idx="109">
                        <c:v>251</c:v>
                      </c:pt>
                      <c:pt idx="110">
                        <c:v>266</c:v>
                      </c:pt>
                      <c:pt idx="111">
                        <c:v>190</c:v>
                      </c:pt>
                      <c:pt idx="112">
                        <c:v>172</c:v>
                      </c:pt>
                      <c:pt idx="113">
                        <c:v>158</c:v>
                      </c:pt>
                      <c:pt idx="114">
                        <c:v>217</c:v>
                      </c:pt>
                      <c:pt idx="115">
                        <c:v>207</c:v>
                      </c:pt>
                      <c:pt idx="116" formatCode="General">
                        <c:v>258</c:v>
                      </c:pt>
                      <c:pt idx="117">
                        <c:v>294</c:v>
                      </c:pt>
                      <c:pt idx="118">
                        <c:v>242</c:v>
                      </c:pt>
                      <c:pt idx="119">
                        <c:v>290</c:v>
                      </c:pt>
                      <c:pt idx="120">
                        <c:v>219</c:v>
                      </c:pt>
                      <c:pt idx="121">
                        <c:v>224</c:v>
                      </c:pt>
                      <c:pt idx="122">
                        <c:v>359</c:v>
                      </c:pt>
                      <c:pt idx="123">
                        <c:v>236</c:v>
                      </c:pt>
                      <c:pt idx="124">
                        <c:v>164</c:v>
                      </c:pt>
                      <c:pt idx="125">
                        <c:v>225</c:v>
                      </c:pt>
                      <c:pt idx="126">
                        <c:v>222</c:v>
                      </c:pt>
                      <c:pt idx="127">
                        <c:v>330</c:v>
                      </c:pt>
                      <c:pt idx="128">
                        <c:v>234</c:v>
                      </c:pt>
                      <c:pt idx="129">
                        <c:v>240</c:v>
                      </c:pt>
                      <c:pt idx="130">
                        <c:v>328</c:v>
                      </c:pt>
                      <c:pt idx="131">
                        <c:v>327</c:v>
                      </c:pt>
                      <c:pt idx="132">
                        <c:v>253</c:v>
                      </c:pt>
                      <c:pt idx="133">
                        <c:v>276</c:v>
                      </c:pt>
                      <c:pt idx="134">
                        <c:v>394</c:v>
                      </c:pt>
                      <c:pt idx="135">
                        <c:v>291</c:v>
                      </c:pt>
                      <c:pt idx="136">
                        <c:v>230</c:v>
                      </c:pt>
                      <c:pt idx="137">
                        <c:v>294</c:v>
                      </c:pt>
                      <c:pt idx="138">
                        <c:v>286</c:v>
                      </c:pt>
                      <c:pt idx="139">
                        <c:v>421</c:v>
                      </c:pt>
                      <c:pt idx="140">
                        <c:v>364</c:v>
                      </c:pt>
                      <c:pt idx="141">
                        <c:v>252</c:v>
                      </c:pt>
                      <c:pt idx="142">
                        <c:v>303</c:v>
                      </c:pt>
                      <c:pt idx="143">
                        <c:v>333</c:v>
                      </c:pt>
                      <c:pt idx="144" formatCode="_(* #,##0_);_(* \(#,##0\);_(* &quot;-&quot;??_);_(@_)">
                        <c:v>227</c:v>
                      </c:pt>
                      <c:pt idx="145">
                        <c:v>338</c:v>
                      </c:pt>
                      <c:pt idx="146">
                        <c:v>267</c:v>
                      </c:pt>
                      <c:pt idx="147">
                        <c:v>344</c:v>
                      </c:pt>
                      <c:pt idx="148" formatCode="_(* #,##0_);_(* \(#,##0\);_(* &quot;-&quot;??_);_(@_)">
                        <c:v>221</c:v>
                      </c:pt>
                      <c:pt idx="149" formatCode="_(* #,##0_);_(* \(#,##0\);_(* &quot;-&quot;??_);_(@_)">
                        <c:v>258</c:v>
                      </c:pt>
                      <c:pt idx="150" formatCode="_(* #,##0_);_(* \(#,##0\);_(* &quot;-&quot;??_);_(@_)">
                        <c:v>289</c:v>
                      </c:pt>
                      <c:pt idx="151" formatCode="_(* #,##0_);_(* \(#,##0\);_(* &quot;-&quot;??_);_(@_)">
                        <c:v>311</c:v>
                      </c:pt>
                      <c:pt idx="152" formatCode="_(* #,##0_);_(* \(#,##0\);_(* &quot;-&quot;??_);_(@_)">
                        <c:v>403</c:v>
                      </c:pt>
                      <c:pt idx="153" formatCode="_(* #,##0_);_(* \(#,##0\);_(* &quot;-&quot;??_);_(@_)">
                        <c:v>155</c:v>
                      </c:pt>
                      <c:pt idx="154" formatCode="_(* #,##0_);_(* \(#,##0\);_(* &quot;-&quot;??_);_(@_)">
                        <c:v>261</c:v>
                      </c:pt>
                      <c:pt idx="155" formatCode="_(* #,##0_);_(* \(#,##0\);_(* &quot;-&quot;??_);_(@_)">
                        <c:v>324</c:v>
                      </c:pt>
                      <c:pt idx="156">
                        <c:v>334</c:v>
                      </c:pt>
                      <c:pt idx="157">
                        <c:v>327</c:v>
                      </c:pt>
                      <c:pt idx="158">
                        <c:v>121</c:v>
                      </c:pt>
                      <c:pt idx="161">
                        <c:v>4</c:v>
                      </c:pt>
                      <c:pt idx="162">
                        <c:v>4</c:v>
                      </c:pt>
                      <c:pt idx="163">
                        <c:v>5</c:v>
                      </c:pt>
                      <c:pt idx="164">
                        <c:v>7</c:v>
                      </c:pt>
                      <c:pt idx="165">
                        <c:v>15</c:v>
                      </c:pt>
                      <c:pt idx="166">
                        <c:v>16</c:v>
                      </c:pt>
                      <c:pt idx="167">
                        <c:v>29</c:v>
                      </c:pt>
                      <c:pt idx="168">
                        <c:v>21</c:v>
                      </c:pt>
                      <c:pt idx="169">
                        <c:v>12</c:v>
                      </c:pt>
                      <c:pt idx="170">
                        <c:v>11</c:v>
                      </c:pt>
                      <c:pt idx="171">
                        <c:v>15</c:v>
                      </c:pt>
                      <c:pt idx="172">
                        <c:v>9</c:v>
                      </c:pt>
                    </c:numCache>
                  </c:numRef>
                </c:val>
                <c:smooth val="0"/>
                <c:extLst xmlns:c15="http://schemas.microsoft.com/office/drawing/2012/chart">
                  <c:ext xmlns:c16="http://schemas.microsoft.com/office/drawing/2014/chart" uri="{C3380CC4-5D6E-409C-BE32-E72D297353CC}">
                    <c16:uniqueId val="{00000015-E690-4C59-A7C2-6B6BC695708B}"/>
                  </c:ext>
                </c:extLst>
              </c15:ser>
            </c15:filteredLineSeries>
            <c15:filteredLineSeries>
              <c15:ser>
                <c:idx val="22"/>
                <c:order val="22"/>
                <c:tx>
                  <c:strRef>
                    <c:extLst xmlns:c15="http://schemas.microsoft.com/office/drawing/2012/chart">
                      <c:ext xmlns:c15="http://schemas.microsoft.com/office/drawing/2012/chart" uri="{02D57815-91ED-43cb-92C2-25804820EDAC}">
                        <c15:formulaRef>
                          <c15:sqref>'Tendencias nacionalidad'!$C$76</c15:sqref>
                        </c15:formulaRef>
                      </c:ext>
                    </c:extLst>
                    <c:strCache>
                      <c:ptCount val="1"/>
                      <c:pt idx="0">
                        <c:v>Cuba</c:v>
                      </c:pt>
                    </c:strCache>
                  </c:strRef>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nacionalidad'!$D$76:$GA$76</c15:sqref>
                        </c15:fullRef>
                        <c15:formulaRef>
                          <c15:sqref>'Tendencias nacionalidad'!$D$76:$FT$76</c15:sqref>
                        </c15:formulaRef>
                      </c:ext>
                    </c:extLst>
                    <c:numCache>
                      <c:formatCode>#,##0</c:formatCode>
                      <c:ptCount val="173"/>
                      <c:pt idx="0">
                        <c:v>106</c:v>
                      </c:pt>
                      <c:pt idx="1">
                        <c:v>77</c:v>
                      </c:pt>
                      <c:pt idx="2">
                        <c:v>164</c:v>
                      </c:pt>
                      <c:pt idx="3">
                        <c:v>124</c:v>
                      </c:pt>
                      <c:pt idx="4">
                        <c:v>101</c:v>
                      </c:pt>
                      <c:pt idx="5">
                        <c:v>151</c:v>
                      </c:pt>
                      <c:pt idx="6">
                        <c:v>131</c:v>
                      </c:pt>
                      <c:pt idx="7">
                        <c:v>168</c:v>
                      </c:pt>
                      <c:pt idx="8">
                        <c:v>204</c:v>
                      </c:pt>
                      <c:pt idx="9">
                        <c:v>300</c:v>
                      </c:pt>
                      <c:pt idx="10">
                        <c:v>233</c:v>
                      </c:pt>
                      <c:pt idx="11">
                        <c:v>211</c:v>
                      </c:pt>
                      <c:pt idx="12">
                        <c:v>300</c:v>
                      </c:pt>
                      <c:pt idx="13">
                        <c:v>404</c:v>
                      </c:pt>
                      <c:pt idx="14">
                        <c:v>290</c:v>
                      </c:pt>
                      <c:pt idx="15">
                        <c:v>346</c:v>
                      </c:pt>
                      <c:pt idx="16">
                        <c:v>350</c:v>
                      </c:pt>
                      <c:pt idx="17">
                        <c:v>372</c:v>
                      </c:pt>
                      <c:pt idx="18">
                        <c:v>536</c:v>
                      </c:pt>
                      <c:pt idx="19">
                        <c:v>619</c:v>
                      </c:pt>
                      <c:pt idx="20">
                        <c:v>611</c:v>
                      </c:pt>
                      <c:pt idx="21">
                        <c:v>684</c:v>
                      </c:pt>
                      <c:pt idx="22">
                        <c:v>721</c:v>
                      </c:pt>
                      <c:pt idx="23">
                        <c:v>903</c:v>
                      </c:pt>
                      <c:pt idx="24">
                        <c:v>1157</c:v>
                      </c:pt>
                      <c:pt idx="25">
                        <c:v>1112</c:v>
                      </c:pt>
                      <c:pt idx="26">
                        <c:v>1391</c:v>
                      </c:pt>
                      <c:pt idx="27">
                        <c:v>1532</c:v>
                      </c:pt>
                      <c:pt idx="28">
                        <c:v>1541.5</c:v>
                      </c:pt>
                      <c:pt idx="29">
                        <c:v>1551</c:v>
                      </c:pt>
                      <c:pt idx="30">
                        <c:v>1371</c:v>
                      </c:pt>
                      <c:pt idx="31">
                        <c:v>1483</c:v>
                      </c:pt>
                      <c:pt idx="32">
                        <c:v>1483</c:v>
                      </c:pt>
                      <c:pt idx="33">
                        <c:v>1483</c:v>
                      </c:pt>
                      <c:pt idx="34">
                        <c:v>1508</c:v>
                      </c:pt>
                      <c:pt idx="35">
                        <c:v>1112</c:v>
                      </c:pt>
                      <c:pt idx="36">
                        <c:v>1670</c:v>
                      </c:pt>
                      <c:pt idx="37">
                        <c:v>1244</c:v>
                      </c:pt>
                      <c:pt idx="38">
                        <c:v>1508</c:v>
                      </c:pt>
                      <c:pt idx="39">
                        <c:v>1345</c:v>
                      </c:pt>
                      <c:pt idx="40">
                        <c:v>1092</c:v>
                      </c:pt>
                      <c:pt idx="41">
                        <c:v>1109</c:v>
                      </c:pt>
                      <c:pt idx="42">
                        <c:v>891</c:v>
                      </c:pt>
                      <c:pt idx="43">
                        <c:v>1140</c:v>
                      </c:pt>
                      <c:pt idx="44">
                        <c:v>997</c:v>
                      </c:pt>
                      <c:pt idx="45">
                        <c:v>1311</c:v>
                      </c:pt>
                      <c:pt idx="46">
                        <c:v>1203</c:v>
                      </c:pt>
                      <c:pt idx="47">
                        <c:v>960</c:v>
                      </c:pt>
                      <c:pt idx="48">
                        <c:v>992</c:v>
                      </c:pt>
                      <c:pt idx="49">
                        <c:v>732</c:v>
                      </c:pt>
                      <c:pt idx="50">
                        <c:v>978</c:v>
                      </c:pt>
                      <c:pt idx="51">
                        <c:v>817</c:v>
                      </c:pt>
                      <c:pt idx="52">
                        <c:v>838</c:v>
                      </c:pt>
                      <c:pt idx="53">
                        <c:v>887</c:v>
                      </c:pt>
                      <c:pt idx="54">
                        <c:v>692</c:v>
                      </c:pt>
                      <c:pt idx="55">
                        <c:v>892</c:v>
                      </c:pt>
                      <c:pt idx="56">
                        <c:v>731</c:v>
                      </c:pt>
                      <c:pt idx="57">
                        <c:v>750</c:v>
                      </c:pt>
                      <c:pt idx="58">
                        <c:v>871</c:v>
                      </c:pt>
                      <c:pt idx="59">
                        <c:v>710</c:v>
                      </c:pt>
                      <c:pt idx="60">
                        <c:v>499</c:v>
                      </c:pt>
                      <c:pt idx="61">
                        <c:v>499</c:v>
                      </c:pt>
                      <c:pt idx="62">
                        <c:v>547</c:v>
                      </c:pt>
                      <c:pt idx="63">
                        <c:v>895</c:v>
                      </c:pt>
                      <c:pt idx="64">
                        <c:v>771</c:v>
                      </c:pt>
                      <c:pt idx="65">
                        <c:v>1058</c:v>
                      </c:pt>
                      <c:pt idx="66">
                        <c:v>888</c:v>
                      </c:pt>
                      <c:pt idx="67">
                        <c:v>976</c:v>
                      </c:pt>
                      <c:pt idx="68">
                        <c:v>831</c:v>
                      </c:pt>
                      <c:pt idx="69">
                        <c:v>1039</c:v>
                      </c:pt>
                      <c:pt idx="70">
                        <c:v>1026</c:v>
                      </c:pt>
                      <c:pt idx="71">
                        <c:v>1042</c:v>
                      </c:pt>
                      <c:pt idx="72">
                        <c:v>750</c:v>
                      </c:pt>
                      <c:pt idx="73">
                        <c:v>510</c:v>
                      </c:pt>
                      <c:pt idx="74">
                        <c:v>450</c:v>
                      </c:pt>
                      <c:pt idx="75">
                        <c:v>871</c:v>
                      </c:pt>
                      <c:pt idx="76">
                        <c:v>931</c:v>
                      </c:pt>
                      <c:pt idx="77">
                        <c:v>942</c:v>
                      </c:pt>
                      <c:pt idx="78">
                        <c:v>982</c:v>
                      </c:pt>
                      <c:pt idx="79">
                        <c:v>1290</c:v>
                      </c:pt>
                      <c:pt idx="80">
                        <c:v>1267</c:v>
                      </c:pt>
                      <c:pt idx="81">
                        <c:v>1309</c:v>
                      </c:pt>
                      <c:pt idx="82">
                        <c:v>1575</c:v>
                      </c:pt>
                      <c:pt idx="83">
                        <c:v>1856</c:v>
                      </c:pt>
                      <c:pt idx="84">
                        <c:v>893</c:v>
                      </c:pt>
                      <c:pt idx="85">
                        <c:v>801</c:v>
                      </c:pt>
                      <c:pt idx="86">
                        <c:v>871</c:v>
                      </c:pt>
                      <c:pt idx="87">
                        <c:v>1883</c:v>
                      </c:pt>
                      <c:pt idx="88">
                        <c:v>2034</c:v>
                      </c:pt>
                      <c:pt idx="89">
                        <c:v>2126</c:v>
                      </c:pt>
                      <c:pt idx="90">
                        <c:v>2458</c:v>
                      </c:pt>
                      <c:pt idx="91">
                        <c:v>2398</c:v>
                      </c:pt>
                      <c:pt idx="92">
                        <c:v>2644</c:v>
                      </c:pt>
                      <c:pt idx="93">
                        <c:v>3590</c:v>
                      </c:pt>
                      <c:pt idx="94">
                        <c:v>3991</c:v>
                      </c:pt>
                      <c:pt idx="95">
                        <c:v>4790</c:v>
                      </c:pt>
                      <c:pt idx="96">
                        <c:v>3360</c:v>
                      </c:pt>
                      <c:pt idx="97">
                        <c:v>3179</c:v>
                      </c:pt>
                      <c:pt idx="98">
                        <c:v>4515</c:v>
                      </c:pt>
                      <c:pt idx="99">
                        <c:v>4321</c:v>
                      </c:pt>
                      <c:pt idx="100">
                        <c:v>4182</c:v>
                      </c:pt>
                      <c:pt idx="101">
                        <c:v>4631</c:v>
                      </c:pt>
                      <c:pt idx="102">
                        <c:v>4067</c:v>
                      </c:pt>
                      <c:pt idx="103">
                        <c:v>3726</c:v>
                      </c:pt>
                      <c:pt idx="104">
                        <c:v>5741</c:v>
                      </c:pt>
                      <c:pt idx="105">
                        <c:v>5804</c:v>
                      </c:pt>
                      <c:pt idx="106">
                        <c:v>9307</c:v>
                      </c:pt>
                      <c:pt idx="107">
                        <c:v>5009</c:v>
                      </c:pt>
                      <c:pt idx="108">
                        <c:v>1225</c:v>
                      </c:pt>
                      <c:pt idx="109">
                        <c:v>2019</c:v>
                      </c:pt>
                      <c:pt idx="110">
                        <c:v>907</c:v>
                      </c:pt>
                      <c:pt idx="111">
                        <c:v>278</c:v>
                      </c:pt>
                      <c:pt idx="112">
                        <c:v>325</c:v>
                      </c:pt>
                      <c:pt idx="113">
                        <c:v>306</c:v>
                      </c:pt>
                      <c:pt idx="114">
                        <c:v>246</c:v>
                      </c:pt>
                      <c:pt idx="115">
                        <c:v>246</c:v>
                      </c:pt>
                      <c:pt idx="116" formatCode="General">
                        <c:v>765</c:v>
                      </c:pt>
                      <c:pt idx="117">
                        <c:v>506</c:v>
                      </c:pt>
                      <c:pt idx="118">
                        <c:v>429</c:v>
                      </c:pt>
                      <c:pt idx="119">
                        <c:v>379</c:v>
                      </c:pt>
                      <c:pt idx="120">
                        <c:v>338</c:v>
                      </c:pt>
                      <c:pt idx="121">
                        <c:v>315</c:v>
                      </c:pt>
                      <c:pt idx="122">
                        <c:v>296</c:v>
                      </c:pt>
                      <c:pt idx="123">
                        <c:v>264</c:v>
                      </c:pt>
                      <c:pt idx="124">
                        <c:v>350</c:v>
                      </c:pt>
                      <c:pt idx="125">
                        <c:v>296</c:v>
                      </c:pt>
                      <c:pt idx="126">
                        <c:v>339</c:v>
                      </c:pt>
                      <c:pt idx="127">
                        <c:v>273</c:v>
                      </c:pt>
                      <c:pt idx="128">
                        <c:v>322</c:v>
                      </c:pt>
                      <c:pt idx="129">
                        <c:v>328</c:v>
                      </c:pt>
                      <c:pt idx="130">
                        <c:v>362</c:v>
                      </c:pt>
                      <c:pt idx="131">
                        <c:v>330</c:v>
                      </c:pt>
                      <c:pt idx="132">
                        <c:v>267</c:v>
                      </c:pt>
                      <c:pt idx="133">
                        <c:v>279</c:v>
                      </c:pt>
                      <c:pt idx="134">
                        <c:v>283</c:v>
                      </c:pt>
                      <c:pt idx="135">
                        <c:v>288</c:v>
                      </c:pt>
                      <c:pt idx="136">
                        <c:v>317</c:v>
                      </c:pt>
                      <c:pt idx="137">
                        <c:v>290</c:v>
                      </c:pt>
                      <c:pt idx="138">
                        <c:v>325</c:v>
                      </c:pt>
                      <c:pt idx="139">
                        <c:v>300</c:v>
                      </c:pt>
                      <c:pt idx="140">
                        <c:v>287</c:v>
                      </c:pt>
                      <c:pt idx="141">
                        <c:v>320</c:v>
                      </c:pt>
                      <c:pt idx="142">
                        <c:v>345</c:v>
                      </c:pt>
                      <c:pt idx="143">
                        <c:v>273</c:v>
                      </c:pt>
                      <c:pt idx="144" formatCode="_(* #,##0_);_(* \(#,##0\);_(* &quot;-&quot;??_);_(@_)">
                        <c:v>305</c:v>
                      </c:pt>
                      <c:pt idx="145">
                        <c:v>219</c:v>
                      </c:pt>
                      <c:pt idx="146">
                        <c:v>261</c:v>
                      </c:pt>
                      <c:pt idx="147">
                        <c:v>226</c:v>
                      </c:pt>
                      <c:pt idx="148" formatCode="_(* #,##0_);_(* \(#,##0\);_(* &quot;-&quot;??_);_(@_)">
                        <c:v>800</c:v>
                      </c:pt>
                      <c:pt idx="149" formatCode="_(* #,##0_);_(* \(#,##0\);_(* &quot;-&quot;??_);_(@_)">
                        <c:v>686</c:v>
                      </c:pt>
                      <c:pt idx="150" formatCode="_(* #,##0_);_(* \(#,##0\);_(* &quot;-&quot;??_);_(@_)">
                        <c:v>764</c:v>
                      </c:pt>
                      <c:pt idx="151" formatCode="_(* #,##0_);_(* \(#,##0\);_(* &quot;-&quot;??_);_(@_)">
                        <c:v>1134</c:v>
                      </c:pt>
                      <c:pt idx="152" formatCode="_(* #,##0_);_(* \(#,##0\);_(* &quot;-&quot;??_);_(@_)">
                        <c:v>1157</c:v>
                      </c:pt>
                      <c:pt idx="153" formatCode="_(* #,##0_);_(* \(#,##0\);_(* &quot;-&quot;??_);_(@_)">
                        <c:v>725</c:v>
                      </c:pt>
                      <c:pt idx="154" formatCode="_(* #,##0_);_(* \(#,##0\);_(* &quot;-&quot;??_);_(@_)">
                        <c:v>701</c:v>
                      </c:pt>
                      <c:pt idx="155" formatCode="_(* #,##0_);_(* \(#,##0\);_(* &quot;-&quot;??_);_(@_)">
                        <c:v>596</c:v>
                      </c:pt>
                      <c:pt idx="156">
                        <c:v>1012</c:v>
                      </c:pt>
                      <c:pt idx="157">
                        <c:v>617</c:v>
                      </c:pt>
                      <c:pt idx="158">
                        <c:v>416</c:v>
                      </c:pt>
                      <c:pt idx="159">
                        <c:v>2</c:v>
                      </c:pt>
                      <c:pt idx="160">
                        <c:v>97</c:v>
                      </c:pt>
                      <c:pt idx="161">
                        <c:v>140</c:v>
                      </c:pt>
                      <c:pt idx="162">
                        <c:v>9</c:v>
                      </c:pt>
                      <c:pt idx="163">
                        <c:v>130</c:v>
                      </c:pt>
                      <c:pt idx="164">
                        <c:v>66</c:v>
                      </c:pt>
                      <c:pt idx="165">
                        <c:v>16</c:v>
                      </c:pt>
                      <c:pt idx="166">
                        <c:v>126</c:v>
                      </c:pt>
                      <c:pt idx="167">
                        <c:v>371</c:v>
                      </c:pt>
                      <c:pt idx="168">
                        <c:v>452</c:v>
                      </c:pt>
                      <c:pt idx="169">
                        <c:v>133</c:v>
                      </c:pt>
                      <c:pt idx="170">
                        <c:v>87</c:v>
                      </c:pt>
                      <c:pt idx="171">
                        <c:v>231</c:v>
                      </c:pt>
                      <c:pt idx="172">
                        <c:v>86</c:v>
                      </c:pt>
                    </c:numCache>
                  </c:numRef>
                </c:val>
                <c:smooth val="0"/>
                <c:extLst xmlns:c15="http://schemas.microsoft.com/office/drawing/2012/chart">
                  <c:ext xmlns:c16="http://schemas.microsoft.com/office/drawing/2014/chart" uri="{C3380CC4-5D6E-409C-BE32-E72D297353CC}">
                    <c16:uniqueId val="{00000016-E690-4C59-A7C2-6B6BC695708B}"/>
                  </c:ext>
                </c:extLst>
              </c15:ser>
            </c15:filteredLineSeries>
            <c15:filteredLineSeries>
              <c15:ser>
                <c:idx val="23"/>
                <c:order val="23"/>
                <c:tx>
                  <c:strRef>
                    <c:extLst xmlns:c15="http://schemas.microsoft.com/office/drawing/2012/chart">
                      <c:ext xmlns:c15="http://schemas.microsoft.com/office/drawing/2012/chart" uri="{02D57815-91ED-43cb-92C2-25804820EDAC}">
                        <c15:formulaRef>
                          <c15:sqref>'Tendencias nacionalidad'!$C$77</c15:sqref>
                        </c15:formulaRef>
                      </c:ext>
                    </c:extLst>
                    <c:strCache>
                      <c:ptCount val="1"/>
                      <c:pt idx="0">
                        <c:v>Bolivia</c:v>
                      </c:pt>
                    </c:strCache>
                  </c:strRef>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nacionalidad'!$D$77:$GA$77</c15:sqref>
                        </c15:fullRef>
                        <c15:formulaRef>
                          <c15:sqref>'Tendencias nacionalidad'!$D$77:$FT$77</c15:sqref>
                        </c15:formulaRef>
                      </c:ext>
                    </c:extLst>
                    <c:numCache>
                      <c:formatCode>#,##0</c:formatCode>
                      <c:ptCount val="173"/>
                      <c:pt idx="0">
                        <c:v>119</c:v>
                      </c:pt>
                      <c:pt idx="1">
                        <c:v>130</c:v>
                      </c:pt>
                      <c:pt idx="2">
                        <c:v>176</c:v>
                      </c:pt>
                      <c:pt idx="3">
                        <c:v>124</c:v>
                      </c:pt>
                      <c:pt idx="4">
                        <c:v>123</c:v>
                      </c:pt>
                      <c:pt idx="5">
                        <c:v>173</c:v>
                      </c:pt>
                      <c:pt idx="6">
                        <c:v>251</c:v>
                      </c:pt>
                      <c:pt idx="7">
                        <c:v>216</c:v>
                      </c:pt>
                      <c:pt idx="8">
                        <c:v>321</c:v>
                      </c:pt>
                      <c:pt idx="9">
                        <c:v>214</c:v>
                      </c:pt>
                      <c:pt idx="10">
                        <c:v>244</c:v>
                      </c:pt>
                      <c:pt idx="11">
                        <c:v>126</c:v>
                      </c:pt>
                      <c:pt idx="12">
                        <c:v>134</c:v>
                      </c:pt>
                      <c:pt idx="13">
                        <c:v>307</c:v>
                      </c:pt>
                      <c:pt idx="14">
                        <c:v>218</c:v>
                      </c:pt>
                      <c:pt idx="15">
                        <c:v>255</c:v>
                      </c:pt>
                      <c:pt idx="16">
                        <c:v>201</c:v>
                      </c:pt>
                      <c:pt idx="17">
                        <c:v>215</c:v>
                      </c:pt>
                      <c:pt idx="18">
                        <c:v>187</c:v>
                      </c:pt>
                      <c:pt idx="19">
                        <c:v>228</c:v>
                      </c:pt>
                      <c:pt idx="20">
                        <c:v>253</c:v>
                      </c:pt>
                      <c:pt idx="21">
                        <c:v>230</c:v>
                      </c:pt>
                      <c:pt idx="22">
                        <c:v>279</c:v>
                      </c:pt>
                      <c:pt idx="23">
                        <c:v>228</c:v>
                      </c:pt>
                      <c:pt idx="24">
                        <c:v>182</c:v>
                      </c:pt>
                      <c:pt idx="25">
                        <c:v>186</c:v>
                      </c:pt>
                      <c:pt idx="26">
                        <c:v>274</c:v>
                      </c:pt>
                      <c:pt idx="27">
                        <c:v>222</c:v>
                      </c:pt>
                      <c:pt idx="28">
                        <c:v>220.5</c:v>
                      </c:pt>
                      <c:pt idx="29">
                        <c:v>219</c:v>
                      </c:pt>
                      <c:pt idx="30">
                        <c:v>220</c:v>
                      </c:pt>
                      <c:pt idx="31">
                        <c:v>205</c:v>
                      </c:pt>
                      <c:pt idx="32">
                        <c:v>241</c:v>
                      </c:pt>
                      <c:pt idx="33">
                        <c:v>178</c:v>
                      </c:pt>
                      <c:pt idx="34">
                        <c:v>253</c:v>
                      </c:pt>
                      <c:pt idx="35">
                        <c:v>160</c:v>
                      </c:pt>
                      <c:pt idx="36">
                        <c:v>173</c:v>
                      </c:pt>
                      <c:pt idx="37">
                        <c:v>480</c:v>
                      </c:pt>
                      <c:pt idx="38">
                        <c:v>219</c:v>
                      </c:pt>
                      <c:pt idx="39">
                        <c:v>183</c:v>
                      </c:pt>
                      <c:pt idx="40">
                        <c:v>203</c:v>
                      </c:pt>
                      <c:pt idx="41">
                        <c:v>202</c:v>
                      </c:pt>
                      <c:pt idx="42">
                        <c:v>126</c:v>
                      </c:pt>
                      <c:pt idx="43">
                        <c:v>185</c:v>
                      </c:pt>
                      <c:pt idx="44">
                        <c:v>172</c:v>
                      </c:pt>
                      <c:pt idx="45">
                        <c:v>151</c:v>
                      </c:pt>
                      <c:pt idx="46">
                        <c:v>223</c:v>
                      </c:pt>
                      <c:pt idx="47">
                        <c:v>172</c:v>
                      </c:pt>
                      <c:pt idx="48">
                        <c:v>173</c:v>
                      </c:pt>
                      <c:pt idx="49">
                        <c:v>187</c:v>
                      </c:pt>
                      <c:pt idx="50">
                        <c:v>216</c:v>
                      </c:pt>
                      <c:pt idx="51">
                        <c:v>138</c:v>
                      </c:pt>
                      <c:pt idx="52">
                        <c:v>194</c:v>
                      </c:pt>
                      <c:pt idx="53">
                        <c:v>192</c:v>
                      </c:pt>
                      <c:pt idx="54">
                        <c:v>186</c:v>
                      </c:pt>
                      <c:pt idx="55">
                        <c:v>182</c:v>
                      </c:pt>
                      <c:pt idx="56">
                        <c:v>218</c:v>
                      </c:pt>
                      <c:pt idx="57">
                        <c:v>222</c:v>
                      </c:pt>
                      <c:pt idx="58">
                        <c:v>219</c:v>
                      </c:pt>
                      <c:pt idx="59">
                        <c:v>161</c:v>
                      </c:pt>
                      <c:pt idx="60">
                        <c:v>2</c:v>
                      </c:pt>
                      <c:pt idx="61">
                        <c:v>148</c:v>
                      </c:pt>
                      <c:pt idx="62">
                        <c:v>155</c:v>
                      </c:pt>
                      <c:pt idx="63">
                        <c:v>190</c:v>
                      </c:pt>
                      <c:pt idx="64">
                        <c:v>221</c:v>
                      </c:pt>
                      <c:pt idx="65">
                        <c:v>224</c:v>
                      </c:pt>
                      <c:pt idx="66">
                        <c:v>248</c:v>
                      </c:pt>
                      <c:pt idx="67">
                        <c:v>205</c:v>
                      </c:pt>
                      <c:pt idx="68">
                        <c:v>314</c:v>
                      </c:pt>
                      <c:pt idx="69">
                        <c:v>260</c:v>
                      </c:pt>
                      <c:pt idx="70">
                        <c:v>276</c:v>
                      </c:pt>
                      <c:pt idx="71">
                        <c:v>182</c:v>
                      </c:pt>
                      <c:pt idx="72">
                        <c:v>201</c:v>
                      </c:pt>
                      <c:pt idx="73">
                        <c:v>185</c:v>
                      </c:pt>
                      <c:pt idx="74">
                        <c:v>224</c:v>
                      </c:pt>
                      <c:pt idx="75">
                        <c:v>156</c:v>
                      </c:pt>
                      <c:pt idx="76">
                        <c:v>251</c:v>
                      </c:pt>
                      <c:pt idx="77">
                        <c:v>282</c:v>
                      </c:pt>
                      <c:pt idx="78">
                        <c:v>325</c:v>
                      </c:pt>
                      <c:pt idx="79">
                        <c:v>208</c:v>
                      </c:pt>
                      <c:pt idx="80">
                        <c:v>236</c:v>
                      </c:pt>
                      <c:pt idx="81">
                        <c:v>227</c:v>
                      </c:pt>
                      <c:pt idx="82">
                        <c:v>327</c:v>
                      </c:pt>
                      <c:pt idx="83">
                        <c:v>247</c:v>
                      </c:pt>
                      <c:pt idx="84">
                        <c:v>171</c:v>
                      </c:pt>
                      <c:pt idx="85">
                        <c:v>189</c:v>
                      </c:pt>
                      <c:pt idx="86">
                        <c:v>203</c:v>
                      </c:pt>
                      <c:pt idx="87">
                        <c:v>239</c:v>
                      </c:pt>
                      <c:pt idx="88">
                        <c:v>239</c:v>
                      </c:pt>
                      <c:pt idx="89">
                        <c:v>247</c:v>
                      </c:pt>
                      <c:pt idx="90">
                        <c:v>214</c:v>
                      </c:pt>
                      <c:pt idx="91">
                        <c:v>268</c:v>
                      </c:pt>
                      <c:pt idx="92">
                        <c:v>318</c:v>
                      </c:pt>
                      <c:pt idx="93">
                        <c:v>325</c:v>
                      </c:pt>
                      <c:pt idx="94">
                        <c:v>275</c:v>
                      </c:pt>
                      <c:pt idx="95">
                        <c:v>267</c:v>
                      </c:pt>
                      <c:pt idx="96">
                        <c:v>193</c:v>
                      </c:pt>
                      <c:pt idx="97">
                        <c:v>216</c:v>
                      </c:pt>
                      <c:pt idx="98">
                        <c:v>209</c:v>
                      </c:pt>
                      <c:pt idx="99">
                        <c:v>223</c:v>
                      </c:pt>
                      <c:pt idx="100">
                        <c:v>231</c:v>
                      </c:pt>
                      <c:pt idx="101">
                        <c:v>215</c:v>
                      </c:pt>
                      <c:pt idx="102">
                        <c:v>241</c:v>
                      </c:pt>
                      <c:pt idx="103">
                        <c:v>229</c:v>
                      </c:pt>
                      <c:pt idx="104">
                        <c:v>220</c:v>
                      </c:pt>
                      <c:pt idx="105">
                        <c:v>313</c:v>
                      </c:pt>
                      <c:pt idx="106">
                        <c:v>259</c:v>
                      </c:pt>
                      <c:pt idx="107">
                        <c:v>272</c:v>
                      </c:pt>
                      <c:pt idx="108">
                        <c:v>208</c:v>
                      </c:pt>
                      <c:pt idx="109">
                        <c:v>198</c:v>
                      </c:pt>
                      <c:pt idx="110">
                        <c:v>189</c:v>
                      </c:pt>
                      <c:pt idx="111">
                        <c:v>151</c:v>
                      </c:pt>
                      <c:pt idx="112">
                        <c:v>162</c:v>
                      </c:pt>
                      <c:pt idx="113">
                        <c:v>234</c:v>
                      </c:pt>
                      <c:pt idx="114">
                        <c:v>292</c:v>
                      </c:pt>
                      <c:pt idx="115">
                        <c:v>183</c:v>
                      </c:pt>
                      <c:pt idx="116" formatCode="General">
                        <c:v>214</c:v>
                      </c:pt>
                      <c:pt idx="117">
                        <c:v>300</c:v>
                      </c:pt>
                      <c:pt idx="118">
                        <c:v>242</c:v>
                      </c:pt>
                      <c:pt idx="119">
                        <c:v>325</c:v>
                      </c:pt>
                      <c:pt idx="120">
                        <c:v>284</c:v>
                      </c:pt>
                      <c:pt idx="121">
                        <c:v>170</c:v>
                      </c:pt>
                      <c:pt idx="122">
                        <c:v>251</c:v>
                      </c:pt>
                      <c:pt idx="123">
                        <c:v>239</c:v>
                      </c:pt>
                      <c:pt idx="124">
                        <c:v>317</c:v>
                      </c:pt>
                      <c:pt idx="125">
                        <c:v>264</c:v>
                      </c:pt>
                      <c:pt idx="126">
                        <c:v>306</c:v>
                      </c:pt>
                      <c:pt idx="127">
                        <c:v>225</c:v>
                      </c:pt>
                      <c:pt idx="128">
                        <c:v>258</c:v>
                      </c:pt>
                      <c:pt idx="129">
                        <c:v>212</c:v>
                      </c:pt>
                      <c:pt idx="130">
                        <c:v>352</c:v>
                      </c:pt>
                      <c:pt idx="131">
                        <c:v>284</c:v>
                      </c:pt>
                      <c:pt idx="132">
                        <c:v>267</c:v>
                      </c:pt>
                      <c:pt idx="133">
                        <c:v>231</c:v>
                      </c:pt>
                      <c:pt idx="134">
                        <c:v>204</c:v>
                      </c:pt>
                      <c:pt idx="135">
                        <c:v>179</c:v>
                      </c:pt>
                      <c:pt idx="136">
                        <c:v>219</c:v>
                      </c:pt>
                      <c:pt idx="137">
                        <c:v>249</c:v>
                      </c:pt>
                      <c:pt idx="138">
                        <c:v>318</c:v>
                      </c:pt>
                      <c:pt idx="139">
                        <c:v>205</c:v>
                      </c:pt>
                      <c:pt idx="140">
                        <c:v>217</c:v>
                      </c:pt>
                      <c:pt idx="141">
                        <c:v>284</c:v>
                      </c:pt>
                      <c:pt idx="142">
                        <c:v>356</c:v>
                      </c:pt>
                      <c:pt idx="143">
                        <c:v>311</c:v>
                      </c:pt>
                      <c:pt idx="144" formatCode="_(* #,##0_);_(* \(#,##0\);_(* &quot;-&quot;??_);_(@_)">
                        <c:v>204</c:v>
                      </c:pt>
                      <c:pt idx="145">
                        <c:v>244</c:v>
                      </c:pt>
                      <c:pt idx="146">
                        <c:v>216</c:v>
                      </c:pt>
                      <c:pt idx="147">
                        <c:v>192</c:v>
                      </c:pt>
                      <c:pt idx="148" formatCode="_(* #,##0_);_(* \(#,##0\);_(* &quot;-&quot;??_);_(@_)">
                        <c:v>266</c:v>
                      </c:pt>
                      <c:pt idx="149" formatCode="_(* #,##0_);_(* \(#,##0\);_(* &quot;-&quot;??_);_(@_)">
                        <c:v>294</c:v>
                      </c:pt>
                      <c:pt idx="150" formatCode="_(* #,##0_);_(* \(#,##0\);_(* &quot;-&quot;??_);_(@_)">
                        <c:v>299</c:v>
                      </c:pt>
                      <c:pt idx="151" formatCode="_(* #,##0_);_(* \(#,##0\);_(* &quot;-&quot;??_);_(@_)">
                        <c:v>233</c:v>
                      </c:pt>
                      <c:pt idx="152" formatCode="_(* #,##0_);_(* \(#,##0\);_(* &quot;-&quot;??_);_(@_)">
                        <c:v>299</c:v>
                      </c:pt>
                      <c:pt idx="153" formatCode="_(* #,##0_);_(* \(#,##0\);_(* &quot;-&quot;??_);_(@_)">
                        <c:v>341</c:v>
                      </c:pt>
                      <c:pt idx="154" formatCode="_(* #,##0_);_(* \(#,##0\);_(* &quot;-&quot;??_);_(@_)">
                        <c:v>245</c:v>
                      </c:pt>
                      <c:pt idx="155" formatCode="_(* #,##0_);_(* \(#,##0\);_(* &quot;-&quot;??_);_(@_)">
                        <c:v>285</c:v>
                      </c:pt>
                      <c:pt idx="156">
                        <c:v>254</c:v>
                      </c:pt>
                      <c:pt idx="157">
                        <c:v>289</c:v>
                      </c:pt>
                      <c:pt idx="158">
                        <c:v>92</c:v>
                      </c:pt>
                      <c:pt idx="159">
                        <c:v>1</c:v>
                      </c:pt>
                      <c:pt idx="161">
                        <c:v>3</c:v>
                      </c:pt>
                      <c:pt idx="162">
                        <c:v>6</c:v>
                      </c:pt>
                      <c:pt idx="163">
                        <c:v>5</c:v>
                      </c:pt>
                      <c:pt idx="164">
                        <c:v>6</c:v>
                      </c:pt>
                      <c:pt idx="165">
                        <c:v>23</c:v>
                      </c:pt>
                      <c:pt idx="166">
                        <c:v>41</c:v>
                      </c:pt>
                      <c:pt idx="167">
                        <c:v>96</c:v>
                      </c:pt>
                      <c:pt idx="168">
                        <c:v>56</c:v>
                      </c:pt>
                      <c:pt idx="169">
                        <c:v>82</c:v>
                      </c:pt>
                      <c:pt idx="170">
                        <c:v>79</c:v>
                      </c:pt>
                      <c:pt idx="171">
                        <c:v>49</c:v>
                      </c:pt>
                      <c:pt idx="172">
                        <c:v>66</c:v>
                      </c:pt>
                    </c:numCache>
                  </c:numRef>
                </c:val>
                <c:smooth val="0"/>
                <c:extLst xmlns:c15="http://schemas.microsoft.com/office/drawing/2012/chart">
                  <c:ext xmlns:c16="http://schemas.microsoft.com/office/drawing/2014/chart" uri="{C3380CC4-5D6E-409C-BE32-E72D297353CC}">
                    <c16:uniqueId val="{00000017-E690-4C59-A7C2-6B6BC695708B}"/>
                  </c:ext>
                </c:extLst>
              </c15:ser>
            </c15:filteredLineSeries>
            <c15:filteredLineSeries>
              <c15:ser>
                <c:idx val="24"/>
                <c:order val="24"/>
                <c:tx>
                  <c:strRef>
                    <c:extLst xmlns:c15="http://schemas.microsoft.com/office/drawing/2012/chart">
                      <c:ext xmlns:c15="http://schemas.microsoft.com/office/drawing/2012/chart" uri="{02D57815-91ED-43cb-92C2-25804820EDAC}">
                        <c15:formulaRef>
                          <c15:sqref>'Tendencias nacionalidad'!$C$78</c15:sqref>
                        </c15:formulaRef>
                      </c:ext>
                    </c:extLst>
                    <c:strCache>
                      <c:ptCount val="1"/>
                      <c:pt idx="0">
                        <c:v>Dinamarca</c:v>
                      </c:pt>
                    </c:strCache>
                  </c:strRef>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nacionalidad'!$D$78:$GA$78</c15:sqref>
                        </c15:fullRef>
                        <c15:formulaRef>
                          <c15:sqref>'Tendencias nacionalidad'!$D$78:$FT$78</c15:sqref>
                        </c15:formulaRef>
                      </c:ext>
                    </c:extLst>
                    <c:numCache>
                      <c:formatCode>#,##0</c:formatCode>
                      <c:ptCount val="173"/>
                      <c:pt idx="0">
                        <c:v>265</c:v>
                      </c:pt>
                      <c:pt idx="1">
                        <c:v>307</c:v>
                      </c:pt>
                      <c:pt idx="2">
                        <c:v>216</c:v>
                      </c:pt>
                      <c:pt idx="3">
                        <c:v>119</c:v>
                      </c:pt>
                      <c:pt idx="4">
                        <c:v>65</c:v>
                      </c:pt>
                      <c:pt idx="5">
                        <c:v>98</c:v>
                      </c:pt>
                      <c:pt idx="6">
                        <c:v>294</c:v>
                      </c:pt>
                      <c:pt idx="7">
                        <c:v>80</c:v>
                      </c:pt>
                      <c:pt idx="8">
                        <c:v>155</c:v>
                      </c:pt>
                      <c:pt idx="9">
                        <c:v>283</c:v>
                      </c:pt>
                      <c:pt idx="10">
                        <c:v>162</c:v>
                      </c:pt>
                      <c:pt idx="11">
                        <c:v>88</c:v>
                      </c:pt>
                      <c:pt idx="12">
                        <c:v>219</c:v>
                      </c:pt>
                      <c:pt idx="13">
                        <c:v>477</c:v>
                      </c:pt>
                      <c:pt idx="14">
                        <c:v>222</c:v>
                      </c:pt>
                      <c:pt idx="15">
                        <c:v>110</c:v>
                      </c:pt>
                      <c:pt idx="16">
                        <c:v>92</c:v>
                      </c:pt>
                      <c:pt idx="17">
                        <c:v>159</c:v>
                      </c:pt>
                      <c:pt idx="18">
                        <c:v>307</c:v>
                      </c:pt>
                      <c:pt idx="19">
                        <c:v>107</c:v>
                      </c:pt>
                      <c:pt idx="20">
                        <c:v>148</c:v>
                      </c:pt>
                      <c:pt idx="21">
                        <c:v>279</c:v>
                      </c:pt>
                      <c:pt idx="22">
                        <c:v>201</c:v>
                      </c:pt>
                      <c:pt idx="23">
                        <c:v>148</c:v>
                      </c:pt>
                      <c:pt idx="24">
                        <c:v>203</c:v>
                      </c:pt>
                      <c:pt idx="25">
                        <c:v>261</c:v>
                      </c:pt>
                      <c:pt idx="26">
                        <c:v>206</c:v>
                      </c:pt>
                      <c:pt idx="27">
                        <c:v>168</c:v>
                      </c:pt>
                      <c:pt idx="28">
                        <c:v>175.5</c:v>
                      </c:pt>
                      <c:pt idx="29">
                        <c:v>183</c:v>
                      </c:pt>
                      <c:pt idx="30">
                        <c:v>252</c:v>
                      </c:pt>
                      <c:pt idx="31">
                        <c:v>99</c:v>
                      </c:pt>
                      <c:pt idx="32">
                        <c:v>98</c:v>
                      </c:pt>
                      <c:pt idx="33">
                        <c:v>238</c:v>
                      </c:pt>
                      <c:pt idx="34">
                        <c:v>202</c:v>
                      </c:pt>
                      <c:pt idx="35">
                        <c:v>115</c:v>
                      </c:pt>
                      <c:pt idx="36">
                        <c:v>178</c:v>
                      </c:pt>
                      <c:pt idx="37">
                        <c:v>251</c:v>
                      </c:pt>
                      <c:pt idx="38">
                        <c:v>200</c:v>
                      </c:pt>
                      <c:pt idx="39">
                        <c:v>92</c:v>
                      </c:pt>
                      <c:pt idx="40">
                        <c:v>87</c:v>
                      </c:pt>
                      <c:pt idx="41">
                        <c:v>128</c:v>
                      </c:pt>
                      <c:pt idx="42">
                        <c:v>283</c:v>
                      </c:pt>
                      <c:pt idx="43">
                        <c:v>77</c:v>
                      </c:pt>
                      <c:pt idx="44">
                        <c:v>113</c:v>
                      </c:pt>
                      <c:pt idx="45">
                        <c:v>172</c:v>
                      </c:pt>
                      <c:pt idx="46">
                        <c:v>246</c:v>
                      </c:pt>
                      <c:pt idx="47">
                        <c:v>112</c:v>
                      </c:pt>
                      <c:pt idx="48">
                        <c:v>213</c:v>
                      </c:pt>
                      <c:pt idx="49">
                        <c:v>406</c:v>
                      </c:pt>
                      <c:pt idx="50">
                        <c:v>152</c:v>
                      </c:pt>
                      <c:pt idx="51">
                        <c:v>116</c:v>
                      </c:pt>
                      <c:pt idx="52">
                        <c:v>60</c:v>
                      </c:pt>
                      <c:pt idx="53">
                        <c:v>122</c:v>
                      </c:pt>
                      <c:pt idx="54">
                        <c:v>217</c:v>
                      </c:pt>
                      <c:pt idx="55">
                        <c:v>88</c:v>
                      </c:pt>
                      <c:pt idx="56">
                        <c:v>138</c:v>
                      </c:pt>
                      <c:pt idx="57">
                        <c:v>226</c:v>
                      </c:pt>
                      <c:pt idx="58">
                        <c:v>103</c:v>
                      </c:pt>
                      <c:pt idx="59">
                        <c:v>150</c:v>
                      </c:pt>
                      <c:pt idx="60">
                        <c:v>250</c:v>
                      </c:pt>
                      <c:pt idx="61">
                        <c:v>287</c:v>
                      </c:pt>
                      <c:pt idx="62">
                        <c:v>177</c:v>
                      </c:pt>
                      <c:pt idx="63">
                        <c:v>87</c:v>
                      </c:pt>
                      <c:pt idx="64">
                        <c:v>81</c:v>
                      </c:pt>
                      <c:pt idx="65">
                        <c:v>96</c:v>
                      </c:pt>
                      <c:pt idx="66">
                        <c:v>200</c:v>
                      </c:pt>
                      <c:pt idx="67">
                        <c:v>61</c:v>
                      </c:pt>
                      <c:pt idx="68">
                        <c:v>166</c:v>
                      </c:pt>
                      <c:pt idx="69">
                        <c:v>157</c:v>
                      </c:pt>
                      <c:pt idx="70">
                        <c:v>166</c:v>
                      </c:pt>
                      <c:pt idx="71">
                        <c:v>70</c:v>
                      </c:pt>
                      <c:pt idx="72">
                        <c:v>234</c:v>
                      </c:pt>
                      <c:pt idx="73">
                        <c:v>196</c:v>
                      </c:pt>
                      <c:pt idx="74">
                        <c:v>222</c:v>
                      </c:pt>
                      <c:pt idx="75">
                        <c:v>104</c:v>
                      </c:pt>
                      <c:pt idx="76">
                        <c:v>71</c:v>
                      </c:pt>
                      <c:pt idx="77">
                        <c:v>101</c:v>
                      </c:pt>
                      <c:pt idx="78">
                        <c:v>269</c:v>
                      </c:pt>
                      <c:pt idx="79">
                        <c:v>67</c:v>
                      </c:pt>
                      <c:pt idx="80">
                        <c:v>95</c:v>
                      </c:pt>
                      <c:pt idx="81">
                        <c:v>146</c:v>
                      </c:pt>
                      <c:pt idx="82">
                        <c:v>239</c:v>
                      </c:pt>
                      <c:pt idx="83">
                        <c:v>112</c:v>
                      </c:pt>
                      <c:pt idx="84">
                        <c:v>252</c:v>
                      </c:pt>
                      <c:pt idx="85">
                        <c:v>231</c:v>
                      </c:pt>
                      <c:pt idx="86">
                        <c:v>180</c:v>
                      </c:pt>
                      <c:pt idx="87">
                        <c:v>128</c:v>
                      </c:pt>
                      <c:pt idx="88">
                        <c:v>77</c:v>
                      </c:pt>
                      <c:pt idx="89">
                        <c:v>117</c:v>
                      </c:pt>
                      <c:pt idx="90">
                        <c:v>176</c:v>
                      </c:pt>
                      <c:pt idx="91">
                        <c:v>98</c:v>
                      </c:pt>
                      <c:pt idx="92">
                        <c:v>126</c:v>
                      </c:pt>
                      <c:pt idx="93">
                        <c:v>196</c:v>
                      </c:pt>
                      <c:pt idx="94">
                        <c:v>187</c:v>
                      </c:pt>
                      <c:pt idx="95">
                        <c:v>137</c:v>
                      </c:pt>
                      <c:pt idx="96">
                        <c:v>133</c:v>
                      </c:pt>
                      <c:pt idx="97">
                        <c:v>234</c:v>
                      </c:pt>
                      <c:pt idx="98">
                        <c:v>242</c:v>
                      </c:pt>
                      <c:pt idx="99">
                        <c:v>102</c:v>
                      </c:pt>
                      <c:pt idx="100">
                        <c:v>65</c:v>
                      </c:pt>
                      <c:pt idx="101">
                        <c:v>124</c:v>
                      </c:pt>
                      <c:pt idx="102">
                        <c:v>224</c:v>
                      </c:pt>
                      <c:pt idx="103">
                        <c:v>70</c:v>
                      </c:pt>
                      <c:pt idx="104">
                        <c:v>93</c:v>
                      </c:pt>
                      <c:pt idx="105">
                        <c:v>185</c:v>
                      </c:pt>
                      <c:pt idx="106">
                        <c:v>146</c:v>
                      </c:pt>
                      <c:pt idx="107">
                        <c:v>117</c:v>
                      </c:pt>
                      <c:pt idx="108">
                        <c:v>180</c:v>
                      </c:pt>
                      <c:pt idx="109">
                        <c:v>228</c:v>
                      </c:pt>
                      <c:pt idx="110">
                        <c:v>313</c:v>
                      </c:pt>
                      <c:pt idx="111">
                        <c:v>108</c:v>
                      </c:pt>
                      <c:pt idx="112">
                        <c:v>75</c:v>
                      </c:pt>
                      <c:pt idx="113">
                        <c:v>154</c:v>
                      </c:pt>
                      <c:pt idx="114">
                        <c:v>248</c:v>
                      </c:pt>
                      <c:pt idx="115">
                        <c:v>76</c:v>
                      </c:pt>
                      <c:pt idx="116" formatCode="General">
                        <c:v>99</c:v>
                      </c:pt>
                      <c:pt idx="117">
                        <c:v>209</c:v>
                      </c:pt>
                      <c:pt idx="118">
                        <c:v>114</c:v>
                      </c:pt>
                      <c:pt idx="119">
                        <c:v>97</c:v>
                      </c:pt>
                      <c:pt idx="120">
                        <c:v>165</c:v>
                      </c:pt>
                      <c:pt idx="121">
                        <c:v>265</c:v>
                      </c:pt>
                      <c:pt idx="122">
                        <c:v>226</c:v>
                      </c:pt>
                      <c:pt idx="123">
                        <c:v>167</c:v>
                      </c:pt>
                      <c:pt idx="124">
                        <c:v>67</c:v>
                      </c:pt>
                      <c:pt idx="125">
                        <c:v>147</c:v>
                      </c:pt>
                      <c:pt idx="126">
                        <c:v>267</c:v>
                      </c:pt>
                      <c:pt idx="127">
                        <c:v>116</c:v>
                      </c:pt>
                      <c:pt idx="128">
                        <c:v>166</c:v>
                      </c:pt>
                      <c:pt idx="129">
                        <c:v>230</c:v>
                      </c:pt>
                      <c:pt idx="130">
                        <c:v>154</c:v>
                      </c:pt>
                      <c:pt idx="131">
                        <c:v>150</c:v>
                      </c:pt>
                      <c:pt idx="132">
                        <c:v>202</c:v>
                      </c:pt>
                      <c:pt idx="133">
                        <c:v>365</c:v>
                      </c:pt>
                      <c:pt idx="134">
                        <c:v>309</c:v>
                      </c:pt>
                      <c:pt idx="135">
                        <c:v>194</c:v>
                      </c:pt>
                      <c:pt idx="136">
                        <c:v>79</c:v>
                      </c:pt>
                      <c:pt idx="137">
                        <c:v>144</c:v>
                      </c:pt>
                      <c:pt idx="138">
                        <c:v>268</c:v>
                      </c:pt>
                      <c:pt idx="139">
                        <c:v>88</c:v>
                      </c:pt>
                      <c:pt idx="140">
                        <c:v>172</c:v>
                      </c:pt>
                      <c:pt idx="141">
                        <c:v>309</c:v>
                      </c:pt>
                      <c:pt idx="142">
                        <c:v>189</c:v>
                      </c:pt>
                      <c:pt idx="143">
                        <c:v>154</c:v>
                      </c:pt>
                      <c:pt idx="144" formatCode="_(* #,##0_);_(* \(#,##0\);_(* &quot;-&quot;??_);_(@_)">
                        <c:v>229</c:v>
                      </c:pt>
                      <c:pt idx="145">
                        <c:v>408</c:v>
                      </c:pt>
                      <c:pt idx="146">
                        <c:v>247</c:v>
                      </c:pt>
                      <c:pt idx="147">
                        <c:v>255</c:v>
                      </c:pt>
                      <c:pt idx="148" formatCode="_(* #,##0_);_(* \(#,##0\);_(* &quot;-&quot;??_);_(@_)">
                        <c:v>103</c:v>
                      </c:pt>
                      <c:pt idx="149" formatCode="_(* #,##0_);_(* \(#,##0\);_(* &quot;-&quot;??_);_(@_)">
                        <c:v>140</c:v>
                      </c:pt>
                      <c:pt idx="150" formatCode="_(* #,##0_);_(* \(#,##0\);_(* &quot;-&quot;??_);_(@_)">
                        <c:v>343</c:v>
                      </c:pt>
                      <c:pt idx="151" formatCode="_(* #,##0_);_(* \(#,##0\);_(* &quot;-&quot;??_);_(@_)">
                        <c:v>141</c:v>
                      </c:pt>
                      <c:pt idx="152" formatCode="_(* #,##0_);_(* \(#,##0\);_(* &quot;-&quot;??_);_(@_)">
                        <c:v>242</c:v>
                      </c:pt>
                      <c:pt idx="153" formatCode="_(* #,##0_);_(* \(#,##0\);_(* &quot;-&quot;??_);_(@_)">
                        <c:v>175</c:v>
                      </c:pt>
                      <c:pt idx="154" formatCode="_(* #,##0_);_(* \(#,##0\);_(* &quot;-&quot;??_);_(@_)">
                        <c:v>177</c:v>
                      </c:pt>
                      <c:pt idx="155" formatCode="_(* #,##0_);_(* \(#,##0\);_(* &quot;-&quot;??_);_(@_)">
                        <c:v>150</c:v>
                      </c:pt>
                      <c:pt idx="156">
                        <c:v>283</c:v>
                      </c:pt>
                      <c:pt idx="157">
                        <c:v>504</c:v>
                      </c:pt>
                      <c:pt idx="158">
                        <c:v>137</c:v>
                      </c:pt>
                      <c:pt idx="159">
                        <c:v>2</c:v>
                      </c:pt>
                      <c:pt idx="160">
                        <c:v>2</c:v>
                      </c:pt>
                      <c:pt idx="161">
                        <c:v>4</c:v>
                      </c:pt>
                      <c:pt idx="162">
                        <c:v>7</c:v>
                      </c:pt>
                      <c:pt idx="163">
                        <c:v>2</c:v>
                      </c:pt>
                      <c:pt idx="164">
                        <c:v>11</c:v>
                      </c:pt>
                      <c:pt idx="165">
                        <c:v>16</c:v>
                      </c:pt>
                      <c:pt idx="166">
                        <c:v>7</c:v>
                      </c:pt>
                      <c:pt idx="167">
                        <c:v>15</c:v>
                      </c:pt>
                      <c:pt idx="168">
                        <c:v>12</c:v>
                      </c:pt>
                      <c:pt idx="169">
                        <c:v>7</c:v>
                      </c:pt>
                      <c:pt idx="170">
                        <c:v>9</c:v>
                      </c:pt>
                      <c:pt idx="171">
                        <c:v>4</c:v>
                      </c:pt>
                      <c:pt idx="172">
                        <c:v>13</c:v>
                      </c:pt>
                    </c:numCache>
                  </c:numRef>
                </c:val>
                <c:smooth val="0"/>
                <c:extLst xmlns:c15="http://schemas.microsoft.com/office/drawing/2012/chart">
                  <c:ext xmlns:c16="http://schemas.microsoft.com/office/drawing/2014/chart" uri="{C3380CC4-5D6E-409C-BE32-E72D297353CC}">
                    <c16:uniqueId val="{00000018-E690-4C59-A7C2-6B6BC695708B}"/>
                  </c:ext>
                </c:extLst>
              </c15:ser>
            </c15:filteredLineSeries>
            <c15:filteredLineSeries>
              <c15:ser>
                <c:idx val="25"/>
                <c:order val="25"/>
                <c:tx>
                  <c:strRef>
                    <c:extLst xmlns:c15="http://schemas.microsoft.com/office/drawing/2012/chart">
                      <c:ext xmlns:c15="http://schemas.microsoft.com/office/drawing/2012/chart" uri="{02D57815-91ED-43cb-92C2-25804820EDAC}">
                        <c15:formulaRef>
                          <c15:sqref>'Tendencias nacionalidad'!$C$79</c15:sqref>
                        </c15:formulaRef>
                      </c:ext>
                    </c:extLst>
                    <c:strCache>
                      <c:ptCount val="1"/>
                      <c:pt idx="0">
                        <c:v>Israel</c:v>
                      </c:pt>
                    </c:strCache>
                  </c:strRef>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nacionalidad'!$D$79:$GA$79</c15:sqref>
                        </c15:fullRef>
                        <c15:formulaRef>
                          <c15:sqref>'Tendencias nacionalidad'!$D$79:$FT$79</c15:sqref>
                        </c15:formulaRef>
                      </c:ext>
                    </c:extLst>
                    <c:numCache>
                      <c:formatCode>#,##0</c:formatCode>
                      <c:ptCount val="173"/>
                      <c:pt idx="0">
                        <c:v>78</c:v>
                      </c:pt>
                      <c:pt idx="1">
                        <c:v>103</c:v>
                      </c:pt>
                      <c:pt idx="2">
                        <c:v>184</c:v>
                      </c:pt>
                      <c:pt idx="3">
                        <c:v>112</c:v>
                      </c:pt>
                      <c:pt idx="4">
                        <c:v>114</c:v>
                      </c:pt>
                      <c:pt idx="5">
                        <c:v>148</c:v>
                      </c:pt>
                      <c:pt idx="6">
                        <c:v>197</c:v>
                      </c:pt>
                      <c:pt idx="7">
                        <c:v>193</c:v>
                      </c:pt>
                      <c:pt idx="8">
                        <c:v>181</c:v>
                      </c:pt>
                      <c:pt idx="9">
                        <c:v>180</c:v>
                      </c:pt>
                      <c:pt idx="10">
                        <c:v>90</c:v>
                      </c:pt>
                      <c:pt idx="11">
                        <c:v>80</c:v>
                      </c:pt>
                      <c:pt idx="12">
                        <c:v>155</c:v>
                      </c:pt>
                      <c:pt idx="13">
                        <c:v>173</c:v>
                      </c:pt>
                      <c:pt idx="14">
                        <c:v>175</c:v>
                      </c:pt>
                      <c:pt idx="15">
                        <c:v>248</c:v>
                      </c:pt>
                      <c:pt idx="16">
                        <c:v>167</c:v>
                      </c:pt>
                      <c:pt idx="17">
                        <c:v>202</c:v>
                      </c:pt>
                      <c:pt idx="18">
                        <c:v>236</c:v>
                      </c:pt>
                      <c:pt idx="19">
                        <c:v>262</c:v>
                      </c:pt>
                      <c:pt idx="20">
                        <c:v>246</c:v>
                      </c:pt>
                      <c:pt idx="21">
                        <c:v>170</c:v>
                      </c:pt>
                      <c:pt idx="22">
                        <c:v>145</c:v>
                      </c:pt>
                      <c:pt idx="23">
                        <c:v>145</c:v>
                      </c:pt>
                      <c:pt idx="24">
                        <c:v>130</c:v>
                      </c:pt>
                      <c:pt idx="25">
                        <c:v>123</c:v>
                      </c:pt>
                      <c:pt idx="26">
                        <c:v>218</c:v>
                      </c:pt>
                      <c:pt idx="27">
                        <c:v>241</c:v>
                      </c:pt>
                      <c:pt idx="28">
                        <c:v>241</c:v>
                      </c:pt>
                      <c:pt idx="29">
                        <c:v>241</c:v>
                      </c:pt>
                      <c:pt idx="30">
                        <c:v>289</c:v>
                      </c:pt>
                      <c:pt idx="31">
                        <c:v>236</c:v>
                      </c:pt>
                      <c:pt idx="32">
                        <c:v>213</c:v>
                      </c:pt>
                      <c:pt idx="33">
                        <c:v>154</c:v>
                      </c:pt>
                      <c:pt idx="34">
                        <c:v>149</c:v>
                      </c:pt>
                      <c:pt idx="35">
                        <c:v>91</c:v>
                      </c:pt>
                      <c:pt idx="36">
                        <c:v>175</c:v>
                      </c:pt>
                      <c:pt idx="37">
                        <c:v>112</c:v>
                      </c:pt>
                      <c:pt idx="38">
                        <c:v>279</c:v>
                      </c:pt>
                      <c:pt idx="39">
                        <c:v>168</c:v>
                      </c:pt>
                      <c:pt idx="40">
                        <c:v>152</c:v>
                      </c:pt>
                      <c:pt idx="41">
                        <c:v>226</c:v>
                      </c:pt>
                      <c:pt idx="42">
                        <c:v>249</c:v>
                      </c:pt>
                      <c:pt idx="43">
                        <c:v>261</c:v>
                      </c:pt>
                      <c:pt idx="44">
                        <c:v>217</c:v>
                      </c:pt>
                      <c:pt idx="45">
                        <c:v>88</c:v>
                      </c:pt>
                      <c:pt idx="46">
                        <c:v>87</c:v>
                      </c:pt>
                      <c:pt idx="47">
                        <c:v>78</c:v>
                      </c:pt>
                      <c:pt idx="48">
                        <c:v>118</c:v>
                      </c:pt>
                      <c:pt idx="49">
                        <c:v>139</c:v>
                      </c:pt>
                      <c:pt idx="50">
                        <c:v>125</c:v>
                      </c:pt>
                      <c:pt idx="51">
                        <c:v>217</c:v>
                      </c:pt>
                      <c:pt idx="52">
                        <c:v>175</c:v>
                      </c:pt>
                      <c:pt idx="53">
                        <c:v>150</c:v>
                      </c:pt>
                      <c:pt idx="54">
                        <c:v>262</c:v>
                      </c:pt>
                      <c:pt idx="55">
                        <c:v>198</c:v>
                      </c:pt>
                      <c:pt idx="56">
                        <c:v>219</c:v>
                      </c:pt>
                      <c:pt idx="57">
                        <c:v>271</c:v>
                      </c:pt>
                      <c:pt idx="58">
                        <c:v>98</c:v>
                      </c:pt>
                      <c:pt idx="59">
                        <c:v>86</c:v>
                      </c:pt>
                      <c:pt idx="60">
                        <c:v>133</c:v>
                      </c:pt>
                      <c:pt idx="61">
                        <c:v>119</c:v>
                      </c:pt>
                      <c:pt idx="62">
                        <c:v>163</c:v>
                      </c:pt>
                      <c:pt idx="63">
                        <c:v>213</c:v>
                      </c:pt>
                      <c:pt idx="64">
                        <c:v>210</c:v>
                      </c:pt>
                      <c:pt idx="65">
                        <c:v>203</c:v>
                      </c:pt>
                      <c:pt idx="66">
                        <c:v>253</c:v>
                      </c:pt>
                      <c:pt idx="67">
                        <c:v>221</c:v>
                      </c:pt>
                      <c:pt idx="68">
                        <c:v>326</c:v>
                      </c:pt>
                      <c:pt idx="69">
                        <c:v>176</c:v>
                      </c:pt>
                      <c:pt idx="70">
                        <c:v>131</c:v>
                      </c:pt>
                      <c:pt idx="71">
                        <c:v>106</c:v>
                      </c:pt>
                      <c:pt idx="72">
                        <c:v>135</c:v>
                      </c:pt>
                      <c:pt idx="73">
                        <c:v>152</c:v>
                      </c:pt>
                      <c:pt idx="74">
                        <c:v>185</c:v>
                      </c:pt>
                      <c:pt idx="75">
                        <c:v>132</c:v>
                      </c:pt>
                      <c:pt idx="76">
                        <c:v>195</c:v>
                      </c:pt>
                      <c:pt idx="77">
                        <c:v>177</c:v>
                      </c:pt>
                      <c:pt idx="78">
                        <c:v>258</c:v>
                      </c:pt>
                      <c:pt idx="79">
                        <c:v>175</c:v>
                      </c:pt>
                      <c:pt idx="80">
                        <c:v>275</c:v>
                      </c:pt>
                      <c:pt idx="81">
                        <c:v>119</c:v>
                      </c:pt>
                      <c:pt idx="82">
                        <c:v>118</c:v>
                      </c:pt>
                      <c:pt idx="83">
                        <c:v>86</c:v>
                      </c:pt>
                      <c:pt idx="84">
                        <c:v>153</c:v>
                      </c:pt>
                      <c:pt idx="85">
                        <c:v>143</c:v>
                      </c:pt>
                      <c:pt idx="86">
                        <c:v>161</c:v>
                      </c:pt>
                      <c:pt idx="87">
                        <c:v>201</c:v>
                      </c:pt>
                      <c:pt idx="88">
                        <c:v>206</c:v>
                      </c:pt>
                      <c:pt idx="89">
                        <c:v>181</c:v>
                      </c:pt>
                      <c:pt idx="90">
                        <c:v>278</c:v>
                      </c:pt>
                      <c:pt idx="91">
                        <c:v>198</c:v>
                      </c:pt>
                      <c:pt idx="92">
                        <c:v>227</c:v>
                      </c:pt>
                      <c:pt idx="93">
                        <c:v>207</c:v>
                      </c:pt>
                      <c:pt idx="94">
                        <c:v>126</c:v>
                      </c:pt>
                      <c:pt idx="95">
                        <c:v>73</c:v>
                      </c:pt>
                      <c:pt idx="96">
                        <c:v>204</c:v>
                      </c:pt>
                      <c:pt idx="97">
                        <c:v>104</c:v>
                      </c:pt>
                      <c:pt idx="98">
                        <c:v>171</c:v>
                      </c:pt>
                      <c:pt idx="99">
                        <c:v>264</c:v>
                      </c:pt>
                      <c:pt idx="100">
                        <c:v>250</c:v>
                      </c:pt>
                      <c:pt idx="101">
                        <c:v>188</c:v>
                      </c:pt>
                      <c:pt idx="102">
                        <c:v>204</c:v>
                      </c:pt>
                      <c:pt idx="103">
                        <c:v>170</c:v>
                      </c:pt>
                      <c:pt idx="104">
                        <c:v>298</c:v>
                      </c:pt>
                      <c:pt idx="105">
                        <c:v>111</c:v>
                      </c:pt>
                      <c:pt idx="106">
                        <c:v>147</c:v>
                      </c:pt>
                      <c:pt idx="107">
                        <c:v>77</c:v>
                      </c:pt>
                      <c:pt idx="108">
                        <c:v>124</c:v>
                      </c:pt>
                      <c:pt idx="109">
                        <c:v>147</c:v>
                      </c:pt>
                      <c:pt idx="110">
                        <c:v>120</c:v>
                      </c:pt>
                      <c:pt idx="111">
                        <c:v>273</c:v>
                      </c:pt>
                      <c:pt idx="112">
                        <c:v>157</c:v>
                      </c:pt>
                      <c:pt idx="113">
                        <c:v>220</c:v>
                      </c:pt>
                      <c:pt idx="114">
                        <c:v>209</c:v>
                      </c:pt>
                      <c:pt idx="115">
                        <c:v>188</c:v>
                      </c:pt>
                      <c:pt idx="116" formatCode="General">
                        <c:v>175</c:v>
                      </c:pt>
                      <c:pt idx="117">
                        <c:v>245</c:v>
                      </c:pt>
                      <c:pt idx="118">
                        <c:v>107</c:v>
                      </c:pt>
                      <c:pt idx="119">
                        <c:v>136</c:v>
                      </c:pt>
                      <c:pt idx="120">
                        <c:v>102</c:v>
                      </c:pt>
                      <c:pt idx="121">
                        <c:v>109</c:v>
                      </c:pt>
                      <c:pt idx="122">
                        <c:v>146</c:v>
                      </c:pt>
                      <c:pt idx="123">
                        <c:v>271</c:v>
                      </c:pt>
                      <c:pt idx="124">
                        <c:v>156</c:v>
                      </c:pt>
                      <c:pt idx="125">
                        <c:v>142</c:v>
                      </c:pt>
                      <c:pt idx="126">
                        <c:v>179</c:v>
                      </c:pt>
                      <c:pt idx="127">
                        <c:v>186</c:v>
                      </c:pt>
                      <c:pt idx="128">
                        <c:v>144</c:v>
                      </c:pt>
                      <c:pt idx="129">
                        <c:v>117</c:v>
                      </c:pt>
                      <c:pt idx="130">
                        <c:v>104</c:v>
                      </c:pt>
                      <c:pt idx="131">
                        <c:v>119</c:v>
                      </c:pt>
                      <c:pt idx="132">
                        <c:v>145</c:v>
                      </c:pt>
                      <c:pt idx="133">
                        <c:v>134</c:v>
                      </c:pt>
                      <c:pt idx="134">
                        <c:v>200</c:v>
                      </c:pt>
                      <c:pt idx="135">
                        <c:v>232</c:v>
                      </c:pt>
                      <c:pt idx="136">
                        <c:v>249</c:v>
                      </c:pt>
                      <c:pt idx="137">
                        <c:v>206</c:v>
                      </c:pt>
                      <c:pt idx="138">
                        <c:v>241</c:v>
                      </c:pt>
                      <c:pt idx="139">
                        <c:v>250</c:v>
                      </c:pt>
                      <c:pt idx="140">
                        <c:v>307</c:v>
                      </c:pt>
                      <c:pt idx="141">
                        <c:v>141</c:v>
                      </c:pt>
                      <c:pt idx="142">
                        <c:v>72</c:v>
                      </c:pt>
                      <c:pt idx="143">
                        <c:v>230</c:v>
                      </c:pt>
                      <c:pt idx="144" formatCode="_(* #,##0_);_(* \(#,##0\);_(* &quot;-&quot;??_);_(@_)">
                        <c:v>127</c:v>
                      </c:pt>
                      <c:pt idx="145">
                        <c:v>102</c:v>
                      </c:pt>
                      <c:pt idx="146">
                        <c:v>181</c:v>
                      </c:pt>
                      <c:pt idx="147">
                        <c:v>326</c:v>
                      </c:pt>
                      <c:pt idx="148" formatCode="_(* #,##0_);_(* \(#,##0\);_(* &quot;-&quot;??_);_(@_)">
                        <c:v>267</c:v>
                      </c:pt>
                      <c:pt idx="149" formatCode="_(* #,##0_);_(* \(#,##0\);_(* &quot;-&quot;??_);_(@_)">
                        <c:v>227</c:v>
                      </c:pt>
                      <c:pt idx="150" formatCode="_(* #,##0_);_(* \(#,##0\);_(* &quot;-&quot;??_);_(@_)">
                        <c:v>312</c:v>
                      </c:pt>
                      <c:pt idx="151" formatCode="_(* #,##0_);_(* \(#,##0\);_(* &quot;-&quot;??_);_(@_)">
                        <c:v>221</c:v>
                      </c:pt>
                      <c:pt idx="152" formatCode="_(* #,##0_);_(* \(#,##0\);_(* &quot;-&quot;??_);_(@_)">
                        <c:v>232</c:v>
                      </c:pt>
                      <c:pt idx="153" formatCode="_(* #,##0_);_(* \(#,##0\);_(* &quot;-&quot;??_);_(@_)">
                        <c:v>262</c:v>
                      </c:pt>
                      <c:pt idx="154" formatCode="_(* #,##0_);_(* \(#,##0\);_(* &quot;-&quot;??_);_(@_)">
                        <c:v>139</c:v>
                      </c:pt>
                      <c:pt idx="155" formatCode="_(* #,##0_);_(* \(#,##0\);_(* &quot;-&quot;??_);_(@_)">
                        <c:v>165</c:v>
                      </c:pt>
                      <c:pt idx="156">
                        <c:v>173</c:v>
                      </c:pt>
                      <c:pt idx="157">
                        <c:v>113</c:v>
                      </c:pt>
                      <c:pt idx="158">
                        <c:v>75</c:v>
                      </c:pt>
                      <c:pt idx="161">
                        <c:v>1</c:v>
                      </c:pt>
                      <c:pt idx="162">
                        <c:v>5</c:v>
                      </c:pt>
                      <c:pt idx="163">
                        <c:v>12</c:v>
                      </c:pt>
                      <c:pt idx="164">
                        <c:v>7</c:v>
                      </c:pt>
                      <c:pt idx="165">
                        <c:v>12</c:v>
                      </c:pt>
                      <c:pt idx="166">
                        <c:v>24</c:v>
                      </c:pt>
                      <c:pt idx="167">
                        <c:v>21</c:v>
                      </c:pt>
                      <c:pt idx="168">
                        <c:v>29</c:v>
                      </c:pt>
                      <c:pt idx="169">
                        <c:v>7</c:v>
                      </c:pt>
                      <c:pt idx="170">
                        <c:v>24</c:v>
                      </c:pt>
                      <c:pt idx="171">
                        <c:v>46</c:v>
                      </c:pt>
                      <c:pt idx="172">
                        <c:v>42</c:v>
                      </c:pt>
                    </c:numCache>
                  </c:numRef>
                </c:val>
                <c:smooth val="0"/>
                <c:extLst xmlns:c15="http://schemas.microsoft.com/office/drawing/2012/chart">
                  <c:ext xmlns:c16="http://schemas.microsoft.com/office/drawing/2014/chart" uri="{C3380CC4-5D6E-409C-BE32-E72D297353CC}">
                    <c16:uniqueId val="{00000019-E690-4C59-A7C2-6B6BC695708B}"/>
                  </c:ext>
                </c:extLst>
              </c15:ser>
            </c15:filteredLineSeries>
            <c15:filteredLineSeries>
              <c15:ser>
                <c:idx val="26"/>
                <c:order val="26"/>
                <c:tx>
                  <c:strRef>
                    <c:extLst xmlns:c15="http://schemas.microsoft.com/office/drawing/2012/chart">
                      <c:ext xmlns:c15="http://schemas.microsoft.com/office/drawing/2012/chart" uri="{02D57815-91ED-43cb-92C2-25804820EDAC}">
                        <c15:formulaRef>
                          <c15:sqref>'Tendencias nacionalidad'!$C$80</c15:sqref>
                        </c15:formulaRef>
                      </c:ext>
                    </c:extLst>
                    <c:strCache>
                      <c:ptCount val="1"/>
                      <c:pt idx="0">
                        <c:v>Rusia</c:v>
                      </c:pt>
                    </c:strCache>
                  </c:strRef>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nacionalidad'!$D$80:$GA$80</c15:sqref>
                        </c15:fullRef>
                        <c15:formulaRef>
                          <c15:sqref>'Tendencias nacionalidad'!$D$80:$FT$80</c15:sqref>
                        </c15:formulaRef>
                      </c:ext>
                    </c:extLst>
                    <c:numCache>
                      <c:formatCode>#,##0</c:formatCode>
                      <c:ptCount val="173"/>
                      <c:pt idx="0">
                        <c:v>120</c:v>
                      </c:pt>
                      <c:pt idx="1">
                        <c:v>59</c:v>
                      </c:pt>
                      <c:pt idx="2">
                        <c:v>128</c:v>
                      </c:pt>
                      <c:pt idx="3">
                        <c:v>109</c:v>
                      </c:pt>
                      <c:pt idx="4">
                        <c:v>113</c:v>
                      </c:pt>
                      <c:pt idx="5">
                        <c:v>72</c:v>
                      </c:pt>
                      <c:pt idx="6">
                        <c:v>102</c:v>
                      </c:pt>
                      <c:pt idx="7">
                        <c:v>118</c:v>
                      </c:pt>
                      <c:pt idx="8">
                        <c:v>110</c:v>
                      </c:pt>
                      <c:pt idx="9">
                        <c:v>166</c:v>
                      </c:pt>
                      <c:pt idx="10">
                        <c:v>172</c:v>
                      </c:pt>
                      <c:pt idx="11">
                        <c:v>155</c:v>
                      </c:pt>
                      <c:pt idx="12">
                        <c:v>194</c:v>
                      </c:pt>
                      <c:pt idx="13">
                        <c:v>225</c:v>
                      </c:pt>
                      <c:pt idx="14">
                        <c:v>75</c:v>
                      </c:pt>
                      <c:pt idx="15">
                        <c:v>146</c:v>
                      </c:pt>
                      <c:pt idx="16">
                        <c:v>108</c:v>
                      </c:pt>
                      <c:pt idx="17">
                        <c:v>91</c:v>
                      </c:pt>
                      <c:pt idx="18">
                        <c:v>59</c:v>
                      </c:pt>
                      <c:pt idx="19">
                        <c:v>146</c:v>
                      </c:pt>
                      <c:pt idx="20">
                        <c:v>144</c:v>
                      </c:pt>
                      <c:pt idx="21">
                        <c:v>246</c:v>
                      </c:pt>
                      <c:pt idx="22">
                        <c:v>176</c:v>
                      </c:pt>
                      <c:pt idx="23">
                        <c:v>156</c:v>
                      </c:pt>
                      <c:pt idx="24">
                        <c:v>242</c:v>
                      </c:pt>
                      <c:pt idx="25">
                        <c:v>112</c:v>
                      </c:pt>
                      <c:pt idx="26">
                        <c:v>107</c:v>
                      </c:pt>
                      <c:pt idx="27">
                        <c:v>162</c:v>
                      </c:pt>
                      <c:pt idx="28">
                        <c:v>132</c:v>
                      </c:pt>
                      <c:pt idx="29">
                        <c:v>102</c:v>
                      </c:pt>
                      <c:pt idx="30">
                        <c:v>113</c:v>
                      </c:pt>
                      <c:pt idx="31">
                        <c:v>121</c:v>
                      </c:pt>
                      <c:pt idx="32">
                        <c:v>168</c:v>
                      </c:pt>
                      <c:pt idx="33">
                        <c:v>111</c:v>
                      </c:pt>
                      <c:pt idx="34">
                        <c:v>109</c:v>
                      </c:pt>
                      <c:pt idx="35">
                        <c:v>124</c:v>
                      </c:pt>
                      <c:pt idx="36">
                        <c:v>180</c:v>
                      </c:pt>
                      <c:pt idx="37">
                        <c:v>118</c:v>
                      </c:pt>
                      <c:pt idx="38">
                        <c:v>148</c:v>
                      </c:pt>
                      <c:pt idx="39">
                        <c:v>100</c:v>
                      </c:pt>
                      <c:pt idx="40">
                        <c:v>129</c:v>
                      </c:pt>
                      <c:pt idx="41">
                        <c:v>93</c:v>
                      </c:pt>
                      <c:pt idx="42">
                        <c:v>88</c:v>
                      </c:pt>
                      <c:pt idx="43">
                        <c:v>74</c:v>
                      </c:pt>
                      <c:pt idx="44">
                        <c:v>110</c:v>
                      </c:pt>
                      <c:pt idx="45">
                        <c:v>95</c:v>
                      </c:pt>
                      <c:pt idx="46">
                        <c:v>136</c:v>
                      </c:pt>
                      <c:pt idx="47">
                        <c:v>177</c:v>
                      </c:pt>
                      <c:pt idx="48">
                        <c:v>162</c:v>
                      </c:pt>
                      <c:pt idx="49">
                        <c:v>143</c:v>
                      </c:pt>
                      <c:pt idx="50">
                        <c:v>142</c:v>
                      </c:pt>
                      <c:pt idx="51">
                        <c:v>190</c:v>
                      </c:pt>
                      <c:pt idx="52">
                        <c:v>66</c:v>
                      </c:pt>
                      <c:pt idx="53">
                        <c:v>108</c:v>
                      </c:pt>
                      <c:pt idx="54">
                        <c:v>147</c:v>
                      </c:pt>
                      <c:pt idx="55">
                        <c:v>120</c:v>
                      </c:pt>
                      <c:pt idx="56">
                        <c:v>122</c:v>
                      </c:pt>
                      <c:pt idx="57">
                        <c:v>233</c:v>
                      </c:pt>
                      <c:pt idx="58">
                        <c:v>327</c:v>
                      </c:pt>
                      <c:pt idx="59">
                        <c:v>182</c:v>
                      </c:pt>
                      <c:pt idx="60">
                        <c:v>251</c:v>
                      </c:pt>
                      <c:pt idx="61">
                        <c:v>150</c:v>
                      </c:pt>
                      <c:pt idx="62">
                        <c:v>195</c:v>
                      </c:pt>
                      <c:pt idx="63">
                        <c:v>172</c:v>
                      </c:pt>
                      <c:pt idx="64">
                        <c:v>182</c:v>
                      </c:pt>
                      <c:pt idx="65">
                        <c:v>137</c:v>
                      </c:pt>
                      <c:pt idx="66">
                        <c:v>166</c:v>
                      </c:pt>
                      <c:pt idx="67">
                        <c:v>178</c:v>
                      </c:pt>
                      <c:pt idx="68">
                        <c:v>154</c:v>
                      </c:pt>
                      <c:pt idx="69">
                        <c:v>220</c:v>
                      </c:pt>
                      <c:pt idx="70">
                        <c:v>229</c:v>
                      </c:pt>
                      <c:pt idx="71">
                        <c:v>199</c:v>
                      </c:pt>
                      <c:pt idx="72">
                        <c:v>291</c:v>
                      </c:pt>
                      <c:pt idx="73">
                        <c:v>256</c:v>
                      </c:pt>
                      <c:pt idx="74">
                        <c:v>196</c:v>
                      </c:pt>
                      <c:pt idx="75">
                        <c:v>178</c:v>
                      </c:pt>
                      <c:pt idx="76">
                        <c:v>194</c:v>
                      </c:pt>
                      <c:pt idx="77">
                        <c:v>139</c:v>
                      </c:pt>
                      <c:pt idx="78">
                        <c:v>129</c:v>
                      </c:pt>
                      <c:pt idx="79">
                        <c:v>136</c:v>
                      </c:pt>
                      <c:pt idx="80">
                        <c:v>181</c:v>
                      </c:pt>
                      <c:pt idx="81">
                        <c:v>182</c:v>
                      </c:pt>
                      <c:pt idx="82">
                        <c:v>201</c:v>
                      </c:pt>
                      <c:pt idx="83">
                        <c:v>247</c:v>
                      </c:pt>
                      <c:pt idx="84">
                        <c:v>283</c:v>
                      </c:pt>
                      <c:pt idx="85">
                        <c:v>291</c:v>
                      </c:pt>
                      <c:pt idx="86">
                        <c:v>178</c:v>
                      </c:pt>
                      <c:pt idx="87">
                        <c:v>224</c:v>
                      </c:pt>
                      <c:pt idx="88">
                        <c:v>155</c:v>
                      </c:pt>
                      <c:pt idx="89">
                        <c:v>158</c:v>
                      </c:pt>
                      <c:pt idx="90">
                        <c:v>153</c:v>
                      </c:pt>
                      <c:pt idx="91">
                        <c:v>165</c:v>
                      </c:pt>
                      <c:pt idx="92">
                        <c:v>173</c:v>
                      </c:pt>
                      <c:pt idx="93">
                        <c:v>247</c:v>
                      </c:pt>
                      <c:pt idx="94">
                        <c:v>240</c:v>
                      </c:pt>
                      <c:pt idx="95">
                        <c:v>293</c:v>
                      </c:pt>
                      <c:pt idx="96">
                        <c:v>376</c:v>
                      </c:pt>
                      <c:pt idx="97">
                        <c:v>163</c:v>
                      </c:pt>
                      <c:pt idx="98">
                        <c:v>162</c:v>
                      </c:pt>
                      <c:pt idx="99">
                        <c:v>180</c:v>
                      </c:pt>
                      <c:pt idx="100">
                        <c:v>145</c:v>
                      </c:pt>
                      <c:pt idx="101">
                        <c:v>118</c:v>
                      </c:pt>
                      <c:pt idx="102">
                        <c:v>159</c:v>
                      </c:pt>
                      <c:pt idx="103">
                        <c:v>113</c:v>
                      </c:pt>
                      <c:pt idx="104">
                        <c:v>185</c:v>
                      </c:pt>
                      <c:pt idx="105">
                        <c:v>181</c:v>
                      </c:pt>
                      <c:pt idx="106">
                        <c:v>191</c:v>
                      </c:pt>
                      <c:pt idx="107">
                        <c:v>200</c:v>
                      </c:pt>
                      <c:pt idx="108">
                        <c:v>228</c:v>
                      </c:pt>
                      <c:pt idx="109">
                        <c:v>199</c:v>
                      </c:pt>
                      <c:pt idx="110">
                        <c:v>167</c:v>
                      </c:pt>
                      <c:pt idx="111">
                        <c:v>147</c:v>
                      </c:pt>
                      <c:pt idx="112">
                        <c:v>136</c:v>
                      </c:pt>
                      <c:pt idx="113">
                        <c:v>146</c:v>
                      </c:pt>
                      <c:pt idx="114">
                        <c:v>117</c:v>
                      </c:pt>
                      <c:pt idx="115">
                        <c:v>130</c:v>
                      </c:pt>
                      <c:pt idx="116" formatCode="General">
                        <c:v>120</c:v>
                      </c:pt>
                      <c:pt idx="117">
                        <c:v>266</c:v>
                      </c:pt>
                      <c:pt idx="118">
                        <c:v>200</c:v>
                      </c:pt>
                      <c:pt idx="119">
                        <c:v>214</c:v>
                      </c:pt>
                      <c:pt idx="120">
                        <c:v>248</c:v>
                      </c:pt>
                      <c:pt idx="121">
                        <c:v>204</c:v>
                      </c:pt>
                      <c:pt idx="122">
                        <c:v>211</c:v>
                      </c:pt>
                      <c:pt idx="123">
                        <c:v>202</c:v>
                      </c:pt>
                      <c:pt idx="124">
                        <c:v>142</c:v>
                      </c:pt>
                      <c:pt idx="125">
                        <c:v>160</c:v>
                      </c:pt>
                      <c:pt idx="126">
                        <c:v>134</c:v>
                      </c:pt>
                      <c:pt idx="127">
                        <c:v>152</c:v>
                      </c:pt>
                      <c:pt idx="128">
                        <c:v>185</c:v>
                      </c:pt>
                      <c:pt idx="129">
                        <c:v>234</c:v>
                      </c:pt>
                      <c:pt idx="130">
                        <c:v>193</c:v>
                      </c:pt>
                      <c:pt idx="131">
                        <c:v>296</c:v>
                      </c:pt>
                      <c:pt idx="132">
                        <c:v>246</c:v>
                      </c:pt>
                      <c:pt idx="133">
                        <c:v>213</c:v>
                      </c:pt>
                      <c:pt idx="134">
                        <c:v>182</c:v>
                      </c:pt>
                      <c:pt idx="135">
                        <c:v>198</c:v>
                      </c:pt>
                      <c:pt idx="136">
                        <c:v>159</c:v>
                      </c:pt>
                      <c:pt idx="137">
                        <c:v>138</c:v>
                      </c:pt>
                      <c:pt idx="138">
                        <c:v>169</c:v>
                      </c:pt>
                      <c:pt idx="139">
                        <c:v>173</c:v>
                      </c:pt>
                      <c:pt idx="140">
                        <c:v>195</c:v>
                      </c:pt>
                      <c:pt idx="141">
                        <c:v>203</c:v>
                      </c:pt>
                      <c:pt idx="142">
                        <c:v>223</c:v>
                      </c:pt>
                      <c:pt idx="143">
                        <c:v>279</c:v>
                      </c:pt>
                      <c:pt idx="144" formatCode="_(* #,##0_);_(* \(#,##0\);_(* &quot;-&quot;??_);_(@_)">
                        <c:v>262</c:v>
                      </c:pt>
                      <c:pt idx="145">
                        <c:v>212</c:v>
                      </c:pt>
                      <c:pt idx="146">
                        <c:v>207</c:v>
                      </c:pt>
                      <c:pt idx="147">
                        <c:v>218</c:v>
                      </c:pt>
                      <c:pt idx="148" formatCode="_(* #,##0_);_(* \(#,##0\);_(* &quot;-&quot;??_);_(@_)">
                        <c:v>155</c:v>
                      </c:pt>
                      <c:pt idx="149" formatCode="_(* #,##0_);_(* \(#,##0\);_(* &quot;-&quot;??_);_(@_)">
                        <c:v>178</c:v>
                      </c:pt>
                      <c:pt idx="150" formatCode="_(* #,##0_);_(* \(#,##0\);_(* &quot;-&quot;??_);_(@_)">
                        <c:v>194</c:v>
                      </c:pt>
                      <c:pt idx="151" formatCode="_(* #,##0_);_(* \(#,##0\);_(* &quot;-&quot;??_);_(@_)">
                        <c:v>225</c:v>
                      </c:pt>
                      <c:pt idx="152" formatCode="_(* #,##0_);_(* \(#,##0\);_(* &quot;-&quot;??_);_(@_)">
                        <c:v>226</c:v>
                      </c:pt>
                      <c:pt idx="153" formatCode="_(* #,##0_);_(* \(#,##0\);_(* &quot;-&quot;??_);_(@_)">
                        <c:v>205</c:v>
                      </c:pt>
                      <c:pt idx="154" formatCode="_(* #,##0_);_(* \(#,##0\);_(* &quot;-&quot;??_);_(@_)">
                        <c:v>228</c:v>
                      </c:pt>
                      <c:pt idx="155" formatCode="_(* #,##0_);_(* \(#,##0\);_(* &quot;-&quot;??_);_(@_)">
                        <c:v>316</c:v>
                      </c:pt>
                      <c:pt idx="156">
                        <c:v>301</c:v>
                      </c:pt>
                      <c:pt idx="157">
                        <c:v>244</c:v>
                      </c:pt>
                      <c:pt idx="158">
                        <c:v>104</c:v>
                      </c:pt>
                      <c:pt idx="159">
                        <c:v>1</c:v>
                      </c:pt>
                      <c:pt idx="160">
                        <c:v>1</c:v>
                      </c:pt>
                      <c:pt idx="161">
                        <c:v>9</c:v>
                      </c:pt>
                      <c:pt idx="162">
                        <c:v>6</c:v>
                      </c:pt>
                      <c:pt idx="163">
                        <c:v>22</c:v>
                      </c:pt>
                      <c:pt idx="164">
                        <c:v>33</c:v>
                      </c:pt>
                      <c:pt idx="165">
                        <c:v>56</c:v>
                      </c:pt>
                      <c:pt idx="166">
                        <c:v>64</c:v>
                      </c:pt>
                      <c:pt idx="167">
                        <c:v>67</c:v>
                      </c:pt>
                      <c:pt idx="168">
                        <c:v>92</c:v>
                      </c:pt>
                      <c:pt idx="169">
                        <c:v>69</c:v>
                      </c:pt>
                      <c:pt idx="170">
                        <c:v>89</c:v>
                      </c:pt>
                      <c:pt idx="171">
                        <c:v>87</c:v>
                      </c:pt>
                      <c:pt idx="172">
                        <c:v>61</c:v>
                      </c:pt>
                    </c:numCache>
                  </c:numRef>
                </c:val>
                <c:smooth val="0"/>
                <c:extLst xmlns:c15="http://schemas.microsoft.com/office/drawing/2012/chart">
                  <c:ext xmlns:c16="http://schemas.microsoft.com/office/drawing/2014/chart" uri="{C3380CC4-5D6E-409C-BE32-E72D297353CC}">
                    <c16:uniqueId val="{0000001A-E690-4C59-A7C2-6B6BC695708B}"/>
                  </c:ext>
                </c:extLst>
              </c15:ser>
            </c15:filteredLineSeries>
            <c15:filteredLineSeries>
              <c15:ser>
                <c:idx val="27"/>
                <c:order val="27"/>
                <c:tx>
                  <c:strRef>
                    <c:extLst xmlns:c15="http://schemas.microsoft.com/office/drawing/2012/chart">
                      <c:ext xmlns:c15="http://schemas.microsoft.com/office/drawing/2012/chart" uri="{02D57815-91ED-43cb-92C2-25804820EDAC}">
                        <c15:formulaRef>
                          <c15:sqref>'Tendencias nacionalidad'!$C$81</c15:sqref>
                        </c15:formulaRef>
                      </c:ext>
                    </c:extLst>
                    <c:strCache>
                      <c:ptCount val="1"/>
                      <c:pt idx="0">
                        <c:v>Uruguay</c:v>
                      </c:pt>
                    </c:strCache>
                  </c:strRef>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nacionalidad'!$D$81:$GA$81</c15:sqref>
                        </c15:fullRef>
                        <c15:formulaRef>
                          <c15:sqref>'Tendencias nacionalidad'!$D$81:$FT$81</c15:sqref>
                        </c15:formulaRef>
                      </c:ext>
                    </c:extLst>
                    <c:numCache>
                      <c:formatCode>#,##0</c:formatCode>
                      <c:ptCount val="173"/>
                      <c:pt idx="0">
                        <c:v>90</c:v>
                      </c:pt>
                      <c:pt idx="1">
                        <c:v>70</c:v>
                      </c:pt>
                      <c:pt idx="2">
                        <c:v>94</c:v>
                      </c:pt>
                      <c:pt idx="3">
                        <c:v>80</c:v>
                      </c:pt>
                      <c:pt idx="4">
                        <c:v>77</c:v>
                      </c:pt>
                      <c:pt idx="5">
                        <c:v>104</c:v>
                      </c:pt>
                      <c:pt idx="6">
                        <c:v>112</c:v>
                      </c:pt>
                      <c:pt idx="7">
                        <c:v>170</c:v>
                      </c:pt>
                      <c:pt idx="8">
                        <c:v>120</c:v>
                      </c:pt>
                      <c:pt idx="9">
                        <c:v>184</c:v>
                      </c:pt>
                      <c:pt idx="10">
                        <c:v>125</c:v>
                      </c:pt>
                      <c:pt idx="11">
                        <c:v>60</c:v>
                      </c:pt>
                      <c:pt idx="12">
                        <c:v>96</c:v>
                      </c:pt>
                      <c:pt idx="13">
                        <c:v>129</c:v>
                      </c:pt>
                      <c:pt idx="14">
                        <c:v>105</c:v>
                      </c:pt>
                      <c:pt idx="15">
                        <c:v>118</c:v>
                      </c:pt>
                      <c:pt idx="16">
                        <c:v>121</c:v>
                      </c:pt>
                      <c:pt idx="17">
                        <c:v>112</c:v>
                      </c:pt>
                      <c:pt idx="18">
                        <c:v>164</c:v>
                      </c:pt>
                      <c:pt idx="19">
                        <c:v>138</c:v>
                      </c:pt>
                      <c:pt idx="20">
                        <c:v>125</c:v>
                      </c:pt>
                      <c:pt idx="21">
                        <c:v>137</c:v>
                      </c:pt>
                      <c:pt idx="22">
                        <c:v>167</c:v>
                      </c:pt>
                      <c:pt idx="23">
                        <c:v>102</c:v>
                      </c:pt>
                      <c:pt idx="24">
                        <c:v>111</c:v>
                      </c:pt>
                      <c:pt idx="25">
                        <c:v>90</c:v>
                      </c:pt>
                      <c:pt idx="26">
                        <c:v>127</c:v>
                      </c:pt>
                      <c:pt idx="27">
                        <c:v>124</c:v>
                      </c:pt>
                      <c:pt idx="28">
                        <c:v>129.5</c:v>
                      </c:pt>
                      <c:pt idx="29">
                        <c:v>135</c:v>
                      </c:pt>
                      <c:pt idx="30">
                        <c:v>136</c:v>
                      </c:pt>
                      <c:pt idx="31">
                        <c:v>128</c:v>
                      </c:pt>
                      <c:pt idx="32">
                        <c:v>105</c:v>
                      </c:pt>
                      <c:pt idx="33">
                        <c:v>161</c:v>
                      </c:pt>
                      <c:pt idx="34">
                        <c:v>145</c:v>
                      </c:pt>
                      <c:pt idx="35">
                        <c:v>92</c:v>
                      </c:pt>
                      <c:pt idx="36">
                        <c:v>110</c:v>
                      </c:pt>
                      <c:pt idx="37">
                        <c:v>117</c:v>
                      </c:pt>
                      <c:pt idx="38">
                        <c:v>126</c:v>
                      </c:pt>
                      <c:pt idx="39">
                        <c:v>133</c:v>
                      </c:pt>
                      <c:pt idx="40">
                        <c:v>112</c:v>
                      </c:pt>
                      <c:pt idx="41">
                        <c:v>130</c:v>
                      </c:pt>
                      <c:pt idx="42">
                        <c:v>106</c:v>
                      </c:pt>
                      <c:pt idx="43">
                        <c:v>129</c:v>
                      </c:pt>
                      <c:pt idx="44">
                        <c:v>98</c:v>
                      </c:pt>
                      <c:pt idx="45">
                        <c:v>102</c:v>
                      </c:pt>
                      <c:pt idx="46">
                        <c:v>193</c:v>
                      </c:pt>
                      <c:pt idx="47">
                        <c:v>110</c:v>
                      </c:pt>
                      <c:pt idx="48">
                        <c:v>120</c:v>
                      </c:pt>
                      <c:pt idx="49">
                        <c:v>131</c:v>
                      </c:pt>
                      <c:pt idx="50">
                        <c:v>181</c:v>
                      </c:pt>
                      <c:pt idx="51">
                        <c:v>146</c:v>
                      </c:pt>
                      <c:pt idx="52">
                        <c:v>119</c:v>
                      </c:pt>
                      <c:pt idx="53">
                        <c:v>111</c:v>
                      </c:pt>
                      <c:pt idx="54">
                        <c:v>135</c:v>
                      </c:pt>
                      <c:pt idx="55">
                        <c:v>117</c:v>
                      </c:pt>
                      <c:pt idx="56">
                        <c:v>146</c:v>
                      </c:pt>
                      <c:pt idx="57">
                        <c:v>146</c:v>
                      </c:pt>
                      <c:pt idx="58">
                        <c:v>146</c:v>
                      </c:pt>
                      <c:pt idx="59">
                        <c:v>94</c:v>
                      </c:pt>
                      <c:pt idx="60">
                        <c:v>88</c:v>
                      </c:pt>
                      <c:pt idx="61">
                        <c:v>92</c:v>
                      </c:pt>
                      <c:pt idx="62">
                        <c:v>110</c:v>
                      </c:pt>
                      <c:pt idx="63">
                        <c:v>169</c:v>
                      </c:pt>
                      <c:pt idx="64">
                        <c:v>178</c:v>
                      </c:pt>
                      <c:pt idx="65">
                        <c:v>182</c:v>
                      </c:pt>
                      <c:pt idx="66">
                        <c:v>203</c:v>
                      </c:pt>
                      <c:pt idx="67">
                        <c:v>98</c:v>
                      </c:pt>
                      <c:pt idx="68">
                        <c:v>163</c:v>
                      </c:pt>
                      <c:pt idx="69">
                        <c:v>160</c:v>
                      </c:pt>
                      <c:pt idx="70">
                        <c:v>216</c:v>
                      </c:pt>
                      <c:pt idx="71">
                        <c:v>139</c:v>
                      </c:pt>
                      <c:pt idx="72">
                        <c:v>147</c:v>
                      </c:pt>
                      <c:pt idx="73">
                        <c:v>131</c:v>
                      </c:pt>
                      <c:pt idx="74">
                        <c:v>146</c:v>
                      </c:pt>
                      <c:pt idx="75">
                        <c:v>150</c:v>
                      </c:pt>
                      <c:pt idx="76">
                        <c:v>161</c:v>
                      </c:pt>
                      <c:pt idx="77">
                        <c:v>198</c:v>
                      </c:pt>
                      <c:pt idx="78">
                        <c:v>154</c:v>
                      </c:pt>
                      <c:pt idx="79">
                        <c:v>173</c:v>
                      </c:pt>
                      <c:pt idx="80">
                        <c:v>155</c:v>
                      </c:pt>
                      <c:pt idx="81">
                        <c:v>288</c:v>
                      </c:pt>
                      <c:pt idx="82">
                        <c:v>181</c:v>
                      </c:pt>
                      <c:pt idx="83">
                        <c:v>120</c:v>
                      </c:pt>
                      <c:pt idx="84">
                        <c:v>145</c:v>
                      </c:pt>
                      <c:pt idx="85">
                        <c:v>146</c:v>
                      </c:pt>
                      <c:pt idx="86">
                        <c:v>144</c:v>
                      </c:pt>
                      <c:pt idx="87">
                        <c:v>156</c:v>
                      </c:pt>
                      <c:pt idx="88">
                        <c:v>133</c:v>
                      </c:pt>
                      <c:pt idx="89">
                        <c:v>125</c:v>
                      </c:pt>
                      <c:pt idx="90">
                        <c:v>156</c:v>
                      </c:pt>
                      <c:pt idx="91">
                        <c:v>183</c:v>
                      </c:pt>
                      <c:pt idx="92">
                        <c:v>249</c:v>
                      </c:pt>
                      <c:pt idx="93">
                        <c:v>141</c:v>
                      </c:pt>
                      <c:pt idx="94">
                        <c:v>221</c:v>
                      </c:pt>
                      <c:pt idx="95">
                        <c:v>169</c:v>
                      </c:pt>
                      <c:pt idx="96">
                        <c:v>176</c:v>
                      </c:pt>
                      <c:pt idx="97">
                        <c:v>115</c:v>
                      </c:pt>
                      <c:pt idx="98">
                        <c:v>180</c:v>
                      </c:pt>
                      <c:pt idx="99">
                        <c:v>180</c:v>
                      </c:pt>
                      <c:pt idx="100">
                        <c:v>192</c:v>
                      </c:pt>
                      <c:pt idx="101">
                        <c:v>170</c:v>
                      </c:pt>
                      <c:pt idx="102">
                        <c:v>148</c:v>
                      </c:pt>
                      <c:pt idx="103">
                        <c:v>190</c:v>
                      </c:pt>
                      <c:pt idx="104">
                        <c:v>162</c:v>
                      </c:pt>
                      <c:pt idx="105">
                        <c:v>176</c:v>
                      </c:pt>
                      <c:pt idx="106">
                        <c:v>180</c:v>
                      </c:pt>
                      <c:pt idx="107">
                        <c:v>130</c:v>
                      </c:pt>
                      <c:pt idx="108">
                        <c:v>160</c:v>
                      </c:pt>
                      <c:pt idx="109">
                        <c:v>120</c:v>
                      </c:pt>
                      <c:pt idx="110">
                        <c:v>153</c:v>
                      </c:pt>
                      <c:pt idx="111">
                        <c:v>121</c:v>
                      </c:pt>
                      <c:pt idx="112">
                        <c:v>126</c:v>
                      </c:pt>
                      <c:pt idx="113">
                        <c:v>187</c:v>
                      </c:pt>
                      <c:pt idx="114">
                        <c:v>148</c:v>
                      </c:pt>
                      <c:pt idx="115">
                        <c:v>133</c:v>
                      </c:pt>
                      <c:pt idx="116" formatCode="General">
                        <c:v>126</c:v>
                      </c:pt>
                      <c:pt idx="117">
                        <c:v>231</c:v>
                      </c:pt>
                      <c:pt idx="118">
                        <c:v>192</c:v>
                      </c:pt>
                      <c:pt idx="119">
                        <c:v>155</c:v>
                      </c:pt>
                      <c:pt idx="120">
                        <c:v>279</c:v>
                      </c:pt>
                      <c:pt idx="121">
                        <c:v>182</c:v>
                      </c:pt>
                      <c:pt idx="122">
                        <c:v>147</c:v>
                      </c:pt>
                      <c:pt idx="123">
                        <c:v>152</c:v>
                      </c:pt>
                      <c:pt idx="124">
                        <c:v>125</c:v>
                      </c:pt>
                      <c:pt idx="125">
                        <c:v>152</c:v>
                      </c:pt>
                      <c:pt idx="126">
                        <c:v>203</c:v>
                      </c:pt>
                      <c:pt idx="127">
                        <c:v>198</c:v>
                      </c:pt>
                      <c:pt idx="128">
                        <c:v>213</c:v>
                      </c:pt>
                      <c:pt idx="129">
                        <c:v>185</c:v>
                      </c:pt>
                      <c:pt idx="130">
                        <c:v>205</c:v>
                      </c:pt>
                      <c:pt idx="131">
                        <c:v>242</c:v>
                      </c:pt>
                      <c:pt idx="132">
                        <c:v>240</c:v>
                      </c:pt>
                      <c:pt idx="133">
                        <c:v>134</c:v>
                      </c:pt>
                      <c:pt idx="134">
                        <c:v>197</c:v>
                      </c:pt>
                      <c:pt idx="135">
                        <c:v>152</c:v>
                      </c:pt>
                      <c:pt idx="136">
                        <c:v>183</c:v>
                      </c:pt>
                      <c:pt idx="137">
                        <c:v>238</c:v>
                      </c:pt>
                      <c:pt idx="138">
                        <c:v>201</c:v>
                      </c:pt>
                      <c:pt idx="139">
                        <c:v>184</c:v>
                      </c:pt>
                      <c:pt idx="140">
                        <c:v>193</c:v>
                      </c:pt>
                      <c:pt idx="141">
                        <c:v>217</c:v>
                      </c:pt>
                      <c:pt idx="142">
                        <c:v>232</c:v>
                      </c:pt>
                      <c:pt idx="143">
                        <c:v>203</c:v>
                      </c:pt>
                      <c:pt idx="144" formatCode="_(* #,##0_);_(* \(#,##0\);_(* &quot;-&quot;??_);_(@_)">
                        <c:v>191</c:v>
                      </c:pt>
                      <c:pt idx="145">
                        <c:v>196</c:v>
                      </c:pt>
                      <c:pt idx="146">
                        <c:v>245</c:v>
                      </c:pt>
                      <c:pt idx="147">
                        <c:v>262</c:v>
                      </c:pt>
                      <c:pt idx="148" formatCode="_(* #,##0_);_(* \(#,##0\);_(* &quot;-&quot;??_);_(@_)">
                        <c:v>175</c:v>
                      </c:pt>
                      <c:pt idx="149" formatCode="_(* #,##0_);_(* \(#,##0\);_(* &quot;-&quot;??_);_(@_)">
                        <c:v>225</c:v>
                      </c:pt>
                      <c:pt idx="150" formatCode="_(* #,##0_);_(* \(#,##0\);_(* &quot;-&quot;??_);_(@_)">
                        <c:v>197</c:v>
                      </c:pt>
                      <c:pt idx="151" formatCode="_(* #,##0_);_(* \(#,##0\);_(* &quot;-&quot;??_);_(@_)">
                        <c:v>272</c:v>
                      </c:pt>
                      <c:pt idx="152" formatCode="_(* #,##0_);_(* \(#,##0\);_(* &quot;-&quot;??_);_(@_)">
                        <c:v>228</c:v>
                      </c:pt>
                      <c:pt idx="153" formatCode="_(* #,##0_);_(* \(#,##0\);_(* &quot;-&quot;??_);_(@_)">
                        <c:v>183</c:v>
                      </c:pt>
                      <c:pt idx="154" formatCode="_(* #,##0_);_(* \(#,##0\);_(* &quot;-&quot;??_);_(@_)">
                        <c:v>245</c:v>
                      </c:pt>
                      <c:pt idx="155" formatCode="_(* #,##0_);_(* \(#,##0\);_(* &quot;-&quot;??_);_(@_)">
                        <c:v>178</c:v>
                      </c:pt>
                      <c:pt idx="156">
                        <c:v>190</c:v>
                      </c:pt>
                      <c:pt idx="157">
                        <c:v>181</c:v>
                      </c:pt>
                      <c:pt idx="158">
                        <c:v>73</c:v>
                      </c:pt>
                      <c:pt idx="160">
                        <c:v>1</c:v>
                      </c:pt>
                      <c:pt idx="161">
                        <c:v>2</c:v>
                      </c:pt>
                      <c:pt idx="162">
                        <c:v>8</c:v>
                      </c:pt>
                      <c:pt idx="163">
                        <c:v>2</c:v>
                      </c:pt>
                      <c:pt idx="164">
                        <c:v>19</c:v>
                      </c:pt>
                      <c:pt idx="165">
                        <c:v>33</c:v>
                      </c:pt>
                      <c:pt idx="166">
                        <c:v>23</c:v>
                      </c:pt>
                      <c:pt idx="167">
                        <c:v>34</c:v>
                      </c:pt>
                      <c:pt idx="168">
                        <c:v>60</c:v>
                      </c:pt>
                      <c:pt idx="169">
                        <c:v>26</c:v>
                      </c:pt>
                      <c:pt idx="170">
                        <c:v>71</c:v>
                      </c:pt>
                      <c:pt idx="171">
                        <c:v>33</c:v>
                      </c:pt>
                      <c:pt idx="172">
                        <c:v>46</c:v>
                      </c:pt>
                    </c:numCache>
                  </c:numRef>
                </c:val>
                <c:smooth val="0"/>
                <c:extLst xmlns:c15="http://schemas.microsoft.com/office/drawing/2012/chart">
                  <c:ext xmlns:c16="http://schemas.microsoft.com/office/drawing/2014/chart" uri="{C3380CC4-5D6E-409C-BE32-E72D297353CC}">
                    <c16:uniqueId val="{0000001B-E690-4C59-A7C2-6B6BC695708B}"/>
                  </c:ext>
                </c:extLst>
              </c15:ser>
            </c15:filteredLineSeries>
            <c15:filteredLineSeries>
              <c15:ser>
                <c:idx val="28"/>
                <c:order val="28"/>
                <c:tx>
                  <c:strRef>
                    <c:extLst xmlns:c15="http://schemas.microsoft.com/office/drawing/2012/chart">
                      <c:ext xmlns:c15="http://schemas.microsoft.com/office/drawing/2012/chart" uri="{02D57815-91ED-43cb-92C2-25804820EDAC}">
                        <c15:formulaRef>
                          <c15:sqref>'Tendencias nacionalidad'!$C$82</c15:sqref>
                        </c15:formulaRef>
                      </c:ext>
                    </c:extLst>
                    <c:strCache>
                      <c:ptCount val="1"/>
                      <c:pt idx="0">
                        <c:v>Austria</c:v>
                      </c:pt>
                    </c:strCache>
                  </c:strRef>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nacionalidad'!$D$82:$GA$82</c15:sqref>
                        </c15:fullRef>
                        <c15:formulaRef>
                          <c15:sqref>'Tendencias nacionalidad'!$D$82:$FT$82</c15:sqref>
                        </c15:formulaRef>
                      </c:ext>
                    </c:extLst>
                    <c:numCache>
                      <c:formatCode>#,##0</c:formatCode>
                      <c:ptCount val="173"/>
                      <c:pt idx="0">
                        <c:v>138</c:v>
                      </c:pt>
                      <c:pt idx="1">
                        <c:v>149</c:v>
                      </c:pt>
                      <c:pt idx="2">
                        <c:v>93</c:v>
                      </c:pt>
                      <c:pt idx="3">
                        <c:v>71</c:v>
                      </c:pt>
                      <c:pt idx="4">
                        <c:v>66</c:v>
                      </c:pt>
                      <c:pt idx="5">
                        <c:v>73</c:v>
                      </c:pt>
                      <c:pt idx="6">
                        <c:v>273</c:v>
                      </c:pt>
                      <c:pt idx="7">
                        <c:v>222</c:v>
                      </c:pt>
                      <c:pt idx="8">
                        <c:v>113</c:v>
                      </c:pt>
                      <c:pt idx="9">
                        <c:v>166</c:v>
                      </c:pt>
                      <c:pt idx="10">
                        <c:v>134</c:v>
                      </c:pt>
                      <c:pt idx="11">
                        <c:v>162</c:v>
                      </c:pt>
                      <c:pt idx="12">
                        <c:v>167</c:v>
                      </c:pt>
                      <c:pt idx="13">
                        <c:v>188</c:v>
                      </c:pt>
                      <c:pt idx="14">
                        <c:v>94</c:v>
                      </c:pt>
                      <c:pt idx="15">
                        <c:v>113</c:v>
                      </c:pt>
                      <c:pt idx="16">
                        <c:v>105</c:v>
                      </c:pt>
                      <c:pt idx="17">
                        <c:v>120</c:v>
                      </c:pt>
                      <c:pt idx="18">
                        <c:v>255</c:v>
                      </c:pt>
                      <c:pt idx="19">
                        <c:v>170</c:v>
                      </c:pt>
                      <c:pt idx="20">
                        <c:v>131</c:v>
                      </c:pt>
                      <c:pt idx="21">
                        <c:v>185</c:v>
                      </c:pt>
                      <c:pt idx="22">
                        <c:v>164</c:v>
                      </c:pt>
                      <c:pt idx="23">
                        <c:v>159</c:v>
                      </c:pt>
                      <c:pt idx="24">
                        <c:v>134</c:v>
                      </c:pt>
                      <c:pt idx="25">
                        <c:v>96</c:v>
                      </c:pt>
                      <c:pt idx="26">
                        <c:v>90</c:v>
                      </c:pt>
                      <c:pt idx="27">
                        <c:v>110</c:v>
                      </c:pt>
                      <c:pt idx="28">
                        <c:v>119</c:v>
                      </c:pt>
                      <c:pt idx="29">
                        <c:v>128</c:v>
                      </c:pt>
                      <c:pt idx="30">
                        <c:v>272</c:v>
                      </c:pt>
                      <c:pt idx="31">
                        <c:v>165</c:v>
                      </c:pt>
                      <c:pt idx="32">
                        <c:v>119</c:v>
                      </c:pt>
                      <c:pt idx="33">
                        <c:v>146</c:v>
                      </c:pt>
                      <c:pt idx="34">
                        <c:v>215</c:v>
                      </c:pt>
                      <c:pt idx="35">
                        <c:v>170</c:v>
                      </c:pt>
                      <c:pt idx="36">
                        <c:v>177</c:v>
                      </c:pt>
                      <c:pt idx="37">
                        <c:v>92</c:v>
                      </c:pt>
                      <c:pt idx="38">
                        <c:v>146</c:v>
                      </c:pt>
                      <c:pt idx="39">
                        <c:v>95</c:v>
                      </c:pt>
                      <c:pt idx="40">
                        <c:v>91</c:v>
                      </c:pt>
                      <c:pt idx="41">
                        <c:v>100</c:v>
                      </c:pt>
                      <c:pt idx="42">
                        <c:v>236</c:v>
                      </c:pt>
                      <c:pt idx="43">
                        <c:v>185</c:v>
                      </c:pt>
                      <c:pt idx="44">
                        <c:v>102</c:v>
                      </c:pt>
                      <c:pt idx="45">
                        <c:v>65</c:v>
                      </c:pt>
                      <c:pt idx="46">
                        <c:v>181</c:v>
                      </c:pt>
                      <c:pt idx="47">
                        <c:v>133</c:v>
                      </c:pt>
                      <c:pt idx="48">
                        <c:v>124</c:v>
                      </c:pt>
                      <c:pt idx="49">
                        <c:v>128</c:v>
                      </c:pt>
                      <c:pt idx="50">
                        <c:v>97</c:v>
                      </c:pt>
                      <c:pt idx="51">
                        <c:v>97</c:v>
                      </c:pt>
                      <c:pt idx="52">
                        <c:v>73</c:v>
                      </c:pt>
                      <c:pt idx="53">
                        <c:v>87</c:v>
                      </c:pt>
                      <c:pt idx="54">
                        <c:v>232</c:v>
                      </c:pt>
                      <c:pt idx="55">
                        <c:v>210</c:v>
                      </c:pt>
                      <c:pt idx="56">
                        <c:v>131</c:v>
                      </c:pt>
                      <c:pt idx="57">
                        <c:v>157</c:v>
                      </c:pt>
                      <c:pt idx="58">
                        <c:v>200</c:v>
                      </c:pt>
                      <c:pt idx="59">
                        <c:v>130</c:v>
                      </c:pt>
                      <c:pt idx="60">
                        <c:v>157</c:v>
                      </c:pt>
                      <c:pt idx="61">
                        <c:v>139</c:v>
                      </c:pt>
                      <c:pt idx="62">
                        <c:v>112</c:v>
                      </c:pt>
                      <c:pt idx="63">
                        <c:v>105</c:v>
                      </c:pt>
                      <c:pt idx="64">
                        <c:v>107</c:v>
                      </c:pt>
                      <c:pt idx="65">
                        <c:v>110</c:v>
                      </c:pt>
                      <c:pt idx="66">
                        <c:v>321</c:v>
                      </c:pt>
                      <c:pt idx="67">
                        <c:v>252</c:v>
                      </c:pt>
                      <c:pt idx="68">
                        <c:v>119</c:v>
                      </c:pt>
                      <c:pt idx="69">
                        <c:v>185</c:v>
                      </c:pt>
                      <c:pt idx="70">
                        <c:v>180</c:v>
                      </c:pt>
                      <c:pt idx="71">
                        <c:v>215</c:v>
                      </c:pt>
                      <c:pt idx="72">
                        <c:v>188</c:v>
                      </c:pt>
                      <c:pt idx="73">
                        <c:v>155</c:v>
                      </c:pt>
                      <c:pt idx="74">
                        <c:v>124</c:v>
                      </c:pt>
                      <c:pt idx="75">
                        <c:v>85</c:v>
                      </c:pt>
                      <c:pt idx="76">
                        <c:v>98</c:v>
                      </c:pt>
                      <c:pt idx="77">
                        <c:v>116</c:v>
                      </c:pt>
                      <c:pt idx="78">
                        <c:v>334</c:v>
                      </c:pt>
                      <c:pt idx="79">
                        <c:v>184</c:v>
                      </c:pt>
                      <c:pt idx="80">
                        <c:v>116</c:v>
                      </c:pt>
                      <c:pt idx="81">
                        <c:v>188</c:v>
                      </c:pt>
                      <c:pt idx="82">
                        <c:v>217</c:v>
                      </c:pt>
                      <c:pt idx="83">
                        <c:v>213</c:v>
                      </c:pt>
                      <c:pt idx="84">
                        <c:v>154</c:v>
                      </c:pt>
                      <c:pt idx="85">
                        <c:v>218</c:v>
                      </c:pt>
                      <c:pt idx="86">
                        <c:v>150</c:v>
                      </c:pt>
                      <c:pt idx="87">
                        <c:v>102</c:v>
                      </c:pt>
                      <c:pt idx="88">
                        <c:v>127</c:v>
                      </c:pt>
                      <c:pt idx="89">
                        <c:v>148</c:v>
                      </c:pt>
                      <c:pt idx="90">
                        <c:v>356</c:v>
                      </c:pt>
                      <c:pt idx="91">
                        <c:v>244</c:v>
                      </c:pt>
                      <c:pt idx="92">
                        <c:v>139</c:v>
                      </c:pt>
                      <c:pt idx="93">
                        <c:v>182</c:v>
                      </c:pt>
                      <c:pt idx="94">
                        <c:v>216</c:v>
                      </c:pt>
                      <c:pt idx="95">
                        <c:v>174</c:v>
                      </c:pt>
                      <c:pt idx="96">
                        <c:v>141</c:v>
                      </c:pt>
                      <c:pt idx="97">
                        <c:v>235</c:v>
                      </c:pt>
                      <c:pt idx="98">
                        <c:v>158</c:v>
                      </c:pt>
                      <c:pt idx="99">
                        <c:v>101</c:v>
                      </c:pt>
                      <c:pt idx="100">
                        <c:v>126</c:v>
                      </c:pt>
                      <c:pt idx="101">
                        <c:v>105</c:v>
                      </c:pt>
                      <c:pt idx="102">
                        <c:v>297</c:v>
                      </c:pt>
                      <c:pt idx="103">
                        <c:v>231</c:v>
                      </c:pt>
                      <c:pt idx="104">
                        <c:v>140</c:v>
                      </c:pt>
                      <c:pt idx="105">
                        <c:v>165</c:v>
                      </c:pt>
                      <c:pt idx="106">
                        <c:v>213</c:v>
                      </c:pt>
                      <c:pt idx="107">
                        <c:v>154</c:v>
                      </c:pt>
                      <c:pt idx="108">
                        <c:v>151</c:v>
                      </c:pt>
                      <c:pt idx="109">
                        <c:v>183</c:v>
                      </c:pt>
                      <c:pt idx="110">
                        <c:v>129</c:v>
                      </c:pt>
                      <c:pt idx="111">
                        <c:v>112</c:v>
                      </c:pt>
                      <c:pt idx="112">
                        <c:v>87</c:v>
                      </c:pt>
                      <c:pt idx="113">
                        <c:v>103</c:v>
                      </c:pt>
                      <c:pt idx="114">
                        <c:v>117</c:v>
                      </c:pt>
                      <c:pt idx="115">
                        <c:v>153</c:v>
                      </c:pt>
                      <c:pt idx="116" formatCode="General">
                        <c:v>140</c:v>
                      </c:pt>
                      <c:pt idx="117">
                        <c:v>189</c:v>
                      </c:pt>
                      <c:pt idx="118">
                        <c:v>171</c:v>
                      </c:pt>
                      <c:pt idx="119">
                        <c:v>137</c:v>
                      </c:pt>
                      <c:pt idx="120">
                        <c:v>168</c:v>
                      </c:pt>
                      <c:pt idx="121">
                        <c:v>142</c:v>
                      </c:pt>
                      <c:pt idx="122">
                        <c:v>113</c:v>
                      </c:pt>
                      <c:pt idx="123">
                        <c:v>157</c:v>
                      </c:pt>
                      <c:pt idx="124">
                        <c:v>113</c:v>
                      </c:pt>
                      <c:pt idx="125">
                        <c:v>102</c:v>
                      </c:pt>
                      <c:pt idx="126">
                        <c:v>264</c:v>
                      </c:pt>
                      <c:pt idx="127">
                        <c:v>228</c:v>
                      </c:pt>
                      <c:pt idx="128">
                        <c:v>135</c:v>
                      </c:pt>
                      <c:pt idx="129">
                        <c:v>169</c:v>
                      </c:pt>
                      <c:pt idx="130">
                        <c:v>191</c:v>
                      </c:pt>
                      <c:pt idx="131">
                        <c:v>143</c:v>
                      </c:pt>
                      <c:pt idx="132">
                        <c:v>187</c:v>
                      </c:pt>
                      <c:pt idx="133">
                        <c:v>214</c:v>
                      </c:pt>
                      <c:pt idx="134">
                        <c:v>150</c:v>
                      </c:pt>
                      <c:pt idx="135">
                        <c:v>142</c:v>
                      </c:pt>
                      <c:pt idx="136">
                        <c:v>131</c:v>
                      </c:pt>
                      <c:pt idx="137">
                        <c:v>131</c:v>
                      </c:pt>
                      <c:pt idx="138">
                        <c:v>273</c:v>
                      </c:pt>
                      <c:pt idx="139">
                        <c:v>208</c:v>
                      </c:pt>
                      <c:pt idx="140">
                        <c:v>147</c:v>
                      </c:pt>
                      <c:pt idx="141">
                        <c:v>236</c:v>
                      </c:pt>
                      <c:pt idx="142">
                        <c:v>206</c:v>
                      </c:pt>
                      <c:pt idx="143">
                        <c:v>165</c:v>
                      </c:pt>
                      <c:pt idx="144" formatCode="_(* #,##0_);_(* \(#,##0\);_(* &quot;-&quot;??_);_(@_)">
                        <c:v>195</c:v>
                      </c:pt>
                      <c:pt idx="145">
                        <c:v>254</c:v>
                      </c:pt>
                      <c:pt idx="146">
                        <c:v>168</c:v>
                      </c:pt>
                      <c:pt idx="147">
                        <c:v>170</c:v>
                      </c:pt>
                      <c:pt idx="148" formatCode="_(* #,##0_);_(* \(#,##0\);_(* &quot;-&quot;??_);_(@_)">
                        <c:v>155</c:v>
                      </c:pt>
                      <c:pt idx="149" formatCode="_(* #,##0_);_(* \(#,##0\);_(* &quot;-&quot;??_);_(@_)">
                        <c:v>139</c:v>
                      </c:pt>
                      <c:pt idx="150" formatCode="_(* #,##0_);_(* \(#,##0\);_(* &quot;-&quot;??_);_(@_)">
                        <c:v>329</c:v>
                      </c:pt>
                      <c:pt idx="151" formatCode="_(* #,##0_);_(* \(#,##0\);_(* &quot;-&quot;??_);_(@_)">
                        <c:v>278</c:v>
                      </c:pt>
                      <c:pt idx="152" formatCode="_(* #,##0_);_(* \(#,##0\);_(* &quot;-&quot;??_);_(@_)">
                        <c:v>180</c:v>
                      </c:pt>
                      <c:pt idx="153" formatCode="_(* #,##0_);_(* \(#,##0\);_(* &quot;-&quot;??_);_(@_)">
                        <c:v>169</c:v>
                      </c:pt>
                      <c:pt idx="154" formatCode="_(* #,##0_);_(* \(#,##0\);_(* &quot;-&quot;??_);_(@_)">
                        <c:v>181</c:v>
                      </c:pt>
                      <c:pt idx="155" formatCode="_(* #,##0_);_(* \(#,##0\);_(* &quot;-&quot;??_);_(@_)">
                        <c:v>202</c:v>
                      </c:pt>
                      <c:pt idx="156">
                        <c:v>260</c:v>
                      </c:pt>
                      <c:pt idx="157">
                        <c:v>232</c:v>
                      </c:pt>
                      <c:pt idx="158">
                        <c:v>86</c:v>
                      </c:pt>
                      <c:pt idx="160">
                        <c:v>1</c:v>
                      </c:pt>
                      <c:pt idx="161">
                        <c:v>1</c:v>
                      </c:pt>
                      <c:pt idx="162">
                        <c:v>7</c:v>
                      </c:pt>
                      <c:pt idx="163">
                        <c:v>17</c:v>
                      </c:pt>
                      <c:pt idx="164">
                        <c:v>8</c:v>
                      </c:pt>
                      <c:pt idx="165">
                        <c:v>12</c:v>
                      </c:pt>
                      <c:pt idx="166">
                        <c:v>21</c:v>
                      </c:pt>
                      <c:pt idx="167">
                        <c:v>32</c:v>
                      </c:pt>
                      <c:pt idx="168">
                        <c:v>29</c:v>
                      </c:pt>
                      <c:pt idx="169">
                        <c:v>17</c:v>
                      </c:pt>
                      <c:pt idx="170">
                        <c:v>19</c:v>
                      </c:pt>
                      <c:pt idx="171">
                        <c:v>23</c:v>
                      </c:pt>
                      <c:pt idx="172">
                        <c:v>26</c:v>
                      </c:pt>
                    </c:numCache>
                  </c:numRef>
                </c:val>
                <c:smooth val="0"/>
                <c:extLst xmlns:c15="http://schemas.microsoft.com/office/drawing/2012/chart">
                  <c:ext xmlns:c16="http://schemas.microsoft.com/office/drawing/2014/chart" uri="{C3380CC4-5D6E-409C-BE32-E72D297353CC}">
                    <c16:uniqueId val="{0000001C-E690-4C59-A7C2-6B6BC695708B}"/>
                  </c:ext>
                </c:extLst>
              </c15:ser>
            </c15:filteredLineSeries>
            <c15:filteredLineSeries>
              <c15:ser>
                <c:idx val="29"/>
                <c:order val="29"/>
                <c:tx>
                  <c:strRef>
                    <c:extLst xmlns:c15="http://schemas.microsoft.com/office/drawing/2012/chart">
                      <c:ext xmlns:c15="http://schemas.microsoft.com/office/drawing/2012/chart" uri="{02D57815-91ED-43cb-92C2-25804820EDAC}">
                        <c15:formulaRef>
                          <c15:sqref>'Tendencias nacionalidad'!$C$83</c15:sqref>
                        </c15:formulaRef>
                      </c:ext>
                    </c:extLst>
                    <c:strCache>
                      <c:ptCount val="1"/>
                      <c:pt idx="0">
                        <c:v>Suecia</c:v>
                      </c:pt>
                    </c:strCache>
                  </c:strRef>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nacionalidad'!$D$83:$GA$83</c15:sqref>
                        </c15:fullRef>
                        <c15:formulaRef>
                          <c15:sqref>'Tendencias nacionalidad'!$D$83:$FT$83</c15:sqref>
                        </c15:formulaRef>
                      </c:ext>
                    </c:extLst>
                    <c:numCache>
                      <c:formatCode>#,##0</c:formatCode>
                      <c:ptCount val="173"/>
                      <c:pt idx="0">
                        <c:v>339</c:v>
                      </c:pt>
                      <c:pt idx="1">
                        <c:v>210</c:v>
                      </c:pt>
                      <c:pt idx="2">
                        <c:v>197</c:v>
                      </c:pt>
                      <c:pt idx="3">
                        <c:v>159</c:v>
                      </c:pt>
                      <c:pt idx="4">
                        <c:v>91</c:v>
                      </c:pt>
                      <c:pt idx="5">
                        <c:v>219</c:v>
                      </c:pt>
                      <c:pt idx="6">
                        <c:v>149</c:v>
                      </c:pt>
                      <c:pt idx="7">
                        <c:v>85</c:v>
                      </c:pt>
                      <c:pt idx="8">
                        <c:v>129</c:v>
                      </c:pt>
                      <c:pt idx="9">
                        <c:v>258</c:v>
                      </c:pt>
                      <c:pt idx="10">
                        <c:v>319</c:v>
                      </c:pt>
                      <c:pt idx="11">
                        <c:v>367</c:v>
                      </c:pt>
                      <c:pt idx="12">
                        <c:v>226</c:v>
                      </c:pt>
                      <c:pt idx="13">
                        <c:v>386</c:v>
                      </c:pt>
                      <c:pt idx="14">
                        <c:v>264</c:v>
                      </c:pt>
                      <c:pt idx="15">
                        <c:v>123</c:v>
                      </c:pt>
                      <c:pt idx="16">
                        <c:v>132</c:v>
                      </c:pt>
                      <c:pt idx="17">
                        <c:v>204</c:v>
                      </c:pt>
                      <c:pt idx="18">
                        <c:v>173</c:v>
                      </c:pt>
                      <c:pt idx="19">
                        <c:v>77</c:v>
                      </c:pt>
                      <c:pt idx="20">
                        <c:v>137</c:v>
                      </c:pt>
                      <c:pt idx="21">
                        <c:v>325</c:v>
                      </c:pt>
                      <c:pt idx="22">
                        <c:v>450</c:v>
                      </c:pt>
                      <c:pt idx="23">
                        <c:v>328</c:v>
                      </c:pt>
                      <c:pt idx="24">
                        <c:v>333</c:v>
                      </c:pt>
                      <c:pt idx="25">
                        <c:v>256</c:v>
                      </c:pt>
                      <c:pt idx="26">
                        <c:v>147</c:v>
                      </c:pt>
                      <c:pt idx="27">
                        <c:v>149</c:v>
                      </c:pt>
                      <c:pt idx="28">
                        <c:v>162</c:v>
                      </c:pt>
                      <c:pt idx="29">
                        <c:v>175</c:v>
                      </c:pt>
                      <c:pt idx="30">
                        <c:v>174</c:v>
                      </c:pt>
                      <c:pt idx="31">
                        <c:v>70</c:v>
                      </c:pt>
                      <c:pt idx="32">
                        <c:v>125</c:v>
                      </c:pt>
                      <c:pt idx="33">
                        <c:v>265</c:v>
                      </c:pt>
                      <c:pt idx="34">
                        <c:v>391</c:v>
                      </c:pt>
                      <c:pt idx="35">
                        <c:v>315</c:v>
                      </c:pt>
                      <c:pt idx="36">
                        <c:v>395</c:v>
                      </c:pt>
                      <c:pt idx="37">
                        <c:v>294</c:v>
                      </c:pt>
                      <c:pt idx="38">
                        <c:v>272</c:v>
                      </c:pt>
                      <c:pt idx="39">
                        <c:v>88</c:v>
                      </c:pt>
                      <c:pt idx="40">
                        <c:v>79</c:v>
                      </c:pt>
                      <c:pt idx="41">
                        <c:v>166</c:v>
                      </c:pt>
                      <c:pt idx="42">
                        <c:v>142</c:v>
                      </c:pt>
                      <c:pt idx="43">
                        <c:v>83</c:v>
                      </c:pt>
                      <c:pt idx="44">
                        <c:v>98</c:v>
                      </c:pt>
                      <c:pt idx="45">
                        <c:v>145</c:v>
                      </c:pt>
                      <c:pt idx="46">
                        <c:v>286</c:v>
                      </c:pt>
                      <c:pt idx="47">
                        <c:v>256</c:v>
                      </c:pt>
                      <c:pt idx="48">
                        <c:v>277</c:v>
                      </c:pt>
                      <c:pt idx="49">
                        <c:v>260</c:v>
                      </c:pt>
                      <c:pt idx="50">
                        <c:v>183</c:v>
                      </c:pt>
                      <c:pt idx="51">
                        <c:v>123</c:v>
                      </c:pt>
                      <c:pt idx="52">
                        <c:v>86</c:v>
                      </c:pt>
                      <c:pt idx="53">
                        <c:v>219</c:v>
                      </c:pt>
                      <c:pt idx="54">
                        <c:v>105</c:v>
                      </c:pt>
                      <c:pt idx="55">
                        <c:v>112</c:v>
                      </c:pt>
                      <c:pt idx="56">
                        <c:v>111</c:v>
                      </c:pt>
                      <c:pt idx="57">
                        <c:v>254</c:v>
                      </c:pt>
                      <c:pt idx="58">
                        <c:v>359</c:v>
                      </c:pt>
                      <c:pt idx="59">
                        <c:v>276</c:v>
                      </c:pt>
                      <c:pt idx="60">
                        <c:v>262</c:v>
                      </c:pt>
                      <c:pt idx="61">
                        <c:v>289</c:v>
                      </c:pt>
                      <c:pt idx="62">
                        <c:v>213</c:v>
                      </c:pt>
                      <c:pt idx="63">
                        <c:v>112</c:v>
                      </c:pt>
                      <c:pt idx="64">
                        <c:v>95</c:v>
                      </c:pt>
                      <c:pt idx="65">
                        <c:v>248</c:v>
                      </c:pt>
                      <c:pt idx="66">
                        <c:v>156</c:v>
                      </c:pt>
                      <c:pt idx="67">
                        <c:v>88</c:v>
                      </c:pt>
                      <c:pt idx="68">
                        <c:v>131</c:v>
                      </c:pt>
                      <c:pt idx="69">
                        <c:v>245</c:v>
                      </c:pt>
                      <c:pt idx="70">
                        <c:v>457</c:v>
                      </c:pt>
                      <c:pt idx="71">
                        <c:v>390</c:v>
                      </c:pt>
                      <c:pt idx="72">
                        <c:v>285</c:v>
                      </c:pt>
                      <c:pt idx="73">
                        <c:v>221</c:v>
                      </c:pt>
                      <c:pt idx="74">
                        <c:v>246</c:v>
                      </c:pt>
                      <c:pt idx="75">
                        <c:v>101</c:v>
                      </c:pt>
                      <c:pt idx="76">
                        <c:v>77</c:v>
                      </c:pt>
                      <c:pt idx="77">
                        <c:v>202</c:v>
                      </c:pt>
                      <c:pt idx="78">
                        <c:v>190</c:v>
                      </c:pt>
                      <c:pt idx="79">
                        <c:v>55</c:v>
                      </c:pt>
                      <c:pt idx="80">
                        <c:v>100</c:v>
                      </c:pt>
                      <c:pt idx="81">
                        <c:v>284</c:v>
                      </c:pt>
                      <c:pt idx="82">
                        <c:v>378</c:v>
                      </c:pt>
                      <c:pt idx="83">
                        <c:v>396</c:v>
                      </c:pt>
                      <c:pt idx="84">
                        <c:v>313</c:v>
                      </c:pt>
                      <c:pt idx="85">
                        <c:v>295</c:v>
                      </c:pt>
                      <c:pt idx="86">
                        <c:v>198</c:v>
                      </c:pt>
                      <c:pt idx="87">
                        <c:v>114</c:v>
                      </c:pt>
                      <c:pt idx="88">
                        <c:v>95</c:v>
                      </c:pt>
                      <c:pt idx="89">
                        <c:v>180</c:v>
                      </c:pt>
                      <c:pt idx="90">
                        <c:v>145</c:v>
                      </c:pt>
                      <c:pt idx="91">
                        <c:v>101</c:v>
                      </c:pt>
                      <c:pt idx="92">
                        <c:v>88</c:v>
                      </c:pt>
                      <c:pt idx="93">
                        <c:v>305</c:v>
                      </c:pt>
                      <c:pt idx="94">
                        <c:v>368</c:v>
                      </c:pt>
                      <c:pt idx="95">
                        <c:v>385</c:v>
                      </c:pt>
                      <c:pt idx="96">
                        <c:v>271</c:v>
                      </c:pt>
                      <c:pt idx="97">
                        <c:v>281</c:v>
                      </c:pt>
                      <c:pt idx="98">
                        <c:v>204</c:v>
                      </c:pt>
                      <c:pt idx="99">
                        <c:v>122</c:v>
                      </c:pt>
                      <c:pt idx="100">
                        <c:v>83</c:v>
                      </c:pt>
                      <c:pt idx="101">
                        <c:v>245</c:v>
                      </c:pt>
                      <c:pt idx="102">
                        <c:v>168</c:v>
                      </c:pt>
                      <c:pt idx="103">
                        <c:v>86</c:v>
                      </c:pt>
                      <c:pt idx="104">
                        <c:v>149</c:v>
                      </c:pt>
                      <c:pt idx="105">
                        <c:v>327</c:v>
                      </c:pt>
                      <c:pt idx="106">
                        <c:v>370</c:v>
                      </c:pt>
                      <c:pt idx="107">
                        <c:v>393</c:v>
                      </c:pt>
                      <c:pt idx="108">
                        <c:v>261</c:v>
                      </c:pt>
                      <c:pt idx="109">
                        <c:v>243</c:v>
                      </c:pt>
                      <c:pt idx="110">
                        <c:v>222</c:v>
                      </c:pt>
                      <c:pt idx="111">
                        <c:v>135</c:v>
                      </c:pt>
                      <c:pt idx="112">
                        <c:v>89</c:v>
                      </c:pt>
                      <c:pt idx="113">
                        <c:v>230</c:v>
                      </c:pt>
                      <c:pt idx="114">
                        <c:v>147</c:v>
                      </c:pt>
                      <c:pt idx="115">
                        <c:v>63</c:v>
                      </c:pt>
                      <c:pt idx="116" formatCode="General">
                        <c:v>96</c:v>
                      </c:pt>
                      <c:pt idx="117">
                        <c:v>338</c:v>
                      </c:pt>
                      <c:pt idx="118">
                        <c:v>256</c:v>
                      </c:pt>
                      <c:pt idx="119">
                        <c:v>252</c:v>
                      </c:pt>
                      <c:pt idx="120">
                        <c:v>197</c:v>
                      </c:pt>
                      <c:pt idx="121">
                        <c:v>217</c:v>
                      </c:pt>
                      <c:pt idx="122">
                        <c:v>144</c:v>
                      </c:pt>
                      <c:pt idx="123">
                        <c:v>145</c:v>
                      </c:pt>
                      <c:pt idx="124">
                        <c:v>75</c:v>
                      </c:pt>
                      <c:pt idx="125">
                        <c:v>141</c:v>
                      </c:pt>
                      <c:pt idx="126">
                        <c:v>109</c:v>
                      </c:pt>
                      <c:pt idx="127">
                        <c:v>77</c:v>
                      </c:pt>
                      <c:pt idx="128">
                        <c:v>82</c:v>
                      </c:pt>
                      <c:pt idx="129">
                        <c:v>232</c:v>
                      </c:pt>
                      <c:pt idx="130">
                        <c:v>376</c:v>
                      </c:pt>
                      <c:pt idx="131">
                        <c:v>299</c:v>
                      </c:pt>
                      <c:pt idx="132">
                        <c:v>195</c:v>
                      </c:pt>
                      <c:pt idx="133">
                        <c:v>235</c:v>
                      </c:pt>
                      <c:pt idx="134">
                        <c:v>183</c:v>
                      </c:pt>
                      <c:pt idx="135">
                        <c:v>113</c:v>
                      </c:pt>
                      <c:pt idx="136">
                        <c:v>75</c:v>
                      </c:pt>
                      <c:pt idx="137">
                        <c:v>182</c:v>
                      </c:pt>
                      <c:pt idx="138">
                        <c:v>155</c:v>
                      </c:pt>
                      <c:pt idx="139">
                        <c:v>72</c:v>
                      </c:pt>
                      <c:pt idx="140">
                        <c:v>97</c:v>
                      </c:pt>
                      <c:pt idx="141">
                        <c:v>185</c:v>
                      </c:pt>
                      <c:pt idx="142">
                        <c:v>290</c:v>
                      </c:pt>
                      <c:pt idx="143">
                        <c:v>273</c:v>
                      </c:pt>
                      <c:pt idx="144" formatCode="_(* #,##0_);_(* \(#,##0\);_(* &quot;-&quot;??_);_(@_)">
                        <c:v>248</c:v>
                      </c:pt>
                      <c:pt idx="145">
                        <c:v>226</c:v>
                      </c:pt>
                      <c:pt idx="146">
                        <c:v>182</c:v>
                      </c:pt>
                      <c:pt idx="147">
                        <c:v>104</c:v>
                      </c:pt>
                      <c:pt idx="148" formatCode="_(* #,##0_);_(* \(#,##0\);_(* &quot;-&quot;??_);_(@_)">
                        <c:v>93</c:v>
                      </c:pt>
                      <c:pt idx="149" formatCode="_(* #,##0_);_(* \(#,##0\);_(* &quot;-&quot;??_);_(@_)">
                        <c:v>256</c:v>
                      </c:pt>
                      <c:pt idx="150" formatCode="_(* #,##0_);_(* \(#,##0\);_(* &quot;-&quot;??_);_(@_)">
                        <c:v>199</c:v>
                      </c:pt>
                      <c:pt idx="151" formatCode="_(* #,##0_);_(* \(#,##0\);_(* &quot;-&quot;??_);_(@_)">
                        <c:v>90</c:v>
                      </c:pt>
                      <c:pt idx="152" formatCode="_(* #,##0_);_(* \(#,##0\);_(* &quot;-&quot;??_);_(@_)">
                        <c:v>89</c:v>
                      </c:pt>
                      <c:pt idx="153" formatCode="_(* #,##0_);_(* \(#,##0\);_(* &quot;-&quot;??_);_(@_)">
                        <c:v>133</c:v>
                      </c:pt>
                      <c:pt idx="154" formatCode="_(* #,##0_);_(* \(#,##0\);_(* &quot;-&quot;??_);_(@_)">
                        <c:v>278</c:v>
                      </c:pt>
                      <c:pt idx="155" formatCode="_(* #,##0_);_(* \(#,##0\);_(* &quot;-&quot;??_);_(@_)">
                        <c:v>272</c:v>
                      </c:pt>
                      <c:pt idx="156">
                        <c:v>263</c:v>
                      </c:pt>
                      <c:pt idx="157">
                        <c:v>231</c:v>
                      </c:pt>
                      <c:pt idx="158">
                        <c:v>68</c:v>
                      </c:pt>
                      <c:pt idx="160">
                        <c:v>3</c:v>
                      </c:pt>
                      <c:pt idx="161">
                        <c:v>5</c:v>
                      </c:pt>
                      <c:pt idx="162">
                        <c:v>10</c:v>
                      </c:pt>
                      <c:pt idx="163">
                        <c:v>9</c:v>
                      </c:pt>
                      <c:pt idx="164">
                        <c:v>15</c:v>
                      </c:pt>
                      <c:pt idx="165">
                        <c:v>16</c:v>
                      </c:pt>
                      <c:pt idx="166">
                        <c:v>29</c:v>
                      </c:pt>
                      <c:pt idx="167">
                        <c:v>37</c:v>
                      </c:pt>
                      <c:pt idx="168">
                        <c:v>34</c:v>
                      </c:pt>
                      <c:pt idx="169">
                        <c:v>17</c:v>
                      </c:pt>
                      <c:pt idx="170">
                        <c:v>20</c:v>
                      </c:pt>
                      <c:pt idx="171">
                        <c:v>15</c:v>
                      </c:pt>
                      <c:pt idx="172">
                        <c:v>24</c:v>
                      </c:pt>
                    </c:numCache>
                  </c:numRef>
                </c:val>
                <c:smooth val="0"/>
                <c:extLst xmlns:c15="http://schemas.microsoft.com/office/drawing/2012/chart">
                  <c:ext xmlns:c16="http://schemas.microsoft.com/office/drawing/2014/chart" uri="{C3380CC4-5D6E-409C-BE32-E72D297353CC}">
                    <c16:uniqueId val="{0000001D-E690-4C59-A7C2-6B6BC695708B}"/>
                  </c:ext>
                </c:extLst>
              </c15:ser>
            </c15:filteredLineSeries>
            <c15:filteredLineSeries>
              <c15:ser>
                <c:idx val="30"/>
                <c:order val="30"/>
                <c:tx>
                  <c:strRef>
                    <c:extLst xmlns:c15="http://schemas.microsoft.com/office/drawing/2012/chart">
                      <c:ext xmlns:c15="http://schemas.microsoft.com/office/drawing/2012/chart" uri="{02D57815-91ED-43cb-92C2-25804820EDAC}">
                        <c15:formulaRef>
                          <c15:sqref>'Tendencias nacionalidad'!$C$84</c15:sqref>
                        </c15:formulaRef>
                      </c:ext>
                    </c:extLst>
                    <c:strCache>
                      <c:ptCount val="1"/>
                      <c:pt idx="0">
                        <c:v>Portugal</c:v>
                      </c:pt>
                    </c:strCache>
                  </c:strRef>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nacionalidad'!$D$84:$GA$84</c15:sqref>
                        </c15:fullRef>
                        <c15:formulaRef>
                          <c15:sqref>'Tendencias nacionalidad'!$D$84:$FT$84</c15:sqref>
                        </c15:formulaRef>
                      </c:ext>
                    </c:extLst>
                    <c:numCache>
                      <c:formatCode>#,##0</c:formatCode>
                      <c:ptCount val="173"/>
                      <c:pt idx="168">
                        <c:v>45</c:v>
                      </c:pt>
                      <c:pt idx="169">
                        <c:v>30</c:v>
                      </c:pt>
                      <c:pt idx="170">
                        <c:v>25</c:v>
                      </c:pt>
                      <c:pt idx="171">
                        <c:v>34</c:v>
                      </c:pt>
                      <c:pt idx="172">
                        <c:v>25</c:v>
                      </c:pt>
                    </c:numCache>
                  </c:numRef>
                </c:val>
                <c:smooth val="0"/>
                <c:extLst xmlns:c15="http://schemas.microsoft.com/office/drawing/2012/chart">
                  <c:ext xmlns:c16="http://schemas.microsoft.com/office/drawing/2014/chart" uri="{C3380CC4-5D6E-409C-BE32-E72D297353CC}">
                    <c16:uniqueId val="{0000001E-E690-4C59-A7C2-6B6BC695708B}"/>
                  </c:ext>
                </c:extLst>
              </c15:ser>
            </c15:filteredLineSeries>
            <c15:filteredLineSeries>
              <c15:ser>
                <c:idx val="31"/>
                <c:order val="31"/>
                <c:tx>
                  <c:strRef>
                    <c:extLst xmlns:c15="http://schemas.microsoft.com/office/drawing/2012/chart">
                      <c:ext xmlns:c15="http://schemas.microsoft.com/office/drawing/2012/chart" uri="{02D57815-91ED-43cb-92C2-25804820EDAC}">
                        <c15:formulaRef>
                          <c15:sqref>'Tendencias nacionalidad'!$C$85</c15:sqref>
                        </c15:formulaRef>
                      </c:ext>
                    </c:extLst>
                    <c:strCache>
                      <c:ptCount val="1"/>
                      <c:pt idx="0">
                        <c:v>Otros</c:v>
                      </c:pt>
                    </c:strCache>
                  </c:strRef>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nacionalidad'!$D$85:$GA$85</c15:sqref>
                        </c15:fullRef>
                        <c15:formulaRef>
                          <c15:sqref>'Tendencias nacionalidad'!$D$85:$FT$85</c15:sqref>
                        </c15:formulaRef>
                      </c:ext>
                    </c:extLst>
                    <c:numCache>
                      <c:formatCode>#,##0</c:formatCode>
                      <c:ptCount val="173"/>
                      <c:pt idx="0">
                        <c:v>1352</c:v>
                      </c:pt>
                      <c:pt idx="1">
                        <c:v>1073</c:v>
                      </c:pt>
                      <c:pt idx="2">
                        <c:v>1228</c:v>
                      </c:pt>
                      <c:pt idx="3">
                        <c:v>1130</c:v>
                      </c:pt>
                      <c:pt idx="4">
                        <c:v>1032</c:v>
                      </c:pt>
                      <c:pt idx="5">
                        <c:v>1214</c:v>
                      </c:pt>
                      <c:pt idx="6">
                        <c:v>1621</c:v>
                      </c:pt>
                      <c:pt idx="7">
                        <c:v>1503</c:v>
                      </c:pt>
                      <c:pt idx="8">
                        <c:v>1581</c:v>
                      </c:pt>
                      <c:pt idx="9">
                        <c:v>1686</c:v>
                      </c:pt>
                      <c:pt idx="10">
                        <c:v>1465</c:v>
                      </c:pt>
                      <c:pt idx="11">
                        <c:v>1267</c:v>
                      </c:pt>
                      <c:pt idx="12">
                        <c:v>1457</c:v>
                      </c:pt>
                      <c:pt idx="13">
                        <c:v>1912</c:v>
                      </c:pt>
                      <c:pt idx="14">
                        <c:v>1681</c:v>
                      </c:pt>
                      <c:pt idx="15">
                        <c:v>1419</c:v>
                      </c:pt>
                      <c:pt idx="16">
                        <c:v>1507</c:v>
                      </c:pt>
                      <c:pt idx="17">
                        <c:v>1667</c:v>
                      </c:pt>
                      <c:pt idx="18">
                        <c:v>1856</c:v>
                      </c:pt>
                      <c:pt idx="19">
                        <c:v>2105</c:v>
                      </c:pt>
                      <c:pt idx="20">
                        <c:v>1931</c:v>
                      </c:pt>
                      <c:pt idx="21">
                        <c:v>2079</c:v>
                      </c:pt>
                      <c:pt idx="22">
                        <c:v>2062</c:v>
                      </c:pt>
                      <c:pt idx="23">
                        <c:v>1753</c:v>
                      </c:pt>
                      <c:pt idx="24">
                        <c:v>1691</c:v>
                      </c:pt>
                      <c:pt idx="25">
                        <c:v>1564</c:v>
                      </c:pt>
                      <c:pt idx="26">
                        <c:v>1837</c:v>
                      </c:pt>
                      <c:pt idx="27">
                        <c:v>1902</c:v>
                      </c:pt>
                      <c:pt idx="28">
                        <c:v>1950.5</c:v>
                      </c:pt>
                      <c:pt idx="29">
                        <c:v>1999</c:v>
                      </c:pt>
                      <c:pt idx="30">
                        <c:v>2276</c:v>
                      </c:pt>
                      <c:pt idx="31">
                        <c:v>2179</c:v>
                      </c:pt>
                      <c:pt idx="32">
                        <c:v>1873</c:v>
                      </c:pt>
                      <c:pt idx="33">
                        <c:v>2115</c:v>
                      </c:pt>
                      <c:pt idx="34">
                        <c:v>1922</c:v>
                      </c:pt>
                      <c:pt idx="35">
                        <c:v>1842</c:v>
                      </c:pt>
                      <c:pt idx="36">
                        <c:v>2005</c:v>
                      </c:pt>
                      <c:pt idx="37">
                        <c:v>2148</c:v>
                      </c:pt>
                      <c:pt idx="38">
                        <c:v>2032</c:v>
                      </c:pt>
                      <c:pt idx="39">
                        <c:v>1797</c:v>
                      </c:pt>
                      <c:pt idx="40">
                        <c:v>1836</c:v>
                      </c:pt>
                      <c:pt idx="41">
                        <c:v>2056</c:v>
                      </c:pt>
                      <c:pt idx="42">
                        <c:v>2157</c:v>
                      </c:pt>
                      <c:pt idx="43">
                        <c:v>2080</c:v>
                      </c:pt>
                      <c:pt idx="44">
                        <c:v>1869</c:v>
                      </c:pt>
                      <c:pt idx="45">
                        <c:v>3234</c:v>
                      </c:pt>
                      <c:pt idx="46">
                        <c:v>2064</c:v>
                      </c:pt>
                      <c:pt idx="47">
                        <c:v>1947</c:v>
                      </c:pt>
                      <c:pt idx="48">
                        <c:v>2161</c:v>
                      </c:pt>
                      <c:pt idx="49">
                        <c:v>1925</c:v>
                      </c:pt>
                      <c:pt idx="50">
                        <c:v>2397</c:v>
                      </c:pt>
                      <c:pt idx="51">
                        <c:v>2132</c:v>
                      </c:pt>
                      <c:pt idx="52">
                        <c:v>1881</c:v>
                      </c:pt>
                      <c:pt idx="53">
                        <c:v>1933</c:v>
                      </c:pt>
                      <c:pt idx="54">
                        <c:v>1785</c:v>
                      </c:pt>
                      <c:pt idx="55">
                        <c:v>1871</c:v>
                      </c:pt>
                      <c:pt idx="56">
                        <c:v>1793</c:v>
                      </c:pt>
                      <c:pt idx="57">
                        <c:v>1900</c:v>
                      </c:pt>
                      <c:pt idx="58">
                        <c:v>2198</c:v>
                      </c:pt>
                      <c:pt idx="59">
                        <c:v>1731</c:v>
                      </c:pt>
                      <c:pt idx="60">
                        <c:v>2292</c:v>
                      </c:pt>
                      <c:pt idx="61">
                        <c:v>1667</c:v>
                      </c:pt>
                      <c:pt idx="62">
                        <c:v>1785</c:v>
                      </c:pt>
                      <c:pt idx="63">
                        <c:v>1717</c:v>
                      </c:pt>
                      <c:pt idx="64">
                        <c:v>2030</c:v>
                      </c:pt>
                      <c:pt idx="65">
                        <c:v>2417</c:v>
                      </c:pt>
                      <c:pt idx="66">
                        <c:v>2406</c:v>
                      </c:pt>
                      <c:pt idx="67">
                        <c:v>2181</c:v>
                      </c:pt>
                      <c:pt idx="68">
                        <c:v>2263</c:v>
                      </c:pt>
                      <c:pt idx="69">
                        <c:v>2409</c:v>
                      </c:pt>
                      <c:pt idx="70">
                        <c:v>2762</c:v>
                      </c:pt>
                      <c:pt idx="71">
                        <c:v>2408</c:v>
                      </c:pt>
                      <c:pt idx="72">
                        <c:v>2705</c:v>
                      </c:pt>
                      <c:pt idx="73">
                        <c:v>2224</c:v>
                      </c:pt>
                      <c:pt idx="74">
                        <c:v>3674</c:v>
                      </c:pt>
                      <c:pt idx="75">
                        <c:v>2902</c:v>
                      </c:pt>
                      <c:pt idx="76">
                        <c:v>2693</c:v>
                      </c:pt>
                      <c:pt idx="77">
                        <c:v>3260</c:v>
                      </c:pt>
                      <c:pt idx="78">
                        <c:v>2875</c:v>
                      </c:pt>
                      <c:pt idx="79">
                        <c:v>2875</c:v>
                      </c:pt>
                      <c:pt idx="80">
                        <c:v>2838</c:v>
                      </c:pt>
                      <c:pt idx="81">
                        <c:v>3163</c:v>
                      </c:pt>
                      <c:pt idx="82">
                        <c:v>3258</c:v>
                      </c:pt>
                      <c:pt idx="83">
                        <c:v>3987</c:v>
                      </c:pt>
                      <c:pt idx="84">
                        <c:v>1464</c:v>
                      </c:pt>
                      <c:pt idx="85">
                        <c:v>2663</c:v>
                      </c:pt>
                      <c:pt idx="86">
                        <c:v>2765</c:v>
                      </c:pt>
                      <c:pt idx="87">
                        <c:v>2718</c:v>
                      </c:pt>
                      <c:pt idx="88">
                        <c:v>2898</c:v>
                      </c:pt>
                      <c:pt idx="89">
                        <c:v>1850</c:v>
                      </c:pt>
                      <c:pt idx="90">
                        <c:v>3517</c:v>
                      </c:pt>
                      <c:pt idx="91">
                        <c:v>3243</c:v>
                      </c:pt>
                      <c:pt idx="92">
                        <c:v>4230</c:v>
                      </c:pt>
                      <c:pt idx="93">
                        <c:v>4080</c:v>
                      </c:pt>
                      <c:pt idx="94">
                        <c:v>4657</c:v>
                      </c:pt>
                      <c:pt idx="95">
                        <c:v>4249</c:v>
                      </c:pt>
                      <c:pt idx="96">
                        <c:v>4365</c:v>
                      </c:pt>
                      <c:pt idx="97">
                        <c:v>4265</c:v>
                      </c:pt>
                      <c:pt idx="98">
                        <c:v>4529</c:v>
                      </c:pt>
                      <c:pt idx="99">
                        <c:v>4893</c:v>
                      </c:pt>
                      <c:pt idx="100">
                        <c:v>4695</c:v>
                      </c:pt>
                      <c:pt idx="101">
                        <c:v>4155</c:v>
                      </c:pt>
                      <c:pt idx="102">
                        <c:v>4388</c:v>
                      </c:pt>
                      <c:pt idx="103">
                        <c:v>2823</c:v>
                      </c:pt>
                      <c:pt idx="104">
                        <c:v>3036</c:v>
                      </c:pt>
                      <c:pt idx="105">
                        <c:v>2822</c:v>
                      </c:pt>
                      <c:pt idx="106">
                        <c:v>3131</c:v>
                      </c:pt>
                      <c:pt idx="107">
                        <c:v>2609</c:v>
                      </c:pt>
                      <c:pt idx="108">
                        <c:v>2637</c:v>
                      </c:pt>
                      <c:pt idx="109">
                        <c:v>2682</c:v>
                      </c:pt>
                      <c:pt idx="110">
                        <c:v>2560</c:v>
                      </c:pt>
                      <c:pt idx="111">
                        <c:v>2027</c:v>
                      </c:pt>
                      <c:pt idx="112">
                        <c:v>2406</c:v>
                      </c:pt>
                      <c:pt idx="113">
                        <c:v>2378</c:v>
                      </c:pt>
                      <c:pt idx="114">
                        <c:v>2754</c:v>
                      </c:pt>
                      <c:pt idx="115">
                        <c:v>2485</c:v>
                      </c:pt>
                      <c:pt idx="116">
                        <c:v>2655</c:v>
                      </c:pt>
                      <c:pt idx="117">
                        <c:v>5694</c:v>
                      </c:pt>
                      <c:pt idx="118">
                        <c:v>3499</c:v>
                      </c:pt>
                      <c:pt idx="119">
                        <c:v>3813</c:v>
                      </c:pt>
                      <c:pt idx="120">
                        <c:v>3249</c:v>
                      </c:pt>
                      <c:pt idx="121">
                        <c:v>2963</c:v>
                      </c:pt>
                      <c:pt idx="122">
                        <c:v>3245</c:v>
                      </c:pt>
                      <c:pt idx="123">
                        <c:v>3320</c:v>
                      </c:pt>
                      <c:pt idx="124">
                        <c:v>3212</c:v>
                      </c:pt>
                      <c:pt idx="125">
                        <c:v>3871</c:v>
                      </c:pt>
                      <c:pt idx="126">
                        <c:v>4324</c:v>
                      </c:pt>
                      <c:pt idx="127">
                        <c:v>3626</c:v>
                      </c:pt>
                      <c:pt idx="128">
                        <c:v>3420</c:v>
                      </c:pt>
                      <c:pt idx="129">
                        <c:v>3792</c:v>
                      </c:pt>
                      <c:pt idx="130">
                        <c:v>4114</c:v>
                      </c:pt>
                      <c:pt idx="131">
                        <c:v>4059</c:v>
                      </c:pt>
                      <c:pt idx="132">
                        <c:v>3570</c:v>
                      </c:pt>
                      <c:pt idx="133">
                        <c:v>3494</c:v>
                      </c:pt>
                      <c:pt idx="134">
                        <c:v>3839</c:v>
                      </c:pt>
                      <c:pt idx="135">
                        <c:v>3851</c:v>
                      </c:pt>
                      <c:pt idx="136">
                        <c:v>3882</c:v>
                      </c:pt>
                      <c:pt idx="137">
                        <c:v>4239</c:v>
                      </c:pt>
                      <c:pt idx="138">
                        <c:v>4301</c:v>
                      </c:pt>
                      <c:pt idx="139">
                        <c:v>3635</c:v>
                      </c:pt>
                      <c:pt idx="140">
                        <c:v>3911</c:v>
                      </c:pt>
                      <c:pt idx="141">
                        <c:v>4054</c:v>
                      </c:pt>
                      <c:pt idx="142">
                        <c:v>4768</c:v>
                      </c:pt>
                      <c:pt idx="143">
                        <c:v>4485</c:v>
                      </c:pt>
                      <c:pt idx="144" formatCode="_(* #,##0_);_(* \(#,##0\);_(* &quot;-&quot;??_);_(@_)">
                        <c:v>3867</c:v>
                      </c:pt>
                      <c:pt idx="145" formatCode="_(* #,##0_);_(* \(#,##0\);_(* &quot;-&quot;??_);_(@_)">
                        <c:v>3871</c:v>
                      </c:pt>
                      <c:pt idx="146" formatCode="_(* #,##0_);_(* \(#,##0\);_(* &quot;-&quot;??_);_(@_)">
                        <c:v>4529</c:v>
                      </c:pt>
                      <c:pt idx="147" formatCode="_(* #,##0_);_(* \(#,##0\);_(* &quot;-&quot;??_);_(@_)">
                        <c:v>4829</c:v>
                      </c:pt>
                      <c:pt idx="148" formatCode="_(* #,##0_);_(* \(#,##0\);_(* &quot;-&quot;??_);_(@_)">
                        <c:v>3586</c:v>
                      </c:pt>
                      <c:pt idx="149" formatCode="_(* #,##0_);_(* \(#,##0\);_(* &quot;-&quot;??_);_(@_)">
                        <c:v>6971</c:v>
                      </c:pt>
                      <c:pt idx="150" formatCode="_(* #,##0_);_(* \(#,##0\);_(* &quot;-&quot;??_);_(@_)">
                        <c:v>6736</c:v>
                      </c:pt>
                      <c:pt idx="151" formatCode="_(* #,##0_);_(* \(#,##0\);_(* &quot;-&quot;??_);_(@_)">
                        <c:v>1079</c:v>
                      </c:pt>
                      <c:pt idx="152" formatCode="_(* #,##0_);_(* \(#,##0\);_(* &quot;-&quot;??_);_(@_)">
                        <c:v>3112</c:v>
                      </c:pt>
                      <c:pt idx="153" formatCode="_(* #,##0_);_(* \(#,##0\);_(* &quot;-&quot;??_);_(@_)">
                        <c:v>2696</c:v>
                      </c:pt>
                      <c:pt idx="154" formatCode="_(* #,##0_);_(* \(#,##0\);_(* &quot;-&quot;??_);_(@_)">
                        <c:v>3234</c:v>
                      </c:pt>
                      <c:pt idx="155" formatCode="_(* #,##0_);_(* \(#,##0\);_(* &quot;-&quot;??_);_(@_)">
                        <c:v>3088</c:v>
                      </c:pt>
                      <c:pt idx="156" formatCode="_(* #,##0_);_(* \(#,##0\);_(* &quot;-&quot;??_);_(@_)">
                        <c:v>3447</c:v>
                      </c:pt>
                      <c:pt idx="157" formatCode="_(* #,##0_);_(* \(#,##0\);_(* &quot;-&quot;??_);_(@_)">
                        <c:v>2919</c:v>
                      </c:pt>
                      <c:pt idx="158" formatCode="_(* #,##0_);_(* \(#,##0\);_(* &quot;-&quot;??_);_(@_)">
                        <c:v>1120</c:v>
                      </c:pt>
                      <c:pt idx="159" formatCode="_(* #,##0_);_(* \(#,##0\);_(* &quot;-&quot;??_);_(@_)">
                        <c:v>23</c:v>
                      </c:pt>
                      <c:pt idx="160" formatCode="_(* #,##0_);_(* \(#,##0\);_(* &quot;-&quot;??_);_(@_)">
                        <c:v>40</c:v>
                      </c:pt>
                      <c:pt idx="161" formatCode="_(* #,##0_);_(* \(#,##0\);_(* &quot;-&quot;??_);_(@_)">
                        <c:v>81</c:v>
                      </c:pt>
                      <c:pt idx="162" formatCode="_(* #,##0_);_(* \(#,##0\);_(* &quot;-&quot;??_);_(@_)">
                        <c:v>160</c:v>
                      </c:pt>
                      <c:pt idx="163" formatCode="_(* #,##0_);_(* \(#,##0\);_(* &quot;-&quot;??_);_(@_)">
                        <c:v>197</c:v>
                      </c:pt>
                      <c:pt idx="164" formatCode="_(* #,##0_);_(* \(#,##0\);_(* &quot;-&quot;??_);_(@_)">
                        <c:v>256</c:v>
                      </c:pt>
                      <c:pt idx="165" formatCode="_(* #,##0_);_(* \(#,##0\);_(* &quot;-&quot;??_);_(@_)">
                        <c:v>421</c:v>
                      </c:pt>
                      <c:pt idx="166" formatCode="_(* #,##0_);_(* \(#,##0\);_(* &quot;-&quot;??_);_(@_)">
                        <c:v>533</c:v>
                      </c:pt>
                      <c:pt idx="167" formatCode="_(* #,##0_);_(* \(#,##0\);_(* &quot;-&quot;??_);_(@_)">
                        <c:v>796</c:v>
                      </c:pt>
                      <c:pt idx="168" formatCode="_(* #,##0_);_(* \(#,##0\);_(* &quot;-&quot;??_);_(@_)">
                        <c:v>-330</c:v>
                      </c:pt>
                      <c:pt idx="169" formatCode="_(* #,##0_);_(* \(#,##0\);_(* &quot;-&quot;??_);_(@_)">
                        <c:v>535</c:v>
                      </c:pt>
                      <c:pt idx="170" formatCode="_(* #,##0_);_(* \(#,##0\);_(* &quot;-&quot;??_);_(@_)">
                        <c:v>676</c:v>
                      </c:pt>
                      <c:pt idx="171" formatCode="_(* #,##0_);_(* \(#,##0\);_(* &quot;-&quot;??_);_(@_)">
                        <c:v>695</c:v>
                      </c:pt>
                      <c:pt idx="172" formatCode="_(* #,##0_);_(* \(#,##0\);_(* &quot;-&quot;??_);_(@_)">
                        <c:v>698</c:v>
                      </c:pt>
                    </c:numCache>
                  </c:numRef>
                </c:val>
                <c:smooth val="0"/>
                <c:extLst xmlns:c15="http://schemas.microsoft.com/office/drawing/2012/chart">
                  <c:ext xmlns:c16="http://schemas.microsoft.com/office/drawing/2014/chart" uri="{C3380CC4-5D6E-409C-BE32-E72D297353CC}">
                    <c16:uniqueId val="{0000001F-E690-4C59-A7C2-6B6BC695708B}"/>
                  </c:ext>
                </c:extLst>
              </c15:ser>
            </c15:filteredLineSeries>
          </c:ext>
        </c:extLst>
      </c:lineChart>
      <c:dateAx>
        <c:axId val="939981295"/>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EC"/>
          </a:p>
        </c:txPr>
        <c:crossAx val="939983375"/>
        <c:crosses val="autoZero"/>
        <c:auto val="1"/>
        <c:lblOffset val="100"/>
        <c:baseTimeUnit val="months"/>
      </c:dateAx>
      <c:valAx>
        <c:axId val="93998337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39981295"/>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Evolución llegadas</a:t>
            </a:r>
            <a:r>
              <a:rPr lang="es-EC" baseline="0"/>
              <a:t> 2019-2021</a:t>
            </a:r>
          </a:p>
          <a:p>
            <a:pPr>
              <a:defRPr/>
            </a:pPr>
            <a:r>
              <a:rPr lang="es-EC" baseline="0"/>
              <a:t>Europa</a:t>
            </a:r>
            <a:endParaRPr lang="es-EC"/>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2.9979287385654363E-2"/>
          <c:y val="0.10995690148269265"/>
          <c:w val="0.89191564165294746"/>
          <c:h val="0.68730920228405445"/>
        </c:manualLayout>
      </c:layout>
      <c:lineChart>
        <c:grouping val="standard"/>
        <c:varyColors val="0"/>
        <c:ser>
          <c:idx val="2"/>
          <c:order val="2"/>
          <c:tx>
            <c:strRef>
              <c:f>'Tendencias nacionalidad'!$C$56</c:f>
              <c:strCache>
                <c:ptCount val="1"/>
                <c:pt idx="0">
                  <c:v>España</c:v>
                </c:pt>
              </c:strCache>
              <c:extLst xmlns:c15="http://schemas.microsoft.com/office/drawing/2012/chart"/>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nacionalidad'!$D$56:$GA$56</c15:sqref>
                  </c15:fullRef>
                </c:ext>
              </c:extLst>
              <c:f>'Tendencias nacionalidad'!$D$56:$FT$56</c:f>
              <c:numCache>
                <c:formatCode>#,##0</c:formatCode>
                <c:ptCount val="173"/>
                <c:pt idx="0">
                  <c:v>1324</c:v>
                </c:pt>
                <c:pt idx="1">
                  <c:v>1555</c:v>
                </c:pt>
                <c:pt idx="2">
                  <c:v>1410</c:v>
                </c:pt>
                <c:pt idx="3">
                  <c:v>1429</c:v>
                </c:pt>
                <c:pt idx="4">
                  <c:v>1418</c:v>
                </c:pt>
                <c:pt idx="5">
                  <c:v>2607</c:v>
                </c:pt>
                <c:pt idx="6">
                  <c:v>2835</c:v>
                </c:pt>
                <c:pt idx="7">
                  <c:v>2685</c:v>
                </c:pt>
                <c:pt idx="8">
                  <c:v>2112</c:v>
                </c:pt>
                <c:pt idx="9">
                  <c:v>1839</c:v>
                </c:pt>
                <c:pt idx="10">
                  <c:v>2329</c:v>
                </c:pt>
                <c:pt idx="11">
                  <c:v>2088</c:v>
                </c:pt>
                <c:pt idx="12">
                  <c:v>1837</c:v>
                </c:pt>
                <c:pt idx="13">
                  <c:v>2639</c:v>
                </c:pt>
                <c:pt idx="14">
                  <c:v>1865</c:v>
                </c:pt>
                <c:pt idx="15">
                  <c:v>1646</c:v>
                </c:pt>
                <c:pt idx="16">
                  <c:v>2039</c:v>
                </c:pt>
                <c:pt idx="17">
                  <c:v>3303</c:v>
                </c:pt>
                <c:pt idx="18">
                  <c:v>2996</c:v>
                </c:pt>
                <c:pt idx="19">
                  <c:v>3169</c:v>
                </c:pt>
                <c:pt idx="20">
                  <c:v>2100</c:v>
                </c:pt>
                <c:pt idx="21">
                  <c:v>1903</c:v>
                </c:pt>
                <c:pt idx="22">
                  <c:v>2662</c:v>
                </c:pt>
                <c:pt idx="23">
                  <c:v>1902</c:v>
                </c:pt>
                <c:pt idx="24">
                  <c:v>2189</c:v>
                </c:pt>
                <c:pt idx="25">
                  <c:v>2306</c:v>
                </c:pt>
                <c:pt idx="26">
                  <c:v>2100</c:v>
                </c:pt>
                <c:pt idx="27">
                  <c:v>2003</c:v>
                </c:pt>
                <c:pt idx="28">
                  <c:v>3328</c:v>
                </c:pt>
                <c:pt idx="29">
                  <c:v>4653</c:v>
                </c:pt>
                <c:pt idx="30">
                  <c:v>3137</c:v>
                </c:pt>
                <c:pt idx="31">
                  <c:v>3497</c:v>
                </c:pt>
                <c:pt idx="32">
                  <c:v>2351</c:v>
                </c:pt>
                <c:pt idx="33">
                  <c:v>2125</c:v>
                </c:pt>
                <c:pt idx="34">
                  <c:v>2575</c:v>
                </c:pt>
                <c:pt idx="35">
                  <c:v>2250</c:v>
                </c:pt>
                <c:pt idx="36">
                  <c:v>2074</c:v>
                </c:pt>
                <c:pt idx="37">
                  <c:v>2222</c:v>
                </c:pt>
                <c:pt idx="38">
                  <c:v>2157</c:v>
                </c:pt>
                <c:pt idx="39">
                  <c:v>1650</c:v>
                </c:pt>
                <c:pt idx="40">
                  <c:v>2169</c:v>
                </c:pt>
                <c:pt idx="41">
                  <c:v>4211</c:v>
                </c:pt>
                <c:pt idx="42">
                  <c:v>3416</c:v>
                </c:pt>
                <c:pt idx="43">
                  <c:v>3730</c:v>
                </c:pt>
                <c:pt idx="44">
                  <c:v>2638</c:v>
                </c:pt>
                <c:pt idx="45">
                  <c:v>2451</c:v>
                </c:pt>
                <c:pt idx="46">
                  <c:v>2709</c:v>
                </c:pt>
                <c:pt idx="47">
                  <c:v>2407</c:v>
                </c:pt>
                <c:pt idx="48">
                  <c:v>2245</c:v>
                </c:pt>
                <c:pt idx="49">
                  <c:v>2360</c:v>
                </c:pt>
                <c:pt idx="50">
                  <c:v>1994</c:v>
                </c:pt>
                <c:pt idx="51">
                  <c:v>2054</c:v>
                </c:pt>
                <c:pt idx="52">
                  <c:v>1974</c:v>
                </c:pt>
                <c:pt idx="53">
                  <c:v>4580</c:v>
                </c:pt>
                <c:pt idx="54">
                  <c:v>3668</c:v>
                </c:pt>
                <c:pt idx="55">
                  <c:v>3797</c:v>
                </c:pt>
                <c:pt idx="56">
                  <c:v>2808</c:v>
                </c:pt>
                <c:pt idx="57">
                  <c:v>2386</c:v>
                </c:pt>
                <c:pt idx="58">
                  <c:v>2699</c:v>
                </c:pt>
                <c:pt idx="59">
                  <c:v>2363</c:v>
                </c:pt>
                <c:pt idx="60">
                  <c:v>2062</c:v>
                </c:pt>
                <c:pt idx="61">
                  <c:v>2453</c:v>
                </c:pt>
                <c:pt idx="62">
                  <c:v>2219</c:v>
                </c:pt>
                <c:pt idx="63">
                  <c:v>2379</c:v>
                </c:pt>
                <c:pt idx="64">
                  <c:v>2483</c:v>
                </c:pt>
                <c:pt idx="65">
                  <c:v>4629</c:v>
                </c:pt>
                <c:pt idx="66">
                  <c:v>3352</c:v>
                </c:pt>
                <c:pt idx="67">
                  <c:v>3785</c:v>
                </c:pt>
                <c:pt idx="68">
                  <c:v>3170</c:v>
                </c:pt>
                <c:pt idx="69">
                  <c:v>2516</c:v>
                </c:pt>
                <c:pt idx="70">
                  <c:v>2627</c:v>
                </c:pt>
                <c:pt idx="71">
                  <c:v>2343</c:v>
                </c:pt>
                <c:pt idx="72">
                  <c:v>2275</c:v>
                </c:pt>
                <c:pt idx="73">
                  <c:v>2408</c:v>
                </c:pt>
                <c:pt idx="74">
                  <c:v>2259</c:v>
                </c:pt>
                <c:pt idx="75">
                  <c:v>2051</c:v>
                </c:pt>
                <c:pt idx="76">
                  <c:v>2962</c:v>
                </c:pt>
                <c:pt idx="77">
                  <c:v>4633</c:v>
                </c:pt>
                <c:pt idx="78">
                  <c:v>3650</c:v>
                </c:pt>
                <c:pt idx="79">
                  <c:v>3942</c:v>
                </c:pt>
                <c:pt idx="80">
                  <c:v>3578</c:v>
                </c:pt>
                <c:pt idx="81">
                  <c:v>2866</c:v>
                </c:pt>
                <c:pt idx="82">
                  <c:v>3622</c:v>
                </c:pt>
                <c:pt idx="83">
                  <c:v>3262</c:v>
                </c:pt>
                <c:pt idx="84">
                  <c:v>4693</c:v>
                </c:pt>
                <c:pt idx="85">
                  <c:v>3329</c:v>
                </c:pt>
                <c:pt idx="86">
                  <c:v>3172</c:v>
                </c:pt>
                <c:pt idx="87">
                  <c:v>2855</c:v>
                </c:pt>
                <c:pt idx="88">
                  <c:v>3070</c:v>
                </c:pt>
                <c:pt idx="89">
                  <c:v>1437</c:v>
                </c:pt>
                <c:pt idx="90">
                  <c:v>4812</c:v>
                </c:pt>
                <c:pt idx="91">
                  <c:v>4547</c:v>
                </c:pt>
                <c:pt idx="92">
                  <c:v>3616</c:v>
                </c:pt>
                <c:pt idx="93">
                  <c:v>3498</c:v>
                </c:pt>
                <c:pt idx="94">
                  <c:v>3618</c:v>
                </c:pt>
                <c:pt idx="95">
                  <c:v>3484</c:v>
                </c:pt>
                <c:pt idx="96">
                  <c:v>3113</c:v>
                </c:pt>
                <c:pt idx="97">
                  <c:v>3325</c:v>
                </c:pt>
                <c:pt idx="98">
                  <c:v>3195</c:v>
                </c:pt>
                <c:pt idx="99">
                  <c:v>2623</c:v>
                </c:pt>
                <c:pt idx="100">
                  <c:v>3137</c:v>
                </c:pt>
                <c:pt idx="101">
                  <c:v>5235</c:v>
                </c:pt>
                <c:pt idx="102">
                  <c:v>4766</c:v>
                </c:pt>
                <c:pt idx="103">
                  <c:v>4153</c:v>
                </c:pt>
                <c:pt idx="104">
                  <c:v>3633</c:v>
                </c:pt>
                <c:pt idx="105">
                  <c:v>3383</c:v>
                </c:pt>
                <c:pt idx="106">
                  <c:v>3320</c:v>
                </c:pt>
                <c:pt idx="107">
                  <c:v>3878</c:v>
                </c:pt>
                <c:pt idx="108">
                  <c:v>2964</c:v>
                </c:pt>
                <c:pt idx="109">
                  <c:v>3137</c:v>
                </c:pt>
                <c:pt idx="110">
                  <c:v>3077</c:v>
                </c:pt>
                <c:pt idx="111">
                  <c:v>2577</c:v>
                </c:pt>
                <c:pt idx="112">
                  <c:v>2847</c:v>
                </c:pt>
                <c:pt idx="113">
                  <c:v>5765</c:v>
                </c:pt>
                <c:pt idx="114">
                  <c:v>4826</c:v>
                </c:pt>
                <c:pt idx="115">
                  <c:v>4045</c:v>
                </c:pt>
                <c:pt idx="116" formatCode="General">
                  <c:v>2741</c:v>
                </c:pt>
                <c:pt idx="117">
                  <c:v>2404</c:v>
                </c:pt>
                <c:pt idx="118">
                  <c:v>2367</c:v>
                </c:pt>
                <c:pt idx="119">
                  <c:v>2423</c:v>
                </c:pt>
                <c:pt idx="120">
                  <c:v>1937</c:v>
                </c:pt>
                <c:pt idx="121">
                  <c:v>1872</c:v>
                </c:pt>
                <c:pt idx="122">
                  <c:v>1901</c:v>
                </c:pt>
                <c:pt idx="123">
                  <c:v>2061</c:v>
                </c:pt>
                <c:pt idx="124">
                  <c:v>1740</c:v>
                </c:pt>
                <c:pt idx="125">
                  <c:v>3360</c:v>
                </c:pt>
                <c:pt idx="126">
                  <c:v>2960</c:v>
                </c:pt>
                <c:pt idx="127">
                  <c:v>2392</c:v>
                </c:pt>
                <c:pt idx="128">
                  <c:v>2217</c:v>
                </c:pt>
                <c:pt idx="129">
                  <c:v>2173</c:v>
                </c:pt>
                <c:pt idx="130">
                  <c:v>2397</c:v>
                </c:pt>
                <c:pt idx="131">
                  <c:v>2655</c:v>
                </c:pt>
                <c:pt idx="132">
                  <c:v>2327</c:v>
                </c:pt>
                <c:pt idx="133">
                  <c:v>2245</c:v>
                </c:pt>
                <c:pt idx="134">
                  <c:v>2500</c:v>
                </c:pt>
                <c:pt idx="135">
                  <c:v>2062</c:v>
                </c:pt>
                <c:pt idx="136">
                  <c:v>2145</c:v>
                </c:pt>
                <c:pt idx="137">
                  <c:v>3948</c:v>
                </c:pt>
                <c:pt idx="138">
                  <c:v>3670</c:v>
                </c:pt>
                <c:pt idx="139">
                  <c:v>3213</c:v>
                </c:pt>
                <c:pt idx="140">
                  <c:v>2579</c:v>
                </c:pt>
                <c:pt idx="141">
                  <c:v>2489</c:v>
                </c:pt>
                <c:pt idx="142">
                  <c:v>2626</c:v>
                </c:pt>
                <c:pt idx="143">
                  <c:v>2981</c:v>
                </c:pt>
                <c:pt idx="144" formatCode="_(* #,##0_);_(* \(#,##0\);_(* &quot;-&quot;??_);_(@_)">
                  <c:v>1985</c:v>
                </c:pt>
                <c:pt idx="145">
                  <c:v>2280</c:v>
                </c:pt>
                <c:pt idx="146">
                  <c:v>2141</c:v>
                </c:pt>
                <c:pt idx="147">
                  <c:v>2248</c:v>
                </c:pt>
                <c:pt idx="148" formatCode="_(* #,##0_);_(* \(#,##0\);_(* &quot;-&quot;??_);_(@_)">
                  <c:v>4117</c:v>
                </c:pt>
                <c:pt idx="149" formatCode="_(* #,##0_);_(* \(#,##0\);_(* &quot;-&quot;??_);_(@_)">
                  <c:v>7279</c:v>
                </c:pt>
                <c:pt idx="150" formatCode="_(* #,##0_);_(* \(#,##0\);_(* &quot;-&quot;??_);_(@_)">
                  <c:v>8646</c:v>
                </c:pt>
                <c:pt idx="151" formatCode="_(* #,##0_);_(* \(#,##0\);_(* &quot;-&quot;??_);_(@_)">
                  <c:v>7778</c:v>
                </c:pt>
                <c:pt idx="152" formatCode="_(* #,##0_);_(* \(#,##0\);_(* &quot;-&quot;??_);_(@_)">
                  <c:v>6031</c:v>
                </c:pt>
                <c:pt idx="153" formatCode="_(* #,##0_);_(* \(#,##0\);_(* &quot;-&quot;??_);_(@_)">
                  <c:v>4476</c:v>
                </c:pt>
                <c:pt idx="154" formatCode="_(* #,##0_);_(* \(#,##0\);_(* &quot;-&quot;??_);_(@_)">
                  <c:v>5469</c:v>
                </c:pt>
                <c:pt idx="155" formatCode="_(* #,##0_);_(* \(#,##0\);_(* &quot;-&quot;??_);_(@_)">
                  <c:v>7951</c:v>
                </c:pt>
                <c:pt idx="156">
                  <c:v>4895</c:v>
                </c:pt>
                <c:pt idx="157">
                  <c:v>5061</c:v>
                </c:pt>
                <c:pt idx="158">
                  <c:v>1744</c:v>
                </c:pt>
                <c:pt idx="159">
                  <c:v>42</c:v>
                </c:pt>
                <c:pt idx="160">
                  <c:v>49</c:v>
                </c:pt>
                <c:pt idx="161">
                  <c:v>94</c:v>
                </c:pt>
                <c:pt idx="162">
                  <c:v>976</c:v>
                </c:pt>
                <c:pt idx="163">
                  <c:v>912</c:v>
                </c:pt>
                <c:pt idx="164">
                  <c:v>1188</c:v>
                </c:pt>
                <c:pt idx="165">
                  <c:v>1364</c:v>
                </c:pt>
                <c:pt idx="166">
                  <c:v>1646</c:v>
                </c:pt>
                <c:pt idx="167">
                  <c:v>2750</c:v>
                </c:pt>
                <c:pt idx="168">
                  <c:v>2113</c:v>
                </c:pt>
                <c:pt idx="169">
                  <c:v>1570</c:v>
                </c:pt>
                <c:pt idx="170">
                  <c:v>2019</c:v>
                </c:pt>
                <c:pt idx="171">
                  <c:v>1576</c:v>
                </c:pt>
                <c:pt idx="172">
                  <c:v>1610</c:v>
                </c:pt>
              </c:numCache>
            </c:numRef>
          </c:val>
          <c:smooth val="0"/>
          <c:extLst>
            <c:ext xmlns:c16="http://schemas.microsoft.com/office/drawing/2014/chart" uri="{C3380CC4-5D6E-409C-BE32-E72D297353CC}">
              <c16:uniqueId val="{00000006-F54E-4F2C-B67C-89E5093B052E}"/>
            </c:ext>
          </c:extLst>
        </c:ser>
        <c:ser>
          <c:idx val="4"/>
          <c:order val="4"/>
          <c:tx>
            <c:strRef>
              <c:f>'Tendencias nacionalidad'!$C$58</c:f>
              <c:strCache>
                <c:ptCount val="1"/>
                <c:pt idx="0">
                  <c:v>Alemania</c:v>
                </c:pt>
              </c:strCache>
              <c:extLst xmlns:c15="http://schemas.microsoft.com/office/drawing/2012/chart"/>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nacionalidad'!$D$58:$GA$58</c15:sqref>
                  </c15:fullRef>
                </c:ext>
              </c:extLst>
              <c:f>'Tendencias nacionalidad'!$D$58:$FT$58</c:f>
              <c:numCache>
                <c:formatCode>#,##0</c:formatCode>
                <c:ptCount val="173"/>
                <c:pt idx="0">
                  <c:v>979</c:v>
                </c:pt>
                <c:pt idx="1">
                  <c:v>1028</c:v>
                </c:pt>
                <c:pt idx="2">
                  <c:v>1191</c:v>
                </c:pt>
                <c:pt idx="3">
                  <c:v>822</c:v>
                </c:pt>
                <c:pt idx="4">
                  <c:v>771</c:v>
                </c:pt>
                <c:pt idx="5">
                  <c:v>743</c:v>
                </c:pt>
                <c:pt idx="6">
                  <c:v>1668</c:v>
                </c:pt>
                <c:pt idx="7">
                  <c:v>1648</c:v>
                </c:pt>
                <c:pt idx="8">
                  <c:v>1293</c:v>
                </c:pt>
                <c:pt idx="9">
                  <c:v>1389</c:v>
                </c:pt>
                <c:pt idx="10">
                  <c:v>1328</c:v>
                </c:pt>
                <c:pt idx="11">
                  <c:v>1045</c:v>
                </c:pt>
                <c:pt idx="12">
                  <c:v>1064</c:v>
                </c:pt>
                <c:pt idx="13">
                  <c:v>1703</c:v>
                </c:pt>
                <c:pt idx="14">
                  <c:v>1525</c:v>
                </c:pt>
                <c:pt idx="15">
                  <c:v>905</c:v>
                </c:pt>
                <c:pt idx="16">
                  <c:v>1008</c:v>
                </c:pt>
                <c:pt idx="17">
                  <c:v>1074</c:v>
                </c:pt>
                <c:pt idx="18">
                  <c:v>1651</c:v>
                </c:pt>
                <c:pt idx="19">
                  <c:v>1896</c:v>
                </c:pt>
                <c:pt idx="20">
                  <c:v>1295</c:v>
                </c:pt>
                <c:pt idx="21">
                  <c:v>1655</c:v>
                </c:pt>
                <c:pt idx="22">
                  <c:v>1637</c:v>
                </c:pt>
                <c:pt idx="23">
                  <c:v>1309</c:v>
                </c:pt>
                <c:pt idx="24">
                  <c:v>1162</c:v>
                </c:pt>
                <c:pt idx="25">
                  <c:v>1372</c:v>
                </c:pt>
                <c:pt idx="26">
                  <c:v>1251</c:v>
                </c:pt>
                <c:pt idx="27">
                  <c:v>1188</c:v>
                </c:pt>
                <c:pt idx="28">
                  <c:v>1125.5</c:v>
                </c:pt>
                <c:pt idx="29">
                  <c:v>1063</c:v>
                </c:pt>
                <c:pt idx="30">
                  <c:v>1694</c:v>
                </c:pt>
                <c:pt idx="31">
                  <c:v>1936</c:v>
                </c:pt>
                <c:pt idx="32">
                  <c:v>1190</c:v>
                </c:pt>
                <c:pt idx="33">
                  <c:v>1628</c:v>
                </c:pt>
                <c:pt idx="34">
                  <c:v>1627</c:v>
                </c:pt>
                <c:pt idx="35">
                  <c:v>1330</c:v>
                </c:pt>
                <c:pt idx="36">
                  <c:v>1167</c:v>
                </c:pt>
                <c:pt idx="37">
                  <c:v>1178</c:v>
                </c:pt>
                <c:pt idx="38">
                  <c:v>1274</c:v>
                </c:pt>
                <c:pt idx="39">
                  <c:v>821</c:v>
                </c:pt>
                <c:pt idx="40">
                  <c:v>976</c:v>
                </c:pt>
                <c:pt idx="41">
                  <c:v>1016</c:v>
                </c:pt>
                <c:pt idx="42">
                  <c:v>1824</c:v>
                </c:pt>
                <c:pt idx="43">
                  <c:v>1850</c:v>
                </c:pt>
                <c:pt idx="44">
                  <c:v>1266</c:v>
                </c:pt>
                <c:pt idx="45">
                  <c:v>1582</c:v>
                </c:pt>
                <c:pt idx="46">
                  <c:v>1470</c:v>
                </c:pt>
                <c:pt idx="47">
                  <c:v>1296</c:v>
                </c:pt>
                <c:pt idx="48">
                  <c:v>1126</c:v>
                </c:pt>
                <c:pt idx="49">
                  <c:v>1446</c:v>
                </c:pt>
                <c:pt idx="50">
                  <c:v>1204</c:v>
                </c:pt>
                <c:pt idx="51">
                  <c:v>1160</c:v>
                </c:pt>
                <c:pt idx="52">
                  <c:v>926</c:v>
                </c:pt>
                <c:pt idx="53">
                  <c:v>1107</c:v>
                </c:pt>
                <c:pt idx="54">
                  <c:v>1753</c:v>
                </c:pt>
                <c:pt idx="55">
                  <c:v>2142</c:v>
                </c:pt>
                <c:pt idx="56">
                  <c:v>1459</c:v>
                </c:pt>
                <c:pt idx="57">
                  <c:v>1726</c:v>
                </c:pt>
                <c:pt idx="58">
                  <c:v>1523</c:v>
                </c:pt>
                <c:pt idx="59">
                  <c:v>1238</c:v>
                </c:pt>
                <c:pt idx="60">
                  <c:v>1222</c:v>
                </c:pt>
                <c:pt idx="61">
                  <c:v>1433</c:v>
                </c:pt>
                <c:pt idx="62">
                  <c:v>1585</c:v>
                </c:pt>
                <c:pt idx="63">
                  <c:v>1043</c:v>
                </c:pt>
                <c:pt idx="64">
                  <c:v>1060</c:v>
                </c:pt>
                <c:pt idx="65">
                  <c:v>1097</c:v>
                </c:pt>
                <c:pt idx="66">
                  <c:v>1975</c:v>
                </c:pt>
                <c:pt idx="67">
                  <c:v>2483</c:v>
                </c:pt>
                <c:pt idx="68">
                  <c:v>1516</c:v>
                </c:pt>
                <c:pt idx="69">
                  <c:v>1776</c:v>
                </c:pt>
                <c:pt idx="70">
                  <c:v>1812</c:v>
                </c:pt>
                <c:pt idx="71">
                  <c:v>1505</c:v>
                </c:pt>
                <c:pt idx="72">
                  <c:v>1259</c:v>
                </c:pt>
                <c:pt idx="73">
                  <c:v>1498</c:v>
                </c:pt>
                <c:pt idx="74">
                  <c:v>1791</c:v>
                </c:pt>
                <c:pt idx="75">
                  <c:v>999</c:v>
                </c:pt>
                <c:pt idx="76">
                  <c:v>1135</c:v>
                </c:pt>
                <c:pt idx="77">
                  <c:v>1094</c:v>
                </c:pt>
                <c:pt idx="78">
                  <c:v>1954</c:v>
                </c:pt>
                <c:pt idx="79">
                  <c:v>2103</c:v>
                </c:pt>
                <c:pt idx="80">
                  <c:v>1514</c:v>
                </c:pt>
                <c:pt idx="81">
                  <c:v>1650</c:v>
                </c:pt>
                <c:pt idx="82">
                  <c:v>1669</c:v>
                </c:pt>
                <c:pt idx="83">
                  <c:v>1507</c:v>
                </c:pt>
                <c:pt idx="84">
                  <c:v>1252</c:v>
                </c:pt>
                <c:pt idx="85">
                  <c:v>1443</c:v>
                </c:pt>
                <c:pt idx="86">
                  <c:v>1447</c:v>
                </c:pt>
                <c:pt idx="87">
                  <c:v>1394</c:v>
                </c:pt>
                <c:pt idx="88">
                  <c:v>1109</c:v>
                </c:pt>
                <c:pt idx="89">
                  <c:v>986</c:v>
                </c:pt>
                <c:pt idx="90">
                  <c:v>2241</c:v>
                </c:pt>
                <c:pt idx="91">
                  <c:v>2458</c:v>
                </c:pt>
                <c:pt idx="92">
                  <c:v>1566</c:v>
                </c:pt>
                <c:pt idx="93">
                  <c:v>1926</c:v>
                </c:pt>
                <c:pt idx="94">
                  <c:v>1800</c:v>
                </c:pt>
                <c:pt idx="95">
                  <c:v>1600</c:v>
                </c:pt>
                <c:pt idx="96">
                  <c:v>1310</c:v>
                </c:pt>
                <c:pt idx="97">
                  <c:v>1458</c:v>
                </c:pt>
                <c:pt idx="98">
                  <c:v>1764</c:v>
                </c:pt>
                <c:pt idx="99">
                  <c:v>1021</c:v>
                </c:pt>
                <c:pt idx="100">
                  <c:v>1209</c:v>
                </c:pt>
                <c:pt idx="101">
                  <c:v>1089</c:v>
                </c:pt>
                <c:pt idx="102">
                  <c:v>1876</c:v>
                </c:pt>
                <c:pt idx="103">
                  <c:v>2424</c:v>
                </c:pt>
                <c:pt idx="104">
                  <c:v>1390</c:v>
                </c:pt>
                <c:pt idx="105">
                  <c:v>1890</c:v>
                </c:pt>
                <c:pt idx="106">
                  <c:v>1595</c:v>
                </c:pt>
                <c:pt idx="107">
                  <c:v>1538</c:v>
                </c:pt>
                <c:pt idx="108">
                  <c:v>1219</c:v>
                </c:pt>
                <c:pt idx="109">
                  <c:v>1461</c:v>
                </c:pt>
                <c:pt idx="110">
                  <c:v>1530</c:v>
                </c:pt>
                <c:pt idx="111">
                  <c:v>984</c:v>
                </c:pt>
                <c:pt idx="112">
                  <c:v>1111</c:v>
                </c:pt>
                <c:pt idx="113">
                  <c:v>1105</c:v>
                </c:pt>
                <c:pt idx="114">
                  <c:v>2133</c:v>
                </c:pt>
                <c:pt idx="115">
                  <c:v>2090</c:v>
                </c:pt>
                <c:pt idx="116" formatCode="General">
                  <c:v>1304</c:v>
                </c:pt>
                <c:pt idx="117">
                  <c:v>1939</c:v>
                </c:pt>
                <c:pt idx="118">
                  <c:v>1447</c:v>
                </c:pt>
                <c:pt idx="119">
                  <c:v>1384</c:v>
                </c:pt>
                <c:pt idx="120">
                  <c:v>1181</c:v>
                </c:pt>
                <c:pt idx="121">
                  <c:v>1257</c:v>
                </c:pt>
                <c:pt idx="122">
                  <c:v>1493</c:v>
                </c:pt>
                <c:pt idx="123">
                  <c:v>1328</c:v>
                </c:pt>
                <c:pt idx="124">
                  <c:v>1017</c:v>
                </c:pt>
                <c:pt idx="125">
                  <c:v>1177</c:v>
                </c:pt>
                <c:pt idx="126">
                  <c:v>1762</c:v>
                </c:pt>
                <c:pt idx="127">
                  <c:v>2116</c:v>
                </c:pt>
                <c:pt idx="128">
                  <c:v>1515</c:v>
                </c:pt>
                <c:pt idx="129">
                  <c:v>2079</c:v>
                </c:pt>
                <c:pt idx="130">
                  <c:v>1709</c:v>
                </c:pt>
                <c:pt idx="131">
                  <c:v>1429</c:v>
                </c:pt>
                <c:pt idx="132">
                  <c:v>1364</c:v>
                </c:pt>
                <c:pt idx="133">
                  <c:v>1772</c:v>
                </c:pt>
                <c:pt idx="134">
                  <c:v>1987</c:v>
                </c:pt>
                <c:pt idx="135">
                  <c:v>1233</c:v>
                </c:pt>
                <c:pt idx="136">
                  <c:v>1437</c:v>
                </c:pt>
                <c:pt idx="137">
                  <c:v>1289</c:v>
                </c:pt>
                <c:pt idx="138">
                  <c:v>2110</c:v>
                </c:pt>
                <c:pt idx="139">
                  <c:v>2013</c:v>
                </c:pt>
                <c:pt idx="140">
                  <c:v>1690</c:v>
                </c:pt>
                <c:pt idx="141">
                  <c:v>1860</c:v>
                </c:pt>
                <c:pt idx="142">
                  <c:v>2026</c:v>
                </c:pt>
                <c:pt idx="143">
                  <c:v>1630</c:v>
                </c:pt>
                <c:pt idx="144" formatCode="_(* #,##0_);_(* \(#,##0\);_(* &quot;-&quot;??_);_(@_)">
                  <c:v>1437</c:v>
                </c:pt>
                <c:pt idx="145">
                  <c:v>1736</c:v>
                </c:pt>
                <c:pt idx="146">
                  <c:v>1752</c:v>
                </c:pt>
                <c:pt idx="147">
                  <c:v>1612</c:v>
                </c:pt>
                <c:pt idx="148" formatCode="_(* #,##0_);_(* \(#,##0\);_(* &quot;-&quot;??_);_(@_)">
                  <c:v>1388</c:v>
                </c:pt>
                <c:pt idx="149" formatCode="_(* #,##0_);_(* \(#,##0\);_(* &quot;-&quot;??_);_(@_)">
                  <c:v>1538</c:v>
                </c:pt>
                <c:pt idx="150" formatCode="_(* #,##0_);_(* \(#,##0\);_(* &quot;-&quot;??_);_(@_)">
                  <c:v>2642</c:v>
                </c:pt>
                <c:pt idx="151" formatCode="_(* #,##0_);_(* \(#,##0\);_(* &quot;-&quot;??_);_(@_)">
                  <c:v>2517</c:v>
                </c:pt>
                <c:pt idx="152" formatCode="_(* #,##0_);_(* \(#,##0\);_(* &quot;-&quot;??_);_(@_)">
                  <c:v>1974</c:v>
                </c:pt>
                <c:pt idx="153" formatCode="_(* #,##0_);_(* \(#,##0\);_(* &quot;-&quot;??_);_(@_)">
                  <c:v>1837</c:v>
                </c:pt>
                <c:pt idx="154" formatCode="_(* #,##0_);_(* \(#,##0\);_(* &quot;-&quot;??_);_(@_)">
                  <c:v>2241</c:v>
                </c:pt>
                <c:pt idx="155" formatCode="_(* #,##0_);_(* \(#,##0\);_(* &quot;-&quot;??_);_(@_)">
                  <c:v>2074</c:v>
                </c:pt>
                <c:pt idx="156">
                  <c:v>1785</c:v>
                </c:pt>
                <c:pt idx="157">
                  <c:v>2078</c:v>
                </c:pt>
                <c:pt idx="158">
                  <c:v>880</c:v>
                </c:pt>
                <c:pt idx="159">
                  <c:v>9</c:v>
                </c:pt>
                <c:pt idx="160">
                  <c:v>12</c:v>
                </c:pt>
                <c:pt idx="161">
                  <c:v>19</c:v>
                </c:pt>
                <c:pt idx="162">
                  <c:v>54</c:v>
                </c:pt>
                <c:pt idx="163">
                  <c:v>137</c:v>
                </c:pt>
                <c:pt idx="164">
                  <c:v>139</c:v>
                </c:pt>
                <c:pt idx="165">
                  <c:v>179</c:v>
                </c:pt>
                <c:pt idx="166">
                  <c:v>145</c:v>
                </c:pt>
                <c:pt idx="167">
                  <c:v>331</c:v>
                </c:pt>
                <c:pt idx="168">
                  <c:v>281</c:v>
                </c:pt>
                <c:pt idx="169">
                  <c:v>166</c:v>
                </c:pt>
                <c:pt idx="170">
                  <c:v>258</c:v>
                </c:pt>
                <c:pt idx="171">
                  <c:v>249</c:v>
                </c:pt>
                <c:pt idx="172">
                  <c:v>270</c:v>
                </c:pt>
              </c:numCache>
            </c:numRef>
          </c:val>
          <c:smooth val="0"/>
          <c:extLst>
            <c:ext xmlns:c16="http://schemas.microsoft.com/office/drawing/2014/chart" uri="{C3380CC4-5D6E-409C-BE32-E72D297353CC}">
              <c16:uniqueId val="{00000008-F54E-4F2C-B67C-89E5093B052E}"/>
            </c:ext>
          </c:extLst>
        </c:ser>
        <c:ser>
          <c:idx val="7"/>
          <c:order val="7"/>
          <c:tx>
            <c:strRef>
              <c:f>'Tendencias nacionalidad'!$C$61</c:f>
              <c:strCache>
                <c:ptCount val="1"/>
                <c:pt idx="0">
                  <c:v>Reino Unido</c:v>
                </c:pt>
              </c:strCache>
              <c:extLst xmlns:c15="http://schemas.microsoft.com/office/drawing/2012/chart"/>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nacionalidad'!$D$61:$GA$61</c15:sqref>
                  </c15:fullRef>
                </c:ext>
              </c:extLst>
              <c:f>'Tendencias nacionalidad'!$D$61:$FT$61</c:f>
              <c:numCache>
                <c:formatCode>#,##0</c:formatCode>
                <c:ptCount val="173"/>
                <c:pt idx="0">
                  <c:v>1260</c:v>
                </c:pt>
                <c:pt idx="1">
                  <c:v>1276</c:v>
                </c:pt>
                <c:pt idx="2">
                  <c:v>1273</c:v>
                </c:pt>
                <c:pt idx="3">
                  <c:v>1609</c:v>
                </c:pt>
                <c:pt idx="4">
                  <c:v>1342</c:v>
                </c:pt>
                <c:pt idx="5">
                  <c:v>1217</c:v>
                </c:pt>
                <c:pt idx="6">
                  <c:v>2417</c:v>
                </c:pt>
                <c:pt idx="7">
                  <c:v>1711</c:v>
                </c:pt>
                <c:pt idx="8">
                  <c:v>1389</c:v>
                </c:pt>
                <c:pt idx="9">
                  <c:v>1689</c:v>
                </c:pt>
                <c:pt idx="10">
                  <c:v>1780</c:v>
                </c:pt>
                <c:pt idx="11">
                  <c:v>1105</c:v>
                </c:pt>
                <c:pt idx="12">
                  <c:v>1501</c:v>
                </c:pt>
                <c:pt idx="13">
                  <c:v>2067</c:v>
                </c:pt>
                <c:pt idx="14">
                  <c:v>1748</c:v>
                </c:pt>
                <c:pt idx="15">
                  <c:v>1878</c:v>
                </c:pt>
                <c:pt idx="16">
                  <c:v>1744</c:v>
                </c:pt>
                <c:pt idx="17">
                  <c:v>1450</c:v>
                </c:pt>
                <c:pt idx="18">
                  <c:v>2185</c:v>
                </c:pt>
                <c:pt idx="19">
                  <c:v>1787</c:v>
                </c:pt>
                <c:pt idx="20">
                  <c:v>1529</c:v>
                </c:pt>
                <c:pt idx="21">
                  <c:v>1653</c:v>
                </c:pt>
                <c:pt idx="22">
                  <c:v>1668</c:v>
                </c:pt>
                <c:pt idx="23">
                  <c:v>1114</c:v>
                </c:pt>
                <c:pt idx="24">
                  <c:v>1499</c:v>
                </c:pt>
                <c:pt idx="25">
                  <c:v>1325</c:v>
                </c:pt>
                <c:pt idx="26">
                  <c:v>1263</c:v>
                </c:pt>
                <c:pt idx="27">
                  <c:v>1502</c:v>
                </c:pt>
                <c:pt idx="28">
                  <c:v>1439.5</c:v>
                </c:pt>
                <c:pt idx="29">
                  <c:v>1377</c:v>
                </c:pt>
                <c:pt idx="30">
                  <c:v>2221</c:v>
                </c:pt>
                <c:pt idx="31">
                  <c:v>1438</c:v>
                </c:pt>
                <c:pt idx="32">
                  <c:v>1140</c:v>
                </c:pt>
                <c:pt idx="33">
                  <c:v>1561</c:v>
                </c:pt>
                <c:pt idx="34">
                  <c:v>1508</c:v>
                </c:pt>
                <c:pt idx="35">
                  <c:v>1164</c:v>
                </c:pt>
                <c:pt idx="36">
                  <c:v>1064</c:v>
                </c:pt>
                <c:pt idx="37">
                  <c:v>994</c:v>
                </c:pt>
                <c:pt idx="38">
                  <c:v>1080</c:v>
                </c:pt>
                <c:pt idx="39">
                  <c:v>1258</c:v>
                </c:pt>
                <c:pt idx="40">
                  <c:v>1059</c:v>
                </c:pt>
                <c:pt idx="41">
                  <c:v>1091</c:v>
                </c:pt>
                <c:pt idx="42">
                  <c:v>2091</c:v>
                </c:pt>
                <c:pt idx="43">
                  <c:v>1225</c:v>
                </c:pt>
                <c:pt idx="44">
                  <c:v>975</c:v>
                </c:pt>
                <c:pt idx="45">
                  <c:v>1230</c:v>
                </c:pt>
                <c:pt idx="46">
                  <c:v>1152</c:v>
                </c:pt>
                <c:pt idx="47">
                  <c:v>925</c:v>
                </c:pt>
                <c:pt idx="48">
                  <c:v>1025</c:v>
                </c:pt>
                <c:pt idx="49">
                  <c:v>900</c:v>
                </c:pt>
                <c:pt idx="50">
                  <c:v>988</c:v>
                </c:pt>
                <c:pt idx="51">
                  <c:v>1272</c:v>
                </c:pt>
                <c:pt idx="52">
                  <c:v>1126</c:v>
                </c:pt>
                <c:pt idx="53">
                  <c:v>1015</c:v>
                </c:pt>
                <c:pt idx="54">
                  <c:v>2074</c:v>
                </c:pt>
                <c:pt idx="55">
                  <c:v>1207</c:v>
                </c:pt>
                <c:pt idx="56">
                  <c:v>944</c:v>
                </c:pt>
                <c:pt idx="57">
                  <c:v>1417</c:v>
                </c:pt>
                <c:pt idx="58">
                  <c:v>1382</c:v>
                </c:pt>
                <c:pt idx="59">
                  <c:v>934</c:v>
                </c:pt>
                <c:pt idx="60">
                  <c:v>898</c:v>
                </c:pt>
                <c:pt idx="61">
                  <c:v>919</c:v>
                </c:pt>
                <c:pt idx="62">
                  <c:v>1062</c:v>
                </c:pt>
                <c:pt idx="63">
                  <c:v>1197</c:v>
                </c:pt>
                <c:pt idx="64">
                  <c:v>1156</c:v>
                </c:pt>
                <c:pt idx="65">
                  <c:v>1051</c:v>
                </c:pt>
                <c:pt idx="66">
                  <c:v>1995</c:v>
                </c:pt>
                <c:pt idx="67">
                  <c:v>1140</c:v>
                </c:pt>
                <c:pt idx="68">
                  <c:v>909</c:v>
                </c:pt>
                <c:pt idx="69">
                  <c:v>1154</c:v>
                </c:pt>
                <c:pt idx="70">
                  <c:v>1295</c:v>
                </c:pt>
                <c:pt idx="71">
                  <c:v>1103</c:v>
                </c:pt>
                <c:pt idx="72">
                  <c:v>1090</c:v>
                </c:pt>
                <c:pt idx="73">
                  <c:v>977</c:v>
                </c:pt>
                <c:pt idx="74">
                  <c:v>1157</c:v>
                </c:pt>
                <c:pt idx="75">
                  <c:v>1135</c:v>
                </c:pt>
                <c:pt idx="76">
                  <c:v>1253</c:v>
                </c:pt>
                <c:pt idx="77">
                  <c:v>1120</c:v>
                </c:pt>
                <c:pt idx="78">
                  <c:v>2381</c:v>
                </c:pt>
                <c:pt idx="79">
                  <c:v>1417</c:v>
                </c:pt>
                <c:pt idx="80">
                  <c:v>1070</c:v>
                </c:pt>
                <c:pt idx="81">
                  <c:v>1403</c:v>
                </c:pt>
                <c:pt idx="82">
                  <c:v>1588</c:v>
                </c:pt>
                <c:pt idx="83">
                  <c:v>935</c:v>
                </c:pt>
                <c:pt idx="84">
                  <c:v>1166</c:v>
                </c:pt>
                <c:pt idx="85">
                  <c:v>1197</c:v>
                </c:pt>
                <c:pt idx="86">
                  <c:v>1218</c:v>
                </c:pt>
                <c:pt idx="87">
                  <c:v>1543</c:v>
                </c:pt>
                <c:pt idx="88">
                  <c:v>1497</c:v>
                </c:pt>
                <c:pt idx="89">
                  <c:v>1386</c:v>
                </c:pt>
                <c:pt idx="90">
                  <c:v>2484</c:v>
                </c:pt>
                <c:pt idx="91">
                  <c:v>1411</c:v>
                </c:pt>
                <c:pt idx="92">
                  <c:v>1179</c:v>
                </c:pt>
                <c:pt idx="93">
                  <c:v>1580</c:v>
                </c:pt>
                <c:pt idx="94">
                  <c:v>1532</c:v>
                </c:pt>
                <c:pt idx="95">
                  <c:v>1130</c:v>
                </c:pt>
                <c:pt idx="96">
                  <c:v>1217</c:v>
                </c:pt>
                <c:pt idx="97">
                  <c:v>1190</c:v>
                </c:pt>
                <c:pt idx="98">
                  <c:v>1225</c:v>
                </c:pt>
                <c:pt idx="99">
                  <c:v>1363</c:v>
                </c:pt>
                <c:pt idx="100">
                  <c:v>1425</c:v>
                </c:pt>
                <c:pt idx="101">
                  <c:v>1441</c:v>
                </c:pt>
                <c:pt idx="102">
                  <c:v>2802</c:v>
                </c:pt>
                <c:pt idx="103">
                  <c:v>1381</c:v>
                </c:pt>
                <c:pt idx="104">
                  <c:v>1092</c:v>
                </c:pt>
                <c:pt idx="105">
                  <c:v>1519</c:v>
                </c:pt>
                <c:pt idx="106">
                  <c:v>1658</c:v>
                </c:pt>
                <c:pt idx="107">
                  <c:v>1266</c:v>
                </c:pt>
                <c:pt idx="108">
                  <c:v>1300</c:v>
                </c:pt>
                <c:pt idx="109">
                  <c:v>1442</c:v>
                </c:pt>
                <c:pt idx="110">
                  <c:v>1528</c:v>
                </c:pt>
                <c:pt idx="111">
                  <c:v>1307</c:v>
                </c:pt>
                <c:pt idx="112">
                  <c:v>1382</c:v>
                </c:pt>
                <c:pt idx="113">
                  <c:v>1465</c:v>
                </c:pt>
                <c:pt idx="114">
                  <c:v>2920</c:v>
                </c:pt>
                <c:pt idx="115">
                  <c:v>1383</c:v>
                </c:pt>
                <c:pt idx="116" formatCode="General">
                  <c:v>1079</c:v>
                </c:pt>
                <c:pt idx="117">
                  <c:v>1606</c:v>
                </c:pt>
                <c:pt idx="118">
                  <c:v>1282</c:v>
                </c:pt>
                <c:pt idx="119">
                  <c:v>964</c:v>
                </c:pt>
                <c:pt idx="120">
                  <c:v>1117</c:v>
                </c:pt>
                <c:pt idx="121">
                  <c:v>1160</c:v>
                </c:pt>
                <c:pt idx="122">
                  <c:v>1175</c:v>
                </c:pt>
                <c:pt idx="123">
                  <c:v>1542</c:v>
                </c:pt>
                <c:pt idx="124">
                  <c:v>1184</c:v>
                </c:pt>
                <c:pt idx="125">
                  <c:v>1335</c:v>
                </c:pt>
                <c:pt idx="126">
                  <c:v>2297</c:v>
                </c:pt>
                <c:pt idx="127">
                  <c:v>1142</c:v>
                </c:pt>
                <c:pt idx="128">
                  <c:v>1058</c:v>
                </c:pt>
                <c:pt idx="129">
                  <c:v>1309</c:v>
                </c:pt>
                <c:pt idx="130">
                  <c:v>1336</c:v>
                </c:pt>
                <c:pt idx="131">
                  <c:v>1167</c:v>
                </c:pt>
                <c:pt idx="132">
                  <c:v>1254</c:v>
                </c:pt>
                <c:pt idx="133">
                  <c:v>1291</c:v>
                </c:pt>
                <c:pt idx="134">
                  <c:v>1485</c:v>
                </c:pt>
                <c:pt idx="135">
                  <c:v>1293</c:v>
                </c:pt>
                <c:pt idx="136">
                  <c:v>1573</c:v>
                </c:pt>
                <c:pt idx="137">
                  <c:v>1297</c:v>
                </c:pt>
                <c:pt idx="138">
                  <c:v>2452</c:v>
                </c:pt>
                <c:pt idx="139">
                  <c:v>1513</c:v>
                </c:pt>
                <c:pt idx="140">
                  <c:v>1089</c:v>
                </c:pt>
                <c:pt idx="141">
                  <c:v>1329</c:v>
                </c:pt>
                <c:pt idx="142">
                  <c:v>1462</c:v>
                </c:pt>
                <c:pt idx="143">
                  <c:v>1313</c:v>
                </c:pt>
                <c:pt idx="144" formatCode="_(* #,##0_);_(* \(#,##0\);_(* &quot;-&quot;??_);_(@_)">
                  <c:v>1244</c:v>
                </c:pt>
                <c:pt idx="145">
                  <c:v>1234</c:v>
                </c:pt>
                <c:pt idx="146">
                  <c:v>1311</c:v>
                </c:pt>
                <c:pt idx="147">
                  <c:v>1662</c:v>
                </c:pt>
                <c:pt idx="148" formatCode="_(* #,##0_);_(* \(#,##0\);_(* &quot;-&quot;??_);_(@_)">
                  <c:v>1707</c:v>
                </c:pt>
                <c:pt idx="149" formatCode="_(* #,##0_);_(* \(#,##0\);_(* &quot;-&quot;??_);_(@_)">
                  <c:v>1425</c:v>
                </c:pt>
                <c:pt idx="150" formatCode="_(* #,##0_);_(* \(#,##0\);_(* &quot;-&quot;??_);_(@_)">
                  <c:v>2786</c:v>
                </c:pt>
                <c:pt idx="151" formatCode="_(* #,##0_);_(* \(#,##0\);_(* &quot;-&quot;??_);_(@_)">
                  <c:v>1489</c:v>
                </c:pt>
                <c:pt idx="152" formatCode="_(* #,##0_);_(* \(#,##0\);_(* &quot;-&quot;??_);_(@_)">
                  <c:v>1465</c:v>
                </c:pt>
                <c:pt idx="153" formatCode="_(* #,##0_);_(* \(#,##0\);_(* &quot;-&quot;??_);_(@_)">
                  <c:v>1380</c:v>
                </c:pt>
                <c:pt idx="154" formatCode="_(* #,##0_);_(* \(#,##0\);_(* &quot;-&quot;??_);_(@_)">
                  <c:v>1705</c:v>
                </c:pt>
                <c:pt idx="155" formatCode="_(* #,##0_);_(* \(#,##0\);_(* &quot;-&quot;??_);_(@_)">
                  <c:v>1455</c:v>
                </c:pt>
                <c:pt idx="156">
                  <c:v>1574</c:v>
                </c:pt>
                <c:pt idx="157">
                  <c:v>1589</c:v>
                </c:pt>
                <c:pt idx="158">
                  <c:v>625</c:v>
                </c:pt>
                <c:pt idx="159">
                  <c:v>10</c:v>
                </c:pt>
                <c:pt idx="160">
                  <c:v>13</c:v>
                </c:pt>
                <c:pt idx="161">
                  <c:v>43</c:v>
                </c:pt>
                <c:pt idx="162">
                  <c:v>111</c:v>
                </c:pt>
                <c:pt idx="163">
                  <c:v>75</c:v>
                </c:pt>
                <c:pt idx="164">
                  <c:v>83</c:v>
                </c:pt>
                <c:pt idx="165">
                  <c:v>144</c:v>
                </c:pt>
                <c:pt idx="166">
                  <c:v>168</c:v>
                </c:pt>
                <c:pt idx="167">
                  <c:v>209</c:v>
                </c:pt>
                <c:pt idx="168">
                  <c:v>127</c:v>
                </c:pt>
                <c:pt idx="169">
                  <c:v>84</c:v>
                </c:pt>
                <c:pt idx="170">
                  <c:v>106</c:v>
                </c:pt>
                <c:pt idx="171">
                  <c:v>88</c:v>
                </c:pt>
                <c:pt idx="172">
                  <c:v>97</c:v>
                </c:pt>
              </c:numCache>
            </c:numRef>
          </c:val>
          <c:smooth val="0"/>
          <c:extLst>
            <c:ext xmlns:c16="http://schemas.microsoft.com/office/drawing/2014/chart" uri="{C3380CC4-5D6E-409C-BE32-E72D297353CC}">
              <c16:uniqueId val="{0000000A-F54E-4F2C-B67C-89E5093B052E}"/>
            </c:ext>
          </c:extLst>
        </c:ser>
        <c:ser>
          <c:idx val="9"/>
          <c:order val="9"/>
          <c:tx>
            <c:strRef>
              <c:f>'Tendencias nacionalidad'!$C$63</c:f>
              <c:strCache>
                <c:ptCount val="1"/>
                <c:pt idx="0">
                  <c:v>Francia</c:v>
                </c:pt>
              </c:strCache>
              <c:extLst xmlns:c15="http://schemas.microsoft.com/office/drawing/2012/chart"/>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nacionalidad'!$D$63:$GA$63</c15:sqref>
                  </c15:fullRef>
                </c:ext>
              </c:extLst>
              <c:f>'Tendencias nacionalidad'!$D$63:$FT$63</c:f>
              <c:numCache>
                <c:formatCode>#,##0</c:formatCode>
                <c:ptCount val="173"/>
                <c:pt idx="0">
                  <c:v>543</c:v>
                </c:pt>
                <c:pt idx="1">
                  <c:v>685</c:v>
                </c:pt>
                <c:pt idx="2">
                  <c:v>788</c:v>
                </c:pt>
                <c:pt idx="3">
                  <c:v>824</c:v>
                </c:pt>
                <c:pt idx="4">
                  <c:v>704</c:v>
                </c:pt>
                <c:pt idx="5">
                  <c:v>744</c:v>
                </c:pt>
                <c:pt idx="6">
                  <c:v>1339</c:v>
                </c:pt>
                <c:pt idx="7">
                  <c:v>1363</c:v>
                </c:pt>
                <c:pt idx="8">
                  <c:v>964</c:v>
                </c:pt>
                <c:pt idx="9">
                  <c:v>1261</c:v>
                </c:pt>
                <c:pt idx="10">
                  <c:v>1037</c:v>
                </c:pt>
                <c:pt idx="11">
                  <c:v>669</c:v>
                </c:pt>
                <c:pt idx="12">
                  <c:v>824</c:v>
                </c:pt>
                <c:pt idx="13">
                  <c:v>1149</c:v>
                </c:pt>
                <c:pt idx="14">
                  <c:v>823</c:v>
                </c:pt>
                <c:pt idx="15">
                  <c:v>1148</c:v>
                </c:pt>
                <c:pt idx="16">
                  <c:v>934</c:v>
                </c:pt>
                <c:pt idx="17">
                  <c:v>975</c:v>
                </c:pt>
                <c:pt idx="18">
                  <c:v>1638</c:v>
                </c:pt>
                <c:pt idx="19">
                  <c:v>1653</c:v>
                </c:pt>
                <c:pt idx="20">
                  <c:v>1093</c:v>
                </c:pt>
                <c:pt idx="21">
                  <c:v>1377</c:v>
                </c:pt>
                <c:pt idx="22">
                  <c:v>1200</c:v>
                </c:pt>
                <c:pt idx="23">
                  <c:v>673</c:v>
                </c:pt>
                <c:pt idx="24">
                  <c:v>983</c:v>
                </c:pt>
                <c:pt idx="25">
                  <c:v>1015</c:v>
                </c:pt>
                <c:pt idx="26">
                  <c:v>796</c:v>
                </c:pt>
                <c:pt idx="27">
                  <c:v>1016</c:v>
                </c:pt>
                <c:pt idx="28">
                  <c:v>965</c:v>
                </c:pt>
                <c:pt idx="29">
                  <c:v>914</c:v>
                </c:pt>
                <c:pt idx="30">
                  <c:v>1694</c:v>
                </c:pt>
                <c:pt idx="31">
                  <c:v>1736</c:v>
                </c:pt>
                <c:pt idx="32">
                  <c:v>1131</c:v>
                </c:pt>
                <c:pt idx="33">
                  <c:v>1386</c:v>
                </c:pt>
                <c:pt idx="34">
                  <c:v>1175</c:v>
                </c:pt>
                <c:pt idx="35">
                  <c:v>749</c:v>
                </c:pt>
                <c:pt idx="36">
                  <c:v>742</c:v>
                </c:pt>
                <c:pt idx="37">
                  <c:v>833</c:v>
                </c:pt>
                <c:pt idx="38">
                  <c:v>1023</c:v>
                </c:pt>
                <c:pt idx="39">
                  <c:v>740</c:v>
                </c:pt>
                <c:pt idx="40">
                  <c:v>1128</c:v>
                </c:pt>
                <c:pt idx="41">
                  <c:v>840</c:v>
                </c:pt>
                <c:pt idx="42">
                  <c:v>1883</c:v>
                </c:pt>
                <c:pt idx="43">
                  <c:v>1664</c:v>
                </c:pt>
                <c:pt idx="44">
                  <c:v>843</c:v>
                </c:pt>
                <c:pt idx="45">
                  <c:v>1482</c:v>
                </c:pt>
                <c:pt idx="46">
                  <c:v>1372</c:v>
                </c:pt>
                <c:pt idx="47">
                  <c:v>727</c:v>
                </c:pt>
                <c:pt idx="48">
                  <c:v>759</c:v>
                </c:pt>
                <c:pt idx="49">
                  <c:v>756</c:v>
                </c:pt>
                <c:pt idx="50">
                  <c:v>935</c:v>
                </c:pt>
                <c:pt idx="51">
                  <c:v>872</c:v>
                </c:pt>
                <c:pt idx="52">
                  <c:v>1262</c:v>
                </c:pt>
                <c:pt idx="53">
                  <c:v>730</c:v>
                </c:pt>
                <c:pt idx="54">
                  <c:v>1595</c:v>
                </c:pt>
                <c:pt idx="55">
                  <c:v>1453</c:v>
                </c:pt>
                <c:pt idx="56">
                  <c:v>992</c:v>
                </c:pt>
                <c:pt idx="57">
                  <c:v>1427</c:v>
                </c:pt>
                <c:pt idx="58">
                  <c:v>1289</c:v>
                </c:pt>
                <c:pt idx="59">
                  <c:v>680</c:v>
                </c:pt>
                <c:pt idx="60">
                  <c:v>673</c:v>
                </c:pt>
                <c:pt idx="61">
                  <c:v>845</c:v>
                </c:pt>
                <c:pt idx="62">
                  <c:v>756</c:v>
                </c:pt>
                <c:pt idx="63">
                  <c:v>782</c:v>
                </c:pt>
                <c:pt idx="64">
                  <c:v>829</c:v>
                </c:pt>
                <c:pt idx="65">
                  <c:v>701</c:v>
                </c:pt>
                <c:pt idx="66">
                  <c:v>1552</c:v>
                </c:pt>
                <c:pt idx="67">
                  <c:v>1404</c:v>
                </c:pt>
                <c:pt idx="68">
                  <c:v>1214</c:v>
                </c:pt>
                <c:pt idx="69">
                  <c:v>1410</c:v>
                </c:pt>
                <c:pt idx="70">
                  <c:v>1180</c:v>
                </c:pt>
                <c:pt idx="71">
                  <c:v>745</c:v>
                </c:pt>
                <c:pt idx="72">
                  <c:v>880</c:v>
                </c:pt>
                <c:pt idx="73">
                  <c:v>808</c:v>
                </c:pt>
                <c:pt idx="74">
                  <c:v>969</c:v>
                </c:pt>
                <c:pt idx="75">
                  <c:v>844</c:v>
                </c:pt>
                <c:pt idx="76">
                  <c:v>1026</c:v>
                </c:pt>
                <c:pt idx="77">
                  <c:v>860</c:v>
                </c:pt>
                <c:pt idx="78">
                  <c:v>1550</c:v>
                </c:pt>
                <c:pt idx="79">
                  <c:v>1310</c:v>
                </c:pt>
                <c:pt idx="80">
                  <c:v>1292</c:v>
                </c:pt>
                <c:pt idx="81">
                  <c:v>1197</c:v>
                </c:pt>
                <c:pt idx="82">
                  <c:v>1162</c:v>
                </c:pt>
                <c:pt idx="83">
                  <c:v>751</c:v>
                </c:pt>
                <c:pt idx="84">
                  <c:v>877</c:v>
                </c:pt>
                <c:pt idx="85">
                  <c:v>898</c:v>
                </c:pt>
                <c:pt idx="86">
                  <c:v>932</c:v>
                </c:pt>
                <c:pt idx="87">
                  <c:v>964</c:v>
                </c:pt>
                <c:pt idx="88">
                  <c:v>964</c:v>
                </c:pt>
                <c:pt idx="89">
                  <c:v>934</c:v>
                </c:pt>
                <c:pt idx="90">
                  <c:v>1664</c:v>
                </c:pt>
                <c:pt idx="91">
                  <c:v>1228</c:v>
                </c:pt>
                <c:pt idx="92">
                  <c:v>1269</c:v>
                </c:pt>
                <c:pt idx="93">
                  <c:v>1389</c:v>
                </c:pt>
                <c:pt idx="94">
                  <c:v>1581</c:v>
                </c:pt>
                <c:pt idx="95">
                  <c:v>983</c:v>
                </c:pt>
                <c:pt idx="96">
                  <c:v>1065</c:v>
                </c:pt>
                <c:pt idx="97">
                  <c:v>1008</c:v>
                </c:pt>
                <c:pt idx="98">
                  <c:v>802</c:v>
                </c:pt>
                <c:pt idx="99">
                  <c:v>921</c:v>
                </c:pt>
                <c:pt idx="100">
                  <c:v>958</c:v>
                </c:pt>
                <c:pt idx="101">
                  <c:v>965</c:v>
                </c:pt>
                <c:pt idx="102">
                  <c:v>1548</c:v>
                </c:pt>
                <c:pt idx="103">
                  <c:v>1233</c:v>
                </c:pt>
                <c:pt idx="104">
                  <c:v>1512</c:v>
                </c:pt>
                <c:pt idx="105">
                  <c:v>1510</c:v>
                </c:pt>
                <c:pt idx="106">
                  <c:v>1671</c:v>
                </c:pt>
                <c:pt idx="107">
                  <c:v>856</c:v>
                </c:pt>
                <c:pt idx="108">
                  <c:v>953</c:v>
                </c:pt>
                <c:pt idx="109">
                  <c:v>996</c:v>
                </c:pt>
                <c:pt idx="110">
                  <c:v>916</c:v>
                </c:pt>
                <c:pt idx="111">
                  <c:v>945</c:v>
                </c:pt>
                <c:pt idx="112">
                  <c:v>905</c:v>
                </c:pt>
                <c:pt idx="113">
                  <c:v>1030</c:v>
                </c:pt>
                <c:pt idx="114">
                  <c:v>1552</c:v>
                </c:pt>
                <c:pt idx="115">
                  <c:v>1191</c:v>
                </c:pt>
                <c:pt idx="116" formatCode="General">
                  <c:v>950</c:v>
                </c:pt>
                <c:pt idx="117">
                  <c:v>1536</c:v>
                </c:pt>
                <c:pt idx="118">
                  <c:v>1546</c:v>
                </c:pt>
                <c:pt idx="119">
                  <c:v>835</c:v>
                </c:pt>
                <c:pt idx="120">
                  <c:v>933</c:v>
                </c:pt>
                <c:pt idx="121">
                  <c:v>916</c:v>
                </c:pt>
                <c:pt idx="122">
                  <c:v>937</c:v>
                </c:pt>
                <c:pt idx="123">
                  <c:v>939</c:v>
                </c:pt>
                <c:pt idx="124">
                  <c:v>912</c:v>
                </c:pt>
                <c:pt idx="125">
                  <c:v>911</c:v>
                </c:pt>
                <c:pt idx="126">
                  <c:v>1705</c:v>
                </c:pt>
                <c:pt idx="127">
                  <c:v>1227</c:v>
                </c:pt>
                <c:pt idx="128">
                  <c:v>1164</c:v>
                </c:pt>
                <c:pt idx="129">
                  <c:v>1553</c:v>
                </c:pt>
                <c:pt idx="130">
                  <c:v>1734</c:v>
                </c:pt>
                <c:pt idx="131">
                  <c:v>865</c:v>
                </c:pt>
                <c:pt idx="132">
                  <c:v>1076</c:v>
                </c:pt>
                <c:pt idx="133">
                  <c:v>1089</c:v>
                </c:pt>
                <c:pt idx="134">
                  <c:v>834</c:v>
                </c:pt>
                <c:pt idx="135">
                  <c:v>1162</c:v>
                </c:pt>
                <c:pt idx="136">
                  <c:v>1082</c:v>
                </c:pt>
                <c:pt idx="137">
                  <c:v>1183</c:v>
                </c:pt>
                <c:pt idx="138">
                  <c:v>1912</c:v>
                </c:pt>
                <c:pt idx="139">
                  <c:v>1373</c:v>
                </c:pt>
                <c:pt idx="140">
                  <c:v>1332</c:v>
                </c:pt>
                <c:pt idx="141">
                  <c:v>1688</c:v>
                </c:pt>
                <c:pt idx="142">
                  <c:v>1480</c:v>
                </c:pt>
                <c:pt idx="143">
                  <c:v>952</c:v>
                </c:pt>
                <c:pt idx="144" formatCode="_(* #,##0_);_(* \(#,##0\);_(* &quot;-&quot;??_);_(@_)">
                  <c:v>1067</c:v>
                </c:pt>
                <c:pt idx="145">
                  <c:v>1374</c:v>
                </c:pt>
                <c:pt idx="146">
                  <c:v>865</c:v>
                </c:pt>
                <c:pt idx="147">
                  <c:v>1271</c:v>
                </c:pt>
                <c:pt idx="148" formatCode="_(* #,##0_);_(* \(#,##0\);_(* &quot;-&quot;??_);_(@_)">
                  <c:v>1648</c:v>
                </c:pt>
                <c:pt idx="149" formatCode="_(* #,##0_);_(* \(#,##0\);_(* &quot;-&quot;??_);_(@_)">
                  <c:v>1645</c:v>
                </c:pt>
                <c:pt idx="150" formatCode="_(* #,##0_);_(* \(#,##0\);_(* &quot;-&quot;??_);_(@_)">
                  <c:v>2746</c:v>
                </c:pt>
                <c:pt idx="151" formatCode="_(* #,##0_);_(* \(#,##0\);_(* &quot;-&quot;??_);_(@_)">
                  <c:v>2514</c:v>
                </c:pt>
                <c:pt idx="152" formatCode="_(* #,##0_);_(* \(#,##0\);_(* &quot;-&quot;??_);_(@_)">
                  <c:v>2251</c:v>
                </c:pt>
                <c:pt idx="153" formatCode="_(* #,##0_);_(* \(#,##0\);_(* &quot;-&quot;??_);_(@_)">
                  <c:v>1562</c:v>
                </c:pt>
                <c:pt idx="154" formatCode="_(* #,##0_);_(* \(#,##0\);_(* &quot;-&quot;??_);_(@_)">
                  <c:v>1949</c:v>
                </c:pt>
                <c:pt idx="155" formatCode="_(* #,##0_);_(* \(#,##0\);_(* &quot;-&quot;??_);_(@_)">
                  <c:v>1590</c:v>
                </c:pt>
                <c:pt idx="156">
                  <c:v>1717</c:v>
                </c:pt>
                <c:pt idx="157">
                  <c:v>1675</c:v>
                </c:pt>
                <c:pt idx="158">
                  <c:v>661</c:v>
                </c:pt>
                <c:pt idx="159">
                  <c:v>2</c:v>
                </c:pt>
                <c:pt idx="160">
                  <c:v>18</c:v>
                </c:pt>
                <c:pt idx="161">
                  <c:v>11</c:v>
                </c:pt>
                <c:pt idx="162">
                  <c:v>68</c:v>
                </c:pt>
                <c:pt idx="163">
                  <c:v>158</c:v>
                </c:pt>
                <c:pt idx="164">
                  <c:v>152</c:v>
                </c:pt>
                <c:pt idx="165">
                  <c:v>261</c:v>
                </c:pt>
                <c:pt idx="166">
                  <c:v>186</c:v>
                </c:pt>
                <c:pt idx="167">
                  <c:v>413</c:v>
                </c:pt>
                <c:pt idx="168">
                  <c:v>431</c:v>
                </c:pt>
                <c:pt idx="169">
                  <c:v>209</c:v>
                </c:pt>
                <c:pt idx="170">
                  <c:v>211</c:v>
                </c:pt>
                <c:pt idx="171">
                  <c:v>238</c:v>
                </c:pt>
                <c:pt idx="172">
                  <c:v>277</c:v>
                </c:pt>
              </c:numCache>
            </c:numRef>
          </c:val>
          <c:smooth val="0"/>
          <c:extLst>
            <c:ext xmlns:c16="http://schemas.microsoft.com/office/drawing/2014/chart" uri="{C3380CC4-5D6E-409C-BE32-E72D297353CC}">
              <c16:uniqueId val="{0000000B-F54E-4F2C-B67C-89E5093B052E}"/>
            </c:ext>
          </c:extLst>
        </c:ser>
        <c:ser>
          <c:idx val="12"/>
          <c:order val="12"/>
          <c:tx>
            <c:strRef>
              <c:f>'Tendencias nacionalidad'!$C$66</c:f>
              <c:strCache>
                <c:ptCount val="1"/>
                <c:pt idx="0">
                  <c:v>Países Bajo (Holanda)</c:v>
                </c:pt>
              </c:strCache>
              <c:extLst xmlns:c15="http://schemas.microsoft.com/office/drawing/2012/chart"/>
            </c:strRef>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nacionalidad'!$D$66:$GA$66</c15:sqref>
                  </c15:fullRef>
                </c:ext>
              </c:extLst>
              <c:f>'Tendencias nacionalidad'!$D$66:$FT$66</c:f>
              <c:numCache>
                <c:formatCode>#,##0</c:formatCode>
                <c:ptCount val="173"/>
                <c:pt idx="0">
                  <c:v>367</c:v>
                </c:pt>
                <c:pt idx="1">
                  <c:v>335</c:v>
                </c:pt>
                <c:pt idx="2">
                  <c:v>364</c:v>
                </c:pt>
                <c:pt idx="3">
                  <c:v>343</c:v>
                </c:pt>
                <c:pt idx="4">
                  <c:v>321</c:v>
                </c:pt>
                <c:pt idx="5">
                  <c:v>421</c:v>
                </c:pt>
                <c:pt idx="6">
                  <c:v>1328</c:v>
                </c:pt>
                <c:pt idx="7">
                  <c:v>606</c:v>
                </c:pt>
                <c:pt idx="8">
                  <c:v>710</c:v>
                </c:pt>
                <c:pt idx="9">
                  <c:v>637</c:v>
                </c:pt>
                <c:pt idx="10">
                  <c:v>607</c:v>
                </c:pt>
                <c:pt idx="11">
                  <c:v>455</c:v>
                </c:pt>
                <c:pt idx="12">
                  <c:v>449</c:v>
                </c:pt>
                <c:pt idx="13">
                  <c:v>677</c:v>
                </c:pt>
                <c:pt idx="14">
                  <c:v>399</c:v>
                </c:pt>
                <c:pt idx="15">
                  <c:v>431</c:v>
                </c:pt>
                <c:pt idx="16">
                  <c:v>467</c:v>
                </c:pt>
                <c:pt idx="17">
                  <c:v>553</c:v>
                </c:pt>
                <c:pt idx="18">
                  <c:v>1757</c:v>
                </c:pt>
                <c:pt idx="19">
                  <c:v>735</c:v>
                </c:pt>
                <c:pt idx="20">
                  <c:v>835</c:v>
                </c:pt>
                <c:pt idx="21">
                  <c:v>626</c:v>
                </c:pt>
                <c:pt idx="22">
                  <c:v>706</c:v>
                </c:pt>
                <c:pt idx="23">
                  <c:v>541</c:v>
                </c:pt>
                <c:pt idx="24">
                  <c:v>469</c:v>
                </c:pt>
                <c:pt idx="25">
                  <c:v>395</c:v>
                </c:pt>
                <c:pt idx="26">
                  <c:v>369</c:v>
                </c:pt>
                <c:pt idx="27">
                  <c:v>552</c:v>
                </c:pt>
                <c:pt idx="28">
                  <c:v>528.5</c:v>
                </c:pt>
                <c:pt idx="29">
                  <c:v>505</c:v>
                </c:pt>
                <c:pt idx="30">
                  <c:v>1602</c:v>
                </c:pt>
                <c:pt idx="31">
                  <c:v>575</c:v>
                </c:pt>
                <c:pt idx="32">
                  <c:v>499</c:v>
                </c:pt>
                <c:pt idx="33">
                  <c:v>639</c:v>
                </c:pt>
                <c:pt idx="34">
                  <c:v>543</c:v>
                </c:pt>
                <c:pt idx="35">
                  <c:v>581</c:v>
                </c:pt>
                <c:pt idx="36">
                  <c:v>434</c:v>
                </c:pt>
                <c:pt idx="37">
                  <c:v>396</c:v>
                </c:pt>
                <c:pt idx="38">
                  <c:v>432</c:v>
                </c:pt>
                <c:pt idx="39">
                  <c:v>463</c:v>
                </c:pt>
                <c:pt idx="40">
                  <c:v>441</c:v>
                </c:pt>
                <c:pt idx="41">
                  <c:v>377</c:v>
                </c:pt>
                <c:pt idx="42">
                  <c:v>1417</c:v>
                </c:pt>
                <c:pt idx="43">
                  <c:v>511</c:v>
                </c:pt>
                <c:pt idx="44">
                  <c:v>455</c:v>
                </c:pt>
                <c:pt idx="45">
                  <c:v>706</c:v>
                </c:pt>
                <c:pt idx="46">
                  <c:v>468</c:v>
                </c:pt>
                <c:pt idx="47">
                  <c:v>524</c:v>
                </c:pt>
                <c:pt idx="48">
                  <c:v>438</c:v>
                </c:pt>
                <c:pt idx="49">
                  <c:v>331</c:v>
                </c:pt>
                <c:pt idx="50">
                  <c:v>359</c:v>
                </c:pt>
                <c:pt idx="51">
                  <c:v>410</c:v>
                </c:pt>
                <c:pt idx="52">
                  <c:v>374</c:v>
                </c:pt>
                <c:pt idx="53">
                  <c:v>359</c:v>
                </c:pt>
                <c:pt idx="54">
                  <c:v>1243</c:v>
                </c:pt>
                <c:pt idx="55">
                  <c:v>455</c:v>
                </c:pt>
                <c:pt idx="56">
                  <c:v>514</c:v>
                </c:pt>
                <c:pt idx="57">
                  <c:v>723</c:v>
                </c:pt>
                <c:pt idx="58">
                  <c:v>623</c:v>
                </c:pt>
                <c:pt idx="59">
                  <c:v>735</c:v>
                </c:pt>
                <c:pt idx="60">
                  <c:v>332</c:v>
                </c:pt>
                <c:pt idx="61">
                  <c:v>352</c:v>
                </c:pt>
                <c:pt idx="62">
                  <c:v>638</c:v>
                </c:pt>
                <c:pt idx="63">
                  <c:v>642</c:v>
                </c:pt>
                <c:pt idx="64">
                  <c:v>601</c:v>
                </c:pt>
                <c:pt idx="65">
                  <c:v>662</c:v>
                </c:pt>
                <c:pt idx="66">
                  <c:v>1316</c:v>
                </c:pt>
                <c:pt idx="67">
                  <c:v>757</c:v>
                </c:pt>
                <c:pt idx="68">
                  <c:v>771</c:v>
                </c:pt>
                <c:pt idx="69">
                  <c:v>824</c:v>
                </c:pt>
                <c:pt idx="70">
                  <c:v>633</c:v>
                </c:pt>
                <c:pt idx="71">
                  <c:v>769</c:v>
                </c:pt>
                <c:pt idx="72">
                  <c:v>724</c:v>
                </c:pt>
                <c:pt idx="73">
                  <c:v>624</c:v>
                </c:pt>
                <c:pt idx="74">
                  <c:v>698</c:v>
                </c:pt>
                <c:pt idx="75">
                  <c:v>891</c:v>
                </c:pt>
                <c:pt idx="76">
                  <c:v>886</c:v>
                </c:pt>
                <c:pt idx="77">
                  <c:v>710</c:v>
                </c:pt>
                <c:pt idx="78">
                  <c:v>1482</c:v>
                </c:pt>
                <c:pt idx="79">
                  <c:v>838</c:v>
                </c:pt>
                <c:pt idx="80">
                  <c:v>807</c:v>
                </c:pt>
                <c:pt idx="81">
                  <c:v>948</c:v>
                </c:pt>
                <c:pt idx="82">
                  <c:v>938</c:v>
                </c:pt>
                <c:pt idx="83">
                  <c:v>944</c:v>
                </c:pt>
                <c:pt idx="84">
                  <c:v>899</c:v>
                </c:pt>
                <c:pt idx="85">
                  <c:v>843</c:v>
                </c:pt>
                <c:pt idx="86">
                  <c:v>878</c:v>
                </c:pt>
                <c:pt idx="87">
                  <c:v>841</c:v>
                </c:pt>
                <c:pt idx="88">
                  <c:v>842</c:v>
                </c:pt>
                <c:pt idx="89">
                  <c:v>797</c:v>
                </c:pt>
                <c:pt idx="90">
                  <c:v>1571</c:v>
                </c:pt>
                <c:pt idx="91">
                  <c:v>851</c:v>
                </c:pt>
                <c:pt idx="92">
                  <c:v>1035</c:v>
                </c:pt>
                <c:pt idx="93">
                  <c:v>1030</c:v>
                </c:pt>
                <c:pt idx="94">
                  <c:v>948</c:v>
                </c:pt>
                <c:pt idx="95">
                  <c:v>981</c:v>
                </c:pt>
                <c:pt idx="96">
                  <c:v>855</c:v>
                </c:pt>
                <c:pt idx="97">
                  <c:v>841</c:v>
                </c:pt>
                <c:pt idx="98">
                  <c:v>827</c:v>
                </c:pt>
                <c:pt idx="99">
                  <c:v>901</c:v>
                </c:pt>
                <c:pt idx="100">
                  <c:v>901</c:v>
                </c:pt>
                <c:pt idx="101">
                  <c:v>856</c:v>
                </c:pt>
                <c:pt idx="102">
                  <c:v>1787</c:v>
                </c:pt>
                <c:pt idx="103">
                  <c:v>764</c:v>
                </c:pt>
                <c:pt idx="104">
                  <c:v>989</c:v>
                </c:pt>
                <c:pt idx="105">
                  <c:v>1108</c:v>
                </c:pt>
                <c:pt idx="106">
                  <c:v>937</c:v>
                </c:pt>
                <c:pt idx="107">
                  <c:v>924</c:v>
                </c:pt>
                <c:pt idx="108">
                  <c:v>975</c:v>
                </c:pt>
                <c:pt idx="109">
                  <c:v>931</c:v>
                </c:pt>
                <c:pt idx="110">
                  <c:v>933</c:v>
                </c:pt>
                <c:pt idx="111">
                  <c:v>938</c:v>
                </c:pt>
                <c:pt idx="112">
                  <c:v>939</c:v>
                </c:pt>
                <c:pt idx="113">
                  <c:v>948</c:v>
                </c:pt>
                <c:pt idx="114">
                  <c:v>1894</c:v>
                </c:pt>
                <c:pt idx="115">
                  <c:v>1056</c:v>
                </c:pt>
                <c:pt idx="116" formatCode="General">
                  <c:v>1150</c:v>
                </c:pt>
                <c:pt idx="117">
                  <c:v>1239</c:v>
                </c:pt>
                <c:pt idx="118">
                  <c:v>926</c:v>
                </c:pt>
                <c:pt idx="119">
                  <c:v>928</c:v>
                </c:pt>
                <c:pt idx="120">
                  <c:v>846</c:v>
                </c:pt>
                <c:pt idx="121">
                  <c:v>781</c:v>
                </c:pt>
                <c:pt idx="122">
                  <c:v>837</c:v>
                </c:pt>
                <c:pt idx="123">
                  <c:v>939</c:v>
                </c:pt>
                <c:pt idx="124">
                  <c:v>801</c:v>
                </c:pt>
                <c:pt idx="125">
                  <c:v>778</c:v>
                </c:pt>
                <c:pt idx="126">
                  <c:v>1612</c:v>
                </c:pt>
                <c:pt idx="127">
                  <c:v>968</c:v>
                </c:pt>
                <c:pt idx="128">
                  <c:v>1028</c:v>
                </c:pt>
                <c:pt idx="129">
                  <c:v>920</c:v>
                </c:pt>
                <c:pt idx="130">
                  <c:v>885</c:v>
                </c:pt>
                <c:pt idx="131">
                  <c:v>950</c:v>
                </c:pt>
                <c:pt idx="132">
                  <c:v>866</c:v>
                </c:pt>
                <c:pt idx="133">
                  <c:v>853</c:v>
                </c:pt>
                <c:pt idx="134">
                  <c:v>898</c:v>
                </c:pt>
                <c:pt idx="135">
                  <c:v>1073</c:v>
                </c:pt>
                <c:pt idx="136">
                  <c:v>931</c:v>
                </c:pt>
                <c:pt idx="137">
                  <c:v>941</c:v>
                </c:pt>
                <c:pt idx="138">
                  <c:v>1802</c:v>
                </c:pt>
                <c:pt idx="139">
                  <c:v>1092</c:v>
                </c:pt>
                <c:pt idx="140">
                  <c:v>1158</c:v>
                </c:pt>
                <c:pt idx="141">
                  <c:v>1103</c:v>
                </c:pt>
                <c:pt idx="142">
                  <c:v>1010</c:v>
                </c:pt>
                <c:pt idx="143">
                  <c:v>1007</c:v>
                </c:pt>
                <c:pt idx="144" formatCode="_(* #,##0_);_(* \(#,##0\);_(* &quot;-&quot;??_);_(@_)">
                  <c:v>981</c:v>
                </c:pt>
                <c:pt idx="145">
                  <c:v>895</c:v>
                </c:pt>
                <c:pt idx="146">
                  <c:v>974</c:v>
                </c:pt>
                <c:pt idx="147">
                  <c:v>1041</c:v>
                </c:pt>
                <c:pt idx="148" formatCode="_(* #,##0_);_(* \(#,##0\);_(* &quot;-&quot;??_);_(@_)">
                  <c:v>1032</c:v>
                </c:pt>
                <c:pt idx="149" formatCode="_(* #,##0_);_(* \(#,##0\);_(* &quot;-&quot;??_);_(@_)">
                  <c:v>969</c:v>
                </c:pt>
                <c:pt idx="150" formatCode="_(* #,##0_);_(* \(#,##0\);_(* &quot;-&quot;??_);_(@_)">
                  <c:v>2132</c:v>
                </c:pt>
                <c:pt idx="151" formatCode="_(* #,##0_);_(* \(#,##0\);_(* &quot;-&quot;??_);_(@_)">
                  <c:v>1183</c:v>
                </c:pt>
                <c:pt idx="152" formatCode="_(* #,##0_);_(* \(#,##0\);_(* &quot;-&quot;??_);_(@_)">
                  <c:v>1236</c:v>
                </c:pt>
                <c:pt idx="153" formatCode="_(* #,##0_);_(* \(#,##0\);_(* &quot;-&quot;??_);_(@_)">
                  <c:v>803</c:v>
                </c:pt>
                <c:pt idx="154" formatCode="_(* #,##0_);_(* \(#,##0\);_(* &quot;-&quot;??_);_(@_)">
                  <c:v>1077</c:v>
                </c:pt>
                <c:pt idx="155" formatCode="_(* #,##0_);_(* \(#,##0\);_(* &quot;-&quot;??_);_(@_)">
                  <c:v>1204</c:v>
                </c:pt>
                <c:pt idx="156">
                  <c:v>1022</c:v>
                </c:pt>
                <c:pt idx="157">
                  <c:v>944</c:v>
                </c:pt>
                <c:pt idx="158">
                  <c:v>564</c:v>
                </c:pt>
                <c:pt idx="159">
                  <c:v>50</c:v>
                </c:pt>
                <c:pt idx="160">
                  <c:v>87</c:v>
                </c:pt>
                <c:pt idx="161">
                  <c:v>159</c:v>
                </c:pt>
                <c:pt idx="162">
                  <c:v>268</c:v>
                </c:pt>
                <c:pt idx="163">
                  <c:v>310</c:v>
                </c:pt>
                <c:pt idx="164">
                  <c:v>137</c:v>
                </c:pt>
                <c:pt idx="165">
                  <c:v>147</c:v>
                </c:pt>
                <c:pt idx="166">
                  <c:v>115</c:v>
                </c:pt>
                <c:pt idx="167">
                  <c:v>375</c:v>
                </c:pt>
                <c:pt idx="168">
                  <c:v>346</c:v>
                </c:pt>
                <c:pt idx="169">
                  <c:v>103</c:v>
                </c:pt>
                <c:pt idx="170">
                  <c:v>130</c:v>
                </c:pt>
                <c:pt idx="171">
                  <c:v>121</c:v>
                </c:pt>
                <c:pt idx="172">
                  <c:v>109</c:v>
                </c:pt>
              </c:numCache>
            </c:numRef>
          </c:val>
          <c:smooth val="0"/>
          <c:extLst>
            <c:ext xmlns:c16="http://schemas.microsoft.com/office/drawing/2014/chart" uri="{C3380CC4-5D6E-409C-BE32-E72D297353CC}">
              <c16:uniqueId val="{0000000D-F54E-4F2C-B67C-89E5093B052E}"/>
            </c:ext>
          </c:extLst>
        </c:ser>
        <c:ser>
          <c:idx val="16"/>
          <c:order val="16"/>
          <c:tx>
            <c:strRef>
              <c:f>'Tendencias nacionalidad'!$C$70</c:f>
              <c:strCache>
                <c:ptCount val="1"/>
                <c:pt idx="0">
                  <c:v>Italia</c:v>
                </c:pt>
              </c:strCache>
              <c:extLst xmlns:c15="http://schemas.microsoft.com/office/drawing/2012/chart"/>
            </c:strRef>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nacionalidad'!$D$70:$GA$70</c15:sqref>
                  </c15:fullRef>
                </c:ext>
              </c:extLst>
              <c:f>'Tendencias nacionalidad'!$D$70:$FT$70</c:f>
              <c:numCache>
                <c:formatCode>#,##0</c:formatCode>
                <c:ptCount val="173"/>
                <c:pt idx="0">
                  <c:v>549</c:v>
                </c:pt>
                <c:pt idx="1">
                  <c:v>378</c:v>
                </c:pt>
                <c:pt idx="2">
                  <c:v>399</c:v>
                </c:pt>
                <c:pt idx="3">
                  <c:v>391</c:v>
                </c:pt>
                <c:pt idx="4">
                  <c:v>397</c:v>
                </c:pt>
                <c:pt idx="5">
                  <c:v>487</c:v>
                </c:pt>
                <c:pt idx="6">
                  <c:v>844</c:v>
                </c:pt>
                <c:pt idx="7">
                  <c:v>1198</c:v>
                </c:pt>
                <c:pt idx="8">
                  <c:v>469</c:v>
                </c:pt>
                <c:pt idx="9">
                  <c:v>573</c:v>
                </c:pt>
                <c:pt idx="10">
                  <c:v>556</c:v>
                </c:pt>
                <c:pt idx="11">
                  <c:v>606</c:v>
                </c:pt>
                <c:pt idx="12">
                  <c:v>658</c:v>
                </c:pt>
                <c:pt idx="13">
                  <c:v>721</c:v>
                </c:pt>
                <c:pt idx="14">
                  <c:v>522</c:v>
                </c:pt>
                <c:pt idx="15">
                  <c:v>491</c:v>
                </c:pt>
                <c:pt idx="16">
                  <c:v>485</c:v>
                </c:pt>
                <c:pt idx="17">
                  <c:v>640</c:v>
                </c:pt>
                <c:pt idx="18">
                  <c:v>950</c:v>
                </c:pt>
                <c:pt idx="19">
                  <c:v>1246</c:v>
                </c:pt>
                <c:pt idx="20">
                  <c:v>719</c:v>
                </c:pt>
                <c:pt idx="21">
                  <c:v>629</c:v>
                </c:pt>
                <c:pt idx="22">
                  <c:v>701</c:v>
                </c:pt>
                <c:pt idx="23">
                  <c:v>596</c:v>
                </c:pt>
                <c:pt idx="24">
                  <c:v>761</c:v>
                </c:pt>
                <c:pt idx="25">
                  <c:v>540</c:v>
                </c:pt>
                <c:pt idx="26">
                  <c:v>496</c:v>
                </c:pt>
                <c:pt idx="27">
                  <c:v>503</c:v>
                </c:pt>
                <c:pt idx="28">
                  <c:v>608</c:v>
                </c:pt>
                <c:pt idx="29">
                  <c:v>713</c:v>
                </c:pt>
                <c:pt idx="30">
                  <c:v>1022</c:v>
                </c:pt>
                <c:pt idx="31">
                  <c:v>1396</c:v>
                </c:pt>
                <c:pt idx="32">
                  <c:v>602</c:v>
                </c:pt>
                <c:pt idx="33">
                  <c:v>609</c:v>
                </c:pt>
                <c:pt idx="34">
                  <c:v>680</c:v>
                </c:pt>
                <c:pt idx="35">
                  <c:v>666</c:v>
                </c:pt>
                <c:pt idx="36">
                  <c:v>637</c:v>
                </c:pt>
                <c:pt idx="37">
                  <c:v>545</c:v>
                </c:pt>
                <c:pt idx="38">
                  <c:v>550</c:v>
                </c:pt>
                <c:pt idx="39">
                  <c:v>538</c:v>
                </c:pt>
                <c:pt idx="40">
                  <c:v>528</c:v>
                </c:pt>
                <c:pt idx="41">
                  <c:v>635</c:v>
                </c:pt>
                <c:pt idx="42">
                  <c:v>849</c:v>
                </c:pt>
                <c:pt idx="43">
                  <c:v>1276</c:v>
                </c:pt>
                <c:pt idx="44">
                  <c:v>521</c:v>
                </c:pt>
                <c:pt idx="45">
                  <c:v>614</c:v>
                </c:pt>
                <c:pt idx="46">
                  <c:v>715</c:v>
                </c:pt>
                <c:pt idx="47">
                  <c:v>639</c:v>
                </c:pt>
                <c:pt idx="48">
                  <c:v>595</c:v>
                </c:pt>
                <c:pt idx="49">
                  <c:v>497</c:v>
                </c:pt>
                <c:pt idx="50">
                  <c:v>505</c:v>
                </c:pt>
                <c:pt idx="51">
                  <c:v>417</c:v>
                </c:pt>
                <c:pt idx="52">
                  <c:v>543</c:v>
                </c:pt>
                <c:pt idx="53">
                  <c:v>559</c:v>
                </c:pt>
                <c:pt idx="54">
                  <c:v>777</c:v>
                </c:pt>
                <c:pt idx="55">
                  <c:v>1289</c:v>
                </c:pt>
                <c:pt idx="56">
                  <c:v>535</c:v>
                </c:pt>
                <c:pt idx="57">
                  <c:v>653</c:v>
                </c:pt>
                <c:pt idx="58">
                  <c:v>682</c:v>
                </c:pt>
                <c:pt idx="59">
                  <c:v>664</c:v>
                </c:pt>
                <c:pt idx="60">
                  <c:v>551</c:v>
                </c:pt>
                <c:pt idx="61">
                  <c:v>522</c:v>
                </c:pt>
                <c:pt idx="62">
                  <c:v>534</c:v>
                </c:pt>
                <c:pt idx="63">
                  <c:v>525</c:v>
                </c:pt>
                <c:pt idx="64">
                  <c:v>544</c:v>
                </c:pt>
                <c:pt idx="65">
                  <c:v>656</c:v>
                </c:pt>
                <c:pt idx="66">
                  <c:v>836</c:v>
                </c:pt>
                <c:pt idx="67">
                  <c:v>1119</c:v>
                </c:pt>
                <c:pt idx="68">
                  <c:v>550</c:v>
                </c:pt>
                <c:pt idx="69">
                  <c:v>658</c:v>
                </c:pt>
                <c:pt idx="70">
                  <c:v>688</c:v>
                </c:pt>
                <c:pt idx="71">
                  <c:v>574</c:v>
                </c:pt>
                <c:pt idx="72">
                  <c:v>600</c:v>
                </c:pt>
                <c:pt idx="73">
                  <c:v>512</c:v>
                </c:pt>
                <c:pt idx="74">
                  <c:v>542</c:v>
                </c:pt>
                <c:pt idx="75">
                  <c:v>511</c:v>
                </c:pt>
                <c:pt idx="76">
                  <c:v>483</c:v>
                </c:pt>
                <c:pt idx="77">
                  <c:v>646</c:v>
                </c:pt>
                <c:pt idx="78">
                  <c:v>665</c:v>
                </c:pt>
                <c:pt idx="79">
                  <c:v>935</c:v>
                </c:pt>
                <c:pt idx="80">
                  <c:v>579</c:v>
                </c:pt>
                <c:pt idx="81">
                  <c:v>611</c:v>
                </c:pt>
                <c:pt idx="82">
                  <c:v>678</c:v>
                </c:pt>
                <c:pt idx="83">
                  <c:v>758</c:v>
                </c:pt>
                <c:pt idx="84">
                  <c:v>698</c:v>
                </c:pt>
                <c:pt idx="85">
                  <c:v>643</c:v>
                </c:pt>
                <c:pt idx="86">
                  <c:v>609</c:v>
                </c:pt>
                <c:pt idx="87">
                  <c:v>572</c:v>
                </c:pt>
                <c:pt idx="88">
                  <c:v>490</c:v>
                </c:pt>
                <c:pt idx="89">
                  <c:v>643</c:v>
                </c:pt>
                <c:pt idx="90">
                  <c:v>814</c:v>
                </c:pt>
                <c:pt idx="91">
                  <c:v>1057</c:v>
                </c:pt>
                <c:pt idx="92">
                  <c:v>554</c:v>
                </c:pt>
                <c:pt idx="93">
                  <c:v>636</c:v>
                </c:pt>
                <c:pt idx="94">
                  <c:v>734</c:v>
                </c:pt>
                <c:pt idx="95">
                  <c:v>716</c:v>
                </c:pt>
                <c:pt idx="96">
                  <c:v>704</c:v>
                </c:pt>
                <c:pt idx="97">
                  <c:v>575</c:v>
                </c:pt>
                <c:pt idx="98">
                  <c:v>571</c:v>
                </c:pt>
                <c:pt idx="99">
                  <c:v>525</c:v>
                </c:pt>
                <c:pt idx="100">
                  <c:v>537</c:v>
                </c:pt>
                <c:pt idx="101">
                  <c:v>740</c:v>
                </c:pt>
                <c:pt idx="102">
                  <c:v>857</c:v>
                </c:pt>
                <c:pt idx="103">
                  <c:v>1052</c:v>
                </c:pt>
                <c:pt idx="104">
                  <c:v>643</c:v>
                </c:pt>
                <c:pt idx="105">
                  <c:v>549</c:v>
                </c:pt>
                <c:pt idx="106">
                  <c:v>656</c:v>
                </c:pt>
                <c:pt idx="107">
                  <c:v>699</c:v>
                </c:pt>
                <c:pt idx="108">
                  <c:v>630</c:v>
                </c:pt>
                <c:pt idx="109">
                  <c:v>567</c:v>
                </c:pt>
                <c:pt idx="110">
                  <c:v>515</c:v>
                </c:pt>
                <c:pt idx="111">
                  <c:v>517</c:v>
                </c:pt>
                <c:pt idx="112">
                  <c:v>530</c:v>
                </c:pt>
                <c:pt idx="113">
                  <c:v>594</c:v>
                </c:pt>
                <c:pt idx="114">
                  <c:v>797</c:v>
                </c:pt>
                <c:pt idx="115">
                  <c:v>968</c:v>
                </c:pt>
                <c:pt idx="116" formatCode="General">
                  <c:v>506</c:v>
                </c:pt>
                <c:pt idx="117">
                  <c:v>663</c:v>
                </c:pt>
                <c:pt idx="118">
                  <c:v>605</c:v>
                </c:pt>
                <c:pt idx="119">
                  <c:v>640</c:v>
                </c:pt>
                <c:pt idx="120">
                  <c:v>661</c:v>
                </c:pt>
                <c:pt idx="121">
                  <c:v>472</c:v>
                </c:pt>
                <c:pt idx="122">
                  <c:v>508</c:v>
                </c:pt>
                <c:pt idx="123">
                  <c:v>543</c:v>
                </c:pt>
                <c:pt idx="124">
                  <c:v>594</c:v>
                </c:pt>
                <c:pt idx="125">
                  <c:v>673</c:v>
                </c:pt>
                <c:pt idx="126">
                  <c:v>769</c:v>
                </c:pt>
                <c:pt idx="127">
                  <c:v>922</c:v>
                </c:pt>
                <c:pt idx="128">
                  <c:v>542</c:v>
                </c:pt>
                <c:pt idx="129">
                  <c:v>601</c:v>
                </c:pt>
                <c:pt idx="130">
                  <c:v>691</c:v>
                </c:pt>
                <c:pt idx="131">
                  <c:v>768</c:v>
                </c:pt>
                <c:pt idx="132">
                  <c:v>637</c:v>
                </c:pt>
                <c:pt idx="133">
                  <c:v>567</c:v>
                </c:pt>
                <c:pt idx="134">
                  <c:v>562</c:v>
                </c:pt>
                <c:pt idx="135">
                  <c:v>572</c:v>
                </c:pt>
                <c:pt idx="136">
                  <c:v>529</c:v>
                </c:pt>
                <c:pt idx="137">
                  <c:v>741</c:v>
                </c:pt>
                <c:pt idx="138">
                  <c:v>937</c:v>
                </c:pt>
                <c:pt idx="139">
                  <c:v>1050</c:v>
                </c:pt>
                <c:pt idx="140">
                  <c:v>478</c:v>
                </c:pt>
                <c:pt idx="141">
                  <c:v>576</c:v>
                </c:pt>
                <c:pt idx="142">
                  <c:v>721</c:v>
                </c:pt>
                <c:pt idx="143">
                  <c:v>705</c:v>
                </c:pt>
                <c:pt idx="144" formatCode="_(* #,##0_);_(* \(#,##0\);_(* &quot;-&quot;??_);_(@_)">
                  <c:v>645</c:v>
                </c:pt>
                <c:pt idx="145">
                  <c:v>546</c:v>
                </c:pt>
                <c:pt idx="146">
                  <c:v>565</c:v>
                </c:pt>
                <c:pt idx="147">
                  <c:v>674</c:v>
                </c:pt>
                <c:pt idx="148" formatCode="_(* #,##0_);_(* \(#,##0\);_(* &quot;-&quot;??_);_(@_)">
                  <c:v>751</c:v>
                </c:pt>
                <c:pt idx="149" formatCode="_(* #,##0_);_(* \(#,##0\);_(* &quot;-&quot;??_);_(@_)">
                  <c:v>951</c:v>
                </c:pt>
                <c:pt idx="150" formatCode="_(* #,##0_);_(* \(#,##0\);_(* &quot;-&quot;??_);_(@_)">
                  <c:v>1213</c:v>
                </c:pt>
                <c:pt idx="151" formatCode="_(* #,##0_);_(* \(#,##0\);_(* &quot;-&quot;??_);_(@_)">
                  <c:v>1585</c:v>
                </c:pt>
                <c:pt idx="152" formatCode="_(* #,##0_);_(* \(#,##0\);_(* &quot;-&quot;??_);_(@_)">
                  <c:v>988</c:v>
                </c:pt>
                <c:pt idx="153" formatCode="_(* #,##0_);_(* \(#,##0\);_(* &quot;-&quot;??_);_(@_)">
                  <c:v>728</c:v>
                </c:pt>
                <c:pt idx="154" formatCode="_(* #,##0_);_(* \(#,##0\);_(* &quot;-&quot;??_);_(@_)">
                  <c:v>1072</c:v>
                </c:pt>
                <c:pt idx="155" formatCode="_(* #,##0_);_(* \(#,##0\);_(* &quot;-&quot;??_);_(@_)">
                  <c:v>1209</c:v>
                </c:pt>
                <c:pt idx="156">
                  <c:v>1044</c:v>
                </c:pt>
                <c:pt idx="157">
                  <c:v>854</c:v>
                </c:pt>
                <c:pt idx="158">
                  <c:v>254</c:v>
                </c:pt>
                <c:pt idx="159">
                  <c:v>4</c:v>
                </c:pt>
                <c:pt idx="160">
                  <c:v>15</c:v>
                </c:pt>
                <c:pt idx="161">
                  <c:v>14</c:v>
                </c:pt>
                <c:pt idx="162">
                  <c:v>82</c:v>
                </c:pt>
                <c:pt idx="163">
                  <c:v>59</c:v>
                </c:pt>
                <c:pt idx="164">
                  <c:v>126</c:v>
                </c:pt>
                <c:pt idx="165">
                  <c:v>186</c:v>
                </c:pt>
                <c:pt idx="166">
                  <c:v>183</c:v>
                </c:pt>
                <c:pt idx="167">
                  <c:v>227</c:v>
                </c:pt>
                <c:pt idx="168">
                  <c:v>251</c:v>
                </c:pt>
                <c:pt idx="169">
                  <c:v>155</c:v>
                </c:pt>
                <c:pt idx="170">
                  <c:v>187</c:v>
                </c:pt>
                <c:pt idx="171">
                  <c:v>208</c:v>
                </c:pt>
                <c:pt idx="172">
                  <c:v>226</c:v>
                </c:pt>
              </c:numCache>
            </c:numRef>
          </c:val>
          <c:smooth val="0"/>
          <c:extLst>
            <c:ext xmlns:c16="http://schemas.microsoft.com/office/drawing/2014/chart" uri="{C3380CC4-5D6E-409C-BE32-E72D297353CC}">
              <c16:uniqueId val="{00000010-F54E-4F2C-B67C-89E5093B052E}"/>
            </c:ext>
          </c:extLst>
        </c:ser>
        <c:ser>
          <c:idx val="30"/>
          <c:order val="30"/>
          <c:tx>
            <c:strRef>
              <c:f>'Tendencias nacionalidad'!$C$84</c:f>
              <c:strCache>
                <c:ptCount val="1"/>
                <c:pt idx="0">
                  <c:v>Portugal</c:v>
                </c:pt>
              </c:strCache>
              <c:extLst xmlns:c15="http://schemas.microsoft.com/office/drawing/2012/chart"/>
            </c:strRef>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nacionalidad'!$D$84:$GA$84</c15:sqref>
                  </c15:fullRef>
                </c:ext>
              </c:extLst>
              <c:f>'Tendencias nacionalidad'!$D$84:$FT$84</c:f>
              <c:numCache>
                <c:formatCode>#,##0</c:formatCode>
                <c:ptCount val="173"/>
                <c:pt idx="168">
                  <c:v>45</c:v>
                </c:pt>
                <c:pt idx="169">
                  <c:v>30</c:v>
                </c:pt>
                <c:pt idx="170">
                  <c:v>25</c:v>
                </c:pt>
                <c:pt idx="171">
                  <c:v>34</c:v>
                </c:pt>
                <c:pt idx="172">
                  <c:v>25</c:v>
                </c:pt>
              </c:numCache>
            </c:numRef>
          </c:val>
          <c:smooth val="0"/>
          <c:extLst>
            <c:ext xmlns:c16="http://schemas.microsoft.com/office/drawing/2014/chart" uri="{C3380CC4-5D6E-409C-BE32-E72D297353CC}">
              <c16:uniqueId val="{0000001E-F54E-4F2C-B67C-89E5093B052E}"/>
            </c:ext>
          </c:extLst>
        </c:ser>
        <c:dLbls>
          <c:showLegendKey val="0"/>
          <c:showVal val="0"/>
          <c:showCatName val="0"/>
          <c:showSerName val="0"/>
          <c:showPercent val="0"/>
          <c:showBubbleSize val="0"/>
        </c:dLbls>
        <c:marker val="1"/>
        <c:smooth val="0"/>
        <c:axId val="939981295"/>
        <c:axId val="939983375"/>
        <c:extLst>
          <c:ext xmlns:c15="http://schemas.microsoft.com/office/drawing/2012/chart" uri="{02D57815-91ED-43cb-92C2-25804820EDAC}">
            <c15:filteredLineSeries>
              <c15:ser>
                <c:idx val="0"/>
                <c:order val="0"/>
                <c:tx>
                  <c:strRef>
                    <c:extLst>
                      <c:ext uri="{02D57815-91ED-43cb-92C2-25804820EDAC}">
                        <c15:formulaRef>
                          <c15:sqref>'Tendencias nacionalidad'!$C$54</c15:sqref>
                        </c15:formulaRef>
                      </c:ext>
                    </c:extLst>
                    <c:strCache>
                      <c:ptCount val="1"/>
                      <c:pt idx="0">
                        <c:v>Estados Unidos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extLst>
                      <c:ex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uri="{02D57815-91ED-43cb-92C2-25804820EDAC}">
                        <c15:fullRef>
                          <c15:sqref>'Tendencias nacionalidad'!$D$54:$GA$54</c15:sqref>
                        </c15:fullRef>
                        <c15:formulaRef>
                          <c15:sqref>'Tendencias nacionalidad'!$D$54:$FT$54</c15:sqref>
                        </c15:formulaRef>
                      </c:ext>
                    </c:extLst>
                    <c:numCache>
                      <c:formatCode>#,##0</c:formatCode>
                      <c:ptCount val="173"/>
                      <c:pt idx="0">
                        <c:v>7760</c:v>
                      </c:pt>
                      <c:pt idx="1">
                        <c:v>7608</c:v>
                      </c:pt>
                      <c:pt idx="2">
                        <c:v>9828</c:v>
                      </c:pt>
                      <c:pt idx="3">
                        <c:v>7137</c:v>
                      </c:pt>
                      <c:pt idx="4">
                        <c:v>8490</c:v>
                      </c:pt>
                      <c:pt idx="5">
                        <c:v>14706</c:v>
                      </c:pt>
                      <c:pt idx="6">
                        <c:v>16146</c:v>
                      </c:pt>
                      <c:pt idx="7">
                        <c:v>12359</c:v>
                      </c:pt>
                      <c:pt idx="8">
                        <c:v>6638</c:v>
                      </c:pt>
                      <c:pt idx="9">
                        <c:v>7413</c:v>
                      </c:pt>
                      <c:pt idx="10">
                        <c:v>8563</c:v>
                      </c:pt>
                      <c:pt idx="11">
                        <c:v>11317</c:v>
                      </c:pt>
                      <c:pt idx="12">
                        <c:v>10075</c:v>
                      </c:pt>
                      <c:pt idx="13">
                        <c:v>13044</c:v>
                      </c:pt>
                      <c:pt idx="14">
                        <c:v>11621</c:v>
                      </c:pt>
                      <c:pt idx="15">
                        <c:v>8418</c:v>
                      </c:pt>
                      <c:pt idx="16">
                        <c:v>11294</c:v>
                      </c:pt>
                      <c:pt idx="17">
                        <c:v>18034</c:v>
                      </c:pt>
                      <c:pt idx="18">
                        <c:v>16699</c:v>
                      </c:pt>
                      <c:pt idx="19">
                        <c:v>12325</c:v>
                      </c:pt>
                      <c:pt idx="20">
                        <c:v>7659</c:v>
                      </c:pt>
                      <c:pt idx="21">
                        <c:v>7702</c:v>
                      </c:pt>
                      <c:pt idx="22">
                        <c:v>8570</c:v>
                      </c:pt>
                      <c:pt idx="23">
                        <c:v>11704</c:v>
                      </c:pt>
                      <c:pt idx="24">
                        <c:v>9962</c:v>
                      </c:pt>
                      <c:pt idx="25">
                        <c:v>9139</c:v>
                      </c:pt>
                      <c:pt idx="26">
                        <c:v>10302</c:v>
                      </c:pt>
                      <c:pt idx="27">
                        <c:v>8924</c:v>
                      </c:pt>
                      <c:pt idx="28">
                        <c:v>12993</c:v>
                      </c:pt>
                      <c:pt idx="29">
                        <c:v>17062</c:v>
                      </c:pt>
                      <c:pt idx="30">
                        <c:v>16655</c:v>
                      </c:pt>
                      <c:pt idx="31">
                        <c:v>11416</c:v>
                      </c:pt>
                      <c:pt idx="32">
                        <c:v>6635</c:v>
                      </c:pt>
                      <c:pt idx="33">
                        <c:v>7211</c:v>
                      </c:pt>
                      <c:pt idx="34">
                        <c:v>7598</c:v>
                      </c:pt>
                      <c:pt idx="35">
                        <c:v>11858</c:v>
                      </c:pt>
                      <c:pt idx="36">
                        <c:v>9232</c:v>
                      </c:pt>
                      <c:pt idx="37">
                        <c:v>8487</c:v>
                      </c:pt>
                      <c:pt idx="38">
                        <c:v>10219</c:v>
                      </c:pt>
                      <c:pt idx="39">
                        <c:v>7810</c:v>
                      </c:pt>
                      <c:pt idx="40">
                        <c:v>10758</c:v>
                      </c:pt>
                      <c:pt idx="41">
                        <c:v>15930</c:v>
                      </c:pt>
                      <c:pt idx="42">
                        <c:v>15799</c:v>
                      </c:pt>
                      <c:pt idx="43">
                        <c:v>10584</c:v>
                      </c:pt>
                      <c:pt idx="44">
                        <c:v>6327</c:v>
                      </c:pt>
                      <c:pt idx="45">
                        <c:v>7725</c:v>
                      </c:pt>
                      <c:pt idx="46">
                        <c:v>7556</c:v>
                      </c:pt>
                      <c:pt idx="47">
                        <c:v>11437</c:v>
                      </c:pt>
                      <c:pt idx="48">
                        <c:v>9093</c:v>
                      </c:pt>
                      <c:pt idx="49">
                        <c:v>9118</c:v>
                      </c:pt>
                      <c:pt idx="50">
                        <c:v>11492</c:v>
                      </c:pt>
                      <c:pt idx="51">
                        <c:v>9029</c:v>
                      </c:pt>
                      <c:pt idx="52">
                        <c:v>11497</c:v>
                      </c:pt>
                      <c:pt idx="53">
                        <c:v>16581</c:v>
                      </c:pt>
                      <c:pt idx="54">
                        <c:v>16087</c:v>
                      </c:pt>
                      <c:pt idx="55">
                        <c:v>10842</c:v>
                      </c:pt>
                      <c:pt idx="56">
                        <c:v>6954</c:v>
                      </c:pt>
                      <c:pt idx="57">
                        <c:v>7874</c:v>
                      </c:pt>
                      <c:pt idx="58">
                        <c:v>8957</c:v>
                      </c:pt>
                      <c:pt idx="59">
                        <c:v>12798</c:v>
                      </c:pt>
                      <c:pt idx="60">
                        <c:v>9054</c:v>
                      </c:pt>
                      <c:pt idx="61">
                        <c:v>8325</c:v>
                      </c:pt>
                      <c:pt idx="62">
                        <c:v>11925</c:v>
                      </c:pt>
                      <c:pt idx="63">
                        <c:v>9068</c:v>
                      </c:pt>
                      <c:pt idx="64">
                        <c:v>11902</c:v>
                      </c:pt>
                      <c:pt idx="65">
                        <c:v>18638</c:v>
                      </c:pt>
                      <c:pt idx="66">
                        <c:v>18162</c:v>
                      </c:pt>
                      <c:pt idx="67">
                        <c:v>12296</c:v>
                      </c:pt>
                      <c:pt idx="68">
                        <c:v>8393</c:v>
                      </c:pt>
                      <c:pt idx="69">
                        <c:v>9607</c:v>
                      </c:pt>
                      <c:pt idx="70">
                        <c:v>9130</c:v>
                      </c:pt>
                      <c:pt idx="71">
                        <c:v>14125</c:v>
                      </c:pt>
                      <c:pt idx="72">
                        <c:v>11222</c:v>
                      </c:pt>
                      <c:pt idx="73">
                        <c:v>10182</c:v>
                      </c:pt>
                      <c:pt idx="74">
                        <c:v>12798</c:v>
                      </c:pt>
                      <c:pt idx="75">
                        <c:v>8722</c:v>
                      </c:pt>
                      <c:pt idx="76">
                        <c:v>11830</c:v>
                      </c:pt>
                      <c:pt idx="77">
                        <c:v>18551</c:v>
                      </c:pt>
                      <c:pt idx="78">
                        <c:v>17188</c:v>
                      </c:pt>
                      <c:pt idx="79">
                        <c:v>11501</c:v>
                      </c:pt>
                      <c:pt idx="80">
                        <c:v>8067</c:v>
                      </c:pt>
                      <c:pt idx="81">
                        <c:v>9168</c:v>
                      </c:pt>
                      <c:pt idx="82">
                        <c:v>8606</c:v>
                      </c:pt>
                      <c:pt idx="83">
                        <c:v>13760</c:v>
                      </c:pt>
                      <c:pt idx="84">
                        <c:v>10287</c:v>
                      </c:pt>
                      <c:pt idx="85">
                        <c:v>10836</c:v>
                      </c:pt>
                      <c:pt idx="86">
                        <c:v>12287</c:v>
                      </c:pt>
                      <c:pt idx="87">
                        <c:v>9534</c:v>
                      </c:pt>
                      <c:pt idx="88">
                        <c:v>12241</c:v>
                      </c:pt>
                      <c:pt idx="89">
                        <c:v>19418</c:v>
                      </c:pt>
                      <c:pt idx="90">
                        <c:v>18361</c:v>
                      </c:pt>
                      <c:pt idx="91">
                        <c:v>11442</c:v>
                      </c:pt>
                      <c:pt idx="92">
                        <c:v>7926</c:v>
                      </c:pt>
                      <c:pt idx="93">
                        <c:v>9349</c:v>
                      </c:pt>
                      <c:pt idx="94">
                        <c:v>9325</c:v>
                      </c:pt>
                      <c:pt idx="95">
                        <c:v>16124</c:v>
                      </c:pt>
                      <c:pt idx="96">
                        <c:v>13066</c:v>
                      </c:pt>
                      <c:pt idx="97">
                        <c:v>11670</c:v>
                      </c:pt>
                      <c:pt idx="98">
                        <c:v>13778</c:v>
                      </c:pt>
                      <c:pt idx="99">
                        <c:v>10311</c:v>
                      </c:pt>
                      <c:pt idx="100">
                        <c:v>13333</c:v>
                      </c:pt>
                      <c:pt idx="101">
                        <c:v>20663</c:v>
                      </c:pt>
                      <c:pt idx="102">
                        <c:v>21177</c:v>
                      </c:pt>
                      <c:pt idx="103">
                        <c:v>12790</c:v>
                      </c:pt>
                      <c:pt idx="104">
                        <c:v>8295</c:v>
                      </c:pt>
                      <c:pt idx="105">
                        <c:v>10454</c:v>
                      </c:pt>
                      <c:pt idx="106">
                        <c:v>10526</c:v>
                      </c:pt>
                      <c:pt idx="107">
                        <c:v>17781</c:v>
                      </c:pt>
                      <c:pt idx="108">
                        <c:v>13010</c:v>
                      </c:pt>
                      <c:pt idx="109">
                        <c:v>12991</c:v>
                      </c:pt>
                      <c:pt idx="110">
                        <c:v>16523</c:v>
                      </c:pt>
                      <c:pt idx="111">
                        <c:v>11438</c:v>
                      </c:pt>
                      <c:pt idx="112">
                        <c:v>14743</c:v>
                      </c:pt>
                      <c:pt idx="113">
                        <c:v>22278</c:v>
                      </c:pt>
                      <c:pt idx="114">
                        <c:v>20718</c:v>
                      </c:pt>
                      <c:pt idx="115">
                        <c:v>12747</c:v>
                      </c:pt>
                      <c:pt idx="116" formatCode="General">
                        <c:v>8085</c:v>
                      </c:pt>
                      <c:pt idx="117">
                        <c:v>8608</c:v>
                      </c:pt>
                      <c:pt idx="118">
                        <c:v>8458</c:v>
                      </c:pt>
                      <c:pt idx="119">
                        <c:v>14249</c:v>
                      </c:pt>
                      <c:pt idx="120">
                        <c:v>10839</c:v>
                      </c:pt>
                      <c:pt idx="121">
                        <c:v>9438</c:v>
                      </c:pt>
                      <c:pt idx="122">
                        <c:v>12542</c:v>
                      </c:pt>
                      <c:pt idx="123">
                        <c:v>10543</c:v>
                      </c:pt>
                      <c:pt idx="124">
                        <c:v>11258</c:v>
                      </c:pt>
                      <c:pt idx="125">
                        <c:v>20272</c:v>
                      </c:pt>
                      <c:pt idx="126">
                        <c:v>17940</c:v>
                      </c:pt>
                      <c:pt idx="127">
                        <c:v>10624</c:v>
                      </c:pt>
                      <c:pt idx="128">
                        <c:v>7285</c:v>
                      </c:pt>
                      <c:pt idx="129">
                        <c:v>7872</c:v>
                      </c:pt>
                      <c:pt idx="130">
                        <c:v>8957</c:v>
                      </c:pt>
                      <c:pt idx="131">
                        <c:v>14636</c:v>
                      </c:pt>
                      <c:pt idx="132">
                        <c:v>11180</c:v>
                      </c:pt>
                      <c:pt idx="133">
                        <c:v>10692</c:v>
                      </c:pt>
                      <c:pt idx="134">
                        <c:v>15555</c:v>
                      </c:pt>
                      <c:pt idx="135">
                        <c:v>9707</c:v>
                      </c:pt>
                      <c:pt idx="136">
                        <c:v>13514</c:v>
                      </c:pt>
                      <c:pt idx="137">
                        <c:v>21285</c:v>
                      </c:pt>
                      <c:pt idx="138">
                        <c:v>17119</c:v>
                      </c:pt>
                      <c:pt idx="139">
                        <c:v>10772</c:v>
                      </c:pt>
                      <c:pt idx="140">
                        <c:v>7523</c:v>
                      </c:pt>
                      <c:pt idx="141">
                        <c:v>8091</c:v>
                      </c:pt>
                      <c:pt idx="142">
                        <c:v>8887</c:v>
                      </c:pt>
                      <c:pt idx="143">
                        <c:v>14417</c:v>
                      </c:pt>
                      <c:pt idx="144" formatCode="_(* #,##0_);_(* \(#,##0\);_(* &quot;-&quot;??_);_(@_)">
                        <c:v>11535</c:v>
                      </c:pt>
                      <c:pt idx="145">
                        <c:v>10029</c:v>
                      </c:pt>
                      <c:pt idx="146">
                        <c:v>13852</c:v>
                      </c:pt>
                      <c:pt idx="147">
                        <c:v>10247</c:v>
                      </c:pt>
                      <c:pt idx="148" formatCode="_(* #,##0_);_(* \(#,##0\);_(* &quot;-&quot;??_);_(@_)">
                        <c:v>10194</c:v>
                      </c:pt>
                      <c:pt idx="149" formatCode="_(* #,##0_);_(* \(#,##0\);_(* &quot;-&quot;??_);_(@_)">
                        <c:v>27252</c:v>
                      </c:pt>
                      <c:pt idx="150" formatCode="_(* #,##0_);_(* \(#,##0\);_(* &quot;-&quot;??_);_(@_)">
                        <c:v>24033</c:v>
                      </c:pt>
                      <c:pt idx="151" formatCode="_(* #,##0_);_(* \(#,##0\);_(* &quot;-&quot;??_);_(@_)">
                        <c:v>16389</c:v>
                      </c:pt>
                      <c:pt idx="152" formatCode="_(* #,##0_);_(* \(#,##0\);_(* &quot;-&quot;??_);_(@_)">
                        <c:v>12076</c:v>
                      </c:pt>
                      <c:pt idx="153" formatCode="_(* #,##0_);_(* \(#,##0\);_(* &quot;-&quot;??_);_(@_)">
                        <c:v>10654</c:v>
                      </c:pt>
                      <c:pt idx="154" formatCode="_(* #,##0_);_(* \(#,##0\);_(* &quot;-&quot;??_);_(@_)">
                        <c:v>13694</c:v>
                      </c:pt>
                      <c:pt idx="155" formatCode="_(* #,##0_);_(* \(#,##0\);_(* &quot;-&quot;??_);_(@_)">
                        <c:v>20560</c:v>
                      </c:pt>
                      <c:pt idx="156">
                        <c:v>15918</c:v>
                      </c:pt>
                      <c:pt idx="157">
                        <c:v>16475</c:v>
                      </c:pt>
                      <c:pt idx="158">
                        <c:v>6730</c:v>
                      </c:pt>
                      <c:pt idx="159">
                        <c:v>88</c:v>
                      </c:pt>
                      <c:pt idx="160">
                        <c:v>146</c:v>
                      </c:pt>
                      <c:pt idx="161">
                        <c:v>570</c:v>
                      </c:pt>
                      <c:pt idx="162">
                        <c:v>1194</c:v>
                      </c:pt>
                      <c:pt idx="163">
                        <c:v>1377</c:v>
                      </c:pt>
                      <c:pt idx="164">
                        <c:v>1707</c:v>
                      </c:pt>
                      <c:pt idx="165">
                        <c:v>2600</c:v>
                      </c:pt>
                      <c:pt idx="166">
                        <c:v>3904</c:v>
                      </c:pt>
                      <c:pt idx="167">
                        <c:v>7006</c:v>
                      </c:pt>
                      <c:pt idx="168">
                        <c:v>4551</c:v>
                      </c:pt>
                      <c:pt idx="169">
                        <c:v>3828</c:v>
                      </c:pt>
                      <c:pt idx="170">
                        <c:v>5327</c:v>
                      </c:pt>
                      <c:pt idx="171">
                        <c:v>5475</c:v>
                      </c:pt>
                      <c:pt idx="172">
                        <c:v>6558</c:v>
                      </c:pt>
                    </c:numCache>
                  </c:numRef>
                </c:val>
                <c:smooth val="0"/>
                <c:extLst>
                  <c:ext xmlns:c16="http://schemas.microsoft.com/office/drawing/2014/chart" uri="{C3380CC4-5D6E-409C-BE32-E72D297353CC}">
                    <c16:uniqueId val="{00000005-F54E-4F2C-B67C-89E5093B052E}"/>
                  </c:ext>
                </c:extLst>
              </c15:ser>
            </c15:filteredLineSeries>
            <c15:filteredLineSeries>
              <c15:ser>
                <c:idx val="1"/>
                <c:order val="1"/>
                <c:tx>
                  <c:strRef>
                    <c:extLst xmlns:c15="http://schemas.microsoft.com/office/drawing/2012/chart">
                      <c:ext xmlns:c15="http://schemas.microsoft.com/office/drawing/2012/chart" uri="{02D57815-91ED-43cb-92C2-25804820EDAC}">
                        <c15:formulaRef>
                          <c15:sqref>'Tendencias nacionalidad'!$C$55</c15:sqref>
                        </c15:formulaRef>
                      </c:ext>
                    </c:extLst>
                    <c:strCache>
                      <c:ptCount val="1"/>
                      <c:pt idx="0">
                        <c:v>Colombia</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nacionalidad'!$D$55:$GA$55</c15:sqref>
                        </c15:fullRef>
                        <c15:formulaRef>
                          <c15:sqref>'Tendencias nacionalidad'!$D$55:$FT$55</c15:sqref>
                        </c15:formulaRef>
                      </c:ext>
                    </c:extLst>
                    <c:numCache>
                      <c:formatCode>#,##0</c:formatCode>
                      <c:ptCount val="173"/>
                      <c:pt idx="0">
                        <c:v>3612</c:v>
                      </c:pt>
                      <c:pt idx="1">
                        <c:v>3116</c:v>
                      </c:pt>
                      <c:pt idx="2">
                        <c:v>3978</c:v>
                      </c:pt>
                      <c:pt idx="3">
                        <c:v>3576</c:v>
                      </c:pt>
                      <c:pt idx="4">
                        <c:v>3473</c:v>
                      </c:pt>
                      <c:pt idx="5">
                        <c:v>4582</c:v>
                      </c:pt>
                      <c:pt idx="6">
                        <c:v>4498</c:v>
                      </c:pt>
                      <c:pt idx="7">
                        <c:v>4352</c:v>
                      </c:pt>
                      <c:pt idx="8">
                        <c:v>3527</c:v>
                      </c:pt>
                      <c:pt idx="9">
                        <c:v>4205</c:v>
                      </c:pt>
                      <c:pt idx="10">
                        <c:v>3971</c:v>
                      </c:pt>
                      <c:pt idx="11">
                        <c:v>4158</c:v>
                      </c:pt>
                      <c:pt idx="12">
                        <c:v>4338</c:v>
                      </c:pt>
                      <c:pt idx="13">
                        <c:v>5058</c:v>
                      </c:pt>
                      <c:pt idx="14">
                        <c:v>3960</c:v>
                      </c:pt>
                      <c:pt idx="15">
                        <c:v>3703</c:v>
                      </c:pt>
                      <c:pt idx="16">
                        <c:v>3953</c:v>
                      </c:pt>
                      <c:pt idx="17">
                        <c:v>4572</c:v>
                      </c:pt>
                      <c:pt idx="18">
                        <c:v>4180</c:v>
                      </c:pt>
                      <c:pt idx="19">
                        <c:v>4336</c:v>
                      </c:pt>
                      <c:pt idx="20">
                        <c:v>4204</c:v>
                      </c:pt>
                      <c:pt idx="21">
                        <c:v>4674</c:v>
                      </c:pt>
                      <c:pt idx="22">
                        <c:v>4854</c:v>
                      </c:pt>
                      <c:pt idx="23">
                        <c:v>4274</c:v>
                      </c:pt>
                      <c:pt idx="24">
                        <c:v>4073</c:v>
                      </c:pt>
                      <c:pt idx="25">
                        <c:v>2886</c:v>
                      </c:pt>
                      <c:pt idx="26">
                        <c:v>3369</c:v>
                      </c:pt>
                      <c:pt idx="27">
                        <c:v>3480</c:v>
                      </c:pt>
                      <c:pt idx="28">
                        <c:v>3860</c:v>
                      </c:pt>
                      <c:pt idx="29">
                        <c:v>4240</c:v>
                      </c:pt>
                      <c:pt idx="30">
                        <c:v>3540</c:v>
                      </c:pt>
                      <c:pt idx="31">
                        <c:v>3377</c:v>
                      </c:pt>
                      <c:pt idx="32">
                        <c:v>3115</c:v>
                      </c:pt>
                      <c:pt idx="33">
                        <c:v>3286</c:v>
                      </c:pt>
                      <c:pt idx="34">
                        <c:v>3811</c:v>
                      </c:pt>
                      <c:pt idx="35">
                        <c:v>4393</c:v>
                      </c:pt>
                      <c:pt idx="36">
                        <c:v>4213</c:v>
                      </c:pt>
                      <c:pt idx="37">
                        <c:v>5082</c:v>
                      </c:pt>
                      <c:pt idx="38">
                        <c:v>4528</c:v>
                      </c:pt>
                      <c:pt idx="39">
                        <c:v>3869</c:v>
                      </c:pt>
                      <c:pt idx="40">
                        <c:v>4155</c:v>
                      </c:pt>
                      <c:pt idx="41">
                        <c:v>4580</c:v>
                      </c:pt>
                      <c:pt idx="42">
                        <c:v>3726</c:v>
                      </c:pt>
                      <c:pt idx="43">
                        <c:v>4284</c:v>
                      </c:pt>
                      <c:pt idx="44">
                        <c:v>4206</c:v>
                      </c:pt>
                      <c:pt idx="45">
                        <c:v>3205</c:v>
                      </c:pt>
                      <c:pt idx="46">
                        <c:v>4265</c:v>
                      </c:pt>
                      <c:pt idx="47">
                        <c:v>5299</c:v>
                      </c:pt>
                      <c:pt idx="48">
                        <c:v>4599</c:v>
                      </c:pt>
                      <c:pt idx="49">
                        <c:v>4035</c:v>
                      </c:pt>
                      <c:pt idx="50">
                        <c:v>4283</c:v>
                      </c:pt>
                      <c:pt idx="51">
                        <c:v>4324</c:v>
                      </c:pt>
                      <c:pt idx="52">
                        <c:v>4000</c:v>
                      </c:pt>
                      <c:pt idx="53">
                        <c:v>4403</c:v>
                      </c:pt>
                      <c:pt idx="54">
                        <c:v>4279</c:v>
                      </c:pt>
                      <c:pt idx="55">
                        <c:v>4167</c:v>
                      </c:pt>
                      <c:pt idx="56">
                        <c:v>3958</c:v>
                      </c:pt>
                      <c:pt idx="57">
                        <c:v>4138</c:v>
                      </c:pt>
                      <c:pt idx="58">
                        <c:v>4519</c:v>
                      </c:pt>
                      <c:pt idx="59">
                        <c:v>5404</c:v>
                      </c:pt>
                      <c:pt idx="60">
                        <c:v>4222</c:v>
                      </c:pt>
                      <c:pt idx="61">
                        <c:v>3651</c:v>
                      </c:pt>
                      <c:pt idx="62">
                        <c:v>5058</c:v>
                      </c:pt>
                      <c:pt idx="63">
                        <c:v>5339</c:v>
                      </c:pt>
                      <c:pt idx="64">
                        <c:v>5273</c:v>
                      </c:pt>
                      <c:pt idx="65">
                        <c:v>7476</c:v>
                      </c:pt>
                      <c:pt idx="66">
                        <c:v>6425</c:v>
                      </c:pt>
                      <c:pt idx="67">
                        <c:v>5246</c:v>
                      </c:pt>
                      <c:pt idx="68">
                        <c:v>5162</c:v>
                      </c:pt>
                      <c:pt idx="69">
                        <c:v>6180</c:v>
                      </c:pt>
                      <c:pt idx="70">
                        <c:v>5649</c:v>
                      </c:pt>
                      <c:pt idx="71">
                        <c:v>7785</c:v>
                      </c:pt>
                      <c:pt idx="72">
                        <c:v>6627</c:v>
                      </c:pt>
                      <c:pt idx="73">
                        <c:v>4735</c:v>
                      </c:pt>
                      <c:pt idx="74">
                        <c:v>6020</c:v>
                      </c:pt>
                      <c:pt idx="75">
                        <c:v>4853</c:v>
                      </c:pt>
                      <c:pt idx="76">
                        <c:v>5241</c:v>
                      </c:pt>
                      <c:pt idx="77">
                        <c:v>6297</c:v>
                      </c:pt>
                      <c:pt idx="78">
                        <c:v>6066</c:v>
                      </c:pt>
                      <c:pt idx="79">
                        <c:v>4747</c:v>
                      </c:pt>
                      <c:pt idx="80">
                        <c:v>5233</c:v>
                      </c:pt>
                      <c:pt idx="81">
                        <c:v>5182</c:v>
                      </c:pt>
                      <c:pt idx="82">
                        <c:v>5169</c:v>
                      </c:pt>
                      <c:pt idx="83">
                        <c:v>7563</c:v>
                      </c:pt>
                      <c:pt idx="84">
                        <c:v>6453</c:v>
                      </c:pt>
                      <c:pt idx="85">
                        <c:v>6126</c:v>
                      </c:pt>
                      <c:pt idx="86">
                        <c:v>4727</c:v>
                      </c:pt>
                      <c:pt idx="87">
                        <c:v>6021</c:v>
                      </c:pt>
                      <c:pt idx="88">
                        <c:v>5531</c:v>
                      </c:pt>
                      <c:pt idx="89">
                        <c:v>6575</c:v>
                      </c:pt>
                      <c:pt idx="90">
                        <c:v>5999</c:v>
                      </c:pt>
                      <c:pt idx="91">
                        <c:v>4680</c:v>
                      </c:pt>
                      <c:pt idx="92">
                        <c:v>5649</c:v>
                      </c:pt>
                      <c:pt idx="93">
                        <c:v>5721</c:v>
                      </c:pt>
                      <c:pt idx="94">
                        <c:v>5569</c:v>
                      </c:pt>
                      <c:pt idx="95">
                        <c:v>8371</c:v>
                      </c:pt>
                      <c:pt idx="96">
                        <c:v>6640</c:v>
                      </c:pt>
                      <c:pt idx="97">
                        <c:v>4736</c:v>
                      </c:pt>
                      <c:pt idx="98">
                        <c:v>5948</c:v>
                      </c:pt>
                      <c:pt idx="99">
                        <c:v>4689</c:v>
                      </c:pt>
                      <c:pt idx="100">
                        <c:v>4319</c:v>
                      </c:pt>
                      <c:pt idx="101">
                        <c:v>4879</c:v>
                      </c:pt>
                      <c:pt idx="102">
                        <c:v>4752</c:v>
                      </c:pt>
                      <c:pt idx="103">
                        <c:v>3500</c:v>
                      </c:pt>
                      <c:pt idx="104">
                        <c:v>4127</c:v>
                      </c:pt>
                      <c:pt idx="105">
                        <c:v>4183</c:v>
                      </c:pt>
                      <c:pt idx="106">
                        <c:v>4285</c:v>
                      </c:pt>
                      <c:pt idx="107">
                        <c:v>4830</c:v>
                      </c:pt>
                      <c:pt idx="108">
                        <c:v>4076</c:v>
                      </c:pt>
                      <c:pt idx="109">
                        <c:v>3914</c:v>
                      </c:pt>
                      <c:pt idx="110">
                        <c:v>4490</c:v>
                      </c:pt>
                      <c:pt idx="111">
                        <c:v>3335</c:v>
                      </c:pt>
                      <c:pt idx="112">
                        <c:v>3996</c:v>
                      </c:pt>
                      <c:pt idx="113">
                        <c:v>4670</c:v>
                      </c:pt>
                      <c:pt idx="114">
                        <c:v>5537</c:v>
                      </c:pt>
                      <c:pt idx="115">
                        <c:v>4018</c:v>
                      </c:pt>
                      <c:pt idx="116" formatCode="General">
                        <c:v>4519</c:v>
                      </c:pt>
                      <c:pt idx="117">
                        <c:v>5595</c:v>
                      </c:pt>
                      <c:pt idx="118">
                        <c:v>4741</c:v>
                      </c:pt>
                      <c:pt idx="119">
                        <c:v>6269</c:v>
                      </c:pt>
                      <c:pt idx="120">
                        <c:v>5134</c:v>
                      </c:pt>
                      <c:pt idx="121">
                        <c:v>3872</c:v>
                      </c:pt>
                      <c:pt idx="122">
                        <c:v>5370</c:v>
                      </c:pt>
                      <c:pt idx="123">
                        <c:v>4990</c:v>
                      </c:pt>
                      <c:pt idx="124">
                        <c:v>3983</c:v>
                      </c:pt>
                      <c:pt idx="125">
                        <c:v>5374</c:v>
                      </c:pt>
                      <c:pt idx="126">
                        <c:v>4853</c:v>
                      </c:pt>
                      <c:pt idx="127">
                        <c:v>3383</c:v>
                      </c:pt>
                      <c:pt idx="128">
                        <c:v>3872</c:v>
                      </c:pt>
                      <c:pt idx="129">
                        <c:v>4508</c:v>
                      </c:pt>
                      <c:pt idx="130">
                        <c:v>4726</c:v>
                      </c:pt>
                      <c:pt idx="131">
                        <c:v>5220</c:v>
                      </c:pt>
                      <c:pt idx="132">
                        <c:v>4683</c:v>
                      </c:pt>
                      <c:pt idx="133">
                        <c:v>3861</c:v>
                      </c:pt>
                      <c:pt idx="134">
                        <c:v>4441</c:v>
                      </c:pt>
                      <c:pt idx="135">
                        <c:v>4400</c:v>
                      </c:pt>
                      <c:pt idx="136">
                        <c:v>4233</c:v>
                      </c:pt>
                      <c:pt idx="137">
                        <c:v>5316</c:v>
                      </c:pt>
                      <c:pt idx="138">
                        <c:v>5022</c:v>
                      </c:pt>
                      <c:pt idx="139">
                        <c:v>3702</c:v>
                      </c:pt>
                      <c:pt idx="140">
                        <c:v>4846</c:v>
                      </c:pt>
                      <c:pt idx="141">
                        <c:v>5051</c:v>
                      </c:pt>
                      <c:pt idx="142">
                        <c:v>4639</c:v>
                      </c:pt>
                      <c:pt idx="143">
                        <c:v>5112</c:v>
                      </c:pt>
                      <c:pt idx="144" formatCode="_(* #,##0_);_(* \(#,##0\);_(* &quot;-&quot;??_);_(@_)">
                        <c:v>4089</c:v>
                      </c:pt>
                      <c:pt idx="145">
                        <c:v>3965</c:v>
                      </c:pt>
                      <c:pt idx="146">
                        <c:v>4027</c:v>
                      </c:pt>
                      <c:pt idx="147">
                        <c:v>4474</c:v>
                      </c:pt>
                      <c:pt idx="148" formatCode="_(* #,##0_);_(* \(#,##0\);_(* &quot;-&quot;??_);_(@_)">
                        <c:v>5071</c:v>
                      </c:pt>
                      <c:pt idx="149" formatCode="_(* #,##0_);_(* \(#,##0\);_(* &quot;-&quot;??_);_(@_)">
                        <c:v>5044</c:v>
                      </c:pt>
                      <c:pt idx="150" formatCode="_(* #,##0_);_(* \(#,##0\);_(* &quot;-&quot;??_);_(@_)">
                        <c:v>5286</c:v>
                      </c:pt>
                      <c:pt idx="151" formatCode="_(* #,##0_);_(* \(#,##0\);_(* &quot;-&quot;??_);_(@_)">
                        <c:v>4513</c:v>
                      </c:pt>
                      <c:pt idx="152" formatCode="_(* #,##0_);_(* \(#,##0\);_(* &quot;-&quot;??_);_(@_)">
                        <c:v>5430</c:v>
                      </c:pt>
                      <c:pt idx="153" formatCode="_(* #,##0_);_(* \(#,##0\);_(* &quot;-&quot;??_);_(@_)">
                        <c:v>4227</c:v>
                      </c:pt>
                      <c:pt idx="154" formatCode="_(* #,##0_);_(* \(#,##0\);_(* &quot;-&quot;??_);_(@_)">
                        <c:v>5428</c:v>
                      </c:pt>
                      <c:pt idx="155" formatCode="_(* #,##0_);_(* \(#,##0\);_(* &quot;-&quot;??_);_(@_)">
                        <c:v>6113</c:v>
                      </c:pt>
                      <c:pt idx="156">
                        <c:v>5961</c:v>
                      </c:pt>
                      <c:pt idx="157">
                        <c:v>4733</c:v>
                      </c:pt>
                      <c:pt idx="158">
                        <c:v>2174</c:v>
                      </c:pt>
                      <c:pt idx="159">
                        <c:v>32</c:v>
                      </c:pt>
                      <c:pt idx="160">
                        <c:v>56</c:v>
                      </c:pt>
                      <c:pt idx="161">
                        <c:v>99</c:v>
                      </c:pt>
                      <c:pt idx="162">
                        <c:v>201</c:v>
                      </c:pt>
                      <c:pt idx="163">
                        <c:v>218</c:v>
                      </c:pt>
                      <c:pt idx="164">
                        <c:v>423</c:v>
                      </c:pt>
                      <c:pt idx="165">
                        <c:v>1349</c:v>
                      </c:pt>
                      <c:pt idx="166">
                        <c:v>1549</c:v>
                      </c:pt>
                      <c:pt idx="167">
                        <c:v>1964</c:v>
                      </c:pt>
                      <c:pt idx="168">
                        <c:v>2113</c:v>
                      </c:pt>
                      <c:pt idx="169">
                        <c:v>1427</c:v>
                      </c:pt>
                      <c:pt idx="170">
                        <c:v>1870</c:v>
                      </c:pt>
                      <c:pt idx="171">
                        <c:v>1489</c:v>
                      </c:pt>
                      <c:pt idx="172">
                        <c:v>1774</c:v>
                      </c:pt>
                    </c:numCache>
                  </c:numRef>
                </c:val>
                <c:smooth val="0"/>
                <c:extLst xmlns:c15="http://schemas.microsoft.com/office/drawing/2012/chart">
                  <c:ext xmlns:c16="http://schemas.microsoft.com/office/drawing/2014/chart" uri="{C3380CC4-5D6E-409C-BE32-E72D297353CC}">
                    <c16:uniqueId val="{00000000-F54E-4F2C-B67C-89E5093B052E}"/>
                  </c:ext>
                </c:extLst>
              </c15:ser>
            </c15:filteredLineSeries>
            <c15:filteredLineSeries>
              <c15:ser>
                <c:idx val="3"/>
                <c:order val="3"/>
                <c:tx>
                  <c:strRef>
                    <c:extLst xmlns:c15="http://schemas.microsoft.com/office/drawing/2012/chart">
                      <c:ext xmlns:c15="http://schemas.microsoft.com/office/drawing/2012/chart" uri="{02D57815-91ED-43cb-92C2-25804820EDAC}">
                        <c15:formulaRef>
                          <c15:sqref>'Tendencias nacionalidad'!$C$57</c15:sqref>
                        </c15:formulaRef>
                      </c:ext>
                    </c:extLst>
                    <c:strCache>
                      <c:ptCount val="1"/>
                      <c:pt idx="0">
                        <c:v>México</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nacionalidad'!$D$57:$GA$57</c15:sqref>
                        </c15:fullRef>
                        <c15:formulaRef>
                          <c15:sqref>'Tendencias nacionalidad'!$D$57:$FT$57</c15:sqref>
                        </c15:formulaRef>
                      </c:ext>
                    </c:extLst>
                    <c:numCache>
                      <c:formatCode>#,##0</c:formatCode>
                      <c:ptCount val="173"/>
                      <c:pt idx="0">
                        <c:v>342</c:v>
                      </c:pt>
                      <c:pt idx="1">
                        <c:v>325</c:v>
                      </c:pt>
                      <c:pt idx="2">
                        <c:v>440</c:v>
                      </c:pt>
                      <c:pt idx="3">
                        <c:v>392</c:v>
                      </c:pt>
                      <c:pt idx="4">
                        <c:v>377</c:v>
                      </c:pt>
                      <c:pt idx="5">
                        <c:v>432</c:v>
                      </c:pt>
                      <c:pt idx="6">
                        <c:v>744</c:v>
                      </c:pt>
                      <c:pt idx="7">
                        <c:v>705</c:v>
                      </c:pt>
                      <c:pt idx="8">
                        <c:v>586</c:v>
                      </c:pt>
                      <c:pt idx="9">
                        <c:v>717</c:v>
                      </c:pt>
                      <c:pt idx="10">
                        <c:v>686</c:v>
                      </c:pt>
                      <c:pt idx="11">
                        <c:v>372</c:v>
                      </c:pt>
                      <c:pt idx="12">
                        <c:v>410</c:v>
                      </c:pt>
                      <c:pt idx="13">
                        <c:v>574</c:v>
                      </c:pt>
                      <c:pt idx="14">
                        <c:v>487</c:v>
                      </c:pt>
                      <c:pt idx="15">
                        <c:v>479</c:v>
                      </c:pt>
                      <c:pt idx="16">
                        <c:v>793</c:v>
                      </c:pt>
                      <c:pt idx="17">
                        <c:v>734</c:v>
                      </c:pt>
                      <c:pt idx="18">
                        <c:v>771</c:v>
                      </c:pt>
                      <c:pt idx="19">
                        <c:v>700</c:v>
                      </c:pt>
                      <c:pt idx="20">
                        <c:v>748</c:v>
                      </c:pt>
                      <c:pt idx="21">
                        <c:v>982</c:v>
                      </c:pt>
                      <c:pt idx="22">
                        <c:v>878</c:v>
                      </c:pt>
                      <c:pt idx="23">
                        <c:v>637</c:v>
                      </c:pt>
                      <c:pt idx="24">
                        <c:v>523</c:v>
                      </c:pt>
                      <c:pt idx="25">
                        <c:v>468</c:v>
                      </c:pt>
                      <c:pt idx="26">
                        <c:v>576</c:v>
                      </c:pt>
                      <c:pt idx="27">
                        <c:v>748</c:v>
                      </c:pt>
                      <c:pt idx="28">
                        <c:v>686.5</c:v>
                      </c:pt>
                      <c:pt idx="29">
                        <c:v>625</c:v>
                      </c:pt>
                      <c:pt idx="30">
                        <c:v>812</c:v>
                      </c:pt>
                      <c:pt idx="31">
                        <c:v>649</c:v>
                      </c:pt>
                      <c:pt idx="32">
                        <c:v>789</c:v>
                      </c:pt>
                      <c:pt idx="33">
                        <c:v>775</c:v>
                      </c:pt>
                      <c:pt idx="34">
                        <c:v>715</c:v>
                      </c:pt>
                      <c:pt idx="35">
                        <c:v>854</c:v>
                      </c:pt>
                      <c:pt idx="36">
                        <c:v>597</c:v>
                      </c:pt>
                      <c:pt idx="37">
                        <c:v>512</c:v>
                      </c:pt>
                      <c:pt idx="38">
                        <c:v>746</c:v>
                      </c:pt>
                      <c:pt idx="39">
                        <c:v>803</c:v>
                      </c:pt>
                      <c:pt idx="40">
                        <c:v>767</c:v>
                      </c:pt>
                      <c:pt idx="41">
                        <c:v>836</c:v>
                      </c:pt>
                      <c:pt idx="42">
                        <c:v>966</c:v>
                      </c:pt>
                      <c:pt idx="43">
                        <c:v>923</c:v>
                      </c:pt>
                      <c:pt idx="44">
                        <c:v>647</c:v>
                      </c:pt>
                      <c:pt idx="45">
                        <c:v>940</c:v>
                      </c:pt>
                      <c:pt idx="46">
                        <c:v>839</c:v>
                      </c:pt>
                      <c:pt idx="47">
                        <c:v>742</c:v>
                      </c:pt>
                      <c:pt idx="48">
                        <c:v>640</c:v>
                      </c:pt>
                      <c:pt idx="49">
                        <c:v>651</c:v>
                      </c:pt>
                      <c:pt idx="50">
                        <c:v>859</c:v>
                      </c:pt>
                      <c:pt idx="51">
                        <c:v>1037</c:v>
                      </c:pt>
                      <c:pt idx="52">
                        <c:v>1051</c:v>
                      </c:pt>
                      <c:pt idx="53">
                        <c:v>1180</c:v>
                      </c:pt>
                      <c:pt idx="54">
                        <c:v>1219</c:v>
                      </c:pt>
                      <c:pt idx="55">
                        <c:v>1102</c:v>
                      </c:pt>
                      <c:pt idx="56">
                        <c:v>841</c:v>
                      </c:pt>
                      <c:pt idx="57">
                        <c:v>1028</c:v>
                      </c:pt>
                      <c:pt idx="58">
                        <c:v>1132</c:v>
                      </c:pt>
                      <c:pt idx="59">
                        <c:v>930</c:v>
                      </c:pt>
                      <c:pt idx="60">
                        <c:v>131</c:v>
                      </c:pt>
                      <c:pt idx="61">
                        <c:v>779</c:v>
                      </c:pt>
                      <c:pt idx="62">
                        <c:v>894</c:v>
                      </c:pt>
                      <c:pt idx="63">
                        <c:v>942</c:v>
                      </c:pt>
                      <c:pt idx="64">
                        <c:v>1059</c:v>
                      </c:pt>
                      <c:pt idx="65">
                        <c:v>1016</c:v>
                      </c:pt>
                      <c:pt idx="66">
                        <c:v>1165</c:v>
                      </c:pt>
                      <c:pt idx="67">
                        <c:v>913</c:v>
                      </c:pt>
                      <c:pt idx="68">
                        <c:v>955</c:v>
                      </c:pt>
                      <c:pt idx="69">
                        <c:v>1191</c:v>
                      </c:pt>
                      <c:pt idx="70">
                        <c:v>1067</c:v>
                      </c:pt>
                      <c:pt idx="71">
                        <c:v>1084</c:v>
                      </c:pt>
                      <c:pt idx="72">
                        <c:v>850</c:v>
                      </c:pt>
                      <c:pt idx="73">
                        <c:v>816</c:v>
                      </c:pt>
                      <c:pt idx="74">
                        <c:v>1061</c:v>
                      </c:pt>
                      <c:pt idx="75">
                        <c:v>1104</c:v>
                      </c:pt>
                      <c:pt idx="76">
                        <c:v>971</c:v>
                      </c:pt>
                      <c:pt idx="77">
                        <c:v>925</c:v>
                      </c:pt>
                      <c:pt idx="78">
                        <c:v>1157</c:v>
                      </c:pt>
                      <c:pt idx="79">
                        <c:v>914</c:v>
                      </c:pt>
                      <c:pt idx="80">
                        <c:v>977</c:v>
                      </c:pt>
                      <c:pt idx="81">
                        <c:v>994</c:v>
                      </c:pt>
                      <c:pt idx="82">
                        <c:v>1010</c:v>
                      </c:pt>
                      <c:pt idx="83">
                        <c:v>1471</c:v>
                      </c:pt>
                      <c:pt idx="84">
                        <c:v>1161</c:v>
                      </c:pt>
                      <c:pt idx="85">
                        <c:v>1292</c:v>
                      </c:pt>
                      <c:pt idx="86">
                        <c:v>1612</c:v>
                      </c:pt>
                      <c:pt idx="87">
                        <c:v>1518</c:v>
                      </c:pt>
                      <c:pt idx="88">
                        <c:v>1350</c:v>
                      </c:pt>
                      <c:pt idx="89">
                        <c:v>1490</c:v>
                      </c:pt>
                      <c:pt idx="90">
                        <c:v>1712</c:v>
                      </c:pt>
                      <c:pt idx="91">
                        <c:v>1328</c:v>
                      </c:pt>
                      <c:pt idx="92">
                        <c:v>1559</c:v>
                      </c:pt>
                      <c:pt idx="93">
                        <c:v>1567</c:v>
                      </c:pt>
                      <c:pt idx="94">
                        <c:v>1967</c:v>
                      </c:pt>
                      <c:pt idx="95">
                        <c:v>1576</c:v>
                      </c:pt>
                      <c:pt idx="96">
                        <c:v>1180</c:v>
                      </c:pt>
                      <c:pt idx="97">
                        <c:v>1207</c:v>
                      </c:pt>
                      <c:pt idx="98">
                        <c:v>1707</c:v>
                      </c:pt>
                      <c:pt idx="99">
                        <c:v>1417</c:v>
                      </c:pt>
                      <c:pt idx="100">
                        <c:v>1426</c:v>
                      </c:pt>
                      <c:pt idx="101">
                        <c:v>1346</c:v>
                      </c:pt>
                      <c:pt idx="102">
                        <c:v>1759</c:v>
                      </c:pt>
                      <c:pt idx="103">
                        <c:v>1362</c:v>
                      </c:pt>
                      <c:pt idx="104">
                        <c:v>1364</c:v>
                      </c:pt>
                      <c:pt idx="105">
                        <c:v>1673</c:v>
                      </c:pt>
                      <c:pt idx="106">
                        <c:v>1398</c:v>
                      </c:pt>
                      <c:pt idx="107">
                        <c:v>1325</c:v>
                      </c:pt>
                      <c:pt idx="108">
                        <c:v>1187</c:v>
                      </c:pt>
                      <c:pt idx="109">
                        <c:v>1174</c:v>
                      </c:pt>
                      <c:pt idx="110">
                        <c:v>1524</c:v>
                      </c:pt>
                      <c:pt idx="111">
                        <c:v>1104</c:v>
                      </c:pt>
                      <c:pt idx="112">
                        <c:v>1264</c:v>
                      </c:pt>
                      <c:pt idx="113">
                        <c:v>1329</c:v>
                      </c:pt>
                      <c:pt idx="114">
                        <c:v>1498</c:v>
                      </c:pt>
                      <c:pt idx="115">
                        <c:v>1248</c:v>
                      </c:pt>
                      <c:pt idx="116" formatCode="General">
                        <c:v>1308</c:v>
                      </c:pt>
                      <c:pt idx="117">
                        <c:v>1953</c:v>
                      </c:pt>
                      <c:pt idx="118">
                        <c:v>1459</c:v>
                      </c:pt>
                      <c:pt idx="119">
                        <c:v>1279</c:v>
                      </c:pt>
                      <c:pt idx="120">
                        <c:v>1089</c:v>
                      </c:pt>
                      <c:pt idx="121">
                        <c:v>1033</c:v>
                      </c:pt>
                      <c:pt idx="122">
                        <c:v>1340</c:v>
                      </c:pt>
                      <c:pt idx="123">
                        <c:v>1541</c:v>
                      </c:pt>
                      <c:pt idx="124">
                        <c:v>1270</c:v>
                      </c:pt>
                      <c:pt idx="125">
                        <c:v>1466</c:v>
                      </c:pt>
                      <c:pt idx="126">
                        <c:v>1782</c:v>
                      </c:pt>
                      <c:pt idx="127">
                        <c:v>1384</c:v>
                      </c:pt>
                      <c:pt idx="128">
                        <c:v>1310</c:v>
                      </c:pt>
                      <c:pt idx="129">
                        <c:v>1643</c:v>
                      </c:pt>
                      <c:pt idx="130">
                        <c:v>1674</c:v>
                      </c:pt>
                      <c:pt idx="131">
                        <c:v>1625</c:v>
                      </c:pt>
                      <c:pt idx="132">
                        <c:v>1302</c:v>
                      </c:pt>
                      <c:pt idx="133">
                        <c:v>1297</c:v>
                      </c:pt>
                      <c:pt idx="134">
                        <c:v>1472</c:v>
                      </c:pt>
                      <c:pt idx="135">
                        <c:v>1656</c:v>
                      </c:pt>
                      <c:pt idx="136">
                        <c:v>1613</c:v>
                      </c:pt>
                      <c:pt idx="137">
                        <c:v>1730</c:v>
                      </c:pt>
                      <c:pt idx="138">
                        <c:v>2122</c:v>
                      </c:pt>
                      <c:pt idx="139">
                        <c:v>1672</c:v>
                      </c:pt>
                      <c:pt idx="140">
                        <c:v>1935</c:v>
                      </c:pt>
                      <c:pt idx="141">
                        <c:v>2094</c:v>
                      </c:pt>
                      <c:pt idx="142">
                        <c:v>1907</c:v>
                      </c:pt>
                      <c:pt idx="143">
                        <c:v>1793</c:v>
                      </c:pt>
                      <c:pt idx="144" formatCode="_(* #,##0_);_(* \(#,##0\);_(* &quot;-&quot;??_);_(@_)">
                        <c:v>1454</c:v>
                      </c:pt>
                      <c:pt idx="145">
                        <c:v>1596</c:v>
                      </c:pt>
                      <c:pt idx="146">
                        <c:v>1930</c:v>
                      </c:pt>
                      <c:pt idx="147">
                        <c:v>2053</c:v>
                      </c:pt>
                      <c:pt idx="148" formatCode="_(* #,##0_);_(* \(#,##0\);_(* &quot;-&quot;??_);_(@_)">
                        <c:v>1644</c:v>
                      </c:pt>
                      <c:pt idx="149" formatCode="_(* #,##0_);_(* \(#,##0\);_(* &quot;-&quot;??_);_(@_)">
                        <c:v>1820</c:v>
                      </c:pt>
                      <c:pt idx="150" formatCode="_(* #,##0_);_(* \(#,##0\);_(* &quot;-&quot;??_);_(@_)">
                        <c:v>1932</c:v>
                      </c:pt>
                      <c:pt idx="151" formatCode="_(* #,##0_);_(* \(#,##0\);_(* &quot;-&quot;??_);_(@_)">
                        <c:v>1590</c:v>
                      </c:pt>
                      <c:pt idx="152" formatCode="_(* #,##0_);_(* \(#,##0\);_(* &quot;-&quot;??_);_(@_)">
                        <c:v>1672</c:v>
                      </c:pt>
                      <c:pt idx="153" formatCode="_(* #,##0_);_(* \(#,##0\);_(* &quot;-&quot;??_);_(@_)">
                        <c:v>1400</c:v>
                      </c:pt>
                      <c:pt idx="154" formatCode="_(* #,##0_);_(* \(#,##0\);_(* &quot;-&quot;??_);_(@_)">
                        <c:v>1836</c:v>
                      </c:pt>
                      <c:pt idx="155" formatCode="_(* #,##0_);_(* \(#,##0\);_(* &quot;-&quot;??_);_(@_)">
                        <c:v>2108</c:v>
                      </c:pt>
                      <c:pt idx="156">
                        <c:v>1799</c:v>
                      </c:pt>
                      <c:pt idx="157">
                        <c:v>1661</c:v>
                      </c:pt>
                      <c:pt idx="158">
                        <c:v>771</c:v>
                      </c:pt>
                      <c:pt idx="159">
                        <c:v>15</c:v>
                      </c:pt>
                      <c:pt idx="160">
                        <c:v>12</c:v>
                      </c:pt>
                      <c:pt idx="161">
                        <c:v>37</c:v>
                      </c:pt>
                      <c:pt idx="162">
                        <c:v>43</c:v>
                      </c:pt>
                      <c:pt idx="163">
                        <c:v>355</c:v>
                      </c:pt>
                      <c:pt idx="164">
                        <c:v>419</c:v>
                      </c:pt>
                      <c:pt idx="165">
                        <c:v>477</c:v>
                      </c:pt>
                      <c:pt idx="166">
                        <c:v>574</c:v>
                      </c:pt>
                      <c:pt idx="167">
                        <c:v>731</c:v>
                      </c:pt>
                      <c:pt idx="168">
                        <c:v>699</c:v>
                      </c:pt>
                      <c:pt idx="169">
                        <c:v>570</c:v>
                      </c:pt>
                      <c:pt idx="170">
                        <c:v>525</c:v>
                      </c:pt>
                      <c:pt idx="171">
                        <c:v>407</c:v>
                      </c:pt>
                      <c:pt idx="172">
                        <c:v>549</c:v>
                      </c:pt>
                    </c:numCache>
                  </c:numRef>
                </c:val>
                <c:smooth val="0"/>
                <c:extLst xmlns:c15="http://schemas.microsoft.com/office/drawing/2012/chart">
                  <c:ext xmlns:c16="http://schemas.microsoft.com/office/drawing/2014/chart" uri="{C3380CC4-5D6E-409C-BE32-E72D297353CC}">
                    <c16:uniqueId val="{00000007-F54E-4F2C-B67C-89E5093B052E}"/>
                  </c:ext>
                </c:extLst>
              </c15:ser>
            </c15:filteredLineSeries>
            <c15:filteredLineSeries>
              <c15:ser>
                <c:idx val="5"/>
                <c:order val="5"/>
                <c:tx>
                  <c:strRef>
                    <c:extLst xmlns:c15="http://schemas.microsoft.com/office/drawing/2012/chart">
                      <c:ext xmlns:c15="http://schemas.microsoft.com/office/drawing/2012/chart" uri="{02D57815-91ED-43cb-92C2-25804820EDAC}">
                        <c15:formulaRef>
                          <c15:sqref>'Tendencias nacionalidad'!$C$59</c15:sqref>
                        </c15:formulaRef>
                      </c:ext>
                    </c:extLst>
                    <c:strCache>
                      <c:ptCount val="1"/>
                      <c:pt idx="0">
                        <c:v>Canadá</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nacionalidad'!$D$59:$GA$59</c15:sqref>
                        </c15:fullRef>
                        <c15:formulaRef>
                          <c15:sqref>'Tendencias nacionalidad'!$D$59:$FT$59</c15:sqref>
                        </c15:formulaRef>
                      </c:ext>
                    </c:extLst>
                    <c:numCache>
                      <c:formatCode>#,##0</c:formatCode>
                      <c:ptCount val="173"/>
                      <c:pt idx="0">
                        <c:v>1097</c:v>
                      </c:pt>
                      <c:pt idx="1">
                        <c:v>1128</c:v>
                      </c:pt>
                      <c:pt idx="2">
                        <c:v>1588</c:v>
                      </c:pt>
                      <c:pt idx="3">
                        <c:v>794</c:v>
                      </c:pt>
                      <c:pt idx="4">
                        <c:v>1013</c:v>
                      </c:pt>
                      <c:pt idx="5">
                        <c:v>864</c:v>
                      </c:pt>
                      <c:pt idx="6">
                        <c:v>1335</c:v>
                      </c:pt>
                      <c:pt idx="7">
                        <c:v>1183</c:v>
                      </c:pt>
                      <c:pt idx="8">
                        <c:v>675</c:v>
                      </c:pt>
                      <c:pt idx="9">
                        <c:v>1026</c:v>
                      </c:pt>
                      <c:pt idx="10">
                        <c:v>1173</c:v>
                      </c:pt>
                      <c:pt idx="11">
                        <c:v>1378</c:v>
                      </c:pt>
                      <c:pt idx="12">
                        <c:v>1388</c:v>
                      </c:pt>
                      <c:pt idx="13">
                        <c:v>2196</c:v>
                      </c:pt>
                      <c:pt idx="14">
                        <c:v>1673</c:v>
                      </c:pt>
                      <c:pt idx="15">
                        <c:v>1110</c:v>
                      </c:pt>
                      <c:pt idx="16">
                        <c:v>1238</c:v>
                      </c:pt>
                      <c:pt idx="17">
                        <c:v>1120</c:v>
                      </c:pt>
                      <c:pt idx="18">
                        <c:v>1523</c:v>
                      </c:pt>
                      <c:pt idx="19">
                        <c:v>1054</c:v>
                      </c:pt>
                      <c:pt idx="20">
                        <c:v>752</c:v>
                      </c:pt>
                      <c:pt idx="21">
                        <c:v>1026</c:v>
                      </c:pt>
                      <c:pt idx="22">
                        <c:v>1336</c:v>
                      </c:pt>
                      <c:pt idx="23">
                        <c:v>1471</c:v>
                      </c:pt>
                      <c:pt idx="24">
                        <c:v>1451</c:v>
                      </c:pt>
                      <c:pt idx="25">
                        <c:v>1549</c:v>
                      </c:pt>
                      <c:pt idx="26">
                        <c:v>1686</c:v>
                      </c:pt>
                      <c:pt idx="27">
                        <c:v>1231</c:v>
                      </c:pt>
                      <c:pt idx="28">
                        <c:v>1258.5</c:v>
                      </c:pt>
                      <c:pt idx="29">
                        <c:v>1286</c:v>
                      </c:pt>
                      <c:pt idx="30">
                        <c:v>1497</c:v>
                      </c:pt>
                      <c:pt idx="31">
                        <c:v>1229</c:v>
                      </c:pt>
                      <c:pt idx="32">
                        <c:v>696</c:v>
                      </c:pt>
                      <c:pt idx="33">
                        <c:v>955</c:v>
                      </c:pt>
                      <c:pt idx="34">
                        <c:v>1183</c:v>
                      </c:pt>
                      <c:pt idx="35">
                        <c:v>1674</c:v>
                      </c:pt>
                      <c:pt idx="36">
                        <c:v>1425</c:v>
                      </c:pt>
                      <c:pt idx="37">
                        <c:v>1645</c:v>
                      </c:pt>
                      <c:pt idx="38">
                        <c:v>1789</c:v>
                      </c:pt>
                      <c:pt idx="39">
                        <c:v>1180</c:v>
                      </c:pt>
                      <c:pt idx="40">
                        <c:v>1399</c:v>
                      </c:pt>
                      <c:pt idx="41">
                        <c:v>1174</c:v>
                      </c:pt>
                      <c:pt idx="42">
                        <c:v>1698</c:v>
                      </c:pt>
                      <c:pt idx="43">
                        <c:v>1224</c:v>
                      </c:pt>
                      <c:pt idx="44">
                        <c:v>650</c:v>
                      </c:pt>
                      <c:pt idx="45">
                        <c:v>1101</c:v>
                      </c:pt>
                      <c:pt idx="46">
                        <c:v>1202</c:v>
                      </c:pt>
                      <c:pt idx="47">
                        <c:v>1523</c:v>
                      </c:pt>
                      <c:pt idx="48">
                        <c:v>1487</c:v>
                      </c:pt>
                      <c:pt idx="49">
                        <c:v>1741</c:v>
                      </c:pt>
                      <c:pt idx="50">
                        <c:v>1757</c:v>
                      </c:pt>
                      <c:pt idx="51">
                        <c:v>1161</c:v>
                      </c:pt>
                      <c:pt idx="52">
                        <c:v>1486</c:v>
                      </c:pt>
                      <c:pt idx="53">
                        <c:v>1172</c:v>
                      </c:pt>
                      <c:pt idx="54">
                        <c:v>1748</c:v>
                      </c:pt>
                      <c:pt idx="55">
                        <c:v>1257</c:v>
                      </c:pt>
                      <c:pt idx="56">
                        <c:v>770</c:v>
                      </c:pt>
                      <c:pt idx="57">
                        <c:v>1371</c:v>
                      </c:pt>
                      <c:pt idx="58">
                        <c:v>1247</c:v>
                      </c:pt>
                      <c:pt idx="59">
                        <c:v>1717</c:v>
                      </c:pt>
                      <c:pt idx="60">
                        <c:v>1699</c:v>
                      </c:pt>
                      <c:pt idx="61">
                        <c:v>1657</c:v>
                      </c:pt>
                      <c:pt idx="62">
                        <c:v>1895</c:v>
                      </c:pt>
                      <c:pt idx="63">
                        <c:v>1311</c:v>
                      </c:pt>
                      <c:pt idx="64">
                        <c:v>1551</c:v>
                      </c:pt>
                      <c:pt idx="65">
                        <c:v>1339</c:v>
                      </c:pt>
                      <c:pt idx="66">
                        <c:v>1694</c:v>
                      </c:pt>
                      <c:pt idx="67">
                        <c:v>1391</c:v>
                      </c:pt>
                      <c:pt idx="68">
                        <c:v>950</c:v>
                      </c:pt>
                      <c:pt idx="69">
                        <c:v>1450</c:v>
                      </c:pt>
                      <c:pt idx="70">
                        <c:v>1542</c:v>
                      </c:pt>
                      <c:pt idx="71">
                        <c:v>1940</c:v>
                      </c:pt>
                      <c:pt idx="72">
                        <c:v>1614</c:v>
                      </c:pt>
                      <c:pt idx="73">
                        <c:v>1762</c:v>
                      </c:pt>
                      <c:pt idx="74">
                        <c:v>2027</c:v>
                      </c:pt>
                      <c:pt idx="75">
                        <c:v>1646</c:v>
                      </c:pt>
                      <c:pt idx="76">
                        <c:v>1560</c:v>
                      </c:pt>
                      <c:pt idx="77">
                        <c:v>1312</c:v>
                      </c:pt>
                      <c:pt idx="78">
                        <c:v>1894</c:v>
                      </c:pt>
                      <c:pt idx="79">
                        <c:v>1246</c:v>
                      </c:pt>
                      <c:pt idx="80">
                        <c:v>1069</c:v>
                      </c:pt>
                      <c:pt idx="81">
                        <c:v>1302</c:v>
                      </c:pt>
                      <c:pt idx="82">
                        <c:v>1849</c:v>
                      </c:pt>
                      <c:pt idx="83">
                        <c:v>1875</c:v>
                      </c:pt>
                      <c:pt idx="84">
                        <c:v>1969</c:v>
                      </c:pt>
                      <c:pt idx="85">
                        <c:v>2078</c:v>
                      </c:pt>
                      <c:pt idx="86">
                        <c:v>2126</c:v>
                      </c:pt>
                      <c:pt idx="87">
                        <c:v>1741</c:v>
                      </c:pt>
                      <c:pt idx="88">
                        <c:v>1834</c:v>
                      </c:pt>
                      <c:pt idx="89">
                        <c:v>1415</c:v>
                      </c:pt>
                      <c:pt idx="90">
                        <c:v>1946</c:v>
                      </c:pt>
                      <c:pt idx="91">
                        <c:v>1377</c:v>
                      </c:pt>
                      <c:pt idx="92">
                        <c:v>1099</c:v>
                      </c:pt>
                      <c:pt idx="93">
                        <c:v>1315</c:v>
                      </c:pt>
                      <c:pt idx="94">
                        <c:v>1764</c:v>
                      </c:pt>
                      <c:pt idx="95">
                        <c:v>2184</c:v>
                      </c:pt>
                      <c:pt idx="96">
                        <c:v>2293</c:v>
                      </c:pt>
                      <c:pt idx="97">
                        <c:v>2373</c:v>
                      </c:pt>
                      <c:pt idx="98">
                        <c:v>2492</c:v>
                      </c:pt>
                      <c:pt idx="99">
                        <c:v>1804</c:v>
                      </c:pt>
                      <c:pt idx="100">
                        <c:v>1766</c:v>
                      </c:pt>
                      <c:pt idx="101">
                        <c:v>1447</c:v>
                      </c:pt>
                      <c:pt idx="102">
                        <c:v>1820</c:v>
                      </c:pt>
                      <c:pt idx="103">
                        <c:v>1470</c:v>
                      </c:pt>
                      <c:pt idx="104">
                        <c:v>1006</c:v>
                      </c:pt>
                      <c:pt idx="105">
                        <c:v>1543</c:v>
                      </c:pt>
                      <c:pt idx="106">
                        <c:v>1675</c:v>
                      </c:pt>
                      <c:pt idx="107">
                        <c:v>1968</c:v>
                      </c:pt>
                      <c:pt idx="108">
                        <c:v>2212</c:v>
                      </c:pt>
                      <c:pt idx="109">
                        <c:v>2279</c:v>
                      </c:pt>
                      <c:pt idx="110">
                        <c:v>2405</c:v>
                      </c:pt>
                      <c:pt idx="111">
                        <c:v>1417</c:v>
                      </c:pt>
                      <c:pt idx="112">
                        <c:v>1492</c:v>
                      </c:pt>
                      <c:pt idx="113">
                        <c:v>1401</c:v>
                      </c:pt>
                      <c:pt idx="114">
                        <c:v>1771</c:v>
                      </c:pt>
                      <c:pt idx="115">
                        <c:v>1274</c:v>
                      </c:pt>
                      <c:pt idx="116" formatCode="General">
                        <c:v>881</c:v>
                      </c:pt>
                      <c:pt idx="117">
                        <c:v>1361</c:v>
                      </c:pt>
                      <c:pt idx="118">
                        <c:v>1421</c:v>
                      </c:pt>
                      <c:pt idx="119">
                        <c:v>1636</c:v>
                      </c:pt>
                      <c:pt idx="120">
                        <c:v>1773</c:v>
                      </c:pt>
                      <c:pt idx="121">
                        <c:v>1831</c:v>
                      </c:pt>
                      <c:pt idx="122">
                        <c:v>2120</c:v>
                      </c:pt>
                      <c:pt idx="123">
                        <c:v>1423</c:v>
                      </c:pt>
                      <c:pt idx="124">
                        <c:v>1427</c:v>
                      </c:pt>
                      <c:pt idx="125">
                        <c:v>1092</c:v>
                      </c:pt>
                      <c:pt idx="126">
                        <c:v>1458</c:v>
                      </c:pt>
                      <c:pt idx="127">
                        <c:v>1343</c:v>
                      </c:pt>
                      <c:pt idx="128">
                        <c:v>861</c:v>
                      </c:pt>
                      <c:pt idx="129">
                        <c:v>1355</c:v>
                      </c:pt>
                      <c:pt idx="130">
                        <c:v>1698</c:v>
                      </c:pt>
                      <c:pt idx="131">
                        <c:v>1912</c:v>
                      </c:pt>
                      <c:pt idx="132">
                        <c:v>2025</c:v>
                      </c:pt>
                      <c:pt idx="133">
                        <c:v>2289</c:v>
                      </c:pt>
                      <c:pt idx="134">
                        <c:v>2452</c:v>
                      </c:pt>
                      <c:pt idx="135">
                        <c:v>1346</c:v>
                      </c:pt>
                      <c:pt idx="136">
                        <c:v>1691</c:v>
                      </c:pt>
                      <c:pt idx="137">
                        <c:v>1280</c:v>
                      </c:pt>
                      <c:pt idx="138">
                        <c:v>1777</c:v>
                      </c:pt>
                      <c:pt idx="139">
                        <c:v>1210</c:v>
                      </c:pt>
                      <c:pt idx="140">
                        <c:v>1034</c:v>
                      </c:pt>
                      <c:pt idx="141">
                        <c:v>1386</c:v>
                      </c:pt>
                      <c:pt idx="142">
                        <c:v>1601</c:v>
                      </c:pt>
                      <c:pt idx="143">
                        <c:v>1810</c:v>
                      </c:pt>
                      <c:pt idx="144" formatCode="_(* #,##0_);_(* \(#,##0\);_(* &quot;-&quot;??_);_(@_)">
                        <c:v>2035</c:v>
                      </c:pt>
                      <c:pt idx="145">
                        <c:v>2191</c:v>
                      </c:pt>
                      <c:pt idx="146">
                        <c:v>2327</c:v>
                      </c:pt>
                      <c:pt idx="147">
                        <c:v>1596</c:v>
                      </c:pt>
                      <c:pt idx="148" formatCode="_(* #,##0_);_(* \(#,##0\);_(* &quot;-&quot;??_);_(@_)">
                        <c:v>2092</c:v>
                      </c:pt>
                      <c:pt idx="149" formatCode="_(* #,##0_);_(* \(#,##0\);_(* &quot;-&quot;??_);_(@_)">
                        <c:v>1594</c:v>
                      </c:pt>
                      <c:pt idx="150" formatCode="_(* #,##0_);_(* \(#,##0\);_(* &quot;-&quot;??_);_(@_)">
                        <c:v>2060</c:v>
                      </c:pt>
                      <c:pt idx="151" formatCode="_(* #,##0_);_(* \(#,##0\);_(* &quot;-&quot;??_);_(@_)">
                        <c:v>1657</c:v>
                      </c:pt>
                      <c:pt idx="152" formatCode="_(* #,##0_);_(* \(#,##0\);_(* &quot;-&quot;??_);_(@_)">
                        <c:v>1555</c:v>
                      </c:pt>
                      <c:pt idx="153" formatCode="_(* #,##0_);_(* \(#,##0\);_(* &quot;-&quot;??_);_(@_)">
                        <c:v>1477</c:v>
                      </c:pt>
                      <c:pt idx="154" formatCode="_(* #,##0_);_(* \(#,##0\);_(* &quot;-&quot;??_);_(@_)">
                        <c:v>2134</c:v>
                      </c:pt>
                      <c:pt idx="155" formatCode="_(* #,##0_);_(* \(#,##0\);_(* &quot;-&quot;??_);_(@_)">
                        <c:v>3145</c:v>
                      </c:pt>
                      <c:pt idx="156">
                        <c:v>3444</c:v>
                      </c:pt>
                      <c:pt idx="157">
                        <c:v>3918</c:v>
                      </c:pt>
                      <c:pt idx="158">
                        <c:v>1407</c:v>
                      </c:pt>
                      <c:pt idx="160">
                        <c:v>6</c:v>
                      </c:pt>
                      <c:pt idx="161">
                        <c:v>27</c:v>
                      </c:pt>
                      <c:pt idx="162">
                        <c:v>81</c:v>
                      </c:pt>
                      <c:pt idx="163">
                        <c:v>101</c:v>
                      </c:pt>
                      <c:pt idx="164">
                        <c:v>100</c:v>
                      </c:pt>
                      <c:pt idx="165">
                        <c:v>146</c:v>
                      </c:pt>
                      <c:pt idx="166">
                        <c:v>248</c:v>
                      </c:pt>
                      <c:pt idx="167">
                        <c:v>319</c:v>
                      </c:pt>
                      <c:pt idx="168">
                        <c:v>263</c:v>
                      </c:pt>
                      <c:pt idx="169">
                        <c:v>101</c:v>
                      </c:pt>
                      <c:pt idx="170">
                        <c:v>134</c:v>
                      </c:pt>
                      <c:pt idx="171">
                        <c:v>136</c:v>
                      </c:pt>
                      <c:pt idx="172">
                        <c:v>142</c:v>
                      </c:pt>
                    </c:numCache>
                  </c:numRef>
                </c:val>
                <c:smooth val="0"/>
                <c:extLst xmlns:c15="http://schemas.microsoft.com/office/drawing/2012/chart">
                  <c:ext xmlns:c16="http://schemas.microsoft.com/office/drawing/2014/chart" uri="{C3380CC4-5D6E-409C-BE32-E72D297353CC}">
                    <c16:uniqueId val="{00000009-F54E-4F2C-B67C-89E5093B052E}"/>
                  </c:ext>
                </c:extLst>
              </c15:ser>
            </c15:filteredLineSeries>
            <c15:filteredLineSeries>
              <c15:ser>
                <c:idx val="6"/>
                <c:order val="6"/>
                <c:tx>
                  <c:strRef>
                    <c:extLst xmlns:c15="http://schemas.microsoft.com/office/drawing/2012/chart">
                      <c:ext xmlns:c15="http://schemas.microsoft.com/office/drawing/2012/chart" uri="{02D57815-91ED-43cb-92C2-25804820EDAC}">
                        <c15:formulaRef>
                          <c15:sqref>'Tendencias nacionalidad'!$C$60</c15:sqref>
                        </c15:formulaRef>
                      </c:ext>
                    </c:extLst>
                    <c:strCache>
                      <c:ptCount val="1"/>
                      <c:pt idx="0">
                        <c:v>Perú</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nacionalidad'!$D$60:$GA$60</c15:sqref>
                        </c15:fullRef>
                        <c15:formulaRef>
                          <c15:sqref>'Tendencias nacionalidad'!$D$60:$FT$60</c15:sqref>
                        </c15:formulaRef>
                      </c:ext>
                    </c:extLst>
                    <c:numCache>
                      <c:formatCode>#,##0</c:formatCode>
                      <c:ptCount val="173"/>
                      <c:pt idx="0">
                        <c:v>597</c:v>
                      </c:pt>
                      <c:pt idx="1">
                        <c:v>619</c:v>
                      </c:pt>
                      <c:pt idx="2">
                        <c:v>664</c:v>
                      </c:pt>
                      <c:pt idx="3">
                        <c:v>603</c:v>
                      </c:pt>
                      <c:pt idx="4">
                        <c:v>624</c:v>
                      </c:pt>
                      <c:pt idx="5">
                        <c:v>757</c:v>
                      </c:pt>
                      <c:pt idx="6">
                        <c:v>855</c:v>
                      </c:pt>
                      <c:pt idx="7">
                        <c:v>821</c:v>
                      </c:pt>
                      <c:pt idx="8">
                        <c:v>861</c:v>
                      </c:pt>
                      <c:pt idx="9">
                        <c:v>909</c:v>
                      </c:pt>
                      <c:pt idx="10">
                        <c:v>950</c:v>
                      </c:pt>
                      <c:pt idx="11">
                        <c:v>519</c:v>
                      </c:pt>
                      <c:pt idx="12">
                        <c:v>656</c:v>
                      </c:pt>
                      <c:pt idx="13">
                        <c:v>1028</c:v>
                      </c:pt>
                      <c:pt idx="14">
                        <c:v>728</c:v>
                      </c:pt>
                      <c:pt idx="15">
                        <c:v>856</c:v>
                      </c:pt>
                      <c:pt idx="16">
                        <c:v>835</c:v>
                      </c:pt>
                      <c:pt idx="17">
                        <c:v>752</c:v>
                      </c:pt>
                      <c:pt idx="18">
                        <c:v>845</c:v>
                      </c:pt>
                      <c:pt idx="19">
                        <c:v>925</c:v>
                      </c:pt>
                      <c:pt idx="20">
                        <c:v>919</c:v>
                      </c:pt>
                      <c:pt idx="21">
                        <c:v>813</c:v>
                      </c:pt>
                      <c:pt idx="22">
                        <c:v>935</c:v>
                      </c:pt>
                      <c:pt idx="23">
                        <c:v>759</c:v>
                      </c:pt>
                      <c:pt idx="24">
                        <c:v>1199</c:v>
                      </c:pt>
                      <c:pt idx="25">
                        <c:v>857</c:v>
                      </c:pt>
                      <c:pt idx="26">
                        <c:v>1043</c:v>
                      </c:pt>
                      <c:pt idx="27">
                        <c:v>841</c:v>
                      </c:pt>
                      <c:pt idx="28">
                        <c:v>873</c:v>
                      </c:pt>
                      <c:pt idx="29">
                        <c:v>905</c:v>
                      </c:pt>
                      <c:pt idx="30">
                        <c:v>964</c:v>
                      </c:pt>
                      <c:pt idx="31">
                        <c:v>761</c:v>
                      </c:pt>
                      <c:pt idx="32">
                        <c:v>873</c:v>
                      </c:pt>
                      <c:pt idx="33">
                        <c:v>845</c:v>
                      </c:pt>
                      <c:pt idx="34">
                        <c:v>869</c:v>
                      </c:pt>
                      <c:pt idx="35">
                        <c:v>782</c:v>
                      </c:pt>
                      <c:pt idx="36">
                        <c:v>924</c:v>
                      </c:pt>
                      <c:pt idx="37">
                        <c:v>1186</c:v>
                      </c:pt>
                      <c:pt idx="38">
                        <c:v>910</c:v>
                      </c:pt>
                      <c:pt idx="39">
                        <c:v>828</c:v>
                      </c:pt>
                      <c:pt idx="40">
                        <c:v>935</c:v>
                      </c:pt>
                      <c:pt idx="41">
                        <c:v>820</c:v>
                      </c:pt>
                      <c:pt idx="42">
                        <c:v>779</c:v>
                      </c:pt>
                      <c:pt idx="43">
                        <c:v>919</c:v>
                      </c:pt>
                      <c:pt idx="44">
                        <c:v>728</c:v>
                      </c:pt>
                      <c:pt idx="45">
                        <c:v>943</c:v>
                      </c:pt>
                      <c:pt idx="46">
                        <c:v>971</c:v>
                      </c:pt>
                      <c:pt idx="47">
                        <c:v>681</c:v>
                      </c:pt>
                      <c:pt idx="48">
                        <c:v>724</c:v>
                      </c:pt>
                      <c:pt idx="49">
                        <c:v>842</c:v>
                      </c:pt>
                      <c:pt idx="50">
                        <c:v>1005</c:v>
                      </c:pt>
                      <c:pt idx="51">
                        <c:v>954</c:v>
                      </c:pt>
                      <c:pt idx="52">
                        <c:v>999</c:v>
                      </c:pt>
                      <c:pt idx="53">
                        <c:v>933</c:v>
                      </c:pt>
                      <c:pt idx="54">
                        <c:v>1055</c:v>
                      </c:pt>
                      <c:pt idx="55">
                        <c:v>987</c:v>
                      </c:pt>
                      <c:pt idx="56">
                        <c:v>933</c:v>
                      </c:pt>
                      <c:pt idx="57">
                        <c:v>1124</c:v>
                      </c:pt>
                      <c:pt idx="58">
                        <c:v>1562</c:v>
                      </c:pt>
                      <c:pt idx="59">
                        <c:v>831</c:v>
                      </c:pt>
                      <c:pt idx="60">
                        <c:v>932</c:v>
                      </c:pt>
                      <c:pt idx="61">
                        <c:v>818</c:v>
                      </c:pt>
                      <c:pt idx="62">
                        <c:v>1172</c:v>
                      </c:pt>
                      <c:pt idx="63">
                        <c:v>1112</c:v>
                      </c:pt>
                      <c:pt idx="64">
                        <c:v>1238</c:v>
                      </c:pt>
                      <c:pt idx="65">
                        <c:v>1179</c:v>
                      </c:pt>
                      <c:pt idx="66">
                        <c:v>1336</c:v>
                      </c:pt>
                      <c:pt idx="67">
                        <c:v>1297</c:v>
                      </c:pt>
                      <c:pt idx="68">
                        <c:v>1381</c:v>
                      </c:pt>
                      <c:pt idx="69">
                        <c:v>1530</c:v>
                      </c:pt>
                      <c:pt idx="70">
                        <c:v>1372</c:v>
                      </c:pt>
                      <c:pt idx="71">
                        <c:v>931</c:v>
                      </c:pt>
                      <c:pt idx="72">
                        <c:v>1248</c:v>
                      </c:pt>
                      <c:pt idx="73">
                        <c:v>1342</c:v>
                      </c:pt>
                      <c:pt idx="74">
                        <c:v>1370</c:v>
                      </c:pt>
                      <c:pt idx="75">
                        <c:v>1459</c:v>
                      </c:pt>
                      <c:pt idx="76">
                        <c:v>1709</c:v>
                      </c:pt>
                      <c:pt idx="77">
                        <c:v>1759</c:v>
                      </c:pt>
                      <c:pt idx="78">
                        <c:v>1941</c:v>
                      </c:pt>
                      <c:pt idx="79">
                        <c:v>1512</c:v>
                      </c:pt>
                      <c:pt idx="80">
                        <c:v>1510</c:v>
                      </c:pt>
                      <c:pt idx="81">
                        <c:v>1280</c:v>
                      </c:pt>
                      <c:pt idx="82">
                        <c:v>1258</c:v>
                      </c:pt>
                      <c:pt idx="83">
                        <c:v>1183</c:v>
                      </c:pt>
                      <c:pt idx="84">
                        <c:v>1359</c:v>
                      </c:pt>
                      <c:pt idx="85">
                        <c:v>2651</c:v>
                      </c:pt>
                      <c:pt idx="86">
                        <c:v>1597</c:v>
                      </c:pt>
                      <c:pt idx="87">
                        <c:v>1563</c:v>
                      </c:pt>
                      <c:pt idx="88">
                        <c:v>1626</c:v>
                      </c:pt>
                      <c:pt idx="89">
                        <c:v>1960</c:v>
                      </c:pt>
                      <c:pt idx="90">
                        <c:v>1511</c:v>
                      </c:pt>
                      <c:pt idx="91">
                        <c:v>1434</c:v>
                      </c:pt>
                      <c:pt idx="92">
                        <c:v>1571</c:v>
                      </c:pt>
                      <c:pt idx="93">
                        <c:v>1512</c:v>
                      </c:pt>
                      <c:pt idx="94">
                        <c:v>1614</c:v>
                      </c:pt>
                      <c:pt idx="95">
                        <c:v>1304</c:v>
                      </c:pt>
                      <c:pt idx="96">
                        <c:v>1201</c:v>
                      </c:pt>
                      <c:pt idx="97">
                        <c:v>1299</c:v>
                      </c:pt>
                      <c:pt idx="98">
                        <c:v>1352</c:v>
                      </c:pt>
                      <c:pt idx="99">
                        <c:v>1279</c:v>
                      </c:pt>
                      <c:pt idx="100">
                        <c:v>1332</c:v>
                      </c:pt>
                      <c:pt idx="101">
                        <c:v>1003</c:v>
                      </c:pt>
                      <c:pt idx="102">
                        <c:v>1305</c:v>
                      </c:pt>
                      <c:pt idx="103">
                        <c:v>1008</c:v>
                      </c:pt>
                      <c:pt idx="104">
                        <c:v>1166</c:v>
                      </c:pt>
                      <c:pt idx="105">
                        <c:v>1289</c:v>
                      </c:pt>
                      <c:pt idx="106">
                        <c:v>1225</c:v>
                      </c:pt>
                      <c:pt idx="107">
                        <c:v>1000</c:v>
                      </c:pt>
                      <c:pt idx="108">
                        <c:v>1181</c:v>
                      </c:pt>
                      <c:pt idx="109">
                        <c:v>1107</c:v>
                      </c:pt>
                      <c:pt idx="110">
                        <c:v>1047</c:v>
                      </c:pt>
                      <c:pt idx="111">
                        <c:v>865</c:v>
                      </c:pt>
                      <c:pt idx="112">
                        <c:v>996</c:v>
                      </c:pt>
                      <c:pt idx="113">
                        <c:v>1029</c:v>
                      </c:pt>
                      <c:pt idx="114">
                        <c:v>1026</c:v>
                      </c:pt>
                      <c:pt idx="115">
                        <c:v>985</c:v>
                      </c:pt>
                      <c:pt idx="116" formatCode="General">
                        <c:v>1164</c:v>
                      </c:pt>
                      <c:pt idx="117">
                        <c:v>1353</c:v>
                      </c:pt>
                      <c:pt idx="118">
                        <c:v>1188</c:v>
                      </c:pt>
                      <c:pt idx="119">
                        <c:v>896</c:v>
                      </c:pt>
                      <c:pt idx="120">
                        <c:v>1029</c:v>
                      </c:pt>
                      <c:pt idx="121">
                        <c:v>798</c:v>
                      </c:pt>
                      <c:pt idx="122">
                        <c:v>1288</c:v>
                      </c:pt>
                      <c:pt idx="123">
                        <c:v>1344</c:v>
                      </c:pt>
                      <c:pt idx="124">
                        <c:v>1295</c:v>
                      </c:pt>
                      <c:pt idx="125">
                        <c:v>1374</c:v>
                      </c:pt>
                      <c:pt idx="126">
                        <c:v>1410</c:v>
                      </c:pt>
                      <c:pt idx="127">
                        <c:v>1173</c:v>
                      </c:pt>
                      <c:pt idx="128">
                        <c:v>1723</c:v>
                      </c:pt>
                      <c:pt idx="129">
                        <c:v>1669</c:v>
                      </c:pt>
                      <c:pt idx="130">
                        <c:v>1302</c:v>
                      </c:pt>
                      <c:pt idx="131">
                        <c:v>1261</c:v>
                      </c:pt>
                      <c:pt idx="132">
                        <c:v>1555</c:v>
                      </c:pt>
                      <c:pt idx="133">
                        <c:v>1225</c:v>
                      </c:pt>
                      <c:pt idx="134">
                        <c:v>1478</c:v>
                      </c:pt>
                      <c:pt idx="135">
                        <c:v>1463</c:v>
                      </c:pt>
                      <c:pt idx="136">
                        <c:v>1596</c:v>
                      </c:pt>
                      <c:pt idx="137">
                        <c:v>1775</c:v>
                      </c:pt>
                      <c:pt idx="138">
                        <c:v>1486</c:v>
                      </c:pt>
                      <c:pt idx="139">
                        <c:v>1271</c:v>
                      </c:pt>
                      <c:pt idx="140">
                        <c:v>1312</c:v>
                      </c:pt>
                      <c:pt idx="141">
                        <c:v>1756</c:v>
                      </c:pt>
                      <c:pt idx="142">
                        <c:v>1294</c:v>
                      </c:pt>
                      <c:pt idx="143">
                        <c:v>1227</c:v>
                      </c:pt>
                      <c:pt idx="144" formatCode="_(* #,##0_);_(* \(#,##0\);_(* &quot;-&quot;??_);_(@_)">
                        <c:v>1128</c:v>
                      </c:pt>
                      <c:pt idx="145">
                        <c:v>1306</c:v>
                      </c:pt>
                      <c:pt idx="146">
                        <c:v>1156</c:v>
                      </c:pt>
                      <c:pt idx="147">
                        <c:v>1277</c:v>
                      </c:pt>
                      <c:pt idx="148" formatCode="_(* #,##0_);_(* \(#,##0\);_(* &quot;-&quot;??_);_(@_)">
                        <c:v>1495</c:v>
                      </c:pt>
                      <c:pt idx="149" formatCode="_(* #,##0_);_(* \(#,##0\);_(* &quot;-&quot;??_);_(@_)">
                        <c:v>2157</c:v>
                      </c:pt>
                      <c:pt idx="150" formatCode="_(* #,##0_);_(* \(#,##0\);_(* &quot;-&quot;??_);_(@_)">
                        <c:v>1553</c:v>
                      </c:pt>
                      <c:pt idx="151" formatCode="_(* #,##0_);_(* \(#,##0\);_(* &quot;-&quot;??_);_(@_)">
                        <c:v>1363</c:v>
                      </c:pt>
                      <c:pt idx="152" formatCode="_(* #,##0_);_(* \(#,##0\);_(* &quot;-&quot;??_);_(@_)">
                        <c:v>1780</c:v>
                      </c:pt>
                      <c:pt idx="153" formatCode="_(* #,##0_);_(* \(#,##0\);_(* &quot;-&quot;??_);_(@_)">
                        <c:v>1568</c:v>
                      </c:pt>
                      <c:pt idx="154" formatCode="_(* #,##0_);_(* \(#,##0\);_(* &quot;-&quot;??_);_(@_)">
                        <c:v>1727</c:v>
                      </c:pt>
                      <c:pt idx="155" formatCode="_(* #,##0_);_(* \(#,##0\);_(* &quot;-&quot;??_);_(@_)">
                        <c:v>1580</c:v>
                      </c:pt>
                      <c:pt idx="156">
                        <c:v>1581</c:v>
                      </c:pt>
                      <c:pt idx="157">
                        <c:v>1552</c:v>
                      </c:pt>
                      <c:pt idx="158">
                        <c:v>622</c:v>
                      </c:pt>
                      <c:pt idx="159">
                        <c:v>9</c:v>
                      </c:pt>
                      <c:pt idx="160">
                        <c:v>9</c:v>
                      </c:pt>
                      <c:pt idx="161">
                        <c:v>10</c:v>
                      </c:pt>
                      <c:pt idx="162">
                        <c:v>37</c:v>
                      </c:pt>
                      <c:pt idx="163">
                        <c:v>81</c:v>
                      </c:pt>
                      <c:pt idx="164">
                        <c:v>96</c:v>
                      </c:pt>
                      <c:pt idx="165">
                        <c:v>728</c:v>
                      </c:pt>
                      <c:pt idx="166">
                        <c:v>365</c:v>
                      </c:pt>
                      <c:pt idx="167">
                        <c:v>501</c:v>
                      </c:pt>
                      <c:pt idx="168">
                        <c:v>409</c:v>
                      </c:pt>
                      <c:pt idx="169">
                        <c:v>230</c:v>
                      </c:pt>
                      <c:pt idx="170">
                        <c:v>254</c:v>
                      </c:pt>
                      <c:pt idx="171">
                        <c:v>310</c:v>
                      </c:pt>
                      <c:pt idx="172">
                        <c:v>595</c:v>
                      </c:pt>
                    </c:numCache>
                  </c:numRef>
                </c:val>
                <c:smooth val="0"/>
                <c:extLst xmlns:c15="http://schemas.microsoft.com/office/drawing/2012/chart">
                  <c:ext xmlns:c16="http://schemas.microsoft.com/office/drawing/2014/chart" uri="{C3380CC4-5D6E-409C-BE32-E72D297353CC}">
                    <c16:uniqueId val="{00000001-F54E-4F2C-B67C-89E5093B052E}"/>
                  </c:ext>
                </c:extLst>
              </c15:ser>
            </c15:filteredLineSeries>
            <c15:filteredLineSeries>
              <c15:ser>
                <c:idx val="8"/>
                <c:order val="8"/>
                <c:tx>
                  <c:strRef>
                    <c:extLst xmlns:c15="http://schemas.microsoft.com/office/drawing/2012/chart">
                      <c:ext xmlns:c15="http://schemas.microsoft.com/office/drawing/2012/chart" uri="{02D57815-91ED-43cb-92C2-25804820EDAC}">
                        <c15:formulaRef>
                          <c15:sqref>'Tendencias nacionalidad'!$C$62</c15:sqref>
                        </c15:formulaRef>
                      </c:ext>
                    </c:extLst>
                    <c:strCache>
                      <c:ptCount val="1"/>
                      <c:pt idx="0">
                        <c:v>Argentina</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nacionalidad'!$D$62:$GA$62</c15:sqref>
                        </c15:fullRef>
                        <c15:formulaRef>
                          <c15:sqref>'Tendencias nacionalidad'!$D$62:$FT$62</c15:sqref>
                        </c15:formulaRef>
                      </c:ext>
                    </c:extLst>
                    <c:numCache>
                      <c:formatCode>#,##0</c:formatCode>
                      <c:ptCount val="173"/>
                      <c:pt idx="0">
                        <c:v>789</c:v>
                      </c:pt>
                      <c:pt idx="1">
                        <c:v>633</c:v>
                      </c:pt>
                      <c:pt idx="2">
                        <c:v>790</c:v>
                      </c:pt>
                      <c:pt idx="3">
                        <c:v>531</c:v>
                      </c:pt>
                      <c:pt idx="4">
                        <c:v>677</c:v>
                      </c:pt>
                      <c:pt idx="5">
                        <c:v>720</c:v>
                      </c:pt>
                      <c:pt idx="6">
                        <c:v>840</c:v>
                      </c:pt>
                      <c:pt idx="7">
                        <c:v>638</c:v>
                      </c:pt>
                      <c:pt idx="8">
                        <c:v>799</c:v>
                      </c:pt>
                      <c:pt idx="9">
                        <c:v>895</c:v>
                      </c:pt>
                      <c:pt idx="10">
                        <c:v>815</c:v>
                      </c:pt>
                      <c:pt idx="11">
                        <c:v>556</c:v>
                      </c:pt>
                      <c:pt idx="12">
                        <c:v>877</c:v>
                      </c:pt>
                      <c:pt idx="13">
                        <c:v>1083</c:v>
                      </c:pt>
                      <c:pt idx="14">
                        <c:v>783</c:v>
                      </c:pt>
                      <c:pt idx="15">
                        <c:v>893</c:v>
                      </c:pt>
                      <c:pt idx="16">
                        <c:v>1008</c:v>
                      </c:pt>
                      <c:pt idx="17">
                        <c:v>891</c:v>
                      </c:pt>
                      <c:pt idx="18">
                        <c:v>1034</c:v>
                      </c:pt>
                      <c:pt idx="19">
                        <c:v>977</c:v>
                      </c:pt>
                      <c:pt idx="20">
                        <c:v>828</c:v>
                      </c:pt>
                      <c:pt idx="21">
                        <c:v>1198</c:v>
                      </c:pt>
                      <c:pt idx="22">
                        <c:v>1047</c:v>
                      </c:pt>
                      <c:pt idx="23">
                        <c:v>774</c:v>
                      </c:pt>
                      <c:pt idx="24">
                        <c:v>1114</c:v>
                      </c:pt>
                      <c:pt idx="25">
                        <c:v>722</c:v>
                      </c:pt>
                      <c:pt idx="26">
                        <c:v>846</c:v>
                      </c:pt>
                      <c:pt idx="27">
                        <c:v>796</c:v>
                      </c:pt>
                      <c:pt idx="28">
                        <c:v>856</c:v>
                      </c:pt>
                      <c:pt idx="29">
                        <c:v>916</c:v>
                      </c:pt>
                      <c:pt idx="30">
                        <c:v>901</c:v>
                      </c:pt>
                      <c:pt idx="31">
                        <c:v>883</c:v>
                      </c:pt>
                      <c:pt idx="32">
                        <c:v>875</c:v>
                      </c:pt>
                      <c:pt idx="33">
                        <c:v>977</c:v>
                      </c:pt>
                      <c:pt idx="34">
                        <c:v>967</c:v>
                      </c:pt>
                      <c:pt idx="35">
                        <c:v>772</c:v>
                      </c:pt>
                      <c:pt idx="36">
                        <c:v>1396</c:v>
                      </c:pt>
                      <c:pt idx="37">
                        <c:v>1205</c:v>
                      </c:pt>
                      <c:pt idx="38">
                        <c:v>912</c:v>
                      </c:pt>
                      <c:pt idx="39">
                        <c:v>908</c:v>
                      </c:pt>
                      <c:pt idx="40">
                        <c:v>967</c:v>
                      </c:pt>
                      <c:pt idx="41">
                        <c:v>882</c:v>
                      </c:pt>
                      <c:pt idx="42">
                        <c:v>1056</c:v>
                      </c:pt>
                      <c:pt idx="43">
                        <c:v>1101</c:v>
                      </c:pt>
                      <c:pt idx="44">
                        <c:v>976</c:v>
                      </c:pt>
                      <c:pt idx="45">
                        <c:v>1462</c:v>
                      </c:pt>
                      <c:pt idx="46">
                        <c:v>1545</c:v>
                      </c:pt>
                      <c:pt idx="47">
                        <c:v>986</c:v>
                      </c:pt>
                      <c:pt idx="48">
                        <c:v>1718</c:v>
                      </c:pt>
                      <c:pt idx="49">
                        <c:v>934</c:v>
                      </c:pt>
                      <c:pt idx="50">
                        <c:v>1091</c:v>
                      </c:pt>
                      <c:pt idx="51">
                        <c:v>1046</c:v>
                      </c:pt>
                      <c:pt idx="52">
                        <c:v>1461</c:v>
                      </c:pt>
                      <c:pt idx="53">
                        <c:v>1069</c:v>
                      </c:pt>
                      <c:pt idx="54">
                        <c:v>1551</c:v>
                      </c:pt>
                      <c:pt idx="55">
                        <c:v>1104</c:v>
                      </c:pt>
                      <c:pt idx="56">
                        <c:v>1190</c:v>
                      </c:pt>
                      <c:pt idx="57">
                        <c:v>1136</c:v>
                      </c:pt>
                      <c:pt idx="58">
                        <c:v>1275</c:v>
                      </c:pt>
                      <c:pt idx="59">
                        <c:v>1310</c:v>
                      </c:pt>
                      <c:pt idx="60">
                        <c:v>1784</c:v>
                      </c:pt>
                      <c:pt idx="61">
                        <c:v>1322</c:v>
                      </c:pt>
                      <c:pt idx="62">
                        <c:v>1395</c:v>
                      </c:pt>
                      <c:pt idx="63">
                        <c:v>1235</c:v>
                      </c:pt>
                      <c:pt idx="64">
                        <c:v>1315</c:v>
                      </c:pt>
                      <c:pt idx="65">
                        <c:v>1332</c:v>
                      </c:pt>
                      <c:pt idx="66">
                        <c:v>1518</c:v>
                      </c:pt>
                      <c:pt idx="67">
                        <c:v>1259</c:v>
                      </c:pt>
                      <c:pt idx="68">
                        <c:v>1472</c:v>
                      </c:pt>
                      <c:pt idx="69">
                        <c:v>1367</c:v>
                      </c:pt>
                      <c:pt idx="70">
                        <c:v>1601</c:v>
                      </c:pt>
                      <c:pt idx="71">
                        <c:v>1254</c:v>
                      </c:pt>
                      <c:pt idx="72">
                        <c:v>1879</c:v>
                      </c:pt>
                      <c:pt idx="73">
                        <c:v>1503</c:v>
                      </c:pt>
                      <c:pt idx="74">
                        <c:v>1512</c:v>
                      </c:pt>
                      <c:pt idx="75">
                        <c:v>1260</c:v>
                      </c:pt>
                      <c:pt idx="76">
                        <c:v>1274</c:v>
                      </c:pt>
                      <c:pt idx="77">
                        <c:v>1581</c:v>
                      </c:pt>
                      <c:pt idx="78">
                        <c:v>1834</c:v>
                      </c:pt>
                      <c:pt idx="79">
                        <c:v>1236</c:v>
                      </c:pt>
                      <c:pt idx="80">
                        <c:v>1466</c:v>
                      </c:pt>
                      <c:pt idx="81">
                        <c:v>1369</c:v>
                      </c:pt>
                      <c:pt idx="82">
                        <c:v>1577</c:v>
                      </c:pt>
                      <c:pt idx="83">
                        <c:v>2187</c:v>
                      </c:pt>
                      <c:pt idx="84">
                        <c:v>3220</c:v>
                      </c:pt>
                      <c:pt idx="85">
                        <c:v>2071</c:v>
                      </c:pt>
                      <c:pt idx="86">
                        <c:v>1743</c:v>
                      </c:pt>
                      <c:pt idx="87">
                        <c:v>1363</c:v>
                      </c:pt>
                      <c:pt idx="88">
                        <c:v>1349</c:v>
                      </c:pt>
                      <c:pt idx="89">
                        <c:v>1063</c:v>
                      </c:pt>
                      <c:pt idx="90">
                        <c:v>1787</c:v>
                      </c:pt>
                      <c:pt idx="91">
                        <c:v>1326</c:v>
                      </c:pt>
                      <c:pt idx="92">
                        <c:v>1425</c:v>
                      </c:pt>
                      <c:pt idx="93">
                        <c:v>1500</c:v>
                      </c:pt>
                      <c:pt idx="94">
                        <c:v>1769</c:v>
                      </c:pt>
                      <c:pt idx="95">
                        <c:v>2090</c:v>
                      </c:pt>
                      <c:pt idx="96">
                        <c:v>3295</c:v>
                      </c:pt>
                      <c:pt idx="97">
                        <c:v>2310</c:v>
                      </c:pt>
                      <c:pt idx="98">
                        <c:v>2105</c:v>
                      </c:pt>
                      <c:pt idx="99">
                        <c:v>1992</c:v>
                      </c:pt>
                      <c:pt idx="100">
                        <c:v>1818</c:v>
                      </c:pt>
                      <c:pt idx="101">
                        <c:v>1519</c:v>
                      </c:pt>
                      <c:pt idx="102">
                        <c:v>2089</c:v>
                      </c:pt>
                      <c:pt idx="103">
                        <c:v>1660</c:v>
                      </c:pt>
                      <c:pt idx="104">
                        <c:v>1946</c:v>
                      </c:pt>
                      <c:pt idx="105">
                        <c:v>1568</c:v>
                      </c:pt>
                      <c:pt idx="106">
                        <c:v>1851</c:v>
                      </c:pt>
                      <c:pt idx="107">
                        <c:v>2065</c:v>
                      </c:pt>
                      <c:pt idx="108">
                        <c:v>3139</c:v>
                      </c:pt>
                      <c:pt idx="109">
                        <c:v>2105</c:v>
                      </c:pt>
                      <c:pt idx="110">
                        <c:v>1755</c:v>
                      </c:pt>
                      <c:pt idx="111">
                        <c:v>1363</c:v>
                      </c:pt>
                      <c:pt idx="112">
                        <c:v>1165</c:v>
                      </c:pt>
                      <c:pt idx="113">
                        <c:v>1203</c:v>
                      </c:pt>
                      <c:pt idx="114">
                        <c:v>1589</c:v>
                      </c:pt>
                      <c:pt idx="115">
                        <c:v>910</c:v>
                      </c:pt>
                      <c:pt idx="116" formatCode="General">
                        <c:v>1071</c:v>
                      </c:pt>
                      <c:pt idx="117">
                        <c:v>1410</c:v>
                      </c:pt>
                      <c:pt idx="118">
                        <c:v>1145</c:v>
                      </c:pt>
                      <c:pt idx="119">
                        <c:v>1173</c:v>
                      </c:pt>
                      <c:pt idx="120">
                        <c:v>2221</c:v>
                      </c:pt>
                      <c:pt idx="121">
                        <c:v>1653</c:v>
                      </c:pt>
                      <c:pt idx="122">
                        <c:v>1131</c:v>
                      </c:pt>
                      <c:pt idx="123">
                        <c:v>1119</c:v>
                      </c:pt>
                      <c:pt idx="124">
                        <c:v>1057</c:v>
                      </c:pt>
                      <c:pt idx="125">
                        <c:v>1011</c:v>
                      </c:pt>
                      <c:pt idx="126">
                        <c:v>1532</c:v>
                      </c:pt>
                      <c:pt idx="127">
                        <c:v>1043</c:v>
                      </c:pt>
                      <c:pt idx="128">
                        <c:v>1075</c:v>
                      </c:pt>
                      <c:pt idx="129">
                        <c:v>1444</c:v>
                      </c:pt>
                      <c:pt idx="130">
                        <c:v>1289</c:v>
                      </c:pt>
                      <c:pt idx="131">
                        <c:v>1447</c:v>
                      </c:pt>
                      <c:pt idx="132">
                        <c:v>1936</c:v>
                      </c:pt>
                      <c:pt idx="133">
                        <c:v>1243</c:v>
                      </c:pt>
                      <c:pt idx="134">
                        <c:v>1312</c:v>
                      </c:pt>
                      <c:pt idx="135">
                        <c:v>1222</c:v>
                      </c:pt>
                      <c:pt idx="136">
                        <c:v>1260</c:v>
                      </c:pt>
                      <c:pt idx="137">
                        <c:v>1287</c:v>
                      </c:pt>
                      <c:pt idx="138">
                        <c:v>1555</c:v>
                      </c:pt>
                      <c:pt idx="139">
                        <c:v>855</c:v>
                      </c:pt>
                      <c:pt idx="140">
                        <c:v>1160</c:v>
                      </c:pt>
                      <c:pt idx="141">
                        <c:v>1155</c:v>
                      </c:pt>
                      <c:pt idx="142">
                        <c:v>1121</c:v>
                      </c:pt>
                      <c:pt idx="143">
                        <c:v>1093</c:v>
                      </c:pt>
                      <c:pt idx="144" formatCode="_(* #,##0_);_(* \(#,##0\);_(* &quot;-&quot;??_);_(@_)">
                        <c:v>1355</c:v>
                      </c:pt>
                      <c:pt idx="145">
                        <c:v>948</c:v>
                      </c:pt>
                      <c:pt idx="146">
                        <c:v>998</c:v>
                      </c:pt>
                      <c:pt idx="147">
                        <c:v>1768</c:v>
                      </c:pt>
                      <c:pt idx="148" formatCode="_(* #,##0_);_(* \(#,##0\);_(* &quot;-&quot;??_);_(@_)">
                        <c:v>1123</c:v>
                      </c:pt>
                      <c:pt idx="149" formatCode="_(* #,##0_);_(* \(#,##0\);_(* &quot;-&quot;??_);_(@_)">
                        <c:v>1251</c:v>
                      </c:pt>
                      <c:pt idx="150" formatCode="_(* #,##0_);_(* \(#,##0\);_(* &quot;-&quot;??_);_(@_)">
                        <c:v>1375</c:v>
                      </c:pt>
                      <c:pt idx="151" formatCode="_(* #,##0_);_(* \(#,##0\);_(* &quot;-&quot;??_);_(@_)">
                        <c:v>1547</c:v>
                      </c:pt>
                      <c:pt idx="152" formatCode="_(* #,##0_);_(* \(#,##0\);_(* &quot;-&quot;??_);_(@_)">
                        <c:v>1387</c:v>
                      </c:pt>
                      <c:pt idx="153" formatCode="_(* #,##0_);_(* \(#,##0\);_(* &quot;-&quot;??_);_(@_)">
                        <c:v>1045</c:v>
                      </c:pt>
                      <c:pt idx="154" formatCode="_(* #,##0_);_(* \(#,##0\);_(* &quot;-&quot;??_);_(@_)">
                        <c:v>1297</c:v>
                      </c:pt>
                      <c:pt idx="155" formatCode="_(* #,##0_);_(* \(#,##0\);_(* &quot;-&quot;??_);_(@_)">
                        <c:v>1336</c:v>
                      </c:pt>
                      <c:pt idx="156">
                        <c:v>1535</c:v>
                      </c:pt>
                      <c:pt idx="157">
                        <c:v>1245</c:v>
                      </c:pt>
                      <c:pt idx="158">
                        <c:v>601</c:v>
                      </c:pt>
                      <c:pt idx="159">
                        <c:v>8</c:v>
                      </c:pt>
                      <c:pt idx="160">
                        <c:v>13</c:v>
                      </c:pt>
                      <c:pt idx="161">
                        <c:v>16</c:v>
                      </c:pt>
                      <c:pt idx="162">
                        <c:v>20</c:v>
                      </c:pt>
                      <c:pt idx="163">
                        <c:v>18</c:v>
                      </c:pt>
                      <c:pt idx="164">
                        <c:v>66</c:v>
                      </c:pt>
                      <c:pt idx="165">
                        <c:v>114</c:v>
                      </c:pt>
                      <c:pt idx="166">
                        <c:v>147</c:v>
                      </c:pt>
                      <c:pt idx="167">
                        <c:v>285</c:v>
                      </c:pt>
                      <c:pt idx="168">
                        <c:v>391</c:v>
                      </c:pt>
                      <c:pt idx="169">
                        <c:v>262</c:v>
                      </c:pt>
                      <c:pt idx="170">
                        <c:v>281</c:v>
                      </c:pt>
                      <c:pt idx="171">
                        <c:v>217</c:v>
                      </c:pt>
                      <c:pt idx="172">
                        <c:v>229</c:v>
                      </c:pt>
                    </c:numCache>
                  </c:numRef>
                </c:val>
                <c:smooth val="0"/>
                <c:extLst xmlns:c15="http://schemas.microsoft.com/office/drawing/2012/chart">
                  <c:ext xmlns:c16="http://schemas.microsoft.com/office/drawing/2014/chart" uri="{C3380CC4-5D6E-409C-BE32-E72D297353CC}">
                    <c16:uniqueId val="{00000002-F54E-4F2C-B67C-89E5093B052E}"/>
                  </c:ext>
                </c:extLst>
              </c15:ser>
            </c15:filteredLineSeries>
            <c15:filteredLineSeries>
              <c15:ser>
                <c:idx val="10"/>
                <c:order val="10"/>
                <c:tx>
                  <c:strRef>
                    <c:extLst xmlns:c15="http://schemas.microsoft.com/office/drawing/2012/chart">
                      <c:ext xmlns:c15="http://schemas.microsoft.com/office/drawing/2012/chart" uri="{02D57815-91ED-43cb-92C2-25804820EDAC}">
                        <c15:formulaRef>
                          <c15:sqref>'Tendencias nacionalidad'!$C$64</c15:sqref>
                        </c15:formulaRef>
                      </c:ext>
                    </c:extLst>
                    <c:strCache>
                      <c:ptCount val="1"/>
                      <c:pt idx="0">
                        <c:v>Venezuela</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nacionalidad'!$D$64:$GA$64</c15:sqref>
                        </c15:fullRef>
                        <c15:formulaRef>
                          <c15:sqref>'Tendencias nacionalidad'!$D$64:$FT$64</c15:sqref>
                        </c15:formulaRef>
                      </c:ext>
                    </c:extLst>
                    <c:numCache>
                      <c:formatCode>#,##0</c:formatCode>
                      <c:ptCount val="173"/>
                      <c:pt idx="0">
                        <c:v>753</c:v>
                      </c:pt>
                      <c:pt idx="1">
                        <c:v>714</c:v>
                      </c:pt>
                      <c:pt idx="2">
                        <c:v>737</c:v>
                      </c:pt>
                      <c:pt idx="3">
                        <c:v>613</c:v>
                      </c:pt>
                      <c:pt idx="4">
                        <c:v>651</c:v>
                      </c:pt>
                      <c:pt idx="5">
                        <c:v>747</c:v>
                      </c:pt>
                      <c:pt idx="6">
                        <c:v>827</c:v>
                      </c:pt>
                      <c:pt idx="7">
                        <c:v>1300</c:v>
                      </c:pt>
                      <c:pt idx="8">
                        <c:v>952</c:v>
                      </c:pt>
                      <c:pt idx="9">
                        <c:v>1111</c:v>
                      </c:pt>
                      <c:pt idx="10">
                        <c:v>1099</c:v>
                      </c:pt>
                      <c:pt idx="11">
                        <c:v>1314</c:v>
                      </c:pt>
                      <c:pt idx="12">
                        <c:v>827</c:v>
                      </c:pt>
                      <c:pt idx="13">
                        <c:v>1276</c:v>
                      </c:pt>
                      <c:pt idx="14">
                        <c:v>1217</c:v>
                      </c:pt>
                      <c:pt idx="15">
                        <c:v>1118</c:v>
                      </c:pt>
                      <c:pt idx="16">
                        <c:v>1255</c:v>
                      </c:pt>
                      <c:pt idx="17">
                        <c:v>1036</c:v>
                      </c:pt>
                      <c:pt idx="18">
                        <c:v>1195</c:v>
                      </c:pt>
                      <c:pt idx="19">
                        <c:v>1641</c:v>
                      </c:pt>
                      <c:pt idx="20">
                        <c:v>1154</c:v>
                      </c:pt>
                      <c:pt idx="21">
                        <c:v>1777</c:v>
                      </c:pt>
                      <c:pt idx="22">
                        <c:v>1428</c:v>
                      </c:pt>
                      <c:pt idx="23">
                        <c:v>2225</c:v>
                      </c:pt>
                      <c:pt idx="24">
                        <c:v>1083</c:v>
                      </c:pt>
                      <c:pt idx="25">
                        <c:v>1249</c:v>
                      </c:pt>
                      <c:pt idx="26">
                        <c:v>1024</c:v>
                      </c:pt>
                      <c:pt idx="27">
                        <c:v>1356</c:v>
                      </c:pt>
                      <c:pt idx="28">
                        <c:v>1292</c:v>
                      </c:pt>
                      <c:pt idx="29">
                        <c:v>1228</c:v>
                      </c:pt>
                      <c:pt idx="30">
                        <c:v>1508</c:v>
                      </c:pt>
                      <c:pt idx="31">
                        <c:v>2113</c:v>
                      </c:pt>
                      <c:pt idx="32">
                        <c:v>1520</c:v>
                      </c:pt>
                      <c:pt idx="33">
                        <c:v>1841</c:v>
                      </c:pt>
                      <c:pt idx="34">
                        <c:v>2046</c:v>
                      </c:pt>
                      <c:pt idx="35">
                        <c:v>3228</c:v>
                      </c:pt>
                      <c:pt idx="36">
                        <c:v>1651</c:v>
                      </c:pt>
                      <c:pt idx="37">
                        <c:v>2875</c:v>
                      </c:pt>
                      <c:pt idx="38">
                        <c:v>1387</c:v>
                      </c:pt>
                      <c:pt idx="39">
                        <c:v>1111</c:v>
                      </c:pt>
                      <c:pt idx="40">
                        <c:v>1191</c:v>
                      </c:pt>
                      <c:pt idx="41">
                        <c:v>1113</c:v>
                      </c:pt>
                      <c:pt idx="42">
                        <c:v>1335</c:v>
                      </c:pt>
                      <c:pt idx="43">
                        <c:v>1591</c:v>
                      </c:pt>
                      <c:pt idx="44">
                        <c:v>1306</c:v>
                      </c:pt>
                      <c:pt idx="45">
                        <c:v>1534</c:v>
                      </c:pt>
                      <c:pt idx="46">
                        <c:v>1720</c:v>
                      </c:pt>
                      <c:pt idx="47">
                        <c:v>1968</c:v>
                      </c:pt>
                      <c:pt idx="48">
                        <c:v>1032</c:v>
                      </c:pt>
                      <c:pt idx="49">
                        <c:v>1376</c:v>
                      </c:pt>
                      <c:pt idx="50">
                        <c:v>1492</c:v>
                      </c:pt>
                      <c:pt idx="51">
                        <c:v>1632</c:v>
                      </c:pt>
                      <c:pt idx="52">
                        <c:v>1480</c:v>
                      </c:pt>
                      <c:pt idx="53">
                        <c:v>1340</c:v>
                      </c:pt>
                      <c:pt idx="54">
                        <c:v>1534</c:v>
                      </c:pt>
                      <c:pt idx="55">
                        <c:v>1989</c:v>
                      </c:pt>
                      <c:pt idx="56">
                        <c:v>2317</c:v>
                      </c:pt>
                      <c:pt idx="57">
                        <c:v>2313</c:v>
                      </c:pt>
                      <c:pt idx="58">
                        <c:v>2294</c:v>
                      </c:pt>
                      <c:pt idx="59">
                        <c:v>2927</c:v>
                      </c:pt>
                      <c:pt idx="60">
                        <c:v>1103</c:v>
                      </c:pt>
                      <c:pt idx="61">
                        <c:v>1731</c:v>
                      </c:pt>
                      <c:pt idx="62">
                        <c:v>1529</c:v>
                      </c:pt>
                      <c:pt idx="63">
                        <c:v>1459</c:v>
                      </c:pt>
                      <c:pt idx="64">
                        <c:v>1418</c:v>
                      </c:pt>
                      <c:pt idx="65">
                        <c:v>1675</c:v>
                      </c:pt>
                      <c:pt idx="66">
                        <c:v>1770</c:v>
                      </c:pt>
                      <c:pt idx="67">
                        <c:v>2101</c:v>
                      </c:pt>
                      <c:pt idx="68">
                        <c:v>2091</c:v>
                      </c:pt>
                      <c:pt idx="69">
                        <c:v>2502</c:v>
                      </c:pt>
                      <c:pt idx="70">
                        <c:v>4173</c:v>
                      </c:pt>
                      <c:pt idx="71">
                        <c:v>4955</c:v>
                      </c:pt>
                      <c:pt idx="72">
                        <c:v>3054</c:v>
                      </c:pt>
                      <c:pt idx="73">
                        <c:v>4459</c:v>
                      </c:pt>
                      <c:pt idx="74">
                        <c:v>4045</c:v>
                      </c:pt>
                      <c:pt idx="75">
                        <c:v>4332</c:v>
                      </c:pt>
                      <c:pt idx="76">
                        <c:v>4937</c:v>
                      </c:pt>
                      <c:pt idx="77">
                        <c:v>5647</c:v>
                      </c:pt>
                      <c:pt idx="78">
                        <c:v>7092</c:v>
                      </c:pt>
                      <c:pt idx="79">
                        <c:v>7074</c:v>
                      </c:pt>
                      <c:pt idx="80">
                        <c:v>7620</c:v>
                      </c:pt>
                      <c:pt idx="81">
                        <c:v>10699</c:v>
                      </c:pt>
                      <c:pt idx="82">
                        <c:v>11241</c:v>
                      </c:pt>
                      <c:pt idx="83">
                        <c:v>7989</c:v>
                      </c:pt>
                      <c:pt idx="84">
                        <c:v>4693</c:v>
                      </c:pt>
                      <c:pt idx="85">
                        <c:v>5741</c:v>
                      </c:pt>
                      <c:pt idx="86">
                        <c:v>5725</c:v>
                      </c:pt>
                      <c:pt idx="87">
                        <c:v>5619</c:v>
                      </c:pt>
                      <c:pt idx="88">
                        <c:v>5346</c:v>
                      </c:pt>
                      <c:pt idx="89">
                        <c:v>6807</c:v>
                      </c:pt>
                      <c:pt idx="90">
                        <c:v>6926</c:v>
                      </c:pt>
                      <c:pt idx="91">
                        <c:v>8583</c:v>
                      </c:pt>
                      <c:pt idx="92">
                        <c:v>9992</c:v>
                      </c:pt>
                      <c:pt idx="93">
                        <c:v>9297</c:v>
                      </c:pt>
                      <c:pt idx="94">
                        <c:v>10296</c:v>
                      </c:pt>
                      <c:pt idx="95">
                        <c:v>11157</c:v>
                      </c:pt>
                      <c:pt idx="96">
                        <c:v>2358</c:v>
                      </c:pt>
                      <c:pt idx="97">
                        <c:v>2290</c:v>
                      </c:pt>
                      <c:pt idx="98">
                        <c:v>4142</c:v>
                      </c:pt>
                      <c:pt idx="99">
                        <c:v>6065</c:v>
                      </c:pt>
                      <c:pt idx="100">
                        <c:v>5121</c:v>
                      </c:pt>
                      <c:pt idx="101">
                        <c:v>3749</c:v>
                      </c:pt>
                      <c:pt idx="102">
                        <c:v>2801</c:v>
                      </c:pt>
                      <c:pt idx="103">
                        <c:v>3138</c:v>
                      </c:pt>
                      <c:pt idx="104">
                        <c:v>4863</c:v>
                      </c:pt>
                      <c:pt idx="105">
                        <c:v>5562</c:v>
                      </c:pt>
                      <c:pt idx="106">
                        <c:v>6086</c:v>
                      </c:pt>
                      <c:pt idx="107">
                        <c:v>5218</c:v>
                      </c:pt>
                      <c:pt idx="108">
                        <c:v>3766</c:v>
                      </c:pt>
                      <c:pt idx="109">
                        <c:v>3119</c:v>
                      </c:pt>
                      <c:pt idx="110">
                        <c:v>3278</c:v>
                      </c:pt>
                      <c:pt idx="111">
                        <c:v>2499</c:v>
                      </c:pt>
                      <c:pt idx="112">
                        <c:v>2287</c:v>
                      </c:pt>
                      <c:pt idx="113">
                        <c:v>1861</c:v>
                      </c:pt>
                      <c:pt idx="114">
                        <c:v>1997</c:v>
                      </c:pt>
                      <c:pt idx="115">
                        <c:v>1859</c:v>
                      </c:pt>
                      <c:pt idx="116" formatCode="General">
                        <c:v>1632</c:v>
                      </c:pt>
                      <c:pt idx="117">
                        <c:v>1802</c:v>
                      </c:pt>
                      <c:pt idx="118">
                        <c:v>2234</c:v>
                      </c:pt>
                      <c:pt idx="119">
                        <c:v>2275</c:v>
                      </c:pt>
                      <c:pt idx="120">
                        <c:v>2611</c:v>
                      </c:pt>
                      <c:pt idx="121">
                        <c:v>2623</c:v>
                      </c:pt>
                      <c:pt idx="122">
                        <c:v>3077</c:v>
                      </c:pt>
                      <c:pt idx="123">
                        <c:v>1899</c:v>
                      </c:pt>
                      <c:pt idx="124">
                        <c:v>1788</c:v>
                      </c:pt>
                      <c:pt idx="125">
                        <c:v>1844</c:v>
                      </c:pt>
                      <c:pt idx="126">
                        <c:v>2187</c:v>
                      </c:pt>
                      <c:pt idx="127">
                        <c:v>1627</c:v>
                      </c:pt>
                      <c:pt idx="128">
                        <c:v>1459</c:v>
                      </c:pt>
                      <c:pt idx="129">
                        <c:v>1321</c:v>
                      </c:pt>
                      <c:pt idx="130">
                        <c:v>1420</c:v>
                      </c:pt>
                      <c:pt idx="131">
                        <c:v>1417</c:v>
                      </c:pt>
                      <c:pt idx="132">
                        <c:v>1226</c:v>
                      </c:pt>
                      <c:pt idx="133">
                        <c:v>1186</c:v>
                      </c:pt>
                      <c:pt idx="134">
                        <c:v>1106</c:v>
                      </c:pt>
                      <c:pt idx="135">
                        <c:v>1006</c:v>
                      </c:pt>
                      <c:pt idx="136">
                        <c:v>1115</c:v>
                      </c:pt>
                      <c:pt idx="137">
                        <c:v>1223</c:v>
                      </c:pt>
                      <c:pt idx="138">
                        <c:v>1373</c:v>
                      </c:pt>
                      <c:pt idx="139">
                        <c:v>1180</c:v>
                      </c:pt>
                      <c:pt idx="140">
                        <c:v>1316</c:v>
                      </c:pt>
                      <c:pt idx="141">
                        <c:v>1366</c:v>
                      </c:pt>
                      <c:pt idx="142">
                        <c:v>1417</c:v>
                      </c:pt>
                      <c:pt idx="143">
                        <c:v>1480</c:v>
                      </c:pt>
                      <c:pt idx="144" formatCode="_(* #,##0_);_(* \(#,##0\);_(* &quot;-&quot;??_);_(@_)">
                        <c:v>839</c:v>
                      </c:pt>
                      <c:pt idx="145">
                        <c:v>615</c:v>
                      </c:pt>
                      <c:pt idx="146">
                        <c:v>713</c:v>
                      </c:pt>
                      <c:pt idx="147">
                        <c:v>970</c:v>
                      </c:pt>
                      <c:pt idx="148" formatCode="_(* #,##0_);_(* \(#,##0\);_(* &quot;-&quot;??_);_(@_)">
                        <c:v>1338</c:v>
                      </c:pt>
                      <c:pt idx="149" formatCode="_(* #,##0_);_(* \(#,##0\);_(* &quot;-&quot;??_);_(@_)">
                        <c:v>1196</c:v>
                      </c:pt>
                      <c:pt idx="150" formatCode="_(* #,##0_);_(* \(#,##0\);_(* &quot;-&quot;??_);_(@_)">
                        <c:v>1791</c:v>
                      </c:pt>
                      <c:pt idx="151" formatCode="_(* #,##0_);_(* \(#,##0\);_(* &quot;-&quot;??_);_(@_)">
                        <c:v>1978</c:v>
                      </c:pt>
                      <c:pt idx="152" formatCode="_(* #,##0_);_(* \(#,##0\);_(* &quot;-&quot;??_);_(@_)">
                        <c:v>959</c:v>
                      </c:pt>
                      <c:pt idx="153" formatCode="_(* #,##0_);_(* \(#,##0\);_(* &quot;-&quot;??_);_(@_)">
                        <c:v>956</c:v>
                      </c:pt>
                      <c:pt idx="154" formatCode="_(* #,##0_);_(* \(#,##0\);_(* &quot;-&quot;??_);_(@_)">
                        <c:v>1165</c:v>
                      </c:pt>
                      <c:pt idx="155" formatCode="_(* #,##0_);_(* \(#,##0\);_(* &quot;-&quot;??_);_(@_)">
                        <c:v>1300</c:v>
                      </c:pt>
                      <c:pt idx="156">
                        <c:v>1957</c:v>
                      </c:pt>
                      <c:pt idx="157">
                        <c:v>980</c:v>
                      </c:pt>
                      <c:pt idx="158">
                        <c:v>604</c:v>
                      </c:pt>
                      <c:pt idx="159">
                        <c:v>15</c:v>
                      </c:pt>
                      <c:pt idx="160">
                        <c:v>28</c:v>
                      </c:pt>
                      <c:pt idx="161">
                        <c:v>30</c:v>
                      </c:pt>
                      <c:pt idx="162">
                        <c:v>79</c:v>
                      </c:pt>
                      <c:pt idx="163">
                        <c:v>74</c:v>
                      </c:pt>
                      <c:pt idx="164">
                        <c:v>158</c:v>
                      </c:pt>
                      <c:pt idx="165">
                        <c:v>136</c:v>
                      </c:pt>
                      <c:pt idx="166">
                        <c:v>327</c:v>
                      </c:pt>
                      <c:pt idx="167">
                        <c:v>284</c:v>
                      </c:pt>
                      <c:pt idx="168">
                        <c:v>409</c:v>
                      </c:pt>
                      <c:pt idx="169">
                        <c:v>282</c:v>
                      </c:pt>
                      <c:pt idx="170">
                        <c:v>283</c:v>
                      </c:pt>
                      <c:pt idx="171">
                        <c:v>342</c:v>
                      </c:pt>
                      <c:pt idx="172">
                        <c:v>477</c:v>
                      </c:pt>
                    </c:numCache>
                  </c:numRef>
                </c:val>
                <c:smooth val="0"/>
                <c:extLst xmlns:c15="http://schemas.microsoft.com/office/drawing/2012/chart">
                  <c:ext xmlns:c16="http://schemas.microsoft.com/office/drawing/2014/chart" uri="{C3380CC4-5D6E-409C-BE32-E72D297353CC}">
                    <c16:uniqueId val="{0000000C-F54E-4F2C-B67C-89E5093B052E}"/>
                  </c:ext>
                </c:extLst>
              </c15:ser>
            </c15:filteredLineSeries>
            <c15:filteredLineSeries>
              <c15:ser>
                <c:idx val="11"/>
                <c:order val="11"/>
                <c:tx>
                  <c:strRef>
                    <c:extLst xmlns:c15="http://schemas.microsoft.com/office/drawing/2012/chart">
                      <c:ext xmlns:c15="http://schemas.microsoft.com/office/drawing/2012/chart" uri="{02D57815-91ED-43cb-92C2-25804820EDAC}">
                        <c15:formulaRef>
                          <c15:sqref>'Tendencias nacionalidad'!$C$65</c15:sqref>
                        </c15:formulaRef>
                      </c:ext>
                    </c:extLst>
                    <c:strCache>
                      <c:ptCount val="1"/>
                      <c:pt idx="0">
                        <c:v>Brasil</c:v>
                      </c:pt>
                    </c:strCache>
                  </c:strRef>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nacionalidad'!$D$65:$GA$65</c15:sqref>
                        </c15:fullRef>
                        <c15:formulaRef>
                          <c15:sqref>'Tendencias nacionalidad'!$D$65:$FT$65</c15:sqref>
                        </c15:formulaRef>
                      </c:ext>
                    </c:extLst>
                    <c:numCache>
                      <c:formatCode>#,##0</c:formatCode>
                      <c:ptCount val="173"/>
                      <c:pt idx="0">
                        <c:v>601</c:v>
                      </c:pt>
                      <c:pt idx="1">
                        <c:v>485</c:v>
                      </c:pt>
                      <c:pt idx="2">
                        <c:v>562</c:v>
                      </c:pt>
                      <c:pt idx="3">
                        <c:v>458</c:v>
                      </c:pt>
                      <c:pt idx="4">
                        <c:v>506</c:v>
                      </c:pt>
                      <c:pt idx="5">
                        <c:v>493</c:v>
                      </c:pt>
                      <c:pt idx="6">
                        <c:v>640</c:v>
                      </c:pt>
                      <c:pt idx="7">
                        <c:v>660</c:v>
                      </c:pt>
                      <c:pt idx="8">
                        <c:v>623</c:v>
                      </c:pt>
                      <c:pt idx="9">
                        <c:v>809</c:v>
                      </c:pt>
                      <c:pt idx="10">
                        <c:v>721</c:v>
                      </c:pt>
                      <c:pt idx="11">
                        <c:v>581</c:v>
                      </c:pt>
                      <c:pt idx="12">
                        <c:v>742</c:v>
                      </c:pt>
                      <c:pt idx="13">
                        <c:v>1092</c:v>
                      </c:pt>
                      <c:pt idx="14">
                        <c:v>815</c:v>
                      </c:pt>
                      <c:pt idx="15">
                        <c:v>665</c:v>
                      </c:pt>
                      <c:pt idx="16">
                        <c:v>807</c:v>
                      </c:pt>
                      <c:pt idx="17">
                        <c:v>1147</c:v>
                      </c:pt>
                      <c:pt idx="18">
                        <c:v>1017</c:v>
                      </c:pt>
                      <c:pt idx="19">
                        <c:v>826</c:v>
                      </c:pt>
                      <c:pt idx="20">
                        <c:v>918</c:v>
                      </c:pt>
                      <c:pt idx="21">
                        <c:v>792</c:v>
                      </c:pt>
                      <c:pt idx="22">
                        <c:v>734</c:v>
                      </c:pt>
                      <c:pt idx="23">
                        <c:v>659</c:v>
                      </c:pt>
                      <c:pt idx="24">
                        <c:v>705</c:v>
                      </c:pt>
                      <c:pt idx="25">
                        <c:v>675</c:v>
                      </c:pt>
                      <c:pt idx="26">
                        <c:v>680</c:v>
                      </c:pt>
                      <c:pt idx="27">
                        <c:v>672</c:v>
                      </c:pt>
                      <c:pt idx="28">
                        <c:v>653</c:v>
                      </c:pt>
                      <c:pt idx="29">
                        <c:v>634</c:v>
                      </c:pt>
                      <c:pt idx="30">
                        <c:v>832</c:v>
                      </c:pt>
                      <c:pt idx="31">
                        <c:v>848</c:v>
                      </c:pt>
                      <c:pt idx="32">
                        <c:v>720</c:v>
                      </c:pt>
                      <c:pt idx="33">
                        <c:v>789</c:v>
                      </c:pt>
                      <c:pt idx="34">
                        <c:v>930</c:v>
                      </c:pt>
                      <c:pt idx="35">
                        <c:v>731</c:v>
                      </c:pt>
                      <c:pt idx="36">
                        <c:v>924</c:v>
                      </c:pt>
                      <c:pt idx="37">
                        <c:v>696</c:v>
                      </c:pt>
                      <c:pt idx="38">
                        <c:v>663</c:v>
                      </c:pt>
                      <c:pt idx="39">
                        <c:v>716</c:v>
                      </c:pt>
                      <c:pt idx="40">
                        <c:v>756</c:v>
                      </c:pt>
                      <c:pt idx="41">
                        <c:v>723</c:v>
                      </c:pt>
                      <c:pt idx="42">
                        <c:v>894</c:v>
                      </c:pt>
                      <c:pt idx="43">
                        <c:v>783</c:v>
                      </c:pt>
                      <c:pt idx="44">
                        <c:v>912</c:v>
                      </c:pt>
                      <c:pt idx="45">
                        <c:v>829</c:v>
                      </c:pt>
                      <c:pt idx="46">
                        <c:v>856</c:v>
                      </c:pt>
                      <c:pt idx="47">
                        <c:v>807</c:v>
                      </c:pt>
                      <c:pt idx="48">
                        <c:v>932</c:v>
                      </c:pt>
                      <c:pt idx="49">
                        <c:v>719</c:v>
                      </c:pt>
                      <c:pt idx="50">
                        <c:v>938</c:v>
                      </c:pt>
                      <c:pt idx="51">
                        <c:v>769</c:v>
                      </c:pt>
                      <c:pt idx="52">
                        <c:v>816</c:v>
                      </c:pt>
                      <c:pt idx="53">
                        <c:v>810</c:v>
                      </c:pt>
                      <c:pt idx="54">
                        <c:v>970</c:v>
                      </c:pt>
                      <c:pt idx="55">
                        <c:v>834</c:v>
                      </c:pt>
                      <c:pt idx="56">
                        <c:v>856</c:v>
                      </c:pt>
                      <c:pt idx="57">
                        <c:v>924</c:v>
                      </c:pt>
                      <c:pt idx="58">
                        <c:v>793</c:v>
                      </c:pt>
                      <c:pt idx="59">
                        <c:v>822</c:v>
                      </c:pt>
                      <c:pt idx="60">
                        <c:v>834</c:v>
                      </c:pt>
                      <c:pt idx="61">
                        <c:v>769</c:v>
                      </c:pt>
                      <c:pt idx="62">
                        <c:v>821</c:v>
                      </c:pt>
                      <c:pt idx="63">
                        <c:v>842</c:v>
                      </c:pt>
                      <c:pt idx="64">
                        <c:v>921</c:v>
                      </c:pt>
                      <c:pt idx="65">
                        <c:v>1131</c:v>
                      </c:pt>
                      <c:pt idx="66">
                        <c:v>1140</c:v>
                      </c:pt>
                      <c:pt idx="67">
                        <c:v>979</c:v>
                      </c:pt>
                      <c:pt idx="68">
                        <c:v>975</c:v>
                      </c:pt>
                      <c:pt idx="69">
                        <c:v>994</c:v>
                      </c:pt>
                      <c:pt idx="70">
                        <c:v>1053</c:v>
                      </c:pt>
                      <c:pt idx="71">
                        <c:v>931</c:v>
                      </c:pt>
                      <c:pt idx="72">
                        <c:v>941</c:v>
                      </c:pt>
                      <c:pt idx="73">
                        <c:v>723</c:v>
                      </c:pt>
                      <c:pt idx="74">
                        <c:v>783</c:v>
                      </c:pt>
                      <c:pt idx="75">
                        <c:v>862</c:v>
                      </c:pt>
                      <c:pt idx="76">
                        <c:v>903</c:v>
                      </c:pt>
                      <c:pt idx="77">
                        <c:v>861</c:v>
                      </c:pt>
                      <c:pt idx="78">
                        <c:v>932</c:v>
                      </c:pt>
                      <c:pt idx="79">
                        <c:v>714</c:v>
                      </c:pt>
                      <c:pt idx="80">
                        <c:v>996</c:v>
                      </c:pt>
                      <c:pt idx="81">
                        <c:v>940</c:v>
                      </c:pt>
                      <c:pt idx="82">
                        <c:v>1183</c:v>
                      </c:pt>
                      <c:pt idx="83">
                        <c:v>1214</c:v>
                      </c:pt>
                      <c:pt idx="84">
                        <c:v>1206</c:v>
                      </c:pt>
                      <c:pt idx="85">
                        <c:v>1082</c:v>
                      </c:pt>
                      <c:pt idx="86">
                        <c:v>958</c:v>
                      </c:pt>
                      <c:pt idx="87">
                        <c:v>984</c:v>
                      </c:pt>
                      <c:pt idx="88">
                        <c:v>1190</c:v>
                      </c:pt>
                      <c:pt idx="89">
                        <c:v>753</c:v>
                      </c:pt>
                      <c:pt idx="90">
                        <c:v>1072</c:v>
                      </c:pt>
                      <c:pt idx="91">
                        <c:v>1031</c:v>
                      </c:pt>
                      <c:pt idx="92">
                        <c:v>1195</c:v>
                      </c:pt>
                      <c:pt idx="93">
                        <c:v>1257</c:v>
                      </c:pt>
                      <c:pt idx="94">
                        <c:v>1415</c:v>
                      </c:pt>
                      <c:pt idx="95">
                        <c:v>1565</c:v>
                      </c:pt>
                      <c:pt idx="96">
                        <c:v>1621</c:v>
                      </c:pt>
                      <c:pt idx="97">
                        <c:v>1093</c:v>
                      </c:pt>
                      <c:pt idx="98">
                        <c:v>918</c:v>
                      </c:pt>
                      <c:pt idx="99">
                        <c:v>1026</c:v>
                      </c:pt>
                      <c:pt idx="100">
                        <c:v>1047</c:v>
                      </c:pt>
                      <c:pt idx="101">
                        <c:v>937</c:v>
                      </c:pt>
                      <c:pt idx="102">
                        <c:v>1223</c:v>
                      </c:pt>
                      <c:pt idx="103">
                        <c:v>939</c:v>
                      </c:pt>
                      <c:pt idx="104">
                        <c:v>863</c:v>
                      </c:pt>
                      <c:pt idx="105">
                        <c:v>940</c:v>
                      </c:pt>
                      <c:pt idx="106">
                        <c:v>1003</c:v>
                      </c:pt>
                      <c:pt idx="107">
                        <c:v>1325</c:v>
                      </c:pt>
                      <c:pt idx="108">
                        <c:v>965</c:v>
                      </c:pt>
                      <c:pt idx="109">
                        <c:v>748</c:v>
                      </c:pt>
                      <c:pt idx="110">
                        <c:v>734</c:v>
                      </c:pt>
                      <c:pt idx="111">
                        <c:v>736</c:v>
                      </c:pt>
                      <c:pt idx="112">
                        <c:v>751</c:v>
                      </c:pt>
                      <c:pt idx="113">
                        <c:v>821</c:v>
                      </c:pt>
                      <c:pt idx="114">
                        <c:v>874</c:v>
                      </c:pt>
                      <c:pt idx="115">
                        <c:v>960</c:v>
                      </c:pt>
                      <c:pt idx="116" formatCode="General">
                        <c:v>826</c:v>
                      </c:pt>
                      <c:pt idx="117">
                        <c:v>1331</c:v>
                      </c:pt>
                      <c:pt idx="118">
                        <c:v>981</c:v>
                      </c:pt>
                      <c:pt idx="119">
                        <c:v>896</c:v>
                      </c:pt>
                      <c:pt idx="120">
                        <c:v>1060</c:v>
                      </c:pt>
                      <c:pt idx="121">
                        <c:v>849</c:v>
                      </c:pt>
                      <c:pt idx="122">
                        <c:v>907</c:v>
                      </c:pt>
                      <c:pt idx="123">
                        <c:v>1130</c:v>
                      </c:pt>
                      <c:pt idx="124">
                        <c:v>878</c:v>
                      </c:pt>
                      <c:pt idx="125">
                        <c:v>938</c:v>
                      </c:pt>
                      <c:pt idx="126">
                        <c:v>1156</c:v>
                      </c:pt>
                      <c:pt idx="127">
                        <c:v>925</c:v>
                      </c:pt>
                      <c:pt idx="128">
                        <c:v>972</c:v>
                      </c:pt>
                      <c:pt idx="129">
                        <c:v>1125</c:v>
                      </c:pt>
                      <c:pt idx="130">
                        <c:v>1076</c:v>
                      </c:pt>
                      <c:pt idx="131">
                        <c:v>960</c:v>
                      </c:pt>
                      <c:pt idx="132">
                        <c:v>1141</c:v>
                      </c:pt>
                      <c:pt idx="133">
                        <c:v>1020</c:v>
                      </c:pt>
                      <c:pt idx="134">
                        <c:v>899</c:v>
                      </c:pt>
                      <c:pt idx="135">
                        <c:v>1032</c:v>
                      </c:pt>
                      <c:pt idx="136">
                        <c:v>1005</c:v>
                      </c:pt>
                      <c:pt idx="137">
                        <c:v>1056</c:v>
                      </c:pt>
                      <c:pt idx="138">
                        <c:v>1355</c:v>
                      </c:pt>
                      <c:pt idx="139">
                        <c:v>837</c:v>
                      </c:pt>
                      <c:pt idx="140">
                        <c:v>1152</c:v>
                      </c:pt>
                      <c:pt idx="141">
                        <c:v>1381</c:v>
                      </c:pt>
                      <c:pt idx="142">
                        <c:v>1016</c:v>
                      </c:pt>
                      <c:pt idx="143">
                        <c:v>1162</c:v>
                      </c:pt>
                      <c:pt idx="144" formatCode="_(* #,##0_);_(* \(#,##0\);_(* &quot;-&quot;??_);_(@_)">
                        <c:v>2040</c:v>
                      </c:pt>
                      <c:pt idx="145">
                        <c:v>1025</c:v>
                      </c:pt>
                      <c:pt idx="146">
                        <c:v>1254</c:v>
                      </c:pt>
                      <c:pt idx="147">
                        <c:v>1827</c:v>
                      </c:pt>
                      <c:pt idx="148" formatCode="_(* #,##0_);_(* \(#,##0\);_(* &quot;-&quot;??_);_(@_)">
                        <c:v>1348</c:v>
                      </c:pt>
                      <c:pt idx="149" formatCode="_(* #,##0_);_(* \(#,##0\);_(* &quot;-&quot;??_);_(@_)">
                        <c:v>1543</c:v>
                      </c:pt>
                      <c:pt idx="150" formatCode="_(* #,##0_);_(* \(#,##0\);_(* &quot;-&quot;??_);_(@_)">
                        <c:v>1780</c:v>
                      </c:pt>
                      <c:pt idx="151" formatCode="_(* #,##0_);_(* \(#,##0\);_(* &quot;-&quot;??_);_(@_)">
                        <c:v>1558</c:v>
                      </c:pt>
                      <c:pt idx="152" formatCode="_(* #,##0_);_(* \(#,##0\);_(* &quot;-&quot;??_);_(@_)">
                        <c:v>1957</c:v>
                      </c:pt>
                      <c:pt idx="153" formatCode="_(* #,##0_);_(* \(#,##0\);_(* &quot;-&quot;??_);_(@_)">
                        <c:v>972</c:v>
                      </c:pt>
                      <c:pt idx="154" formatCode="_(* #,##0_);_(* \(#,##0\);_(* &quot;-&quot;??_);_(@_)">
                        <c:v>1447</c:v>
                      </c:pt>
                      <c:pt idx="155" formatCode="_(* #,##0_);_(* \(#,##0\);_(* &quot;-&quot;??_);_(@_)">
                        <c:v>1594</c:v>
                      </c:pt>
                      <c:pt idx="156">
                        <c:v>1536</c:v>
                      </c:pt>
                      <c:pt idx="157">
                        <c:v>1652</c:v>
                      </c:pt>
                      <c:pt idx="158">
                        <c:v>512</c:v>
                      </c:pt>
                      <c:pt idx="159">
                        <c:v>12</c:v>
                      </c:pt>
                      <c:pt idx="160">
                        <c:v>20</c:v>
                      </c:pt>
                      <c:pt idx="161">
                        <c:v>12</c:v>
                      </c:pt>
                      <c:pt idx="162">
                        <c:v>48</c:v>
                      </c:pt>
                      <c:pt idx="163">
                        <c:v>69</c:v>
                      </c:pt>
                      <c:pt idx="164">
                        <c:v>197</c:v>
                      </c:pt>
                      <c:pt idx="165">
                        <c:v>136</c:v>
                      </c:pt>
                      <c:pt idx="166">
                        <c:v>294</c:v>
                      </c:pt>
                      <c:pt idx="167">
                        <c:v>368</c:v>
                      </c:pt>
                      <c:pt idx="168">
                        <c:v>324</c:v>
                      </c:pt>
                      <c:pt idx="169">
                        <c:v>198</c:v>
                      </c:pt>
                      <c:pt idx="170">
                        <c:v>231</c:v>
                      </c:pt>
                      <c:pt idx="171">
                        <c:v>238</c:v>
                      </c:pt>
                      <c:pt idx="172">
                        <c:v>367</c:v>
                      </c:pt>
                    </c:numCache>
                  </c:numRef>
                </c:val>
                <c:smooth val="0"/>
                <c:extLst xmlns:c15="http://schemas.microsoft.com/office/drawing/2012/chart">
                  <c:ext xmlns:c16="http://schemas.microsoft.com/office/drawing/2014/chart" uri="{C3380CC4-5D6E-409C-BE32-E72D297353CC}">
                    <c16:uniqueId val="{00000003-F54E-4F2C-B67C-89E5093B052E}"/>
                  </c:ext>
                </c:extLst>
              </c15:ser>
            </c15:filteredLineSeries>
            <c15:filteredLineSeries>
              <c15:ser>
                <c:idx val="13"/>
                <c:order val="13"/>
                <c:tx>
                  <c:strRef>
                    <c:extLst xmlns:c15="http://schemas.microsoft.com/office/drawing/2012/chart">
                      <c:ext xmlns:c15="http://schemas.microsoft.com/office/drawing/2012/chart" uri="{02D57815-91ED-43cb-92C2-25804820EDAC}">
                        <c15:formulaRef>
                          <c15:sqref>'Tendencias nacionalidad'!$C$67</c15:sqref>
                        </c15:formulaRef>
                      </c:ext>
                    </c:extLst>
                    <c:strCache>
                      <c:ptCount val="1"/>
                      <c:pt idx="0">
                        <c:v>China República Popular</c:v>
                      </c:pt>
                    </c:strCache>
                  </c:strRef>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nacionalidad'!$D$67:$GA$67</c15:sqref>
                        </c15:fullRef>
                        <c15:formulaRef>
                          <c15:sqref>'Tendencias nacionalidad'!$D$67:$FT$67</c15:sqref>
                        </c15:formulaRef>
                      </c:ext>
                    </c:extLst>
                    <c:numCache>
                      <c:formatCode>#,##0</c:formatCode>
                      <c:ptCount val="173"/>
                      <c:pt idx="0">
                        <c:v>133</c:v>
                      </c:pt>
                      <c:pt idx="1">
                        <c:v>92</c:v>
                      </c:pt>
                      <c:pt idx="2">
                        <c:v>219</c:v>
                      </c:pt>
                      <c:pt idx="3">
                        <c:v>122</c:v>
                      </c:pt>
                      <c:pt idx="4">
                        <c:v>192</c:v>
                      </c:pt>
                      <c:pt idx="5">
                        <c:v>123</c:v>
                      </c:pt>
                      <c:pt idx="6">
                        <c:v>158</c:v>
                      </c:pt>
                      <c:pt idx="7">
                        <c:v>152</c:v>
                      </c:pt>
                      <c:pt idx="8">
                        <c:v>231</c:v>
                      </c:pt>
                      <c:pt idx="9">
                        <c:v>178</c:v>
                      </c:pt>
                      <c:pt idx="10">
                        <c:v>149</c:v>
                      </c:pt>
                      <c:pt idx="11">
                        <c:v>195</c:v>
                      </c:pt>
                      <c:pt idx="12">
                        <c:v>187</c:v>
                      </c:pt>
                      <c:pt idx="13">
                        <c:v>200</c:v>
                      </c:pt>
                      <c:pt idx="14">
                        <c:v>290</c:v>
                      </c:pt>
                      <c:pt idx="15">
                        <c:v>345</c:v>
                      </c:pt>
                      <c:pt idx="16">
                        <c:v>276</c:v>
                      </c:pt>
                      <c:pt idx="17">
                        <c:v>382</c:v>
                      </c:pt>
                      <c:pt idx="18">
                        <c:v>2179</c:v>
                      </c:pt>
                      <c:pt idx="19">
                        <c:v>1374</c:v>
                      </c:pt>
                      <c:pt idx="20">
                        <c:v>1684</c:v>
                      </c:pt>
                      <c:pt idx="21">
                        <c:v>1102</c:v>
                      </c:pt>
                      <c:pt idx="22">
                        <c:v>766</c:v>
                      </c:pt>
                      <c:pt idx="23">
                        <c:v>229</c:v>
                      </c:pt>
                      <c:pt idx="24">
                        <c:v>215</c:v>
                      </c:pt>
                      <c:pt idx="25">
                        <c:v>310</c:v>
                      </c:pt>
                      <c:pt idx="26">
                        <c:v>284</c:v>
                      </c:pt>
                      <c:pt idx="27">
                        <c:v>259</c:v>
                      </c:pt>
                      <c:pt idx="28">
                        <c:v>282</c:v>
                      </c:pt>
                      <c:pt idx="29">
                        <c:v>305</c:v>
                      </c:pt>
                      <c:pt idx="30">
                        <c:v>334</c:v>
                      </c:pt>
                      <c:pt idx="31">
                        <c:v>413</c:v>
                      </c:pt>
                      <c:pt idx="32">
                        <c:v>465</c:v>
                      </c:pt>
                      <c:pt idx="33">
                        <c:v>391</c:v>
                      </c:pt>
                      <c:pt idx="34">
                        <c:v>626</c:v>
                      </c:pt>
                      <c:pt idx="35">
                        <c:v>354</c:v>
                      </c:pt>
                      <c:pt idx="36">
                        <c:v>309</c:v>
                      </c:pt>
                      <c:pt idx="37">
                        <c:v>310</c:v>
                      </c:pt>
                      <c:pt idx="38">
                        <c:v>261</c:v>
                      </c:pt>
                      <c:pt idx="39">
                        <c:v>201</c:v>
                      </c:pt>
                      <c:pt idx="40">
                        <c:v>223</c:v>
                      </c:pt>
                      <c:pt idx="41">
                        <c:v>264</c:v>
                      </c:pt>
                      <c:pt idx="42">
                        <c:v>253</c:v>
                      </c:pt>
                      <c:pt idx="43">
                        <c:v>336</c:v>
                      </c:pt>
                      <c:pt idx="44">
                        <c:v>245</c:v>
                      </c:pt>
                      <c:pt idx="45">
                        <c:v>111</c:v>
                      </c:pt>
                      <c:pt idx="46">
                        <c:v>335</c:v>
                      </c:pt>
                      <c:pt idx="47">
                        <c:v>418</c:v>
                      </c:pt>
                      <c:pt idx="48">
                        <c:v>275</c:v>
                      </c:pt>
                      <c:pt idx="49">
                        <c:v>351</c:v>
                      </c:pt>
                      <c:pt idx="50">
                        <c:v>351</c:v>
                      </c:pt>
                      <c:pt idx="51">
                        <c:v>297</c:v>
                      </c:pt>
                      <c:pt idx="52">
                        <c:v>296</c:v>
                      </c:pt>
                      <c:pt idx="53">
                        <c:v>312</c:v>
                      </c:pt>
                      <c:pt idx="54">
                        <c:v>299</c:v>
                      </c:pt>
                      <c:pt idx="55">
                        <c:v>450</c:v>
                      </c:pt>
                      <c:pt idx="56">
                        <c:v>428</c:v>
                      </c:pt>
                      <c:pt idx="57">
                        <c:v>477</c:v>
                      </c:pt>
                      <c:pt idx="58">
                        <c:v>485</c:v>
                      </c:pt>
                      <c:pt idx="59">
                        <c:v>438</c:v>
                      </c:pt>
                      <c:pt idx="60">
                        <c:v>198</c:v>
                      </c:pt>
                      <c:pt idx="61">
                        <c:v>557</c:v>
                      </c:pt>
                      <c:pt idx="62">
                        <c:v>561</c:v>
                      </c:pt>
                      <c:pt idx="63">
                        <c:v>523</c:v>
                      </c:pt>
                      <c:pt idx="64">
                        <c:v>701</c:v>
                      </c:pt>
                      <c:pt idx="65">
                        <c:v>470</c:v>
                      </c:pt>
                      <c:pt idx="66">
                        <c:v>598</c:v>
                      </c:pt>
                      <c:pt idx="67">
                        <c:v>647</c:v>
                      </c:pt>
                      <c:pt idx="68">
                        <c:v>674</c:v>
                      </c:pt>
                      <c:pt idx="69">
                        <c:v>826</c:v>
                      </c:pt>
                      <c:pt idx="70">
                        <c:v>646</c:v>
                      </c:pt>
                      <c:pt idx="71">
                        <c:v>532</c:v>
                      </c:pt>
                      <c:pt idx="72">
                        <c:v>83</c:v>
                      </c:pt>
                      <c:pt idx="73">
                        <c:v>440</c:v>
                      </c:pt>
                      <c:pt idx="74">
                        <c:v>582</c:v>
                      </c:pt>
                      <c:pt idx="75">
                        <c:v>655</c:v>
                      </c:pt>
                      <c:pt idx="76">
                        <c:v>704</c:v>
                      </c:pt>
                      <c:pt idx="77">
                        <c:v>612</c:v>
                      </c:pt>
                      <c:pt idx="78">
                        <c:v>427</c:v>
                      </c:pt>
                      <c:pt idx="79">
                        <c:v>751</c:v>
                      </c:pt>
                      <c:pt idx="80">
                        <c:v>724</c:v>
                      </c:pt>
                      <c:pt idx="81">
                        <c:v>697</c:v>
                      </c:pt>
                      <c:pt idx="82">
                        <c:v>655</c:v>
                      </c:pt>
                      <c:pt idx="83">
                        <c:v>657</c:v>
                      </c:pt>
                      <c:pt idx="84">
                        <c:v>636</c:v>
                      </c:pt>
                      <c:pt idx="85">
                        <c:v>674</c:v>
                      </c:pt>
                      <c:pt idx="86">
                        <c:v>840</c:v>
                      </c:pt>
                      <c:pt idx="87">
                        <c:v>702</c:v>
                      </c:pt>
                      <c:pt idx="88">
                        <c:v>659</c:v>
                      </c:pt>
                      <c:pt idx="89">
                        <c:v>639</c:v>
                      </c:pt>
                      <c:pt idx="90">
                        <c:v>825</c:v>
                      </c:pt>
                      <c:pt idx="91">
                        <c:v>721</c:v>
                      </c:pt>
                      <c:pt idx="92">
                        <c:v>869</c:v>
                      </c:pt>
                      <c:pt idx="93">
                        <c:v>817</c:v>
                      </c:pt>
                      <c:pt idx="94">
                        <c:v>785</c:v>
                      </c:pt>
                      <c:pt idx="95">
                        <c:v>701</c:v>
                      </c:pt>
                      <c:pt idx="96">
                        <c:v>740</c:v>
                      </c:pt>
                      <c:pt idx="97">
                        <c:v>531</c:v>
                      </c:pt>
                      <c:pt idx="98">
                        <c:v>1029</c:v>
                      </c:pt>
                      <c:pt idx="99">
                        <c:v>933</c:v>
                      </c:pt>
                      <c:pt idx="100">
                        <c:v>904</c:v>
                      </c:pt>
                      <c:pt idx="101">
                        <c:v>798</c:v>
                      </c:pt>
                      <c:pt idx="102">
                        <c:v>804</c:v>
                      </c:pt>
                      <c:pt idx="103">
                        <c:v>967</c:v>
                      </c:pt>
                      <c:pt idx="104">
                        <c:v>871</c:v>
                      </c:pt>
                      <c:pt idx="105">
                        <c:v>837</c:v>
                      </c:pt>
                      <c:pt idx="106">
                        <c:v>793</c:v>
                      </c:pt>
                      <c:pt idx="107">
                        <c:v>654</c:v>
                      </c:pt>
                      <c:pt idx="108">
                        <c:v>624</c:v>
                      </c:pt>
                      <c:pt idx="109">
                        <c:v>600</c:v>
                      </c:pt>
                      <c:pt idx="110">
                        <c:v>1169</c:v>
                      </c:pt>
                      <c:pt idx="111">
                        <c:v>845</c:v>
                      </c:pt>
                      <c:pt idx="112">
                        <c:v>896</c:v>
                      </c:pt>
                      <c:pt idx="113">
                        <c:v>878</c:v>
                      </c:pt>
                      <c:pt idx="114">
                        <c:v>890</c:v>
                      </c:pt>
                      <c:pt idx="115">
                        <c:v>1046</c:v>
                      </c:pt>
                      <c:pt idx="116" formatCode="General">
                        <c:v>969</c:v>
                      </c:pt>
                      <c:pt idx="117">
                        <c:v>1285</c:v>
                      </c:pt>
                      <c:pt idx="118">
                        <c:v>1577</c:v>
                      </c:pt>
                      <c:pt idx="119">
                        <c:v>1083</c:v>
                      </c:pt>
                      <c:pt idx="120">
                        <c:v>863</c:v>
                      </c:pt>
                      <c:pt idx="121">
                        <c:v>879</c:v>
                      </c:pt>
                      <c:pt idx="122">
                        <c:v>1309</c:v>
                      </c:pt>
                      <c:pt idx="123">
                        <c:v>1057</c:v>
                      </c:pt>
                      <c:pt idx="124">
                        <c:v>1204</c:v>
                      </c:pt>
                      <c:pt idx="125">
                        <c:v>1104</c:v>
                      </c:pt>
                      <c:pt idx="126">
                        <c:v>1164</c:v>
                      </c:pt>
                      <c:pt idx="127">
                        <c:v>1313</c:v>
                      </c:pt>
                      <c:pt idx="128">
                        <c:v>1214</c:v>
                      </c:pt>
                      <c:pt idx="129">
                        <c:v>1036</c:v>
                      </c:pt>
                      <c:pt idx="130">
                        <c:v>1147</c:v>
                      </c:pt>
                      <c:pt idx="131">
                        <c:v>1102</c:v>
                      </c:pt>
                      <c:pt idx="132">
                        <c:v>938</c:v>
                      </c:pt>
                      <c:pt idx="133">
                        <c:v>995</c:v>
                      </c:pt>
                      <c:pt idx="134">
                        <c:v>1373</c:v>
                      </c:pt>
                      <c:pt idx="135">
                        <c:v>866</c:v>
                      </c:pt>
                      <c:pt idx="136">
                        <c:v>931</c:v>
                      </c:pt>
                      <c:pt idx="137">
                        <c:v>952</c:v>
                      </c:pt>
                      <c:pt idx="138">
                        <c:v>1110</c:v>
                      </c:pt>
                      <c:pt idx="139">
                        <c:v>924</c:v>
                      </c:pt>
                      <c:pt idx="140">
                        <c:v>1152</c:v>
                      </c:pt>
                      <c:pt idx="141">
                        <c:v>876</c:v>
                      </c:pt>
                      <c:pt idx="142">
                        <c:v>1153</c:v>
                      </c:pt>
                      <c:pt idx="143">
                        <c:v>969</c:v>
                      </c:pt>
                      <c:pt idx="144" formatCode="_(* #,##0_);_(* \(#,##0\);_(* &quot;-&quot;??_);_(@_)">
                        <c:v>840</c:v>
                      </c:pt>
                      <c:pt idx="145">
                        <c:v>981</c:v>
                      </c:pt>
                      <c:pt idx="146">
                        <c:v>1154</c:v>
                      </c:pt>
                      <c:pt idx="147">
                        <c:v>849</c:v>
                      </c:pt>
                      <c:pt idx="148" formatCode="_(* #,##0_);_(* \(#,##0\);_(* &quot;-&quot;??_);_(@_)">
                        <c:v>1263</c:v>
                      </c:pt>
                      <c:pt idx="149" formatCode="_(* #,##0_);_(* \(#,##0\);_(* &quot;-&quot;??_);_(@_)">
                        <c:v>1087</c:v>
                      </c:pt>
                      <c:pt idx="150" formatCode="_(* #,##0_);_(* \(#,##0\);_(* &quot;-&quot;??_);_(@_)">
                        <c:v>1326</c:v>
                      </c:pt>
                      <c:pt idx="151" formatCode="_(* #,##0_);_(* \(#,##0\);_(* &quot;-&quot;??_);_(@_)">
                        <c:v>1264</c:v>
                      </c:pt>
                      <c:pt idx="152" formatCode="_(* #,##0_);_(* \(#,##0\);_(* &quot;-&quot;??_);_(@_)">
                        <c:v>1156</c:v>
                      </c:pt>
                      <c:pt idx="153" formatCode="_(* #,##0_);_(* \(#,##0\);_(* &quot;-&quot;??_);_(@_)">
                        <c:v>845</c:v>
                      </c:pt>
                      <c:pt idx="154" formatCode="_(* #,##0_);_(* \(#,##0\);_(* &quot;-&quot;??_);_(@_)">
                        <c:v>961</c:v>
                      </c:pt>
                      <c:pt idx="155" formatCode="_(* #,##0_);_(* \(#,##0\);_(* &quot;-&quot;??_);_(@_)">
                        <c:v>979</c:v>
                      </c:pt>
                      <c:pt idx="156">
                        <c:v>895</c:v>
                      </c:pt>
                      <c:pt idx="157">
                        <c:v>578</c:v>
                      </c:pt>
                      <c:pt idx="158">
                        <c:v>220</c:v>
                      </c:pt>
                      <c:pt idx="161">
                        <c:v>2</c:v>
                      </c:pt>
                      <c:pt idx="162">
                        <c:v>70</c:v>
                      </c:pt>
                      <c:pt idx="163">
                        <c:v>91</c:v>
                      </c:pt>
                      <c:pt idx="164">
                        <c:v>153</c:v>
                      </c:pt>
                      <c:pt idx="165">
                        <c:v>172</c:v>
                      </c:pt>
                      <c:pt idx="166">
                        <c:v>167</c:v>
                      </c:pt>
                      <c:pt idx="167">
                        <c:v>211</c:v>
                      </c:pt>
                      <c:pt idx="168">
                        <c:v>166</c:v>
                      </c:pt>
                      <c:pt idx="169">
                        <c:v>194</c:v>
                      </c:pt>
                      <c:pt idx="170">
                        <c:v>301</c:v>
                      </c:pt>
                      <c:pt idx="171">
                        <c:v>270</c:v>
                      </c:pt>
                      <c:pt idx="172">
                        <c:v>275</c:v>
                      </c:pt>
                    </c:numCache>
                  </c:numRef>
                </c:val>
                <c:smooth val="0"/>
                <c:extLst xmlns:c15="http://schemas.microsoft.com/office/drawing/2012/chart">
                  <c:ext xmlns:c16="http://schemas.microsoft.com/office/drawing/2014/chart" uri="{C3380CC4-5D6E-409C-BE32-E72D297353CC}">
                    <c16:uniqueId val="{0000000E-F54E-4F2C-B67C-89E5093B052E}"/>
                  </c:ext>
                </c:extLst>
              </c15:ser>
            </c15:filteredLineSeries>
            <c15:filteredLineSeries>
              <c15:ser>
                <c:idx val="14"/>
                <c:order val="14"/>
                <c:tx>
                  <c:strRef>
                    <c:extLst xmlns:c15="http://schemas.microsoft.com/office/drawing/2012/chart">
                      <c:ext xmlns:c15="http://schemas.microsoft.com/office/drawing/2012/chart" uri="{02D57815-91ED-43cb-92C2-25804820EDAC}">
                        <c15:formulaRef>
                          <c15:sqref>'Tendencias nacionalidad'!$C$68</c15:sqref>
                        </c15:formulaRef>
                      </c:ext>
                    </c:extLst>
                    <c:strCache>
                      <c:ptCount val="1"/>
                      <c:pt idx="0">
                        <c:v>Chile</c:v>
                      </c:pt>
                    </c:strCache>
                  </c:strRef>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nacionalidad'!$D$68:$GA$68</c15:sqref>
                        </c15:fullRef>
                        <c15:formulaRef>
                          <c15:sqref>'Tendencias nacionalidad'!$D$68:$FT$68</c15:sqref>
                        </c15:formulaRef>
                      </c:ext>
                    </c:extLst>
                    <c:numCache>
                      <c:formatCode>#,##0</c:formatCode>
                      <c:ptCount val="173"/>
                      <c:pt idx="0">
                        <c:v>802</c:v>
                      </c:pt>
                      <c:pt idx="1">
                        <c:v>792</c:v>
                      </c:pt>
                      <c:pt idx="2">
                        <c:v>587</c:v>
                      </c:pt>
                      <c:pt idx="3">
                        <c:v>506</c:v>
                      </c:pt>
                      <c:pt idx="4">
                        <c:v>581</c:v>
                      </c:pt>
                      <c:pt idx="5">
                        <c:v>629</c:v>
                      </c:pt>
                      <c:pt idx="6">
                        <c:v>849</c:v>
                      </c:pt>
                      <c:pt idx="7">
                        <c:v>779</c:v>
                      </c:pt>
                      <c:pt idx="8">
                        <c:v>784</c:v>
                      </c:pt>
                      <c:pt idx="9">
                        <c:v>779</c:v>
                      </c:pt>
                      <c:pt idx="10">
                        <c:v>668</c:v>
                      </c:pt>
                      <c:pt idx="11">
                        <c:v>701</c:v>
                      </c:pt>
                      <c:pt idx="12">
                        <c:v>1001</c:v>
                      </c:pt>
                      <c:pt idx="13">
                        <c:v>1416</c:v>
                      </c:pt>
                      <c:pt idx="14">
                        <c:v>639</c:v>
                      </c:pt>
                      <c:pt idx="15">
                        <c:v>628</c:v>
                      </c:pt>
                      <c:pt idx="16">
                        <c:v>690</c:v>
                      </c:pt>
                      <c:pt idx="17">
                        <c:v>720</c:v>
                      </c:pt>
                      <c:pt idx="18">
                        <c:v>888</c:v>
                      </c:pt>
                      <c:pt idx="19">
                        <c:v>967</c:v>
                      </c:pt>
                      <c:pt idx="20">
                        <c:v>909</c:v>
                      </c:pt>
                      <c:pt idx="21">
                        <c:v>1253</c:v>
                      </c:pt>
                      <c:pt idx="22">
                        <c:v>761</c:v>
                      </c:pt>
                      <c:pt idx="23">
                        <c:v>760</c:v>
                      </c:pt>
                      <c:pt idx="24">
                        <c:v>1134</c:v>
                      </c:pt>
                      <c:pt idx="25">
                        <c:v>933</c:v>
                      </c:pt>
                      <c:pt idx="26">
                        <c:v>642</c:v>
                      </c:pt>
                      <c:pt idx="27">
                        <c:v>704</c:v>
                      </c:pt>
                      <c:pt idx="28">
                        <c:v>710.5</c:v>
                      </c:pt>
                      <c:pt idx="29">
                        <c:v>717</c:v>
                      </c:pt>
                      <c:pt idx="30">
                        <c:v>970</c:v>
                      </c:pt>
                      <c:pt idx="31">
                        <c:v>720</c:v>
                      </c:pt>
                      <c:pt idx="32">
                        <c:v>889</c:v>
                      </c:pt>
                      <c:pt idx="33">
                        <c:v>728</c:v>
                      </c:pt>
                      <c:pt idx="34">
                        <c:v>715</c:v>
                      </c:pt>
                      <c:pt idx="35">
                        <c:v>609</c:v>
                      </c:pt>
                      <c:pt idx="36">
                        <c:v>929</c:v>
                      </c:pt>
                      <c:pt idx="37">
                        <c:v>1114</c:v>
                      </c:pt>
                      <c:pt idx="38">
                        <c:v>507</c:v>
                      </c:pt>
                      <c:pt idx="39">
                        <c:v>594</c:v>
                      </c:pt>
                      <c:pt idx="40">
                        <c:v>755</c:v>
                      </c:pt>
                      <c:pt idx="41">
                        <c:v>691</c:v>
                      </c:pt>
                      <c:pt idx="42">
                        <c:v>751</c:v>
                      </c:pt>
                      <c:pt idx="43">
                        <c:v>618</c:v>
                      </c:pt>
                      <c:pt idx="44">
                        <c:v>842</c:v>
                      </c:pt>
                      <c:pt idx="45">
                        <c:v>882</c:v>
                      </c:pt>
                      <c:pt idx="46">
                        <c:v>665</c:v>
                      </c:pt>
                      <c:pt idx="47">
                        <c:v>729</c:v>
                      </c:pt>
                      <c:pt idx="48">
                        <c:v>1099</c:v>
                      </c:pt>
                      <c:pt idx="49">
                        <c:v>1133</c:v>
                      </c:pt>
                      <c:pt idx="50">
                        <c:v>791</c:v>
                      </c:pt>
                      <c:pt idx="51">
                        <c:v>698</c:v>
                      </c:pt>
                      <c:pt idx="52">
                        <c:v>822</c:v>
                      </c:pt>
                      <c:pt idx="53">
                        <c:v>1050</c:v>
                      </c:pt>
                      <c:pt idx="54">
                        <c:v>1309</c:v>
                      </c:pt>
                      <c:pt idx="55">
                        <c:v>1070</c:v>
                      </c:pt>
                      <c:pt idx="56">
                        <c:v>936</c:v>
                      </c:pt>
                      <c:pt idx="57">
                        <c:v>966</c:v>
                      </c:pt>
                      <c:pt idx="58">
                        <c:v>790</c:v>
                      </c:pt>
                      <c:pt idx="59">
                        <c:v>1233</c:v>
                      </c:pt>
                      <c:pt idx="60">
                        <c:v>1072</c:v>
                      </c:pt>
                      <c:pt idx="61">
                        <c:v>1312</c:v>
                      </c:pt>
                      <c:pt idx="62">
                        <c:v>911</c:v>
                      </c:pt>
                      <c:pt idx="63">
                        <c:v>896</c:v>
                      </c:pt>
                      <c:pt idx="64">
                        <c:v>1004</c:v>
                      </c:pt>
                      <c:pt idx="65">
                        <c:v>1107</c:v>
                      </c:pt>
                      <c:pt idx="66">
                        <c:v>1277</c:v>
                      </c:pt>
                      <c:pt idx="67">
                        <c:v>1067</c:v>
                      </c:pt>
                      <c:pt idx="68">
                        <c:v>1066</c:v>
                      </c:pt>
                      <c:pt idx="69">
                        <c:v>2214</c:v>
                      </c:pt>
                      <c:pt idx="70">
                        <c:v>992</c:v>
                      </c:pt>
                      <c:pt idx="71">
                        <c:v>895</c:v>
                      </c:pt>
                      <c:pt idx="72">
                        <c:v>1139</c:v>
                      </c:pt>
                      <c:pt idx="73">
                        <c:v>1193</c:v>
                      </c:pt>
                      <c:pt idx="74">
                        <c:v>722</c:v>
                      </c:pt>
                      <c:pt idx="75">
                        <c:v>797</c:v>
                      </c:pt>
                      <c:pt idx="76">
                        <c:v>886</c:v>
                      </c:pt>
                      <c:pt idx="77">
                        <c:v>854</c:v>
                      </c:pt>
                      <c:pt idx="78">
                        <c:v>1141</c:v>
                      </c:pt>
                      <c:pt idx="79">
                        <c:v>1070</c:v>
                      </c:pt>
                      <c:pt idx="80">
                        <c:v>1090</c:v>
                      </c:pt>
                      <c:pt idx="81">
                        <c:v>1003</c:v>
                      </c:pt>
                      <c:pt idx="82">
                        <c:v>834</c:v>
                      </c:pt>
                      <c:pt idx="83">
                        <c:v>772</c:v>
                      </c:pt>
                      <c:pt idx="84">
                        <c:v>967</c:v>
                      </c:pt>
                      <c:pt idx="85">
                        <c:v>1087</c:v>
                      </c:pt>
                      <c:pt idx="86">
                        <c:v>951</c:v>
                      </c:pt>
                      <c:pt idx="87">
                        <c:v>958</c:v>
                      </c:pt>
                      <c:pt idx="88">
                        <c:v>1130</c:v>
                      </c:pt>
                      <c:pt idx="89">
                        <c:v>879</c:v>
                      </c:pt>
                      <c:pt idx="90">
                        <c:v>1213</c:v>
                      </c:pt>
                      <c:pt idx="91">
                        <c:v>1124</c:v>
                      </c:pt>
                      <c:pt idx="92">
                        <c:v>1100</c:v>
                      </c:pt>
                      <c:pt idx="93">
                        <c:v>1128</c:v>
                      </c:pt>
                      <c:pt idx="94">
                        <c:v>1166</c:v>
                      </c:pt>
                      <c:pt idx="95">
                        <c:v>1185</c:v>
                      </c:pt>
                      <c:pt idx="96">
                        <c:v>1056</c:v>
                      </c:pt>
                      <c:pt idx="97">
                        <c:v>1492</c:v>
                      </c:pt>
                      <c:pt idx="98">
                        <c:v>967</c:v>
                      </c:pt>
                      <c:pt idx="99">
                        <c:v>831</c:v>
                      </c:pt>
                      <c:pt idx="100">
                        <c:v>973</c:v>
                      </c:pt>
                      <c:pt idx="101">
                        <c:v>804</c:v>
                      </c:pt>
                      <c:pt idx="102">
                        <c:v>1001</c:v>
                      </c:pt>
                      <c:pt idx="103">
                        <c:v>697</c:v>
                      </c:pt>
                      <c:pt idx="104">
                        <c:v>700</c:v>
                      </c:pt>
                      <c:pt idx="105">
                        <c:v>837</c:v>
                      </c:pt>
                      <c:pt idx="106">
                        <c:v>824</c:v>
                      </c:pt>
                      <c:pt idx="107">
                        <c:v>804</c:v>
                      </c:pt>
                      <c:pt idx="108">
                        <c:v>874</c:v>
                      </c:pt>
                      <c:pt idx="109">
                        <c:v>931</c:v>
                      </c:pt>
                      <c:pt idx="110">
                        <c:v>634</c:v>
                      </c:pt>
                      <c:pt idx="111">
                        <c:v>630</c:v>
                      </c:pt>
                      <c:pt idx="112">
                        <c:v>593</c:v>
                      </c:pt>
                      <c:pt idx="113">
                        <c:v>783</c:v>
                      </c:pt>
                      <c:pt idx="114">
                        <c:v>933</c:v>
                      </c:pt>
                      <c:pt idx="115">
                        <c:v>646</c:v>
                      </c:pt>
                      <c:pt idx="116" formatCode="General">
                        <c:v>846</c:v>
                      </c:pt>
                      <c:pt idx="117">
                        <c:v>1359</c:v>
                      </c:pt>
                      <c:pt idx="118">
                        <c:v>938</c:v>
                      </c:pt>
                      <c:pt idx="119">
                        <c:v>883</c:v>
                      </c:pt>
                      <c:pt idx="120">
                        <c:v>1275</c:v>
                      </c:pt>
                      <c:pt idx="121">
                        <c:v>1308</c:v>
                      </c:pt>
                      <c:pt idx="122">
                        <c:v>867</c:v>
                      </c:pt>
                      <c:pt idx="123">
                        <c:v>810</c:v>
                      </c:pt>
                      <c:pt idx="124">
                        <c:v>726</c:v>
                      </c:pt>
                      <c:pt idx="125">
                        <c:v>709</c:v>
                      </c:pt>
                      <c:pt idx="126">
                        <c:v>1106</c:v>
                      </c:pt>
                      <c:pt idx="127">
                        <c:v>799</c:v>
                      </c:pt>
                      <c:pt idx="128">
                        <c:v>770</c:v>
                      </c:pt>
                      <c:pt idx="129">
                        <c:v>928</c:v>
                      </c:pt>
                      <c:pt idx="130">
                        <c:v>755</c:v>
                      </c:pt>
                      <c:pt idx="131">
                        <c:v>901</c:v>
                      </c:pt>
                      <c:pt idx="132">
                        <c:v>1141</c:v>
                      </c:pt>
                      <c:pt idx="133">
                        <c:v>1396</c:v>
                      </c:pt>
                      <c:pt idx="134">
                        <c:v>984</c:v>
                      </c:pt>
                      <c:pt idx="135">
                        <c:v>888</c:v>
                      </c:pt>
                      <c:pt idx="136">
                        <c:v>825</c:v>
                      </c:pt>
                      <c:pt idx="137">
                        <c:v>879</c:v>
                      </c:pt>
                      <c:pt idx="138">
                        <c:v>1124</c:v>
                      </c:pt>
                      <c:pt idx="139">
                        <c:v>824</c:v>
                      </c:pt>
                      <c:pt idx="140">
                        <c:v>945</c:v>
                      </c:pt>
                      <c:pt idx="141">
                        <c:v>1036</c:v>
                      </c:pt>
                      <c:pt idx="142">
                        <c:v>853</c:v>
                      </c:pt>
                      <c:pt idx="143">
                        <c:v>802</c:v>
                      </c:pt>
                      <c:pt idx="144" formatCode="_(* #,##0_);_(* \(#,##0\);_(* &quot;-&quot;??_);_(@_)">
                        <c:v>1003</c:v>
                      </c:pt>
                      <c:pt idx="145">
                        <c:v>1204</c:v>
                      </c:pt>
                      <c:pt idx="146">
                        <c:v>853</c:v>
                      </c:pt>
                      <c:pt idx="147">
                        <c:v>1299</c:v>
                      </c:pt>
                      <c:pt idx="148" formatCode="_(* #,##0_);_(* \(#,##0\);_(* &quot;-&quot;??_);_(@_)">
                        <c:v>1321</c:v>
                      </c:pt>
                      <c:pt idx="149" formatCode="_(* #,##0_);_(* \(#,##0\);_(* &quot;-&quot;??_);_(@_)">
                        <c:v>1452</c:v>
                      </c:pt>
                      <c:pt idx="150" formatCode="_(* #,##0_);_(* \(#,##0\);_(* &quot;-&quot;??_);_(@_)">
                        <c:v>1791</c:v>
                      </c:pt>
                      <c:pt idx="151" formatCode="_(* #,##0_);_(* \(#,##0\);_(* &quot;-&quot;??_);_(@_)">
                        <c:v>1495</c:v>
                      </c:pt>
                      <c:pt idx="152" formatCode="_(* #,##0_);_(* \(#,##0\);_(* &quot;-&quot;??_);_(@_)">
                        <c:v>1858</c:v>
                      </c:pt>
                      <c:pt idx="153" formatCode="_(* #,##0_);_(* \(#,##0\);_(* &quot;-&quot;??_);_(@_)">
                        <c:v>1132</c:v>
                      </c:pt>
                      <c:pt idx="154" formatCode="_(* #,##0_);_(* \(#,##0\);_(* &quot;-&quot;??_);_(@_)">
                        <c:v>1226</c:v>
                      </c:pt>
                      <c:pt idx="155" formatCode="_(* #,##0_);_(* \(#,##0\);_(* &quot;-&quot;??_);_(@_)">
                        <c:v>1409</c:v>
                      </c:pt>
                      <c:pt idx="156">
                        <c:v>1782</c:v>
                      </c:pt>
                      <c:pt idx="157">
                        <c:v>1775</c:v>
                      </c:pt>
                      <c:pt idx="158">
                        <c:v>541</c:v>
                      </c:pt>
                      <c:pt idx="159">
                        <c:v>13</c:v>
                      </c:pt>
                      <c:pt idx="160">
                        <c:v>9</c:v>
                      </c:pt>
                      <c:pt idx="161">
                        <c:v>19</c:v>
                      </c:pt>
                      <c:pt idx="162">
                        <c:v>29</c:v>
                      </c:pt>
                      <c:pt idx="163">
                        <c:v>30</c:v>
                      </c:pt>
                      <c:pt idx="164">
                        <c:v>64</c:v>
                      </c:pt>
                      <c:pt idx="165">
                        <c:v>142</c:v>
                      </c:pt>
                      <c:pt idx="166">
                        <c:v>127</c:v>
                      </c:pt>
                      <c:pt idx="167">
                        <c:v>326</c:v>
                      </c:pt>
                      <c:pt idx="168">
                        <c:v>263</c:v>
                      </c:pt>
                      <c:pt idx="169">
                        <c:v>165</c:v>
                      </c:pt>
                      <c:pt idx="170">
                        <c:v>208</c:v>
                      </c:pt>
                      <c:pt idx="171">
                        <c:v>113</c:v>
                      </c:pt>
                      <c:pt idx="172">
                        <c:v>145</c:v>
                      </c:pt>
                    </c:numCache>
                  </c:numRef>
                </c:val>
                <c:smooth val="0"/>
                <c:extLst xmlns:c15="http://schemas.microsoft.com/office/drawing/2012/chart">
                  <c:ext xmlns:c16="http://schemas.microsoft.com/office/drawing/2014/chart" uri="{C3380CC4-5D6E-409C-BE32-E72D297353CC}">
                    <c16:uniqueId val="{00000004-F54E-4F2C-B67C-89E5093B052E}"/>
                  </c:ext>
                </c:extLst>
              </c15:ser>
            </c15:filteredLineSeries>
            <c15:filteredLineSeries>
              <c15:ser>
                <c:idx val="15"/>
                <c:order val="15"/>
                <c:tx>
                  <c:strRef>
                    <c:extLst xmlns:c15="http://schemas.microsoft.com/office/drawing/2012/chart">
                      <c:ext xmlns:c15="http://schemas.microsoft.com/office/drawing/2012/chart" uri="{02D57815-91ED-43cb-92C2-25804820EDAC}">
                        <c15:formulaRef>
                          <c15:sqref>'Tendencias nacionalidad'!$C$69</c15:sqref>
                        </c15:formulaRef>
                      </c:ext>
                    </c:extLst>
                    <c:strCache>
                      <c:ptCount val="1"/>
                      <c:pt idx="0">
                        <c:v>Panamá</c:v>
                      </c:pt>
                    </c:strCache>
                  </c:strRef>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nacionalidad'!$D$69:$GA$69</c15:sqref>
                        </c15:fullRef>
                        <c15:formulaRef>
                          <c15:sqref>'Tendencias nacionalidad'!$D$69:$FT$69</c15:sqref>
                        </c15:formulaRef>
                      </c:ext>
                    </c:extLst>
                    <c:numCache>
                      <c:formatCode>#,##0</c:formatCode>
                      <c:ptCount val="173"/>
                      <c:pt idx="0">
                        <c:v>89</c:v>
                      </c:pt>
                      <c:pt idx="1">
                        <c:v>97</c:v>
                      </c:pt>
                      <c:pt idx="2">
                        <c:v>98</c:v>
                      </c:pt>
                      <c:pt idx="3">
                        <c:v>73</c:v>
                      </c:pt>
                      <c:pt idx="4">
                        <c:v>107</c:v>
                      </c:pt>
                      <c:pt idx="5">
                        <c:v>108</c:v>
                      </c:pt>
                      <c:pt idx="6">
                        <c:v>114</c:v>
                      </c:pt>
                      <c:pt idx="7">
                        <c:v>116</c:v>
                      </c:pt>
                      <c:pt idx="8">
                        <c:v>115</c:v>
                      </c:pt>
                      <c:pt idx="9">
                        <c:v>116</c:v>
                      </c:pt>
                      <c:pt idx="10">
                        <c:v>219</c:v>
                      </c:pt>
                      <c:pt idx="11">
                        <c:v>117</c:v>
                      </c:pt>
                      <c:pt idx="12">
                        <c:v>110</c:v>
                      </c:pt>
                      <c:pt idx="13">
                        <c:v>177</c:v>
                      </c:pt>
                      <c:pt idx="14">
                        <c:v>117</c:v>
                      </c:pt>
                      <c:pt idx="15">
                        <c:v>96</c:v>
                      </c:pt>
                      <c:pt idx="16">
                        <c:v>143</c:v>
                      </c:pt>
                      <c:pt idx="17">
                        <c:v>107</c:v>
                      </c:pt>
                      <c:pt idx="18">
                        <c:v>186</c:v>
                      </c:pt>
                      <c:pt idx="19">
                        <c:v>197</c:v>
                      </c:pt>
                      <c:pt idx="20">
                        <c:v>181</c:v>
                      </c:pt>
                      <c:pt idx="21">
                        <c:v>189</c:v>
                      </c:pt>
                      <c:pt idx="22">
                        <c:v>292</c:v>
                      </c:pt>
                      <c:pt idx="23">
                        <c:v>152</c:v>
                      </c:pt>
                      <c:pt idx="24">
                        <c:v>164</c:v>
                      </c:pt>
                      <c:pt idx="25">
                        <c:v>132</c:v>
                      </c:pt>
                      <c:pt idx="26">
                        <c:v>166</c:v>
                      </c:pt>
                      <c:pt idx="27">
                        <c:v>106</c:v>
                      </c:pt>
                      <c:pt idx="28">
                        <c:v>116.5</c:v>
                      </c:pt>
                      <c:pt idx="29">
                        <c:v>127</c:v>
                      </c:pt>
                      <c:pt idx="30">
                        <c:v>145</c:v>
                      </c:pt>
                      <c:pt idx="31">
                        <c:v>105</c:v>
                      </c:pt>
                      <c:pt idx="32">
                        <c:v>149</c:v>
                      </c:pt>
                      <c:pt idx="33">
                        <c:v>163</c:v>
                      </c:pt>
                      <c:pt idx="34">
                        <c:v>184</c:v>
                      </c:pt>
                      <c:pt idx="35">
                        <c:v>125</c:v>
                      </c:pt>
                      <c:pt idx="36">
                        <c:v>154</c:v>
                      </c:pt>
                      <c:pt idx="37">
                        <c:v>218</c:v>
                      </c:pt>
                      <c:pt idx="38">
                        <c:v>150</c:v>
                      </c:pt>
                      <c:pt idx="39">
                        <c:v>189</c:v>
                      </c:pt>
                      <c:pt idx="40">
                        <c:v>141</c:v>
                      </c:pt>
                      <c:pt idx="41">
                        <c:v>141</c:v>
                      </c:pt>
                      <c:pt idx="42">
                        <c:v>147</c:v>
                      </c:pt>
                      <c:pt idx="43">
                        <c:v>136</c:v>
                      </c:pt>
                      <c:pt idx="44">
                        <c:v>118</c:v>
                      </c:pt>
                      <c:pt idx="45">
                        <c:v>121</c:v>
                      </c:pt>
                      <c:pt idx="46">
                        <c:v>165</c:v>
                      </c:pt>
                      <c:pt idx="47">
                        <c:v>149</c:v>
                      </c:pt>
                      <c:pt idx="48">
                        <c:v>161</c:v>
                      </c:pt>
                      <c:pt idx="49">
                        <c:v>180</c:v>
                      </c:pt>
                      <c:pt idx="50">
                        <c:v>463</c:v>
                      </c:pt>
                      <c:pt idx="51">
                        <c:v>340</c:v>
                      </c:pt>
                      <c:pt idx="52">
                        <c:v>336</c:v>
                      </c:pt>
                      <c:pt idx="53">
                        <c:v>396</c:v>
                      </c:pt>
                      <c:pt idx="54">
                        <c:v>334</c:v>
                      </c:pt>
                      <c:pt idx="55">
                        <c:v>362</c:v>
                      </c:pt>
                      <c:pt idx="56">
                        <c:v>336</c:v>
                      </c:pt>
                      <c:pt idx="57">
                        <c:v>395</c:v>
                      </c:pt>
                      <c:pt idx="58">
                        <c:v>356</c:v>
                      </c:pt>
                      <c:pt idx="59">
                        <c:v>381</c:v>
                      </c:pt>
                      <c:pt idx="60">
                        <c:v>131</c:v>
                      </c:pt>
                      <c:pt idx="61">
                        <c:v>193</c:v>
                      </c:pt>
                      <c:pt idx="62">
                        <c:v>397</c:v>
                      </c:pt>
                      <c:pt idx="63">
                        <c:v>386</c:v>
                      </c:pt>
                      <c:pt idx="64">
                        <c:v>468</c:v>
                      </c:pt>
                      <c:pt idx="65">
                        <c:v>379</c:v>
                      </c:pt>
                      <c:pt idx="66">
                        <c:v>392</c:v>
                      </c:pt>
                      <c:pt idx="67">
                        <c:v>350</c:v>
                      </c:pt>
                      <c:pt idx="68">
                        <c:v>379</c:v>
                      </c:pt>
                      <c:pt idx="69">
                        <c:v>342</c:v>
                      </c:pt>
                      <c:pt idx="70">
                        <c:v>432</c:v>
                      </c:pt>
                      <c:pt idx="71">
                        <c:v>353</c:v>
                      </c:pt>
                      <c:pt idx="72">
                        <c:v>362</c:v>
                      </c:pt>
                      <c:pt idx="73">
                        <c:v>407</c:v>
                      </c:pt>
                      <c:pt idx="74">
                        <c:v>490</c:v>
                      </c:pt>
                      <c:pt idx="75">
                        <c:v>520</c:v>
                      </c:pt>
                      <c:pt idx="76">
                        <c:v>497</c:v>
                      </c:pt>
                      <c:pt idx="77">
                        <c:v>497</c:v>
                      </c:pt>
                      <c:pt idx="78">
                        <c:v>513</c:v>
                      </c:pt>
                      <c:pt idx="79">
                        <c:v>460</c:v>
                      </c:pt>
                      <c:pt idx="80">
                        <c:v>520</c:v>
                      </c:pt>
                      <c:pt idx="81">
                        <c:v>501</c:v>
                      </c:pt>
                      <c:pt idx="82">
                        <c:v>503</c:v>
                      </c:pt>
                      <c:pt idx="83">
                        <c:v>525</c:v>
                      </c:pt>
                      <c:pt idx="84">
                        <c:v>471</c:v>
                      </c:pt>
                      <c:pt idx="85">
                        <c:v>474</c:v>
                      </c:pt>
                      <c:pt idx="86">
                        <c:v>491</c:v>
                      </c:pt>
                      <c:pt idx="87">
                        <c:v>485</c:v>
                      </c:pt>
                      <c:pt idx="88">
                        <c:v>565</c:v>
                      </c:pt>
                      <c:pt idx="89">
                        <c:v>493</c:v>
                      </c:pt>
                      <c:pt idx="90">
                        <c:v>498</c:v>
                      </c:pt>
                      <c:pt idx="91">
                        <c:v>493</c:v>
                      </c:pt>
                      <c:pt idx="92">
                        <c:v>543</c:v>
                      </c:pt>
                      <c:pt idx="93">
                        <c:v>389</c:v>
                      </c:pt>
                      <c:pt idx="94">
                        <c:v>471</c:v>
                      </c:pt>
                      <c:pt idx="95">
                        <c:v>478</c:v>
                      </c:pt>
                      <c:pt idx="96">
                        <c:v>398</c:v>
                      </c:pt>
                      <c:pt idx="97">
                        <c:v>376</c:v>
                      </c:pt>
                      <c:pt idx="98">
                        <c:v>343</c:v>
                      </c:pt>
                      <c:pt idx="99">
                        <c:v>380</c:v>
                      </c:pt>
                      <c:pt idx="100">
                        <c:v>488</c:v>
                      </c:pt>
                      <c:pt idx="101">
                        <c:v>366</c:v>
                      </c:pt>
                      <c:pt idx="102">
                        <c:v>598</c:v>
                      </c:pt>
                      <c:pt idx="103">
                        <c:v>512</c:v>
                      </c:pt>
                      <c:pt idx="104">
                        <c:v>557</c:v>
                      </c:pt>
                      <c:pt idx="105">
                        <c:v>698</c:v>
                      </c:pt>
                      <c:pt idx="106">
                        <c:v>731</c:v>
                      </c:pt>
                      <c:pt idx="107">
                        <c:v>700</c:v>
                      </c:pt>
                      <c:pt idx="108">
                        <c:v>891</c:v>
                      </c:pt>
                      <c:pt idx="109">
                        <c:v>862</c:v>
                      </c:pt>
                      <c:pt idx="110">
                        <c:v>915</c:v>
                      </c:pt>
                      <c:pt idx="111">
                        <c:v>629</c:v>
                      </c:pt>
                      <c:pt idx="112">
                        <c:v>786</c:v>
                      </c:pt>
                      <c:pt idx="113">
                        <c:v>756</c:v>
                      </c:pt>
                      <c:pt idx="114">
                        <c:v>817</c:v>
                      </c:pt>
                      <c:pt idx="115">
                        <c:v>802</c:v>
                      </c:pt>
                      <c:pt idx="116" formatCode="General">
                        <c:v>586</c:v>
                      </c:pt>
                      <c:pt idx="117">
                        <c:v>872</c:v>
                      </c:pt>
                      <c:pt idx="118">
                        <c:v>883</c:v>
                      </c:pt>
                      <c:pt idx="119">
                        <c:v>763</c:v>
                      </c:pt>
                      <c:pt idx="120">
                        <c:v>841</c:v>
                      </c:pt>
                      <c:pt idx="121">
                        <c:v>806</c:v>
                      </c:pt>
                      <c:pt idx="122">
                        <c:v>689</c:v>
                      </c:pt>
                      <c:pt idx="123">
                        <c:v>656</c:v>
                      </c:pt>
                      <c:pt idx="124">
                        <c:v>636</c:v>
                      </c:pt>
                      <c:pt idx="125">
                        <c:v>814</c:v>
                      </c:pt>
                      <c:pt idx="126">
                        <c:v>711</c:v>
                      </c:pt>
                      <c:pt idx="127">
                        <c:v>815</c:v>
                      </c:pt>
                      <c:pt idx="128">
                        <c:v>811</c:v>
                      </c:pt>
                      <c:pt idx="129">
                        <c:v>824</c:v>
                      </c:pt>
                      <c:pt idx="130">
                        <c:v>864</c:v>
                      </c:pt>
                      <c:pt idx="131">
                        <c:v>729</c:v>
                      </c:pt>
                      <c:pt idx="132">
                        <c:v>769</c:v>
                      </c:pt>
                      <c:pt idx="133">
                        <c:v>683</c:v>
                      </c:pt>
                      <c:pt idx="134">
                        <c:v>727</c:v>
                      </c:pt>
                      <c:pt idx="135">
                        <c:v>707</c:v>
                      </c:pt>
                      <c:pt idx="136">
                        <c:v>717</c:v>
                      </c:pt>
                      <c:pt idx="137">
                        <c:v>800</c:v>
                      </c:pt>
                      <c:pt idx="138">
                        <c:v>836</c:v>
                      </c:pt>
                      <c:pt idx="139">
                        <c:v>819</c:v>
                      </c:pt>
                      <c:pt idx="140">
                        <c:v>868</c:v>
                      </c:pt>
                      <c:pt idx="141">
                        <c:v>902</c:v>
                      </c:pt>
                      <c:pt idx="142">
                        <c:v>926</c:v>
                      </c:pt>
                      <c:pt idx="143">
                        <c:v>860</c:v>
                      </c:pt>
                      <c:pt idx="144" formatCode="_(* #,##0_);_(* \(#,##0\);_(* &quot;-&quot;??_);_(@_)">
                        <c:v>840</c:v>
                      </c:pt>
                      <c:pt idx="145">
                        <c:v>828</c:v>
                      </c:pt>
                      <c:pt idx="146">
                        <c:v>1084</c:v>
                      </c:pt>
                      <c:pt idx="147">
                        <c:v>812</c:v>
                      </c:pt>
                      <c:pt idx="148" formatCode="_(* #,##0_);_(* \(#,##0\);_(* &quot;-&quot;??_);_(@_)">
                        <c:v>848</c:v>
                      </c:pt>
                      <c:pt idx="149" formatCode="_(* #,##0_);_(* \(#,##0\);_(* &quot;-&quot;??_);_(@_)">
                        <c:v>1008</c:v>
                      </c:pt>
                      <c:pt idx="150" formatCode="_(* #,##0_);_(* \(#,##0\);_(* &quot;-&quot;??_);_(@_)">
                        <c:v>995</c:v>
                      </c:pt>
                      <c:pt idx="151" formatCode="_(* #,##0_);_(* \(#,##0\);_(* &quot;-&quot;??_);_(@_)">
                        <c:v>1071</c:v>
                      </c:pt>
                      <c:pt idx="152" formatCode="_(* #,##0_);_(* \(#,##0\);_(* &quot;-&quot;??_);_(@_)">
                        <c:v>633</c:v>
                      </c:pt>
                      <c:pt idx="153" formatCode="_(* #,##0_);_(* \(#,##0\);_(* &quot;-&quot;??_);_(@_)">
                        <c:v>594</c:v>
                      </c:pt>
                      <c:pt idx="154" formatCode="_(* #,##0_);_(* \(#,##0\);_(* &quot;-&quot;??_);_(@_)">
                        <c:v>724</c:v>
                      </c:pt>
                      <c:pt idx="155" formatCode="_(* #,##0_);_(* \(#,##0\);_(* &quot;-&quot;??_);_(@_)">
                        <c:v>705</c:v>
                      </c:pt>
                      <c:pt idx="156">
                        <c:v>773</c:v>
                      </c:pt>
                      <c:pt idx="157">
                        <c:v>747</c:v>
                      </c:pt>
                      <c:pt idx="158">
                        <c:v>271</c:v>
                      </c:pt>
                      <c:pt idx="162">
                        <c:v>1</c:v>
                      </c:pt>
                      <c:pt idx="163">
                        <c:v>15</c:v>
                      </c:pt>
                      <c:pt idx="164">
                        <c:v>5</c:v>
                      </c:pt>
                      <c:pt idx="165">
                        <c:v>40</c:v>
                      </c:pt>
                      <c:pt idx="166">
                        <c:v>320</c:v>
                      </c:pt>
                      <c:pt idx="167">
                        <c:v>353</c:v>
                      </c:pt>
                      <c:pt idx="168">
                        <c:v>378</c:v>
                      </c:pt>
                      <c:pt idx="169">
                        <c:v>219</c:v>
                      </c:pt>
                      <c:pt idx="170">
                        <c:v>215</c:v>
                      </c:pt>
                      <c:pt idx="171">
                        <c:v>218</c:v>
                      </c:pt>
                      <c:pt idx="172">
                        <c:v>265</c:v>
                      </c:pt>
                    </c:numCache>
                  </c:numRef>
                </c:val>
                <c:smooth val="0"/>
                <c:extLst xmlns:c15="http://schemas.microsoft.com/office/drawing/2012/chart">
                  <c:ext xmlns:c16="http://schemas.microsoft.com/office/drawing/2014/chart" uri="{C3380CC4-5D6E-409C-BE32-E72D297353CC}">
                    <c16:uniqueId val="{0000000F-F54E-4F2C-B67C-89E5093B052E}"/>
                  </c:ext>
                </c:extLst>
              </c15:ser>
            </c15:filteredLineSeries>
            <c15:filteredLineSeries>
              <c15:ser>
                <c:idx val="17"/>
                <c:order val="17"/>
                <c:tx>
                  <c:strRef>
                    <c:extLst xmlns:c15="http://schemas.microsoft.com/office/drawing/2012/chart">
                      <c:ext xmlns:c15="http://schemas.microsoft.com/office/drawing/2012/chart" uri="{02D57815-91ED-43cb-92C2-25804820EDAC}">
                        <c15:formulaRef>
                          <c15:sqref>'Tendencias nacionalidad'!$C$71</c15:sqref>
                        </c15:formulaRef>
                      </c:ext>
                    </c:extLst>
                    <c:strCache>
                      <c:ptCount val="1"/>
                      <c:pt idx="0">
                        <c:v>Suiza</c:v>
                      </c:pt>
                    </c:strCache>
                  </c:strRef>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nacionalidad'!$D$71:$GA$71</c15:sqref>
                        </c15:fullRef>
                        <c15:formulaRef>
                          <c15:sqref>'Tendencias nacionalidad'!$D$71:$FT$71</c15:sqref>
                        </c15:formulaRef>
                      </c:ext>
                    </c:extLst>
                    <c:numCache>
                      <c:formatCode>#,##0</c:formatCode>
                      <c:ptCount val="173"/>
                      <c:pt idx="0">
                        <c:v>364</c:v>
                      </c:pt>
                      <c:pt idx="1">
                        <c:v>398</c:v>
                      </c:pt>
                      <c:pt idx="2">
                        <c:v>362</c:v>
                      </c:pt>
                      <c:pt idx="3">
                        <c:v>333</c:v>
                      </c:pt>
                      <c:pt idx="4">
                        <c:v>305</c:v>
                      </c:pt>
                      <c:pt idx="5">
                        <c:v>347</c:v>
                      </c:pt>
                      <c:pt idx="6">
                        <c:v>748</c:v>
                      </c:pt>
                      <c:pt idx="7">
                        <c:v>334</c:v>
                      </c:pt>
                      <c:pt idx="8">
                        <c:v>478</c:v>
                      </c:pt>
                      <c:pt idx="9">
                        <c:v>546</c:v>
                      </c:pt>
                      <c:pt idx="10">
                        <c:v>492</c:v>
                      </c:pt>
                      <c:pt idx="11">
                        <c:v>429</c:v>
                      </c:pt>
                      <c:pt idx="12">
                        <c:v>442</c:v>
                      </c:pt>
                      <c:pt idx="13">
                        <c:v>593</c:v>
                      </c:pt>
                      <c:pt idx="14">
                        <c:v>475</c:v>
                      </c:pt>
                      <c:pt idx="15">
                        <c:v>378</c:v>
                      </c:pt>
                      <c:pt idx="16">
                        <c:v>364</c:v>
                      </c:pt>
                      <c:pt idx="17">
                        <c:v>401</c:v>
                      </c:pt>
                      <c:pt idx="18">
                        <c:v>795</c:v>
                      </c:pt>
                      <c:pt idx="19">
                        <c:v>418</c:v>
                      </c:pt>
                      <c:pt idx="20">
                        <c:v>410</c:v>
                      </c:pt>
                      <c:pt idx="21">
                        <c:v>462</c:v>
                      </c:pt>
                      <c:pt idx="22">
                        <c:v>547</c:v>
                      </c:pt>
                      <c:pt idx="23">
                        <c:v>450</c:v>
                      </c:pt>
                      <c:pt idx="24">
                        <c:v>472</c:v>
                      </c:pt>
                      <c:pt idx="25">
                        <c:v>324</c:v>
                      </c:pt>
                      <c:pt idx="26">
                        <c:v>379</c:v>
                      </c:pt>
                      <c:pt idx="27">
                        <c:v>343</c:v>
                      </c:pt>
                      <c:pt idx="28">
                        <c:v>385.5</c:v>
                      </c:pt>
                      <c:pt idx="29">
                        <c:v>428</c:v>
                      </c:pt>
                      <c:pt idx="30">
                        <c:v>875</c:v>
                      </c:pt>
                      <c:pt idx="31">
                        <c:v>391</c:v>
                      </c:pt>
                      <c:pt idx="32">
                        <c:v>458</c:v>
                      </c:pt>
                      <c:pt idx="33">
                        <c:v>460</c:v>
                      </c:pt>
                      <c:pt idx="34">
                        <c:v>532</c:v>
                      </c:pt>
                      <c:pt idx="35">
                        <c:v>487</c:v>
                      </c:pt>
                      <c:pt idx="36">
                        <c:v>443</c:v>
                      </c:pt>
                      <c:pt idx="37">
                        <c:v>376</c:v>
                      </c:pt>
                      <c:pt idx="38">
                        <c:v>358</c:v>
                      </c:pt>
                      <c:pt idx="39">
                        <c:v>310</c:v>
                      </c:pt>
                      <c:pt idx="40">
                        <c:v>315</c:v>
                      </c:pt>
                      <c:pt idx="41">
                        <c:v>379</c:v>
                      </c:pt>
                      <c:pt idx="42">
                        <c:v>783</c:v>
                      </c:pt>
                      <c:pt idx="43">
                        <c:v>396</c:v>
                      </c:pt>
                      <c:pt idx="44">
                        <c:v>362</c:v>
                      </c:pt>
                      <c:pt idx="45">
                        <c:v>563</c:v>
                      </c:pt>
                      <c:pt idx="46">
                        <c:v>559</c:v>
                      </c:pt>
                      <c:pt idx="47">
                        <c:v>469</c:v>
                      </c:pt>
                      <c:pt idx="48">
                        <c:v>429</c:v>
                      </c:pt>
                      <c:pt idx="49">
                        <c:v>404</c:v>
                      </c:pt>
                      <c:pt idx="50">
                        <c:v>315</c:v>
                      </c:pt>
                      <c:pt idx="51">
                        <c:v>400</c:v>
                      </c:pt>
                      <c:pt idx="52">
                        <c:v>329</c:v>
                      </c:pt>
                      <c:pt idx="53">
                        <c:v>370</c:v>
                      </c:pt>
                      <c:pt idx="54">
                        <c:v>834</c:v>
                      </c:pt>
                      <c:pt idx="55">
                        <c:v>402</c:v>
                      </c:pt>
                      <c:pt idx="56">
                        <c:v>363</c:v>
                      </c:pt>
                      <c:pt idx="57">
                        <c:v>578</c:v>
                      </c:pt>
                      <c:pt idx="58">
                        <c:v>603</c:v>
                      </c:pt>
                      <c:pt idx="59">
                        <c:v>577</c:v>
                      </c:pt>
                      <c:pt idx="60">
                        <c:v>442</c:v>
                      </c:pt>
                      <c:pt idx="61">
                        <c:v>386</c:v>
                      </c:pt>
                      <c:pt idx="62">
                        <c:v>342</c:v>
                      </c:pt>
                      <c:pt idx="63">
                        <c:v>413</c:v>
                      </c:pt>
                      <c:pt idx="64">
                        <c:v>323</c:v>
                      </c:pt>
                      <c:pt idx="65">
                        <c:v>446</c:v>
                      </c:pt>
                      <c:pt idx="66">
                        <c:v>986</c:v>
                      </c:pt>
                      <c:pt idx="67">
                        <c:v>441</c:v>
                      </c:pt>
                      <c:pt idx="68">
                        <c:v>500</c:v>
                      </c:pt>
                      <c:pt idx="69">
                        <c:v>622</c:v>
                      </c:pt>
                      <c:pt idx="70">
                        <c:v>645</c:v>
                      </c:pt>
                      <c:pt idx="71">
                        <c:v>674</c:v>
                      </c:pt>
                      <c:pt idx="72">
                        <c:v>449</c:v>
                      </c:pt>
                      <c:pt idx="73">
                        <c:v>392</c:v>
                      </c:pt>
                      <c:pt idx="74">
                        <c:v>495</c:v>
                      </c:pt>
                      <c:pt idx="75">
                        <c:v>430</c:v>
                      </c:pt>
                      <c:pt idx="76">
                        <c:v>411</c:v>
                      </c:pt>
                      <c:pt idx="77">
                        <c:v>419</c:v>
                      </c:pt>
                      <c:pt idx="78">
                        <c:v>996</c:v>
                      </c:pt>
                      <c:pt idx="79">
                        <c:v>438</c:v>
                      </c:pt>
                      <c:pt idx="80">
                        <c:v>418</c:v>
                      </c:pt>
                      <c:pt idx="81">
                        <c:v>574</c:v>
                      </c:pt>
                      <c:pt idx="82">
                        <c:v>598</c:v>
                      </c:pt>
                      <c:pt idx="83">
                        <c:v>671</c:v>
                      </c:pt>
                      <c:pt idx="84">
                        <c:v>474</c:v>
                      </c:pt>
                      <c:pt idx="85">
                        <c:v>485</c:v>
                      </c:pt>
                      <c:pt idx="86">
                        <c:v>443</c:v>
                      </c:pt>
                      <c:pt idx="87">
                        <c:v>516</c:v>
                      </c:pt>
                      <c:pt idx="88">
                        <c:v>447</c:v>
                      </c:pt>
                      <c:pt idx="89">
                        <c:v>401</c:v>
                      </c:pt>
                      <c:pt idx="90">
                        <c:v>1000</c:v>
                      </c:pt>
                      <c:pt idx="91">
                        <c:v>403</c:v>
                      </c:pt>
                      <c:pt idx="92">
                        <c:v>432</c:v>
                      </c:pt>
                      <c:pt idx="93">
                        <c:v>612</c:v>
                      </c:pt>
                      <c:pt idx="94">
                        <c:v>615</c:v>
                      </c:pt>
                      <c:pt idx="95">
                        <c:v>638</c:v>
                      </c:pt>
                      <c:pt idx="96">
                        <c:v>514</c:v>
                      </c:pt>
                      <c:pt idx="97">
                        <c:v>443</c:v>
                      </c:pt>
                      <c:pt idx="98">
                        <c:v>472</c:v>
                      </c:pt>
                      <c:pt idx="99">
                        <c:v>513</c:v>
                      </c:pt>
                      <c:pt idx="100">
                        <c:v>444</c:v>
                      </c:pt>
                      <c:pt idx="101">
                        <c:v>445</c:v>
                      </c:pt>
                      <c:pt idx="102">
                        <c:v>1074</c:v>
                      </c:pt>
                      <c:pt idx="103">
                        <c:v>403</c:v>
                      </c:pt>
                      <c:pt idx="104">
                        <c:v>441</c:v>
                      </c:pt>
                      <c:pt idx="105">
                        <c:v>599</c:v>
                      </c:pt>
                      <c:pt idx="106">
                        <c:v>582</c:v>
                      </c:pt>
                      <c:pt idx="107">
                        <c:v>596</c:v>
                      </c:pt>
                      <c:pt idx="108">
                        <c:v>566</c:v>
                      </c:pt>
                      <c:pt idx="109">
                        <c:v>575</c:v>
                      </c:pt>
                      <c:pt idx="110">
                        <c:v>533</c:v>
                      </c:pt>
                      <c:pt idx="111">
                        <c:v>489</c:v>
                      </c:pt>
                      <c:pt idx="112">
                        <c:v>387</c:v>
                      </c:pt>
                      <c:pt idx="113">
                        <c:v>383</c:v>
                      </c:pt>
                      <c:pt idx="114">
                        <c:v>1133</c:v>
                      </c:pt>
                      <c:pt idx="115">
                        <c:v>480</c:v>
                      </c:pt>
                      <c:pt idx="116" formatCode="General">
                        <c:v>403</c:v>
                      </c:pt>
                      <c:pt idx="117">
                        <c:v>692</c:v>
                      </c:pt>
                      <c:pt idx="118">
                        <c:v>501</c:v>
                      </c:pt>
                      <c:pt idx="119">
                        <c:v>545</c:v>
                      </c:pt>
                      <c:pt idx="120">
                        <c:v>510</c:v>
                      </c:pt>
                      <c:pt idx="121">
                        <c:v>457</c:v>
                      </c:pt>
                      <c:pt idx="122">
                        <c:v>436</c:v>
                      </c:pt>
                      <c:pt idx="123">
                        <c:v>611</c:v>
                      </c:pt>
                      <c:pt idx="124">
                        <c:v>335</c:v>
                      </c:pt>
                      <c:pt idx="125">
                        <c:v>452</c:v>
                      </c:pt>
                      <c:pt idx="126">
                        <c:v>981</c:v>
                      </c:pt>
                      <c:pt idx="127">
                        <c:v>427</c:v>
                      </c:pt>
                      <c:pt idx="128">
                        <c:v>447</c:v>
                      </c:pt>
                      <c:pt idx="129">
                        <c:v>575</c:v>
                      </c:pt>
                      <c:pt idx="130">
                        <c:v>478</c:v>
                      </c:pt>
                      <c:pt idx="131">
                        <c:v>579</c:v>
                      </c:pt>
                      <c:pt idx="132">
                        <c:v>507</c:v>
                      </c:pt>
                      <c:pt idx="133">
                        <c:v>534</c:v>
                      </c:pt>
                      <c:pt idx="134">
                        <c:v>515</c:v>
                      </c:pt>
                      <c:pt idx="135">
                        <c:v>487</c:v>
                      </c:pt>
                      <c:pt idx="136">
                        <c:v>373</c:v>
                      </c:pt>
                      <c:pt idx="137">
                        <c:v>437</c:v>
                      </c:pt>
                      <c:pt idx="138">
                        <c:v>1093</c:v>
                      </c:pt>
                      <c:pt idx="139">
                        <c:v>415</c:v>
                      </c:pt>
                      <c:pt idx="140">
                        <c:v>526</c:v>
                      </c:pt>
                      <c:pt idx="141">
                        <c:v>655</c:v>
                      </c:pt>
                      <c:pt idx="142">
                        <c:v>579</c:v>
                      </c:pt>
                      <c:pt idx="143">
                        <c:v>714</c:v>
                      </c:pt>
                      <c:pt idx="144" formatCode="_(* #,##0_);_(* \(#,##0\);_(* &quot;-&quot;??_);_(@_)">
                        <c:v>500</c:v>
                      </c:pt>
                      <c:pt idx="145">
                        <c:v>462</c:v>
                      </c:pt>
                      <c:pt idx="146">
                        <c:v>398</c:v>
                      </c:pt>
                      <c:pt idx="147">
                        <c:v>546</c:v>
                      </c:pt>
                      <c:pt idx="148" formatCode="_(* #,##0_);_(* \(#,##0\);_(* &quot;-&quot;??_);_(@_)">
                        <c:v>441</c:v>
                      </c:pt>
                      <c:pt idx="149" formatCode="_(* #,##0_);_(* \(#,##0\);_(* &quot;-&quot;??_);_(@_)">
                        <c:v>503</c:v>
                      </c:pt>
                      <c:pt idx="150" formatCode="_(* #,##0_);_(* \(#,##0\);_(* &quot;-&quot;??_);_(@_)">
                        <c:v>1198</c:v>
                      </c:pt>
                      <c:pt idx="151" formatCode="_(* #,##0_);_(* \(#,##0\);_(* &quot;-&quot;??_);_(@_)">
                        <c:v>550</c:v>
                      </c:pt>
                      <c:pt idx="152" formatCode="_(* #,##0_);_(* \(#,##0\);_(* &quot;-&quot;??_);_(@_)">
                        <c:v>532</c:v>
                      </c:pt>
                      <c:pt idx="153" formatCode="_(* #,##0_);_(* \(#,##0\);_(* &quot;-&quot;??_);_(@_)">
                        <c:v>538</c:v>
                      </c:pt>
                      <c:pt idx="154" formatCode="_(* #,##0_);_(* \(#,##0\);_(* &quot;-&quot;??_);_(@_)">
                        <c:v>589</c:v>
                      </c:pt>
                      <c:pt idx="155" formatCode="_(* #,##0_);_(* \(#,##0\);_(* &quot;-&quot;??_);_(@_)">
                        <c:v>776</c:v>
                      </c:pt>
                      <c:pt idx="156">
                        <c:v>571</c:v>
                      </c:pt>
                      <c:pt idx="157">
                        <c:v>552</c:v>
                      </c:pt>
                      <c:pt idx="158">
                        <c:v>193</c:v>
                      </c:pt>
                      <c:pt idx="159">
                        <c:v>35</c:v>
                      </c:pt>
                      <c:pt idx="160">
                        <c:v>2</c:v>
                      </c:pt>
                      <c:pt idx="161">
                        <c:v>3</c:v>
                      </c:pt>
                      <c:pt idx="162">
                        <c:v>30</c:v>
                      </c:pt>
                      <c:pt idx="163">
                        <c:v>34</c:v>
                      </c:pt>
                      <c:pt idx="164">
                        <c:v>34</c:v>
                      </c:pt>
                      <c:pt idx="165">
                        <c:v>67</c:v>
                      </c:pt>
                      <c:pt idx="166">
                        <c:v>84</c:v>
                      </c:pt>
                      <c:pt idx="167">
                        <c:v>202</c:v>
                      </c:pt>
                      <c:pt idx="168">
                        <c:v>103</c:v>
                      </c:pt>
                      <c:pt idx="169">
                        <c:v>118</c:v>
                      </c:pt>
                      <c:pt idx="170">
                        <c:v>135</c:v>
                      </c:pt>
                      <c:pt idx="171">
                        <c:v>186</c:v>
                      </c:pt>
                      <c:pt idx="172">
                        <c:v>125</c:v>
                      </c:pt>
                    </c:numCache>
                  </c:numRef>
                </c:val>
                <c:smooth val="0"/>
                <c:extLst xmlns:c15="http://schemas.microsoft.com/office/drawing/2012/chart">
                  <c:ext xmlns:c16="http://schemas.microsoft.com/office/drawing/2014/chart" uri="{C3380CC4-5D6E-409C-BE32-E72D297353CC}">
                    <c16:uniqueId val="{00000011-F54E-4F2C-B67C-89E5093B052E}"/>
                  </c:ext>
                </c:extLst>
              </c15:ser>
            </c15:filteredLineSeries>
            <c15:filteredLineSeries>
              <c15:ser>
                <c:idx val="18"/>
                <c:order val="18"/>
                <c:tx>
                  <c:strRef>
                    <c:extLst xmlns:c15="http://schemas.microsoft.com/office/drawing/2012/chart">
                      <c:ext xmlns:c15="http://schemas.microsoft.com/office/drawing/2012/chart" uri="{02D57815-91ED-43cb-92C2-25804820EDAC}">
                        <c15:formulaRef>
                          <c15:sqref>'Tendencias nacionalidad'!$C$72</c15:sqref>
                        </c15:formulaRef>
                      </c:ext>
                    </c:extLst>
                    <c:strCache>
                      <c:ptCount val="1"/>
                      <c:pt idx="0">
                        <c:v>Australia</c:v>
                      </c:pt>
                    </c:strCache>
                  </c:strRef>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nacionalidad'!$D$72:$GA$72</c15:sqref>
                        </c15:fullRef>
                        <c15:formulaRef>
                          <c15:sqref>'Tendencias nacionalidad'!$D$72:$FT$72</c15:sqref>
                        </c15:formulaRef>
                      </c:ext>
                    </c:extLst>
                    <c:numCache>
                      <c:formatCode>#,##0</c:formatCode>
                      <c:ptCount val="173"/>
                      <c:pt idx="0">
                        <c:v>286</c:v>
                      </c:pt>
                      <c:pt idx="1">
                        <c:v>223</c:v>
                      </c:pt>
                      <c:pt idx="2">
                        <c:v>234</c:v>
                      </c:pt>
                      <c:pt idx="3">
                        <c:v>325</c:v>
                      </c:pt>
                      <c:pt idx="4">
                        <c:v>318</c:v>
                      </c:pt>
                      <c:pt idx="5">
                        <c:v>277</c:v>
                      </c:pt>
                      <c:pt idx="6">
                        <c:v>322</c:v>
                      </c:pt>
                      <c:pt idx="7">
                        <c:v>300</c:v>
                      </c:pt>
                      <c:pt idx="8">
                        <c:v>421</c:v>
                      </c:pt>
                      <c:pt idx="9">
                        <c:v>451</c:v>
                      </c:pt>
                      <c:pt idx="10">
                        <c:v>458</c:v>
                      </c:pt>
                      <c:pt idx="11">
                        <c:v>428</c:v>
                      </c:pt>
                      <c:pt idx="12">
                        <c:v>405</c:v>
                      </c:pt>
                      <c:pt idx="13">
                        <c:v>516</c:v>
                      </c:pt>
                      <c:pt idx="14">
                        <c:v>459</c:v>
                      </c:pt>
                      <c:pt idx="15">
                        <c:v>570</c:v>
                      </c:pt>
                      <c:pt idx="16">
                        <c:v>475</c:v>
                      </c:pt>
                      <c:pt idx="17">
                        <c:v>319</c:v>
                      </c:pt>
                      <c:pt idx="18">
                        <c:v>354</c:v>
                      </c:pt>
                      <c:pt idx="19">
                        <c:v>498</c:v>
                      </c:pt>
                      <c:pt idx="20">
                        <c:v>495</c:v>
                      </c:pt>
                      <c:pt idx="21">
                        <c:v>611</c:v>
                      </c:pt>
                      <c:pt idx="22">
                        <c:v>484</c:v>
                      </c:pt>
                      <c:pt idx="23">
                        <c:v>517</c:v>
                      </c:pt>
                      <c:pt idx="24">
                        <c:v>373</c:v>
                      </c:pt>
                      <c:pt idx="25">
                        <c:v>273</c:v>
                      </c:pt>
                      <c:pt idx="26">
                        <c:v>366</c:v>
                      </c:pt>
                      <c:pt idx="27">
                        <c:v>426</c:v>
                      </c:pt>
                      <c:pt idx="28">
                        <c:v>404</c:v>
                      </c:pt>
                      <c:pt idx="29">
                        <c:v>382</c:v>
                      </c:pt>
                      <c:pt idx="30">
                        <c:v>369</c:v>
                      </c:pt>
                      <c:pt idx="31">
                        <c:v>469</c:v>
                      </c:pt>
                      <c:pt idx="32">
                        <c:v>494</c:v>
                      </c:pt>
                      <c:pt idx="33">
                        <c:v>512</c:v>
                      </c:pt>
                      <c:pt idx="34">
                        <c:v>510</c:v>
                      </c:pt>
                      <c:pt idx="35">
                        <c:v>568</c:v>
                      </c:pt>
                      <c:pt idx="36">
                        <c:v>469</c:v>
                      </c:pt>
                      <c:pt idx="37">
                        <c:v>260</c:v>
                      </c:pt>
                      <c:pt idx="38">
                        <c:v>424</c:v>
                      </c:pt>
                      <c:pt idx="39">
                        <c:v>545</c:v>
                      </c:pt>
                      <c:pt idx="40">
                        <c:v>529</c:v>
                      </c:pt>
                      <c:pt idx="41">
                        <c:v>447</c:v>
                      </c:pt>
                      <c:pt idx="42">
                        <c:v>422</c:v>
                      </c:pt>
                      <c:pt idx="43">
                        <c:v>436</c:v>
                      </c:pt>
                      <c:pt idx="44">
                        <c:v>464</c:v>
                      </c:pt>
                      <c:pt idx="45">
                        <c:v>558</c:v>
                      </c:pt>
                      <c:pt idx="46">
                        <c:v>513</c:v>
                      </c:pt>
                      <c:pt idx="47">
                        <c:v>529</c:v>
                      </c:pt>
                      <c:pt idx="48">
                        <c:v>503</c:v>
                      </c:pt>
                      <c:pt idx="49">
                        <c:v>295</c:v>
                      </c:pt>
                      <c:pt idx="50">
                        <c:v>499</c:v>
                      </c:pt>
                      <c:pt idx="51">
                        <c:v>579</c:v>
                      </c:pt>
                      <c:pt idx="52">
                        <c:v>572</c:v>
                      </c:pt>
                      <c:pt idx="53">
                        <c:v>431</c:v>
                      </c:pt>
                      <c:pt idx="54">
                        <c:v>461</c:v>
                      </c:pt>
                      <c:pt idx="55">
                        <c:v>457</c:v>
                      </c:pt>
                      <c:pt idx="56">
                        <c:v>507</c:v>
                      </c:pt>
                      <c:pt idx="57">
                        <c:v>654</c:v>
                      </c:pt>
                      <c:pt idx="58">
                        <c:v>660</c:v>
                      </c:pt>
                      <c:pt idx="59">
                        <c:v>629</c:v>
                      </c:pt>
                      <c:pt idx="60">
                        <c:v>536</c:v>
                      </c:pt>
                      <c:pt idx="61">
                        <c:v>420</c:v>
                      </c:pt>
                      <c:pt idx="62">
                        <c:v>480</c:v>
                      </c:pt>
                      <c:pt idx="63">
                        <c:v>593</c:v>
                      </c:pt>
                      <c:pt idx="64">
                        <c:v>610</c:v>
                      </c:pt>
                      <c:pt idx="65">
                        <c:v>556</c:v>
                      </c:pt>
                      <c:pt idx="66">
                        <c:v>521</c:v>
                      </c:pt>
                      <c:pt idx="67">
                        <c:v>484</c:v>
                      </c:pt>
                      <c:pt idx="68">
                        <c:v>574</c:v>
                      </c:pt>
                      <c:pt idx="69">
                        <c:v>718</c:v>
                      </c:pt>
                      <c:pt idx="70">
                        <c:v>763</c:v>
                      </c:pt>
                      <c:pt idx="71">
                        <c:v>706</c:v>
                      </c:pt>
                      <c:pt idx="72">
                        <c:v>565</c:v>
                      </c:pt>
                      <c:pt idx="73">
                        <c:v>412</c:v>
                      </c:pt>
                      <c:pt idx="74">
                        <c:v>599</c:v>
                      </c:pt>
                      <c:pt idx="75">
                        <c:v>660</c:v>
                      </c:pt>
                      <c:pt idx="76">
                        <c:v>613</c:v>
                      </c:pt>
                      <c:pt idx="77">
                        <c:v>626</c:v>
                      </c:pt>
                      <c:pt idx="78">
                        <c:v>532</c:v>
                      </c:pt>
                      <c:pt idx="79">
                        <c:v>589</c:v>
                      </c:pt>
                      <c:pt idx="80">
                        <c:v>750</c:v>
                      </c:pt>
                      <c:pt idx="81">
                        <c:v>677</c:v>
                      </c:pt>
                      <c:pt idx="82">
                        <c:v>706</c:v>
                      </c:pt>
                      <c:pt idx="83">
                        <c:v>603</c:v>
                      </c:pt>
                      <c:pt idx="84">
                        <c:v>557</c:v>
                      </c:pt>
                      <c:pt idx="85">
                        <c:v>399</c:v>
                      </c:pt>
                      <c:pt idx="86">
                        <c:v>522</c:v>
                      </c:pt>
                      <c:pt idx="87">
                        <c:v>690</c:v>
                      </c:pt>
                      <c:pt idx="88">
                        <c:v>757</c:v>
                      </c:pt>
                      <c:pt idx="89">
                        <c:v>705</c:v>
                      </c:pt>
                      <c:pt idx="90">
                        <c:v>631</c:v>
                      </c:pt>
                      <c:pt idx="91">
                        <c:v>767</c:v>
                      </c:pt>
                      <c:pt idx="92">
                        <c:v>753</c:v>
                      </c:pt>
                      <c:pt idx="93">
                        <c:v>725</c:v>
                      </c:pt>
                      <c:pt idx="94">
                        <c:v>711</c:v>
                      </c:pt>
                      <c:pt idx="95">
                        <c:v>758</c:v>
                      </c:pt>
                      <c:pt idx="96">
                        <c:v>729</c:v>
                      </c:pt>
                      <c:pt idx="97">
                        <c:v>449</c:v>
                      </c:pt>
                      <c:pt idx="98">
                        <c:v>579</c:v>
                      </c:pt>
                      <c:pt idx="99">
                        <c:v>650</c:v>
                      </c:pt>
                      <c:pt idx="100">
                        <c:v>806</c:v>
                      </c:pt>
                      <c:pt idx="101">
                        <c:v>606</c:v>
                      </c:pt>
                      <c:pt idx="102">
                        <c:v>591</c:v>
                      </c:pt>
                      <c:pt idx="103">
                        <c:v>464</c:v>
                      </c:pt>
                      <c:pt idx="104">
                        <c:v>741</c:v>
                      </c:pt>
                      <c:pt idx="105">
                        <c:v>750</c:v>
                      </c:pt>
                      <c:pt idx="106">
                        <c:v>556</c:v>
                      </c:pt>
                      <c:pt idx="107">
                        <c:v>690</c:v>
                      </c:pt>
                      <c:pt idx="108">
                        <c:v>609</c:v>
                      </c:pt>
                      <c:pt idx="109">
                        <c:v>395</c:v>
                      </c:pt>
                      <c:pt idx="110">
                        <c:v>546</c:v>
                      </c:pt>
                      <c:pt idx="111">
                        <c:v>650</c:v>
                      </c:pt>
                      <c:pt idx="112">
                        <c:v>636</c:v>
                      </c:pt>
                      <c:pt idx="113">
                        <c:v>511</c:v>
                      </c:pt>
                      <c:pt idx="114">
                        <c:v>541</c:v>
                      </c:pt>
                      <c:pt idx="115">
                        <c:v>566</c:v>
                      </c:pt>
                      <c:pt idx="116" formatCode="General">
                        <c:v>611</c:v>
                      </c:pt>
                      <c:pt idx="117">
                        <c:v>811</c:v>
                      </c:pt>
                      <c:pt idx="118">
                        <c:v>600</c:v>
                      </c:pt>
                      <c:pt idx="119">
                        <c:v>536</c:v>
                      </c:pt>
                      <c:pt idx="120">
                        <c:v>502</c:v>
                      </c:pt>
                      <c:pt idx="121">
                        <c:v>379</c:v>
                      </c:pt>
                      <c:pt idx="122">
                        <c:v>480</c:v>
                      </c:pt>
                      <c:pt idx="123">
                        <c:v>624</c:v>
                      </c:pt>
                      <c:pt idx="124">
                        <c:v>603</c:v>
                      </c:pt>
                      <c:pt idx="125">
                        <c:v>484</c:v>
                      </c:pt>
                      <c:pt idx="126">
                        <c:v>514</c:v>
                      </c:pt>
                      <c:pt idx="127">
                        <c:v>473</c:v>
                      </c:pt>
                      <c:pt idx="128">
                        <c:v>733</c:v>
                      </c:pt>
                      <c:pt idx="129">
                        <c:v>686</c:v>
                      </c:pt>
                      <c:pt idx="130">
                        <c:v>593</c:v>
                      </c:pt>
                      <c:pt idx="131">
                        <c:v>569</c:v>
                      </c:pt>
                      <c:pt idx="132">
                        <c:v>523</c:v>
                      </c:pt>
                      <c:pt idx="133">
                        <c:v>452</c:v>
                      </c:pt>
                      <c:pt idx="134">
                        <c:v>441</c:v>
                      </c:pt>
                      <c:pt idx="135">
                        <c:v>586</c:v>
                      </c:pt>
                      <c:pt idx="136">
                        <c:v>641</c:v>
                      </c:pt>
                      <c:pt idx="137">
                        <c:v>594</c:v>
                      </c:pt>
                      <c:pt idx="138">
                        <c:v>593</c:v>
                      </c:pt>
                      <c:pt idx="139">
                        <c:v>523</c:v>
                      </c:pt>
                      <c:pt idx="140">
                        <c:v>644</c:v>
                      </c:pt>
                      <c:pt idx="141">
                        <c:v>673</c:v>
                      </c:pt>
                      <c:pt idx="142">
                        <c:v>567</c:v>
                      </c:pt>
                      <c:pt idx="143">
                        <c:v>592</c:v>
                      </c:pt>
                      <c:pt idx="144" formatCode="_(* #,##0_);_(* \(#,##0\);_(* &quot;-&quot;??_);_(@_)">
                        <c:v>571</c:v>
                      </c:pt>
                      <c:pt idx="145">
                        <c:v>364</c:v>
                      </c:pt>
                      <c:pt idx="146">
                        <c:v>471</c:v>
                      </c:pt>
                      <c:pt idx="147">
                        <c:v>623</c:v>
                      </c:pt>
                      <c:pt idx="148" formatCode="_(* #,##0_);_(* \(#,##0\);_(* &quot;-&quot;??_);_(@_)">
                        <c:v>642</c:v>
                      </c:pt>
                      <c:pt idx="149" formatCode="_(* #,##0_);_(* \(#,##0\);_(* &quot;-&quot;??_);_(@_)">
                        <c:v>533</c:v>
                      </c:pt>
                      <c:pt idx="150" formatCode="_(* #,##0_);_(* \(#,##0\);_(* &quot;-&quot;??_);_(@_)">
                        <c:v>547</c:v>
                      </c:pt>
                      <c:pt idx="151" formatCode="_(* #,##0_);_(* \(#,##0\);_(* &quot;-&quot;??_);_(@_)">
                        <c:v>544</c:v>
                      </c:pt>
                      <c:pt idx="152" formatCode="_(* #,##0_);_(* \(#,##0\);_(* &quot;-&quot;??_);_(@_)">
                        <c:v>664</c:v>
                      </c:pt>
                      <c:pt idx="153" formatCode="_(* #,##0_);_(* \(#,##0\);_(* &quot;-&quot;??_);_(@_)">
                        <c:v>547</c:v>
                      </c:pt>
                      <c:pt idx="154" formatCode="_(* #,##0_);_(* \(#,##0\);_(* &quot;-&quot;??_);_(@_)">
                        <c:v>572</c:v>
                      </c:pt>
                      <c:pt idx="155" formatCode="_(* #,##0_);_(* \(#,##0\);_(* &quot;-&quot;??_);_(@_)">
                        <c:v>604</c:v>
                      </c:pt>
                      <c:pt idx="156">
                        <c:v>647</c:v>
                      </c:pt>
                      <c:pt idx="157">
                        <c:v>431</c:v>
                      </c:pt>
                      <c:pt idx="158">
                        <c:v>182</c:v>
                      </c:pt>
                      <c:pt idx="159">
                        <c:v>2</c:v>
                      </c:pt>
                      <c:pt idx="160">
                        <c:v>4</c:v>
                      </c:pt>
                      <c:pt idx="161">
                        <c:v>5</c:v>
                      </c:pt>
                      <c:pt idx="162">
                        <c:v>7</c:v>
                      </c:pt>
                      <c:pt idx="163">
                        <c:v>5</c:v>
                      </c:pt>
                      <c:pt idx="164">
                        <c:v>7</c:v>
                      </c:pt>
                      <c:pt idx="165">
                        <c:v>13</c:v>
                      </c:pt>
                      <c:pt idx="166">
                        <c:v>30</c:v>
                      </c:pt>
                      <c:pt idx="167">
                        <c:v>13</c:v>
                      </c:pt>
                      <c:pt idx="168">
                        <c:v>13</c:v>
                      </c:pt>
                      <c:pt idx="169">
                        <c:v>4</c:v>
                      </c:pt>
                      <c:pt idx="170">
                        <c:v>13</c:v>
                      </c:pt>
                      <c:pt idx="171">
                        <c:v>17</c:v>
                      </c:pt>
                      <c:pt idx="172">
                        <c:v>13</c:v>
                      </c:pt>
                    </c:numCache>
                  </c:numRef>
                </c:val>
                <c:smooth val="0"/>
                <c:extLst xmlns:c15="http://schemas.microsoft.com/office/drawing/2012/chart">
                  <c:ext xmlns:c16="http://schemas.microsoft.com/office/drawing/2014/chart" uri="{C3380CC4-5D6E-409C-BE32-E72D297353CC}">
                    <c16:uniqueId val="{00000012-F54E-4F2C-B67C-89E5093B052E}"/>
                  </c:ext>
                </c:extLst>
              </c15:ser>
            </c15:filteredLineSeries>
            <c15:filteredLineSeries>
              <c15:ser>
                <c:idx val="19"/>
                <c:order val="19"/>
                <c:tx>
                  <c:strRef>
                    <c:extLst xmlns:c15="http://schemas.microsoft.com/office/drawing/2012/chart">
                      <c:ext xmlns:c15="http://schemas.microsoft.com/office/drawing/2012/chart" uri="{02D57815-91ED-43cb-92C2-25804820EDAC}">
                        <c15:formulaRef>
                          <c15:sqref>'Tendencias nacionalidad'!$C$73</c15:sqref>
                        </c15:formulaRef>
                      </c:ext>
                    </c:extLst>
                    <c:strCache>
                      <c:ptCount val="1"/>
                      <c:pt idx="0">
                        <c:v>Costa Rica</c:v>
                      </c:pt>
                    </c:strCache>
                  </c:strRef>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nacionalidad'!$D$73:$GA$73</c15:sqref>
                        </c15:fullRef>
                        <c15:formulaRef>
                          <c15:sqref>'Tendencias nacionalidad'!$D$73:$FT$73</c15:sqref>
                        </c15:formulaRef>
                      </c:ext>
                    </c:extLst>
                    <c:numCache>
                      <c:formatCode>#,##0</c:formatCode>
                      <c:ptCount val="173"/>
                      <c:pt idx="0">
                        <c:v>113</c:v>
                      </c:pt>
                      <c:pt idx="1">
                        <c:v>80</c:v>
                      </c:pt>
                      <c:pt idx="2">
                        <c:v>131</c:v>
                      </c:pt>
                      <c:pt idx="3">
                        <c:v>89</c:v>
                      </c:pt>
                      <c:pt idx="4">
                        <c:v>83</c:v>
                      </c:pt>
                      <c:pt idx="5">
                        <c:v>111</c:v>
                      </c:pt>
                      <c:pt idx="6">
                        <c:v>125</c:v>
                      </c:pt>
                      <c:pt idx="7">
                        <c:v>125</c:v>
                      </c:pt>
                      <c:pt idx="8">
                        <c:v>216</c:v>
                      </c:pt>
                      <c:pt idx="9">
                        <c:v>145</c:v>
                      </c:pt>
                      <c:pt idx="10">
                        <c:v>163</c:v>
                      </c:pt>
                      <c:pt idx="11">
                        <c:v>118</c:v>
                      </c:pt>
                      <c:pt idx="12">
                        <c:v>101</c:v>
                      </c:pt>
                      <c:pt idx="13">
                        <c:v>137</c:v>
                      </c:pt>
                      <c:pt idx="14">
                        <c:v>136</c:v>
                      </c:pt>
                      <c:pt idx="15">
                        <c:v>129</c:v>
                      </c:pt>
                      <c:pt idx="16">
                        <c:v>159</c:v>
                      </c:pt>
                      <c:pt idx="17">
                        <c:v>162</c:v>
                      </c:pt>
                      <c:pt idx="18">
                        <c:v>179</c:v>
                      </c:pt>
                      <c:pt idx="19">
                        <c:v>205</c:v>
                      </c:pt>
                      <c:pt idx="20">
                        <c:v>213</c:v>
                      </c:pt>
                      <c:pt idx="21">
                        <c:v>255</c:v>
                      </c:pt>
                      <c:pt idx="22">
                        <c:v>461</c:v>
                      </c:pt>
                      <c:pt idx="23">
                        <c:v>158</c:v>
                      </c:pt>
                      <c:pt idx="24">
                        <c:v>143</c:v>
                      </c:pt>
                      <c:pt idx="25">
                        <c:v>169</c:v>
                      </c:pt>
                      <c:pt idx="26">
                        <c:v>150</c:v>
                      </c:pt>
                      <c:pt idx="27">
                        <c:v>150</c:v>
                      </c:pt>
                      <c:pt idx="28">
                        <c:v>149</c:v>
                      </c:pt>
                      <c:pt idx="29">
                        <c:v>148</c:v>
                      </c:pt>
                      <c:pt idx="30">
                        <c:v>177</c:v>
                      </c:pt>
                      <c:pt idx="31">
                        <c:v>202</c:v>
                      </c:pt>
                      <c:pt idx="32">
                        <c:v>177</c:v>
                      </c:pt>
                      <c:pt idx="33">
                        <c:v>142</c:v>
                      </c:pt>
                      <c:pt idx="34">
                        <c:v>186</c:v>
                      </c:pt>
                      <c:pt idx="35">
                        <c:v>313</c:v>
                      </c:pt>
                      <c:pt idx="36">
                        <c:v>183</c:v>
                      </c:pt>
                      <c:pt idx="37">
                        <c:v>334</c:v>
                      </c:pt>
                      <c:pt idx="38">
                        <c:v>252</c:v>
                      </c:pt>
                      <c:pt idx="39">
                        <c:v>204</c:v>
                      </c:pt>
                      <c:pt idx="40">
                        <c:v>152</c:v>
                      </c:pt>
                      <c:pt idx="41">
                        <c:v>152</c:v>
                      </c:pt>
                      <c:pt idx="42">
                        <c:v>230</c:v>
                      </c:pt>
                      <c:pt idx="43">
                        <c:v>176</c:v>
                      </c:pt>
                      <c:pt idx="44">
                        <c:v>157</c:v>
                      </c:pt>
                      <c:pt idx="45">
                        <c:v>172</c:v>
                      </c:pt>
                      <c:pt idx="46">
                        <c:v>217</c:v>
                      </c:pt>
                      <c:pt idx="47">
                        <c:v>253</c:v>
                      </c:pt>
                      <c:pt idx="48">
                        <c:v>153</c:v>
                      </c:pt>
                      <c:pt idx="49">
                        <c:v>142</c:v>
                      </c:pt>
                      <c:pt idx="50">
                        <c:v>164</c:v>
                      </c:pt>
                      <c:pt idx="51">
                        <c:v>293</c:v>
                      </c:pt>
                      <c:pt idx="52">
                        <c:v>171</c:v>
                      </c:pt>
                      <c:pt idx="53">
                        <c:v>173</c:v>
                      </c:pt>
                      <c:pt idx="54">
                        <c:v>231</c:v>
                      </c:pt>
                      <c:pt idx="55">
                        <c:v>197</c:v>
                      </c:pt>
                      <c:pt idx="56">
                        <c:v>245</c:v>
                      </c:pt>
                      <c:pt idx="57">
                        <c:v>280</c:v>
                      </c:pt>
                      <c:pt idx="58">
                        <c:v>283</c:v>
                      </c:pt>
                      <c:pt idx="59">
                        <c:v>243</c:v>
                      </c:pt>
                      <c:pt idx="60">
                        <c:v>268</c:v>
                      </c:pt>
                      <c:pt idx="61">
                        <c:v>150</c:v>
                      </c:pt>
                      <c:pt idx="62">
                        <c:v>224</c:v>
                      </c:pt>
                      <c:pt idx="63">
                        <c:v>227</c:v>
                      </c:pt>
                      <c:pt idx="64">
                        <c:v>202</c:v>
                      </c:pt>
                      <c:pt idx="65">
                        <c:v>282</c:v>
                      </c:pt>
                      <c:pt idx="66">
                        <c:v>254</c:v>
                      </c:pt>
                      <c:pt idx="67">
                        <c:v>203</c:v>
                      </c:pt>
                      <c:pt idx="68">
                        <c:v>282</c:v>
                      </c:pt>
                      <c:pt idx="69">
                        <c:v>257</c:v>
                      </c:pt>
                      <c:pt idx="70">
                        <c:v>199</c:v>
                      </c:pt>
                      <c:pt idx="71">
                        <c:v>315</c:v>
                      </c:pt>
                      <c:pt idx="72">
                        <c:v>272</c:v>
                      </c:pt>
                      <c:pt idx="73">
                        <c:v>189</c:v>
                      </c:pt>
                      <c:pt idx="74">
                        <c:v>443</c:v>
                      </c:pt>
                      <c:pt idx="75">
                        <c:v>360</c:v>
                      </c:pt>
                      <c:pt idx="76">
                        <c:v>387</c:v>
                      </c:pt>
                      <c:pt idx="77">
                        <c:v>395</c:v>
                      </c:pt>
                      <c:pt idx="78">
                        <c:v>479</c:v>
                      </c:pt>
                      <c:pt idx="79">
                        <c:v>345</c:v>
                      </c:pt>
                      <c:pt idx="80">
                        <c:v>386</c:v>
                      </c:pt>
                      <c:pt idx="81">
                        <c:v>394</c:v>
                      </c:pt>
                      <c:pt idx="82">
                        <c:v>424</c:v>
                      </c:pt>
                      <c:pt idx="83">
                        <c:v>430</c:v>
                      </c:pt>
                      <c:pt idx="84">
                        <c:v>349</c:v>
                      </c:pt>
                      <c:pt idx="85">
                        <c:v>333</c:v>
                      </c:pt>
                      <c:pt idx="86">
                        <c:v>286</c:v>
                      </c:pt>
                      <c:pt idx="87">
                        <c:v>303</c:v>
                      </c:pt>
                      <c:pt idx="88">
                        <c:v>228</c:v>
                      </c:pt>
                      <c:pt idx="89">
                        <c:v>316</c:v>
                      </c:pt>
                      <c:pt idx="90">
                        <c:v>267</c:v>
                      </c:pt>
                      <c:pt idx="91">
                        <c:v>252</c:v>
                      </c:pt>
                      <c:pt idx="92">
                        <c:v>253</c:v>
                      </c:pt>
                      <c:pt idx="93">
                        <c:v>338</c:v>
                      </c:pt>
                      <c:pt idx="94">
                        <c:v>304</c:v>
                      </c:pt>
                      <c:pt idx="95">
                        <c:v>275</c:v>
                      </c:pt>
                      <c:pt idx="96">
                        <c:v>278</c:v>
                      </c:pt>
                      <c:pt idx="97">
                        <c:v>193</c:v>
                      </c:pt>
                      <c:pt idx="98">
                        <c:v>249</c:v>
                      </c:pt>
                      <c:pt idx="99">
                        <c:v>229</c:v>
                      </c:pt>
                      <c:pt idx="100">
                        <c:v>231</c:v>
                      </c:pt>
                      <c:pt idx="101">
                        <c:v>190</c:v>
                      </c:pt>
                      <c:pt idx="102">
                        <c:v>322</c:v>
                      </c:pt>
                      <c:pt idx="103">
                        <c:v>196</c:v>
                      </c:pt>
                      <c:pt idx="104">
                        <c:v>227</c:v>
                      </c:pt>
                      <c:pt idx="105">
                        <c:v>228</c:v>
                      </c:pt>
                      <c:pt idx="106">
                        <c:v>256</c:v>
                      </c:pt>
                      <c:pt idx="107">
                        <c:v>262</c:v>
                      </c:pt>
                      <c:pt idx="108">
                        <c:v>237</c:v>
                      </c:pt>
                      <c:pt idx="109">
                        <c:v>168</c:v>
                      </c:pt>
                      <c:pt idx="110">
                        <c:v>204</c:v>
                      </c:pt>
                      <c:pt idx="111">
                        <c:v>199</c:v>
                      </c:pt>
                      <c:pt idx="112">
                        <c:v>158</c:v>
                      </c:pt>
                      <c:pt idx="113">
                        <c:v>188</c:v>
                      </c:pt>
                      <c:pt idx="114">
                        <c:v>339</c:v>
                      </c:pt>
                      <c:pt idx="115">
                        <c:v>179</c:v>
                      </c:pt>
                      <c:pt idx="116" formatCode="General">
                        <c:v>191</c:v>
                      </c:pt>
                      <c:pt idx="117">
                        <c:v>315</c:v>
                      </c:pt>
                      <c:pt idx="118">
                        <c:v>275</c:v>
                      </c:pt>
                      <c:pt idx="119">
                        <c:v>226</c:v>
                      </c:pt>
                      <c:pt idx="120">
                        <c:v>390</c:v>
                      </c:pt>
                      <c:pt idx="121">
                        <c:v>471</c:v>
                      </c:pt>
                      <c:pt idx="122">
                        <c:v>444</c:v>
                      </c:pt>
                      <c:pt idx="123">
                        <c:v>759</c:v>
                      </c:pt>
                      <c:pt idx="124">
                        <c:v>521</c:v>
                      </c:pt>
                      <c:pt idx="125">
                        <c:v>439</c:v>
                      </c:pt>
                      <c:pt idx="126">
                        <c:v>488</c:v>
                      </c:pt>
                      <c:pt idx="127">
                        <c:v>356</c:v>
                      </c:pt>
                      <c:pt idx="128">
                        <c:v>426</c:v>
                      </c:pt>
                      <c:pt idx="129">
                        <c:v>447</c:v>
                      </c:pt>
                      <c:pt idx="130">
                        <c:v>495</c:v>
                      </c:pt>
                      <c:pt idx="131">
                        <c:v>605</c:v>
                      </c:pt>
                      <c:pt idx="132">
                        <c:v>506</c:v>
                      </c:pt>
                      <c:pt idx="133">
                        <c:v>426</c:v>
                      </c:pt>
                      <c:pt idx="134">
                        <c:v>456</c:v>
                      </c:pt>
                      <c:pt idx="135">
                        <c:v>390</c:v>
                      </c:pt>
                      <c:pt idx="136">
                        <c:v>427</c:v>
                      </c:pt>
                      <c:pt idx="137">
                        <c:v>471</c:v>
                      </c:pt>
                      <c:pt idx="138">
                        <c:v>587</c:v>
                      </c:pt>
                      <c:pt idx="139">
                        <c:v>397</c:v>
                      </c:pt>
                      <c:pt idx="140">
                        <c:v>461</c:v>
                      </c:pt>
                      <c:pt idx="141">
                        <c:v>502</c:v>
                      </c:pt>
                      <c:pt idx="142">
                        <c:v>499</c:v>
                      </c:pt>
                      <c:pt idx="143">
                        <c:v>531</c:v>
                      </c:pt>
                      <c:pt idx="144" formatCode="_(* #,##0_);_(* \(#,##0\);_(* &quot;-&quot;??_);_(@_)">
                        <c:v>495</c:v>
                      </c:pt>
                      <c:pt idx="145">
                        <c:v>377</c:v>
                      </c:pt>
                      <c:pt idx="146">
                        <c:v>451</c:v>
                      </c:pt>
                      <c:pt idx="147">
                        <c:v>422</c:v>
                      </c:pt>
                      <c:pt idx="148" formatCode="_(* #,##0_);_(* \(#,##0\);_(* &quot;-&quot;??_);_(@_)">
                        <c:v>387</c:v>
                      </c:pt>
                      <c:pt idx="149" formatCode="_(* #,##0_);_(* \(#,##0\);_(* &quot;-&quot;??_);_(@_)">
                        <c:v>474</c:v>
                      </c:pt>
                      <c:pt idx="150" formatCode="_(* #,##0_);_(* \(#,##0\);_(* &quot;-&quot;??_);_(@_)">
                        <c:v>548</c:v>
                      </c:pt>
                      <c:pt idx="151" formatCode="_(* #,##0_);_(* \(#,##0\);_(* &quot;-&quot;??_);_(@_)">
                        <c:v>402</c:v>
                      </c:pt>
                      <c:pt idx="152" formatCode="_(* #,##0_);_(* \(#,##0\);_(* &quot;-&quot;??_);_(@_)">
                        <c:v>511</c:v>
                      </c:pt>
                      <c:pt idx="153" formatCode="_(* #,##0_);_(* \(#,##0\);_(* &quot;-&quot;??_);_(@_)">
                        <c:v>346</c:v>
                      </c:pt>
                      <c:pt idx="154" formatCode="_(* #,##0_);_(* \(#,##0\);_(* &quot;-&quot;??_);_(@_)">
                        <c:v>543</c:v>
                      </c:pt>
                      <c:pt idx="155" formatCode="_(* #,##0_);_(* \(#,##0\);_(* &quot;-&quot;??_);_(@_)">
                        <c:v>517</c:v>
                      </c:pt>
                      <c:pt idx="156">
                        <c:v>505</c:v>
                      </c:pt>
                      <c:pt idx="157">
                        <c:v>402</c:v>
                      </c:pt>
                      <c:pt idx="158">
                        <c:v>207</c:v>
                      </c:pt>
                      <c:pt idx="160">
                        <c:v>1</c:v>
                      </c:pt>
                      <c:pt idx="161">
                        <c:v>2</c:v>
                      </c:pt>
                      <c:pt idx="162">
                        <c:v>1</c:v>
                      </c:pt>
                      <c:pt idx="163">
                        <c:v>5</c:v>
                      </c:pt>
                      <c:pt idx="164">
                        <c:v>3</c:v>
                      </c:pt>
                      <c:pt idx="165">
                        <c:v>9</c:v>
                      </c:pt>
                      <c:pt idx="166">
                        <c:v>56</c:v>
                      </c:pt>
                      <c:pt idx="167">
                        <c:v>61</c:v>
                      </c:pt>
                      <c:pt idx="168">
                        <c:v>44</c:v>
                      </c:pt>
                      <c:pt idx="169">
                        <c:v>33</c:v>
                      </c:pt>
                      <c:pt idx="170">
                        <c:v>81</c:v>
                      </c:pt>
                      <c:pt idx="171">
                        <c:v>34</c:v>
                      </c:pt>
                      <c:pt idx="172">
                        <c:v>41</c:v>
                      </c:pt>
                    </c:numCache>
                  </c:numRef>
                </c:val>
                <c:smooth val="0"/>
                <c:extLst xmlns:c15="http://schemas.microsoft.com/office/drawing/2012/chart">
                  <c:ext xmlns:c16="http://schemas.microsoft.com/office/drawing/2014/chart" uri="{C3380CC4-5D6E-409C-BE32-E72D297353CC}">
                    <c16:uniqueId val="{00000013-F54E-4F2C-B67C-89E5093B052E}"/>
                  </c:ext>
                </c:extLst>
              </c15:ser>
            </c15:filteredLineSeries>
            <c15:filteredLineSeries>
              <c15:ser>
                <c:idx val="20"/>
                <c:order val="20"/>
                <c:tx>
                  <c:strRef>
                    <c:extLst xmlns:c15="http://schemas.microsoft.com/office/drawing/2012/chart">
                      <c:ext xmlns:c15="http://schemas.microsoft.com/office/drawing/2012/chart" uri="{02D57815-91ED-43cb-92C2-25804820EDAC}">
                        <c15:formulaRef>
                          <c15:sqref>'Tendencias nacionalidad'!$C$74</c15:sqref>
                        </c15:formulaRef>
                      </c:ext>
                    </c:extLst>
                    <c:strCache>
                      <c:ptCount val="1"/>
                      <c:pt idx="0">
                        <c:v>Bélgica</c:v>
                      </c:pt>
                    </c:strCache>
                  </c:strRef>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nacionalidad'!$D$74:$GA$74</c15:sqref>
                        </c15:fullRef>
                        <c15:formulaRef>
                          <c15:sqref>'Tendencias nacionalidad'!$D$74:$FT$74</c15:sqref>
                        </c15:formulaRef>
                      </c:ext>
                    </c:extLst>
                    <c:numCache>
                      <c:formatCode>#,##0</c:formatCode>
                      <c:ptCount val="173"/>
                      <c:pt idx="0">
                        <c:v>191</c:v>
                      </c:pt>
                      <c:pt idx="1">
                        <c:v>147</c:v>
                      </c:pt>
                      <c:pt idx="2">
                        <c:v>184</c:v>
                      </c:pt>
                      <c:pt idx="3">
                        <c:v>164</c:v>
                      </c:pt>
                      <c:pt idx="4">
                        <c:v>171</c:v>
                      </c:pt>
                      <c:pt idx="5">
                        <c:v>315</c:v>
                      </c:pt>
                      <c:pt idx="6">
                        <c:v>438</c:v>
                      </c:pt>
                      <c:pt idx="7">
                        <c:v>326</c:v>
                      </c:pt>
                      <c:pt idx="8">
                        <c:v>276</c:v>
                      </c:pt>
                      <c:pt idx="9">
                        <c:v>312</c:v>
                      </c:pt>
                      <c:pt idx="10">
                        <c:v>240</c:v>
                      </c:pt>
                      <c:pt idx="11">
                        <c:v>141</c:v>
                      </c:pt>
                      <c:pt idx="12">
                        <c:v>227</c:v>
                      </c:pt>
                      <c:pt idx="13">
                        <c:v>309</c:v>
                      </c:pt>
                      <c:pt idx="14">
                        <c:v>244</c:v>
                      </c:pt>
                      <c:pt idx="15">
                        <c:v>211</c:v>
                      </c:pt>
                      <c:pt idx="16">
                        <c:v>218</c:v>
                      </c:pt>
                      <c:pt idx="17">
                        <c:v>331</c:v>
                      </c:pt>
                      <c:pt idx="18">
                        <c:v>626</c:v>
                      </c:pt>
                      <c:pt idx="19">
                        <c:v>308</c:v>
                      </c:pt>
                      <c:pt idx="20">
                        <c:v>265</c:v>
                      </c:pt>
                      <c:pt idx="21">
                        <c:v>268</c:v>
                      </c:pt>
                      <c:pt idx="22">
                        <c:v>267</c:v>
                      </c:pt>
                      <c:pt idx="23">
                        <c:v>167</c:v>
                      </c:pt>
                      <c:pt idx="24">
                        <c:v>197</c:v>
                      </c:pt>
                      <c:pt idx="25">
                        <c:v>192</c:v>
                      </c:pt>
                      <c:pt idx="26">
                        <c:v>173</c:v>
                      </c:pt>
                      <c:pt idx="27">
                        <c:v>357</c:v>
                      </c:pt>
                      <c:pt idx="28">
                        <c:v>355</c:v>
                      </c:pt>
                      <c:pt idx="29">
                        <c:v>353</c:v>
                      </c:pt>
                      <c:pt idx="30">
                        <c:v>540</c:v>
                      </c:pt>
                      <c:pt idx="31">
                        <c:v>350</c:v>
                      </c:pt>
                      <c:pt idx="32">
                        <c:v>282</c:v>
                      </c:pt>
                      <c:pt idx="33">
                        <c:v>316</c:v>
                      </c:pt>
                      <c:pt idx="34">
                        <c:v>221</c:v>
                      </c:pt>
                      <c:pt idx="35">
                        <c:v>212</c:v>
                      </c:pt>
                      <c:pt idx="36">
                        <c:v>233</c:v>
                      </c:pt>
                      <c:pt idx="37">
                        <c:v>194</c:v>
                      </c:pt>
                      <c:pt idx="38">
                        <c:v>155</c:v>
                      </c:pt>
                      <c:pt idx="39">
                        <c:v>196</c:v>
                      </c:pt>
                      <c:pt idx="40">
                        <c:v>171</c:v>
                      </c:pt>
                      <c:pt idx="41">
                        <c:v>316</c:v>
                      </c:pt>
                      <c:pt idx="42">
                        <c:v>607</c:v>
                      </c:pt>
                      <c:pt idx="43">
                        <c:v>289</c:v>
                      </c:pt>
                      <c:pt idx="44">
                        <c:v>282</c:v>
                      </c:pt>
                      <c:pt idx="45">
                        <c:v>216</c:v>
                      </c:pt>
                      <c:pt idx="46">
                        <c:v>267</c:v>
                      </c:pt>
                      <c:pt idx="47">
                        <c:v>190</c:v>
                      </c:pt>
                      <c:pt idx="48">
                        <c:v>184</c:v>
                      </c:pt>
                      <c:pt idx="49">
                        <c:v>211</c:v>
                      </c:pt>
                      <c:pt idx="50">
                        <c:v>169</c:v>
                      </c:pt>
                      <c:pt idx="51">
                        <c:v>205</c:v>
                      </c:pt>
                      <c:pt idx="52">
                        <c:v>200</c:v>
                      </c:pt>
                      <c:pt idx="53">
                        <c:v>313</c:v>
                      </c:pt>
                      <c:pt idx="54">
                        <c:v>620</c:v>
                      </c:pt>
                      <c:pt idx="55">
                        <c:v>258</c:v>
                      </c:pt>
                      <c:pt idx="56">
                        <c:v>275</c:v>
                      </c:pt>
                      <c:pt idx="57">
                        <c:v>302</c:v>
                      </c:pt>
                      <c:pt idx="58">
                        <c:v>305</c:v>
                      </c:pt>
                      <c:pt idx="59">
                        <c:v>214</c:v>
                      </c:pt>
                      <c:pt idx="60">
                        <c:v>196</c:v>
                      </c:pt>
                      <c:pt idx="61">
                        <c:v>218</c:v>
                      </c:pt>
                      <c:pt idx="62">
                        <c:v>222</c:v>
                      </c:pt>
                      <c:pt idx="63">
                        <c:v>155</c:v>
                      </c:pt>
                      <c:pt idx="64">
                        <c:v>206</c:v>
                      </c:pt>
                      <c:pt idx="65">
                        <c:v>450</c:v>
                      </c:pt>
                      <c:pt idx="66">
                        <c:v>575</c:v>
                      </c:pt>
                      <c:pt idx="67">
                        <c:v>291</c:v>
                      </c:pt>
                      <c:pt idx="68">
                        <c:v>229</c:v>
                      </c:pt>
                      <c:pt idx="69">
                        <c:v>271</c:v>
                      </c:pt>
                      <c:pt idx="70">
                        <c:v>261</c:v>
                      </c:pt>
                      <c:pt idx="71">
                        <c:v>255</c:v>
                      </c:pt>
                      <c:pt idx="72">
                        <c:v>204</c:v>
                      </c:pt>
                      <c:pt idx="73">
                        <c:v>192</c:v>
                      </c:pt>
                      <c:pt idx="74">
                        <c:v>280</c:v>
                      </c:pt>
                      <c:pt idx="75">
                        <c:v>160</c:v>
                      </c:pt>
                      <c:pt idx="76">
                        <c:v>223</c:v>
                      </c:pt>
                      <c:pt idx="77">
                        <c:v>404</c:v>
                      </c:pt>
                      <c:pt idx="78">
                        <c:v>597</c:v>
                      </c:pt>
                      <c:pt idx="79">
                        <c:v>307</c:v>
                      </c:pt>
                      <c:pt idx="80">
                        <c:v>259</c:v>
                      </c:pt>
                      <c:pt idx="81">
                        <c:v>272</c:v>
                      </c:pt>
                      <c:pt idx="82">
                        <c:v>263</c:v>
                      </c:pt>
                      <c:pt idx="83">
                        <c:v>290</c:v>
                      </c:pt>
                      <c:pt idx="84">
                        <c:v>251</c:v>
                      </c:pt>
                      <c:pt idx="85">
                        <c:v>233</c:v>
                      </c:pt>
                      <c:pt idx="86">
                        <c:v>238</c:v>
                      </c:pt>
                      <c:pt idx="87">
                        <c:v>277</c:v>
                      </c:pt>
                      <c:pt idx="88">
                        <c:v>207</c:v>
                      </c:pt>
                      <c:pt idx="89">
                        <c:v>470</c:v>
                      </c:pt>
                      <c:pt idx="90">
                        <c:v>549</c:v>
                      </c:pt>
                      <c:pt idx="91">
                        <c:v>239</c:v>
                      </c:pt>
                      <c:pt idx="92">
                        <c:v>269</c:v>
                      </c:pt>
                      <c:pt idx="93">
                        <c:v>283</c:v>
                      </c:pt>
                      <c:pt idx="94">
                        <c:v>246</c:v>
                      </c:pt>
                      <c:pt idx="95">
                        <c:v>254</c:v>
                      </c:pt>
                      <c:pt idx="96">
                        <c:v>241</c:v>
                      </c:pt>
                      <c:pt idx="97">
                        <c:v>223</c:v>
                      </c:pt>
                      <c:pt idx="98">
                        <c:v>216</c:v>
                      </c:pt>
                      <c:pt idx="99">
                        <c:v>246</c:v>
                      </c:pt>
                      <c:pt idx="100">
                        <c:v>178</c:v>
                      </c:pt>
                      <c:pt idx="101">
                        <c:v>422</c:v>
                      </c:pt>
                      <c:pt idx="102">
                        <c:v>543</c:v>
                      </c:pt>
                      <c:pt idx="103">
                        <c:v>270</c:v>
                      </c:pt>
                      <c:pt idx="104">
                        <c:v>258</c:v>
                      </c:pt>
                      <c:pt idx="105">
                        <c:v>297</c:v>
                      </c:pt>
                      <c:pt idx="106">
                        <c:v>250</c:v>
                      </c:pt>
                      <c:pt idx="107">
                        <c:v>227</c:v>
                      </c:pt>
                      <c:pt idx="108">
                        <c:v>280</c:v>
                      </c:pt>
                      <c:pt idx="109">
                        <c:v>197</c:v>
                      </c:pt>
                      <c:pt idx="110">
                        <c:v>236</c:v>
                      </c:pt>
                      <c:pt idx="111">
                        <c:v>158</c:v>
                      </c:pt>
                      <c:pt idx="112">
                        <c:v>178</c:v>
                      </c:pt>
                      <c:pt idx="113">
                        <c:v>492</c:v>
                      </c:pt>
                      <c:pt idx="114">
                        <c:v>634</c:v>
                      </c:pt>
                      <c:pt idx="115">
                        <c:v>279</c:v>
                      </c:pt>
                      <c:pt idx="116" formatCode="General">
                        <c:v>280</c:v>
                      </c:pt>
                      <c:pt idx="117">
                        <c:v>301</c:v>
                      </c:pt>
                      <c:pt idx="118">
                        <c:v>213</c:v>
                      </c:pt>
                      <c:pt idx="119">
                        <c:v>198</c:v>
                      </c:pt>
                      <c:pt idx="120">
                        <c:v>219</c:v>
                      </c:pt>
                      <c:pt idx="121">
                        <c:v>171</c:v>
                      </c:pt>
                      <c:pt idx="122">
                        <c:v>217</c:v>
                      </c:pt>
                      <c:pt idx="123">
                        <c:v>219</c:v>
                      </c:pt>
                      <c:pt idx="124">
                        <c:v>146</c:v>
                      </c:pt>
                      <c:pt idx="125">
                        <c:v>398</c:v>
                      </c:pt>
                      <c:pt idx="126">
                        <c:v>590</c:v>
                      </c:pt>
                      <c:pt idx="127">
                        <c:v>340</c:v>
                      </c:pt>
                      <c:pt idx="128">
                        <c:v>296</c:v>
                      </c:pt>
                      <c:pt idx="129">
                        <c:v>261</c:v>
                      </c:pt>
                      <c:pt idx="130">
                        <c:v>257</c:v>
                      </c:pt>
                      <c:pt idx="131">
                        <c:v>209</c:v>
                      </c:pt>
                      <c:pt idx="132">
                        <c:v>187</c:v>
                      </c:pt>
                      <c:pt idx="133">
                        <c:v>221</c:v>
                      </c:pt>
                      <c:pt idx="134">
                        <c:v>298</c:v>
                      </c:pt>
                      <c:pt idx="135">
                        <c:v>220</c:v>
                      </c:pt>
                      <c:pt idx="136">
                        <c:v>271</c:v>
                      </c:pt>
                      <c:pt idx="137">
                        <c:v>384</c:v>
                      </c:pt>
                      <c:pt idx="138">
                        <c:v>705</c:v>
                      </c:pt>
                      <c:pt idx="139">
                        <c:v>361</c:v>
                      </c:pt>
                      <c:pt idx="140">
                        <c:v>355</c:v>
                      </c:pt>
                      <c:pt idx="141">
                        <c:v>351</c:v>
                      </c:pt>
                      <c:pt idx="142">
                        <c:v>305</c:v>
                      </c:pt>
                      <c:pt idx="143">
                        <c:v>277</c:v>
                      </c:pt>
                      <c:pt idx="144" formatCode="_(* #,##0_);_(* \(#,##0\);_(* &quot;-&quot;??_);_(@_)">
                        <c:v>216</c:v>
                      </c:pt>
                      <c:pt idx="145">
                        <c:v>230</c:v>
                      </c:pt>
                      <c:pt idx="146">
                        <c:v>215</c:v>
                      </c:pt>
                      <c:pt idx="147">
                        <c:v>326</c:v>
                      </c:pt>
                      <c:pt idx="148" formatCode="_(* #,##0_);_(* \(#,##0\);_(* &quot;-&quot;??_);_(@_)">
                        <c:v>321</c:v>
                      </c:pt>
                      <c:pt idx="149" formatCode="_(* #,##0_);_(* \(#,##0\);_(* &quot;-&quot;??_);_(@_)">
                        <c:v>638</c:v>
                      </c:pt>
                      <c:pt idx="150" formatCode="_(* #,##0_);_(* \(#,##0\);_(* &quot;-&quot;??_);_(@_)">
                        <c:v>876</c:v>
                      </c:pt>
                      <c:pt idx="151" formatCode="_(* #,##0_);_(* \(#,##0\);_(* &quot;-&quot;??_);_(@_)">
                        <c:v>440</c:v>
                      </c:pt>
                      <c:pt idx="152" formatCode="_(* #,##0_);_(* \(#,##0\);_(* &quot;-&quot;??_);_(@_)">
                        <c:v>523</c:v>
                      </c:pt>
                      <c:pt idx="153" formatCode="_(* #,##0_);_(* \(#,##0\);_(* &quot;-&quot;??_);_(@_)">
                        <c:v>295</c:v>
                      </c:pt>
                      <c:pt idx="154" formatCode="_(* #,##0_);_(* \(#,##0\);_(* &quot;-&quot;??_);_(@_)">
                        <c:v>448</c:v>
                      </c:pt>
                      <c:pt idx="155" formatCode="_(* #,##0_);_(* \(#,##0\);_(* &quot;-&quot;??_);_(@_)">
                        <c:v>423</c:v>
                      </c:pt>
                      <c:pt idx="156">
                        <c:v>342</c:v>
                      </c:pt>
                      <c:pt idx="157">
                        <c:v>340</c:v>
                      </c:pt>
                      <c:pt idx="158">
                        <c:v>151</c:v>
                      </c:pt>
                      <c:pt idx="159">
                        <c:v>4</c:v>
                      </c:pt>
                      <c:pt idx="160">
                        <c:v>5</c:v>
                      </c:pt>
                      <c:pt idx="161">
                        <c:v>9</c:v>
                      </c:pt>
                      <c:pt idx="162">
                        <c:v>33</c:v>
                      </c:pt>
                      <c:pt idx="163">
                        <c:v>28</c:v>
                      </c:pt>
                      <c:pt idx="164">
                        <c:v>23</c:v>
                      </c:pt>
                      <c:pt idx="165">
                        <c:v>33</c:v>
                      </c:pt>
                      <c:pt idx="166">
                        <c:v>34</c:v>
                      </c:pt>
                      <c:pt idx="167">
                        <c:v>93</c:v>
                      </c:pt>
                      <c:pt idx="168">
                        <c:v>62</c:v>
                      </c:pt>
                      <c:pt idx="169">
                        <c:v>42</c:v>
                      </c:pt>
                      <c:pt idx="170">
                        <c:v>56</c:v>
                      </c:pt>
                      <c:pt idx="171">
                        <c:v>68</c:v>
                      </c:pt>
                      <c:pt idx="172">
                        <c:v>55</c:v>
                      </c:pt>
                    </c:numCache>
                  </c:numRef>
                </c:val>
                <c:smooth val="0"/>
                <c:extLst xmlns:c15="http://schemas.microsoft.com/office/drawing/2012/chart">
                  <c:ext xmlns:c16="http://schemas.microsoft.com/office/drawing/2014/chart" uri="{C3380CC4-5D6E-409C-BE32-E72D297353CC}">
                    <c16:uniqueId val="{00000014-F54E-4F2C-B67C-89E5093B052E}"/>
                  </c:ext>
                </c:extLst>
              </c15:ser>
            </c15:filteredLineSeries>
            <c15:filteredLineSeries>
              <c15:ser>
                <c:idx val="21"/>
                <c:order val="21"/>
                <c:tx>
                  <c:strRef>
                    <c:extLst xmlns:c15="http://schemas.microsoft.com/office/drawing/2012/chart">
                      <c:ext xmlns:c15="http://schemas.microsoft.com/office/drawing/2012/chart" uri="{02D57815-91ED-43cb-92C2-25804820EDAC}">
                        <c15:formulaRef>
                          <c15:sqref>'Tendencias nacionalidad'!$C$75</c15:sqref>
                        </c15:formulaRef>
                      </c:ext>
                    </c:extLst>
                    <c:strCache>
                      <c:ptCount val="1"/>
                      <c:pt idx="0">
                        <c:v>Japón</c:v>
                      </c:pt>
                    </c:strCache>
                  </c:strRef>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nacionalidad'!$D$75:$GA$75</c15:sqref>
                        </c15:fullRef>
                        <c15:formulaRef>
                          <c15:sqref>'Tendencias nacionalidad'!$D$75:$FT$75</c15:sqref>
                        </c15:formulaRef>
                      </c:ext>
                    </c:extLst>
                    <c:numCache>
                      <c:formatCode>#,##0</c:formatCode>
                      <c:ptCount val="173"/>
                      <c:pt idx="0">
                        <c:v>164</c:v>
                      </c:pt>
                      <c:pt idx="1">
                        <c:v>248</c:v>
                      </c:pt>
                      <c:pt idx="2">
                        <c:v>234</c:v>
                      </c:pt>
                      <c:pt idx="3">
                        <c:v>208</c:v>
                      </c:pt>
                      <c:pt idx="4">
                        <c:v>139</c:v>
                      </c:pt>
                      <c:pt idx="5">
                        <c:v>167</c:v>
                      </c:pt>
                      <c:pt idx="6">
                        <c:v>217</c:v>
                      </c:pt>
                      <c:pt idx="7">
                        <c:v>310</c:v>
                      </c:pt>
                      <c:pt idx="8">
                        <c:v>201</c:v>
                      </c:pt>
                      <c:pt idx="9">
                        <c:v>197</c:v>
                      </c:pt>
                      <c:pt idx="10">
                        <c:v>288</c:v>
                      </c:pt>
                      <c:pt idx="11">
                        <c:v>260</c:v>
                      </c:pt>
                      <c:pt idx="12">
                        <c:v>271</c:v>
                      </c:pt>
                      <c:pt idx="13">
                        <c:v>459</c:v>
                      </c:pt>
                      <c:pt idx="14">
                        <c:v>298</c:v>
                      </c:pt>
                      <c:pt idx="15">
                        <c:v>187</c:v>
                      </c:pt>
                      <c:pt idx="16">
                        <c:v>206</c:v>
                      </c:pt>
                      <c:pt idx="17">
                        <c:v>261</c:v>
                      </c:pt>
                      <c:pt idx="18">
                        <c:v>251</c:v>
                      </c:pt>
                      <c:pt idx="19">
                        <c:v>413</c:v>
                      </c:pt>
                      <c:pt idx="20">
                        <c:v>500</c:v>
                      </c:pt>
                      <c:pt idx="21">
                        <c:v>268</c:v>
                      </c:pt>
                      <c:pt idx="22">
                        <c:v>279</c:v>
                      </c:pt>
                      <c:pt idx="23">
                        <c:v>284</c:v>
                      </c:pt>
                      <c:pt idx="24">
                        <c:v>231</c:v>
                      </c:pt>
                      <c:pt idx="25">
                        <c:v>272</c:v>
                      </c:pt>
                      <c:pt idx="26">
                        <c:v>309</c:v>
                      </c:pt>
                      <c:pt idx="27">
                        <c:v>217</c:v>
                      </c:pt>
                      <c:pt idx="28">
                        <c:v>201.5</c:v>
                      </c:pt>
                      <c:pt idx="29">
                        <c:v>186</c:v>
                      </c:pt>
                      <c:pt idx="30">
                        <c:v>319</c:v>
                      </c:pt>
                      <c:pt idx="31">
                        <c:v>287</c:v>
                      </c:pt>
                      <c:pt idx="32">
                        <c:v>355</c:v>
                      </c:pt>
                      <c:pt idx="33">
                        <c:v>237</c:v>
                      </c:pt>
                      <c:pt idx="34">
                        <c:v>212</c:v>
                      </c:pt>
                      <c:pt idx="35">
                        <c:v>284</c:v>
                      </c:pt>
                      <c:pt idx="36">
                        <c:v>214</c:v>
                      </c:pt>
                      <c:pt idx="37">
                        <c:v>229</c:v>
                      </c:pt>
                      <c:pt idx="38">
                        <c:v>253</c:v>
                      </c:pt>
                      <c:pt idx="39">
                        <c:v>222</c:v>
                      </c:pt>
                      <c:pt idx="40">
                        <c:v>206</c:v>
                      </c:pt>
                      <c:pt idx="41">
                        <c:v>292</c:v>
                      </c:pt>
                      <c:pt idx="42">
                        <c:v>267</c:v>
                      </c:pt>
                      <c:pt idx="43">
                        <c:v>293</c:v>
                      </c:pt>
                      <c:pt idx="44">
                        <c:v>423</c:v>
                      </c:pt>
                      <c:pt idx="45">
                        <c:v>147</c:v>
                      </c:pt>
                      <c:pt idx="46">
                        <c:v>234</c:v>
                      </c:pt>
                      <c:pt idx="47">
                        <c:v>268</c:v>
                      </c:pt>
                      <c:pt idx="48">
                        <c:v>162</c:v>
                      </c:pt>
                      <c:pt idx="49">
                        <c:v>261</c:v>
                      </c:pt>
                      <c:pt idx="50">
                        <c:v>238</c:v>
                      </c:pt>
                      <c:pt idx="51">
                        <c:v>206</c:v>
                      </c:pt>
                      <c:pt idx="52">
                        <c:v>181</c:v>
                      </c:pt>
                      <c:pt idx="53">
                        <c:v>178</c:v>
                      </c:pt>
                      <c:pt idx="54">
                        <c:v>207</c:v>
                      </c:pt>
                      <c:pt idx="55">
                        <c:v>327</c:v>
                      </c:pt>
                      <c:pt idx="56">
                        <c:v>363</c:v>
                      </c:pt>
                      <c:pt idx="57">
                        <c:v>308</c:v>
                      </c:pt>
                      <c:pt idx="58">
                        <c:v>257</c:v>
                      </c:pt>
                      <c:pt idx="59">
                        <c:v>318</c:v>
                      </c:pt>
                      <c:pt idx="60">
                        <c:v>174</c:v>
                      </c:pt>
                      <c:pt idx="61">
                        <c:v>210</c:v>
                      </c:pt>
                      <c:pt idx="62">
                        <c:v>273</c:v>
                      </c:pt>
                      <c:pt idx="63">
                        <c:v>245</c:v>
                      </c:pt>
                      <c:pt idx="64">
                        <c:v>198</c:v>
                      </c:pt>
                      <c:pt idx="65">
                        <c:v>263</c:v>
                      </c:pt>
                      <c:pt idx="66">
                        <c:v>300</c:v>
                      </c:pt>
                      <c:pt idx="67">
                        <c:v>322</c:v>
                      </c:pt>
                      <c:pt idx="68">
                        <c:v>392</c:v>
                      </c:pt>
                      <c:pt idx="69">
                        <c:v>304</c:v>
                      </c:pt>
                      <c:pt idx="70">
                        <c:v>226</c:v>
                      </c:pt>
                      <c:pt idx="71">
                        <c:v>380</c:v>
                      </c:pt>
                      <c:pt idx="72">
                        <c:v>246</c:v>
                      </c:pt>
                      <c:pt idx="73">
                        <c:v>230</c:v>
                      </c:pt>
                      <c:pt idx="74">
                        <c:v>250</c:v>
                      </c:pt>
                      <c:pt idx="75">
                        <c:v>268</c:v>
                      </c:pt>
                      <c:pt idx="76">
                        <c:v>172</c:v>
                      </c:pt>
                      <c:pt idx="77">
                        <c:v>227</c:v>
                      </c:pt>
                      <c:pt idx="78">
                        <c:v>231</c:v>
                      </c:pt>
                      <c:pt idx="79">
                        <c:v>305</c:v>
                      </c:pt>
                      <c:pt idx="80">
                        <c:v>386</c:v>
                      </c:pt>
                      <c:pt idx="81">
                        <c:v>233</c:v>
                      </c:pt>
                      <c:pt idx="82">
                        <c:v>295</c:v>
                      </c:pt>
                      <c:pt idx="83">
                        <c:v>399</c:v>
                      </c:pt>
                      <c:pt idx="84">
                        <c:v>275</c:v>
                      </c:pt>
                      <c:pt idx="85">
                        <c:v>249</c:v>
                      </c:pt>
                      <c:pt idx="86">
                        <c:v>305</c:v>
                      </c:pt>
                      <c:pt idx="87">
                        <c:v>246</c:v>
                      </c:pt>
                      <c:pt idx="88">
                        <c:v>181</c:v>
                      </c:pt>
                      <c:pt idx="89">
                        <c:v>184</c:v>
                      </c:pt>
                      <c:pt idx="90">
                        <c:v>215</c:v>
                      </c:pt>
                      <c:pt idx="91">
                        <c:v>314</c:v>
                      </c:pt>
                      <c:pt idx="92">
                        <c:v>322</c:v>
                      </c:pt>
                      <c:pt idx="93">
                        <c:v>214</c:v>
                      </c:pt>
                      <c:pt idx="94">
                        <c:v>237</c:v>
                      </c:pt>
                      <c:pt idx="95">
                        <c:v>326</c:v>
                      </c:pt>
                      <c:pt idx="96">
                        <c:v>273</c:v>
                      </c:pt>
                      <c:pt idx="97">
                        <c:v>301</c:v>
                      </c:pt>
                      <c:pt idx="98">
                        <c:v>306</c:v>
                      </c:pt>
                      <c:pt idx="99">
                        <c:v>203</c:v>
                      </c:pt>
                      <c:pt idx="100">
                        <c:v>196</c:v>
                      </c:pt>
                      <c:pt idx="101">
                        <c:v>197</c:v>
                      </c:pt>
                      <c:pt idx="102">
                        <c:v>197</c:v>
                      </c:pt>
                      <c:pt idx="103">
                        <c:v>250</c:v>
                      </c:pt>
                      <c:pt idx="104">
                        <c:v>472</c:v>
                      </c:pt>
                      <c:pt idx="105">
                        <c:v>190</c:v>
                      </c:pt>
                      <c:pt idx="106">
                        <c:v>234</c:v>
                      </c:pt>
                      <c:pt idx="107">
                        <c:v>286</c:v>
                      </c:pt>
                      <c:pt idx="108">
                        <c:v>237</c:v>
                      </c:pt>
                      <c:pt idx="109">
                        <c:v>251</c:v>
                      </c:pt>
                      <c:pt idx="110">
                        <c:v>266</c:v>
                      </c:pt>
                      <c:pt idx="111">
                        <c:v>190</c:v>
                      </c:pt>
                      <c:pt idx="112">
                        <c:v>172</c:v>
                      </c:pt>
                      <c:pt idx="113">
                        <c:v>158</c:v>
                      </c:pt>
                      <c:pt idx="114">
                        <c:v>217</c:v>
                      </c:pt>
                      <c:pt idx="115">
                        <c:v>207</c:v>
                      </c:pt>
                      <c:pt idx="116" formatCode="General">
                        <c:v>258</c:v>
                      </c:pt>
                      <c:pt idx="117">
                        <c:v>294</c:v>
                      </c:pt>
                      <c:pt idx="118">
                        <c:v>242</c:v>
                      </c:pt>
                      <c:pt idx="119">
                        <c:v>290</c:v>
                      </c:pt>
                      <c:pt idx="120">
                        <c:v>219</c:v>
                      </c:pt>
                      <c:pt idx="121">
                        <c:v>224</c:v>
                      </c:pt>
                      <c:pt idx="122">
                        <c:v>359</c:v>
                      </c:pt>
                      <c:pt idx="123">
                        <c:v>236</c:v>
                      </c:pt>
                      <c:pt idx="124">
                        <c:v>164</c:v>
                      </c:pt>
                      <c:pt idx="125">
                        <c:v>225</c:v>
                      </c:pt>
                      <c:pt idx="126">
                        <c:v>222</c:v>
                      </c:pt>
                      <c:pt idx="127">
                        <c:v>330</c:v>
                      </c:pt>
                      <c:pt idx="128">
                        <c:v>234</c:v>
                      </c:pt>
                      <c:pt idx="129">
                        <c:v>240</c:v>
                      </c:pt>
                      <c:pt idx="130">
                        <c:v>328</c:v>
                      </c:pt>
                      <c:pt idx="131">
                        <c:v>327</c:v>
                      </c:pt>
                      <c:pt idx="132">
                        <c:v>253</c:v>
                      </c:pt>
                      <c:pt idx="133">
                        <c:v>276</c:v>
                      </c:pt>
                      <c:pt idx="134">
                        <c:v>394</c:v>
                      </c:pt>
                      <c:pt idx="135">
                        <c:v>291</c:v>
                      </c:pt>
                      <c:pt idx="136">
                        <c:v>230</c:v>
                      </c:pt>
                      <c:pt idx="137">
                        <c:v>294</c:v>
                      </c:pt>
                      <c:pt idx="138">
                        <c:v>286</c:v>
                      </c:pt>
                      <c:pt idx="139">
                        <c:v>421</c:v>
                      </c:pt>
                      <c:pt idx="140">
                        <c:v>364</c:v>
                      </c:pt>
                      <c:pt idx="141">
                        <c:v>252</c:v>
                      </c:pt>
                      <c:pt idx="142">
                        <c:v>303</c:v>
                      </c:pt>
                      <c:pt idx="143">
                        <c:v>333</c:v>
                      </c:pt>
                      <c:pt idx="144" formatCode="_(* #,##0_);_(* \(#,##0\);_(* &quot;-&quot;??_);_(@_)">
                        <c:v>227</c:v>
                      </c:pt>
                      <c:pt idx="145">
                        <c:v>338</c:v>
                      </c:pt>
                      <c:pt idx="146">
                        <c:v>267</c:v>
                      </c:pt>
                      <c:pt idx="147">
                        <c:v>344</c:v>
                      </c:pt>
                      <c:pt idx="148" formatCode="_(* #,##0_);_(* \(#,##0\);_(* &quot;-&quot;??_);_(@_)">
                        <c:v>221</c:v>
                      </c:pt>
                      <c:pt idx="149" formatCode="_(* #,##0_);_(* \(#,##0\);_(* &quot;-&quot;??_);_(@_)">
                        <c:v>258</c:v>
                      </c:pt>
                      <c:pt idx="150" formatCode="_(* #,##0_);_(* \(#,##0\);_(* &quot;-&quot;??_);_(@_)">
                        <c:v>289</c:v>
                      </c:pt>
                      <c:pt idx="151" formatCode="_(* #,##0_);_(* \(#,##0\);_(* &quot;-&quot;??_);_(@_)">
                        <c:v>311</c:v>
                      </c:pt>
                      <c:pt idx="152" formatCode="_(* #,##0_);_(* \(#,##0\);_(* &quot;-&quot;??_);_(@_)">
                        <c:v>403</c:v>
                      </c:pt>
                      <c:pt idx="153" formatCode="_(* #,##0_);_(* \(#,##0\);_(* &quot;-&quot;??_);_(@_)">
                        <c:v>155</c:v>
                      </c:pt>
                      <c:pt idx="154" formatCode="_(* #,##0_);_(* \(#,##0\);_(* &quot;-&quot;??_);_(@_)">
                        <c:v>261</c:v>
                      </c:pt>
                      <c:pt idx="155" formatCode="_(* #,##0_);_(* \(#,##0\);_(* &quot;-&quot;??_);_(@_)">
                        <c:v>324</c:v>
                      </c:pt>
                      <c:pt idx="156">
                        <c:v>334</c:v>
                      </c:pt>
                      <c:pt idx="157">
                        <c:v>327</c:v>
                      </c:pt>
                      <c:pt idx="158">
                        <c:v>121</c:v>
                      </c:pt>
                      <c:pt idx="161">
                        <c:v>4</c:v>
                      </c:pt>
                      <c:pt idx="162">
                        <c:v>4</c:v>
                      </c:pt>
                      <c:pt idx="163">
                        <c:v>5</c:v>
                      </c:pt>
                      <c:pt idx="164">
                        <c:v>7</c:v>
                      </c:pt>
                      <c:pt idx="165">
                        <c:v>15</c:v>
                      </c:pt>
                      <c:pt idx="166">
                        <c:v>16</c:v>
                      </c:pt>
                      <c:pt idx="167">
                        <c:v>29</c:v>
                      </c:pt>
                      <c:pt idx="168">
                        <c:v>21</c:v>
                      </c:pt>
                      <c:pt idx="169">
                        <c:v>12</c:v>
                      </c:pt>
                      <c:pt idx="170">
                        <c:v>11</c:v>
                      </c:pt>
                      <c:pt idx="171">
                        <c:v>15</c:v>
                      </c:pt>
                      <c:pt idx="172">
                        <c:v>9</c:v>
                      </c:pt>
                    </c:numCache>
                  </c:numRef>
                </c:val>
                <c:smooth val="0"/>
                <c:extLst xmlns:c15="http://schemas.microsoft.com/office/drawing/2012/chart">
                  <c:ext xmlns:c16="http://schemas.microsoft.com/office/drawing/2014/chart" uri="{C3380CC4-5D6E-409C-BE32-E72D297353CC}">
                    <c16:uniqueId val="{00000015-F54E-4F2C-B67C-89E5093B052E}"/>
                  </c:ext>
                </c:extLst>
              </c15:ser>
            </c15:filteredLineSeries>
            <c15:filteredLineSeries>
              <c15:ser>
                <c:idx val="22"/>
                <c:order val="22"/>
                <c:tx>
                  <c:strRef>
                    <c:extLst xmlns:c15="http://schemas.microsoft.com/office/drawing/2012/chart">
                      <c:ext xmlns:c15="http://schemas.microsoft.com/office/drawing/2012/chart" uri="{02D57815-91ED-43cb-92C2-25804820EDAC}">
                        <c15:formulaRef>
                          <c15:sqref>'Tendencias nacionalidad'!$C$76</c15:sqref>
                        </c15:formulaRef>
                      </c:ext>
                    </c:extLst>
                    <c:strCache>
                      <c:ptCount val="1"/>
                      <c:pt idx="0">
                        <c:v>Cuba</c:v>
                      </c:pt>
                    </c:strCache>
                  </c:strRef>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nacionalidad'!$D$76:$GA$76</c15:sqref>
                        </c15:fullRef>
                        <c15:formulaRef>
                          <c15:sqref>'Tendencias nacionalidad'!$D$76:$FT$76</c15:sqref>
                        </c15:formulaRef>
                      </c:ext>
                    </c:extLst>
                    <c:numCache>
                      <c:formatCode>#,##0</c:formatCode>
                      <c:ptCount val="173"/>
                      <c:pt idx="0">
                        <c:v>106</c:v>
                      </c:pt>
                      <c:pt idx="1">
                        <c:v>77</c:v>
                      </c:pt>
                      <c:pt idx="2">
                        <c:v>164</c:v>
                      </c:pt>
                      <c:pt idx="3">
                        <c:v>124</c:v>
                      </c:pt>
                      <c:pt idx="4">
                        <c:v>101</c:v>
                      </c:pt>
                      <c:pt idx="5">
                        <c:v>151</c:v>
                      </c:pt>
                      <c:pt idx="6">
                        <c:v>131</c:v>
                      </c:pt>
                      <c:pt idx="7">
                        <c:v>168</c:v>
                      </c:pt>
                      <c:pt idx="8">
                        <c:v>204</c:v>
                      </c:pt>
                      <c:pt idx="9">
                        <c:v>300</c:v>
                      </c:pt>
                      <c:pt idx="10">
                        <c:v>233</c:v>
                      </c:pt>
                      <c:pt idx="11">
                        <c:v>211</c:v>
                      </c:pt>
                      <c:pt idx="12">
                        <c:v>300</c:v>
                      </c:pt>
                      <c:pt idx="13">
                        <c:v>404</c:v>
                      </c:pt>
                      <c:pt idx="14">
                        <c:v>290</c:v>
                      </c:pt>
                      <c:pt idx="15">
                        <c:v>346</c:v>
                      </c:pt>
                      <c:pt idx="16">
                        <c:v>350</c:v>
                      </c:pt>
                      <c:pt idx="17">
                        <c:v>372</c:v>
                      </c:pt>
                      <c:pt idx="18">
                        <c:v>536</c:v>
                      </c:pt>
                      <c:pt idx="19">
                        <c:v>619</c:v>
                      </c:pt>
                      <c:pt idx="20">
                        <c:v>611</c:v>
                      </c:pt>
                      <c:pt idx="21">
                        <c:v>684</c:v>
                      </c:pt>
                      <c:pt idx="22">
                        <c:v>721</c:v>
                      </c:pt>
                      <c:pt idx="23">
                        <c:v>903</c:v>
                      </c:pt>
                      <c:pt idx="24">
                        <c:v>1157</c:v>
                      </c:pt>
                      <c:pt idx="25">
                        <c:v>1112</c:v>
                      </c:pt>
                      <c:pt idx="26">
                        <c:v>1391</c:v>
                      </c:pt>
                      <c:pt idx="27">
                        <c:v>1532</c:v>
                      </c:pt>
                      <c:pt idx="28">
                        <c:v>1541.5</c:v>
                      </c:pt>
                      <c:pt idx="29">
                        <c:v>1551</c:v>
                      </c:pt>
                      <c:pt idx="30">
                        <c:v>1371</c:v>
                      </c:pt>
                      <c:pt idx="31">
                        <c:v>1483</c:v>
                      </c:pt>
                      <c:pt idx="32">
                        <c:v>1483</c:v>
                      </c:pt>
                      <c:pt idx="33">
                        <c:v>1483</c:v>
                      </c:pt>
                      <c:pt idx="34">
                        <c:v>1508</c:v>
                      </c:pt>
                      <c:pt idx="35">
                        <c:v>1112</c:v>
                      </c:pt>
                      <c:pt idx="36">
                        <c:v>1670</c:v>
                      </c:pt>
                      <c:pt idx="37">
                        <c:v>1244</c:v>
                      </c:pt>
                      <c:pt idx="38">
                        <c:v>1508</c:v>
                      </c:pt>
                      <c:pt idx="39">
                        <c:v>1345</c:v>
                      </c:pt>
                      <c:pt idx="40">
                        <c:v>1092</c:v>
                      </c:pt>
                      <c:pt idx="41">
                        <c:v>1109</c:v>
                      </c:pt>
                      <c:pt idx="42">
                        <c:v>891</c:v>
                      </c:pt>
                      <c:pt idx="43">
                        <c:v>1140</c:v>
                      </c:pt>
                      <c:pt idx="44">
                        <c:v>997</c:v>
                      </c:pt>
                      <c:pt idx="45">
                        <c:v>1311</c:v>
                      </c:pt>
                      <c:pt idx="46">
                        <c:v>1203</c:v>
                      </c:pt>
                      <c:pt idx="47">
                        <c:v>960</c:v>
                      </c:pt>
                      <c:pt idx="48">
                        <c:v>992</c:v>
                      </c:pt>
                      <c:pt idx="49">
                        <c:v>732</c:v>
                      </c:pt>
                      <c:pt idx="50">
                        <c:v>978</c:v>
                      </c:pt>
                      <c:pt idx="51">
                        <c:v>817</c:v>
                      </c:pt>
                      <c:pt idx="52">
                        <c:v>838</c:v>
                      </c:pt>
                      <c:pt idx="53">
                        <c:v>887</c:v>
                      </c:pt>
                      <c:pt idx="54">
                        <c:v>692</c:v>
                      </c:pt>
                      <c:pt idx="55">
                        <c:v>892</c:v>
                      </c:pt>
                      <c:pt idx="56">
                        <c:v>731</c:v>
                      </c:pt>
                      <c:pt idx="57">
                        <c:v>750</c:v>
                      </c:pt>
                      <c:pt idx="58">
                        <c:v>871</c:v>
                      </c:pt>
                      <c:pt idx="59">
                        <c:v>710</c:v>
                      </c:pt>
                      <c:pt idx="60">
                        <c:v>499</c:v>
                      </c:pt>
                      <c:pt idx="61">
                        <c:v>499</c:v>
                      </c:pt>
                      <c:pt idx="62">
                        <c:v>547</c:v>
                      </c:pt>
                      <c:pt idx="63">
                        <c:v>895</c:v>
                      </c:pt>
                      <c:pt idx="64">
                        <c:v>771</c:v>
                      </c:pt>
                      <c:pt idx="65">
                        <c:v>1058</c:v>
                      </c:pt>
                      <c:pt idx="66">
                        <c:v>888</c:v>
                      </c:pt>
                      <c:pt idx="67">
                        <c:v>976</c:v>
                      </c:pt>
                      <c:pt idx="68">
                        <c:v>831</c:v>
                      </c:pt>
                      <c:pt idx="69">
                        <c:v>1039</c:v>
                      </c:pt>
                      <c:pt idx="70">
                        <c:v>1026</c:v>
                      </c:pt>
                      <c:pt idx="71">
                        <c:v>1042</c:v>
                      </c:pt>
                      <c:pt idx="72">
                        <c:v>750</c:v>
                      </c:pt>
                      <c:pt idx="73">
                        <c:v>510</c:v>
                      </c:pt>
                      <c:pt idx="74">
                        <c:v>450</c:v>
                      </c:pt>
                      <c:pt idx="75">
                        <c:v>871</c:v>
                      </c:pt>
                      <c:pt idx="76">
                        <c:v>931</c:v>
                      </c:pt>
                      <c:pt idx="77">
                        <c:v>942</c:v>
                      </c:pt>
                      <c:pt idx="78">
                        <c:v>982</c:v>
                      </c:pt>
                      <c:pt idx="79">
                        <c:v>1290</c:v>
                      </c:pt>
                      <c:pt idx="80">
                        <c:v>1267</c:v>
                      </c:pt>
                      <c:pt idx="81">
                        <c:v>1309</c:v>
                      </c:pt>
                      <c:pt idx="82">
                        <c:v>1575</c:v>
                      </c:pt>
                      <c:pt idx="83">
                        <c:v>1856</c:v>
                      </c:pt>
                      <c:pt idx="84">
                        <c:v>893</c:v>
                      </c:pt>
                      <c:pt idx="85">
                        <c:v>801</c:v>
                      </c:pt>
                      <c:pt idx="86">
                        <c:v>871</c:v>
                      </c:pt>
                      <c:pt idx="87">
                        <c:v>1883</c:v>
                      </c:pt>
                      <c:pt idx="88">
                        <c:v>2034</c:v>
                      </c:pt>
                      <c:pt idx="89">
                        <c:v>2126</c:v>
                      </c:pt>
                      <c:pt idx="90">
                        <c:v>2458</c:v>
                      </c:pt>
                      <c:pt idx="91">
                        <c:v>2398</c:v>
                      </c:pt>
                      <c:pt idx="92">
                        <c:v>2644</c:v>
                      </c:pt>
                      <c:pt idx="93">
                        <c:v>3590</c:v>
                      </c:pt>
                      <c:pt idx="94">
                        <c:v>3991</c:v>
                      </c:pt>
                      <c:pt idx="95">
                        <c:v>4790</c:v>
                      </c:pt>
                      <c:pt idx="96">
                        <c:v>3360</c:v>
                      </c:pt>
                      <c:pt idx="97">
                        <c:v>3179</c:v>
                      </c:pt>
                      <c:pt idx="98">
                        <c:v>4515</c:v>
                      </c:pt>
                      <c:pt idx="99">
                        <c:v>4321</c:v>
                      </c:pt>
                      <c:pt idx="100">
                        <c:v>4182</c:v>
                      </c:pt>
                      <c:pt idx="101">
                        <c:v>4631</c:v>
                      </c:pt>
                      <c:pt idx="102">
                        <c:v>4067</c:v>
                      </c:pt>
                      <c:pt idx="103">
                        <c:v>3726</c:v>
                      </c:pt>
                      <c:pt idx="104">
                        <c:v>5741</c:v>
                      </c:pt>
                      <c:pt idx="105">
                        <c:v>5804</c:v>
                      </c:pt>
                      <c:pt idx="106">
                        <c:v>9307</c:v>
                      </c:pt>
                      <c:pt idx="107">
                        <c:v>5009</c:v>
                      </c:pt>
                      <c:pt idx="108">
                        <c:v>1225</c:v>
                      </c:pt>
                      <c:pt idx="109">
                        <c:v>2019</c:v>
                      </c:pt>
                      <c:pt idx="110">
                        <c:v>907</c:v>
                      </c:pt>
                      <c:pt idx="111">
                        <c:v>278</c:v>
                      </c:pt>
                      <c:pt idx="112">
                        <c:v>325</c:v>
                      </c:pt>
                      <c:pt idx="113">
                        <c:v>306</c:v>
                      </c:pt>
                      <c:pt idx="114">
                        <c:v>246</c:v>
                      </c:pt>
                      <c:pt idx="115">
                        <c:v>246</c:v>
                      </c:pt>
                      <c:pt idx="116" formatCode="General">
                        <c:v>765</c:v>
                      </c:pt>
                      <c:pt idx="117">
                        <c:v>506</c:v>
                      </c:pt>
                      <c:pt idx="118">
                        <c:v>429</c:v>
                      </c:pt>
                      <c:pt idx="119">
                        <c:v>379</c:v>
                      </c:pt>
                      <c:pt idx="120">
                        <c:v>338</c:v>
                      </c:pt>
                      <c:pt idx="121">
                        <c:v>315</c:v>
                      </c:pt>
                      <c:pt idx="122">
                        <c:v>296</c:v>
                      </c:pt>
                      <c:pt idx="123">
                        <c:v>264</c:v>
                      </c:pt>
                      <c:pt idx="124">
                        <c:v>350</c:v>
                      </c:pt>
                      <c:pt idx="125">
                        <c:v>296</c:v>
                      </c:pt>
                      <c:pt idx="126">
                        <c:v>339</c:v>
                      </c:pt>
                      <c:pt idx="127">
                        <c:v>273</c:v>
                      </c:pt>
                      <c:pt idx="128">
                        <c:v>322</c:v>
                      </c:pt>
                      <c:pt idx="129">
                        <c:v>328</c:v>
                      </c:pt>
                      <c:pt idx="130">
                        <c:v>362</c:v>
                      </c:pt>
                      <c:pt idx="131">
                        <c:v>330</c:v>
                      </c:pt>
                      <c:pt idx="132">
                        <c:v>267</c:v>
                      </c:pt>
                      <c:pt idx="133">
                        <c:v>279</c:v>
                      </c:pt>
                      <c:pt idx="134">
                        <c:v>283</c:v>
                      </c:pt>
                      <c:pt idx="135">
                        <c:v>288</c:v>
                      </c:pt>
                      <c:pt idx="136">
                        <c:v>317</c:v>
                      </c:pt>
                      <c:pt idx="137">
                        <c:v>290</c:v>
                      </c:pt>
                      <c:pt idx="138">
                        <c:v>325</c:v>
                      </c:pt>
                      <c:pt idx="139">
                        <c:v>300</c:v>
                      </c:pt>
                      <c:pt idx="140">
                        <c:v>287</c:v>
                      </c:pt>
                      <c:pt idx="141">
                        <c:v>320</c:v>
                      </c:pt>
                      <c:pt idx="142">
                        <c:v>345</c:v>
                      </c:pt>
                      <c:pt idx="143">
                        <c:v>273</c:v>
                      </c:pt>
                      <c:pt idx="144" formatCode="_(* #,##0_);_(* \(#,##0\);_(* &quot;-&quot;??_);_(@_)">
                        <c:v>305</c:v>
                      </c:pt>
                      <c:pt idx="145">
                        <c:v>219</c:v>
                      </c:pt>
                      <c:pt idx="146">
                        <c:v>261</c:v>
                      </c:pt>
                      <c:pt idx="147">
                        <c:v>226</c:v>
                      </c:pt>
                      <c:pt idx="148" formatCode="_(* #,##0_);_(* \(#,##0\);_(* &quot;-&quot;??_);_(@_)">
                        <c:v>800</c:v>
                      </c:pt>
                      <c:pt idx="149" formatCode="_(* #,##0_);_(* \(#,##0\);_(* &quot;-&quot;??_);_(@_)">
                        <c:v>686</c:v>
                      </c:pt>
                      <c:pt idx="150" formatCode="_(* #,##0_);_(* \(#,##0\);_(* &quot;-&quot;??_);_(@_)">
                        <c:v>764</c:v>
                      </c:pt>
                      <c:pt idx="151" formatCode="_(* #,##0_);_(* \(#,##0\);_(* &quot;-&quot;??_);_(@_)">
                        <c:v>1134</c:v>
                      </c:pt>
                      <c:pt idx="152" formatCode="_(* #,##0_);_(* \(#,##0\);_(* &quot;-&quot;??_);_(@_)">
                        <c:v>1157</c:v>
                      </c:pt>
                      <c:pt idx="153" formatCode="_(* #,##0_);_(* \(#,##0\);_(* &quot;-&quot;??_);_(@_)">
                        <c:v>725</c:v>
                      </c:pt>
                      <c:pt idx="154" formatCode="_(* #,##0_);_(* \(#,##0\);_(* &quot;-&quot;??_);_(@_)">
                        <c:v>701</c:v>
                      </c:pt>
                      <c:pt idx="155" formatCode="_(* #,##0_);_(* \(#,##0\);_(* &quot;-&quot;??_);_(@_)">
                        <c:v>596</c:v>
                      </c:pt>
                      <c:pt idx="156">
                        <c:v>1012</c:v>
                      </c:pt>
                      <c:pt idx="157">
                        <c:v>617</c:v>
                      </c:pt>
                      <c:pt idx="158">
                        <c:v>416</c:v>
                      </c:pt>
                      <c:pt idx="159">
                        <c:v>2</c:v>
                      </c:pt>
                      <c:pt idx="160">
                        <c:v>97</c:v>
                      </c:pt>
                      <c:pt idx="161">
                        <c:v>140</c:v>
                      </c:pt>
                      <c:pt idx="162">
                        <c:v>9</c:v>
                      </c:pt>
                      <c:pt idx="163">
                        <c:v>130</c:v>
                      </c:pt>
                      <c:pt idx="164">
                        <c:v>66</c:v>
                      </c:pt>
                      <c:pt idx="165">
                        <c:v>16</c:v>
                      </c:pt>
                      <c:pt idx="166">
                        <c:v>126</c:v>
                      </c:pt>
                      <c:pt idx="167">
                        <c:v>371</c:v>
                      </c:pt>
                      <c:pt idx="168">
                        <c:v>452</c:v>
                      </c:pt>
                      <c:pt idx="169">
                        <c:v>133</c:v>
                      </c:pt>
                      <c:pt idx="170">
                        <c:v>87</c:v>
                      </c:pt>
                      <c:pt idx="171">
                        <c:v>231</c:v>
                      </c:pt>
                      <c:pt idx="172">
                        <c:v>86</c:v>
                      </c:pt>
                    </c:numCache>
                  </c:numRef>
                </c:val>
                <c:smooth val="0"/>
                <c:extLst xmlns:c15="http://schemas.microsoft.com/office/drawing/2012/chart">
                  <c:ext xmlns:c16="http://schemas.microsoft.com/office/drawing/2014/chart" uri="{C3380CC4-5D6E-409C-BE32-E72D297353CC}">
                    <c16:uniqueId val="{00000016-F54E-4F2C-B67C-89E5093B052E}"/>
                  </c:ext>
                </c:extLst>
              </c15:ser>
            </c15:filteredLineSeries>
            <c15:filteredLineSeries>
              <c15:ser>
                <c:idx val="23"/>
                <c:order val="23"/>
                <c:tx>
                  <c:strRef>
                    <c:extLst xmlns:c15="http://schemas.microsoft.com/office/drawing/2012/chart">
                      <c:ext xmlns:c15="http://schemas.microsoft.com/office/drawing/2012/chart" uri="{02D57815-91ED-43cb-92C2-25804820EDAC}">
                        <c15:formulaRef>
                          <c15:sqref>'Tendencias nacionalidad'!$C$77</c15:sqref>
                        </c15:formulaRef>
                      </c:ext>
                    </c:extLst>
                    <c:strCache>
                      <c:ptCount val="1"/>
                      <c:pt idx="0">
                        <c:v>Bolivia</c:v>
                      </c:pt>
                    </c:strCache>
                  </c:strRef>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nacionalidad'!$D$77:$GA$77</c15:sqref>
                        </c15:fullRef>
                        <c15:formulaRef>
                          <c15:sqref>'Tendencias nacionalidad'!$D$77:$FT$77</c15:sqref>
                        </c15:formulaRef>
                      </c:ext>
                    </c:extLst>
                    <c:numCache>
                      <c:formatCode>#,##0</c:formatCode>
                      <c:ptCount val="173"/>
                      <c:pt idx="0">
                        <c:v>119</c:v>
                      </c:pt>
                      <c:pt idx="1">
                        <c:v>130</c:v>
                      </c:pt>
                      <c:pt idx="2">
                        <c:v>176</c:v>
                      </c:pt>
                      <c:pt idx="3">
                        <c:v>124</c:v>
                      </c:pt>
                      <c:pt idx="4">
                        <c:v>123</c:v>
                      </c:pt>
                      <c:pt idx="5">
                        <c:v>173</c:v>
                      </c:pt>
                      <c:pt idx="6">
                        <c:v>251</c:v>
                      </c:pt>
                      <c:pt idx="7">
                        <c:v>216</c:v>
                      </c:pt>
                      <c:pt idx="8">
                        <c:v>321</c:v>
                      </c:pt>
                      <c:pt idx="9">
                        <c:v>214</c:v>
                      </c:pt>
                      <c:pt idx="10">
                        <c:v>244</c:v>
                      </c:pt>
                      <c:pt idx="11">
                        <c:v>126</c:v>
                      </c:pt>
                      <c:pt idx="12">
                        <c:v>134</c:v>
                      </c:pt>
                      <c:pt idx="13">
                        <c:v>307</c:v>
                      </c:pt>
                      <c:pt idx="14">
                        <c:v>218</c:v>
                      </c:pt>
                      <c:pt idx="15">
                        <c:v>255</c:v>
                      </c:pt>
                      <c:pt idx="16">
                        <c:v>201</c:v>
                      </c:pt>
                      <c:pt idx="17">
                        <c:v>215</c:v>
                      </c:pt>
                      <c:pt idx="18">
                        <c:v>187</c:v>
                      </c:pt>
                      <c:pt idx="19">
                        <c:v>228</c:v>
                      </c:pt>
                      <c:pt idx="20">
                        <c:v>253</c:v>
                      </c:pt>
                      <c:pt idx="21">
                        <c:v>230</c:v>
                      </c:pt>
                      <c:pt idx="22">
                        <c:v>279</c:v>
                      </c:pt>
                      <c:pt idx="23">
                        <c:v>228</c:v>
                      </c:pt>
                      <c:pt idx="24">
                        <c:v>182</c:v>
                      </c:pt>
                      <c:pt idx="25">
                        <c:v>186</c:v>
                      </c:pt>
                      <c:pt idx="26">
                        <c:v>274</c:v>
                      </c:pt>
                      <c:pt idx="27">
                        <c:v>222</c:v>
                      </c:pt>
                      <c:pt idx="28">
                        <c:v>220.5</c:v>
                      </c:pt>
                      <c:pt idx="29">
                        <c:v>219</c:v>
                      </c:pt>
                      <c:pt idx="30">
                        <c:v>220</c:v>
                      </c:pt>
                      <c:pt idx="31">
                        <c:v>205</c:v>
                      </c:pt>
                      <c:pt idx="32">
                        <c:v>241</c:v>
                      </c:pt>
                      <c:pt idx="33">
                        <c:v>178</c:v>
                      </c:pt>
                      <c:pt idx="34">
                        <c:v>253</c:v>
                      </c:pt>
                      <c:pt idx="35">
                        <c:v>160</c:v>
                      </c:pt>
                      <c:pt idx="36">
                        <c:v>173</c:v>
                      </c:pt>
                      <c:pt idx="37">
                        <c:v>480</c:v>
                      </c:pt>
                      <c:pt idx="38">
                        <c:v>219</c:v>
                      </c:pt>
                      <c:pt idx="39">
                        <c:v>183</c:v>
                      </c:pt>
                      <c:pt idx="40">
                        <c:v>203</c:v>
                      </c:pt>
                      <c:pt idx="41">
                        <c:v>202</c:v>
                      </c:pt>
                      <c:pt idx="42">
                        <c:v>126</c:v>
                      </c:pt>
                      <c:pt idx="43">
                        <c:v>185</c:v>
                      </c:pt>
                      <c:pt idx="44">
                        <c:v>172</c:v>
                      </c:pt>
                      <c:pt idx="45">
                        <c:v>151</c:v>
                      </c:pt>
                      <c:pt idx="46">
                        <c:v>223</c:v>
                      </c:pt>
                      <c:pt idx="47">
                        <c:v>172</c:v>
                      </c:pt>
                      <c:pt idx="48">
                        <c:v>173</c:v>
                      </c:pt>
                      <c:pt idx="49">
                        <c:v>187</c:v>
                      </c:pt>
                      <c:pt idx="50">
                        <c:v>216</c:v>
                      </c:pt>
                      <c:pt idx="51">
                        <c:v>138</c:v>
                      </c:pt>
                      <c:pt idx="52">
                        <c:v>194</c:v>
                      </c:pt>
                      <c:pt idx="53">
                        <c:v>192</c:v>
                      </c:pt>
                      <c:pt idx="54">
                        <c:v>186</c:v>
                      </c:pt>
                      <c:pt idx="55">
                        <c:v>182</c:v>
                      </c:pt>
                      <c:pt idx="56">
                        <c:v>218</c:v>
                      </c:pt>
                      <c:pt idx="57">
                        <c:v>222</c:v>
                      </c:pt>
                      <c:pt idx="58">
                        <c:v>219</c:v>
                      </c:pt>
                      <c:pt idx="59">
                        <c:v>161</c:v>
                      </c:pt>
                      <c:pt idx="60">
                        <c:v>2</c:v>
                      </c:pt>
                      <c:pt idx="61">
                        <c:v>148</c:v>
                      </c:pt>
                      <c:pt idx="62">
                        <c:v>155</c:v>
                      </c:pt>
                      <c:pt idx="63">
                        <c:v>190</c:v>
                      </c:pt>
                      <c:pt idx="64">
                        <c:v>221</c:v>
                      </c:pt>
                      <c:pt idx="65">
                        <c:v>224</c:v>
                      </c:pt>
                      <c:pt idx="66">
                        <c:v>248</c:v>
                      </c:pt>
                      <c:pt idx="67">
                        <c:v>205</c:v>
                      </c:pt>
                      <c:pt idx="68">
                        <c:v>314</c:v>
                      </c:pt>
                      <c:pt idx="69">
                        <c:v>260</c:v>
                      </c:pt>
                      <c:pt idx="70">
                        <c:v>276</c:v>
                      </c:pt>
                      <c:pt idx="71">
                        <c:v>182</c:v>
                      </c:pt>
                      <c:pt idx="72">
                        <c:v>201</c:v>
                      </c:pt>
                      <c:pt idx="73">
                        <c:v>185</c:v>
                      </c:pt>
                      <c:pt idx="74">
                        <c:v>224</c:v>
                      </c:pt>
                      <c:pt idx="75">
                        <c:v>156</c:v>
                      </c:pt>
                      <c:pt idx="76">
                        <c:v>251</c:v>
                      </c:pt>
                      <c:pt idx="77">
                        <c:v>282</c:v>
                      </c:pt>
                      <c:pt idx="78">
                        <c:v>325</c:v>
                      </c:pt>
                      <c:pt idx="79">
                        <c:v>208</c:v>
                      </c:pt>
                      <c:pt idx="80">
                        <c:v>236</c:v>
                      </c:pt>
                      <c:pt idx="81">
                        <c:v>227</c:v>
                      </c:pt>
                      <c:pt idx="82">
                        <c:v>327</c:v>
                      </c:pt>
                      <c:pt idx="83">
                        <c:v>247</c:v>
                      </c:pt>
                      <c:pt idx="84">
                        <c:v>171</c:v>
                      </c:pt>
                      <c:pt idx="85">
                        <c:v>189</c:v>
                      </c:pt>
                      <c:pt idx="86">
                        <c:v>203</c:v>
                      </c:pt>
                      <c:pt idx="87">
                        <c:v>239</c:v>
                      </c:pt>
                      <c:pt idx="88">
                        <c:v>239</c:v>
                      </c:pt>
                      <c:pt idx="89">
                        <c:v>247</c:v>
                      </c:pt>
                      <c:pt idx="90">
                        <c:v>214</c:v>
                      </c:pt>
                      <c:pt idx="91">
                        <c:v>268</c:v>
                      </c:pt>
                      <c:pt idx="92">
                        <c:v>318</c:v>
                      </c:pt>
                      <c:pt idx="93">
                        <c:v>325</c:v>
                      </c:pt>
                      <c:pt idx="94">
                        <c:v>275</c:v>
                      </c:pt>
                      <c:pt idx="95">
                        <c:v>267</c:v>
                      </c:pt>
                      <c:pt idx="96">
                        <c:v>193</c:v>
                      </c:pt>
                      <c:pt idx="97">
                        <c:v>216</c:v>
                      </c:pt>
                      <c:pt idx="98">
                        <c:v>209</c:v>
                      </c:pt>
                      <c:pt idx="99">
                        <c:v>223</c:v>
                      </c:pt>
                      <c:pt idx="100">
                        <c:v>231</c:v>
                      </c:pt>
                      <c:pt idx="101">
                        <c:v>215</c:v>
                      </c:pt>
                      <c:pt idx="102">
                        <c:v>241</c:v>
                      </c:pt>
                      <c:pt idx="103">
                        <c:v>229</c:v>
                      </c:pt>
                      <c:pt idx="104">
                        <c:v>220</c:v>
                      </c:pt>
                      <c:pt idx="105">
                        <c:v>313</c:v>
                      </c:pt>
                      <c:pt idx="106">
                        <c:v>259</c:v>
                      </c:pt>
                      <c:pt idx="107">
                        <c:v>272</c:v>
                      </c:pt>
                      <c:pt idx="108">
                        <c:v>208</c:v>
                      </c:pt>
                      <c:pt idx="109">
                        <c:v>198</c:v>
                      </c:pt>
                      <c:pt idx="110">
                        <c:v>189</c:v>
                      </c:pt>
                      <c:pt idx="111">
                        <c:v>151</c:v>
                      </c:pt>
                      <c:pt idx="112">
                        <c:v>162</c:v>
                      </c:pt>
                      <c:pt idx="113">
                        <c:v>234</c:v>
                      </c:pt>
                      <c:pt idx="114">
                        <c:v>292</c:v>
                      </c:pt>
                      <c:pt idx="115">
                        <c:v>183</c:v>
                      </c:pt>
                      <c:pt idx="116" formatCode="General">
                        <c:v>214</c:v>
                      </c:pt>
                      <c:pt idx="117">
                        <c:v>300</c:v>
                      </c:pt>
                      <c:pt idx="118">
                        <c:v>242</c:v>
                      </c:pt>
                      <c:pt idx="119">
                        <c:v>325</c:v>
                      </c:pt>
                      <c:pt idx="120">
                        <c:v>284</c:v>
                      </c:pt>
                      <c:pt idx="121">
                        <c:v>170</c:v>
                      </c:pt>
                      <c:pt idx="122">
                        <c:v>251</c:v>
                      </c:pt>
                      <c:pt idx="123">
                        <c:v>239</c:v>
                      </c:pt>
                      <c:pt idx="124">
                        <c:v>317</c:v>
                      </c:pt>
                      <c:pt idx="125">
                        <c:v>264</c:v>
                      </c:pt>
                      <c:pt idx="126">
                        <c:v>306</c:v>
                      </c:pt>
                      <c:pt idx="127">
                        <c:v>225</c:v>
                      </c:pt>
                      <c:pt idx="128">
                        <c:v>258</c:v>
                      </c:pt>
                      <c:pt idx="129">
                        <c:v>212</c:v>
                      </c:pt>
                      <c:pt idx="130">
                        <c:v>352</c:v>
                      </c:pt>
                      <c:pt idx="131">
                        <c:v>284</c:v>
                      </c:pt>
                      <c:pt idx="132">
                        <c:v>267</c:v>
                      </c:pt>
                      <c:pt idx="133">
                        <c:v>231</c:v>
                      </c:pt>
                      <c:pt idx="134">
                        <c:v>204</c:v>
                      </c:pt>
                      <c:pt idx="135">
                        <c:v>179</c:v>
                      </c:pt>
                      <c:pt idx="136">
                        <c:v>219</c:v>
                      </c:pt>
                      <c:pt idx="137">
                        <c:v>249</c:v>
                      </c:pt>
                      <c:pt idx="138">
                        <c:v>318</c:v>
                      </c:pt>
                      <c:pt idx="139">
                        <c:v>205</c:v>
                      </c:pt>
                      <c:pt idx="140">
                        <c:v>217</c:v>
                      </c:pt>
                      <c:pt idx="141">
                        <c:v>284</c:v>
                      </c:pt>
                      <c:pt idx="142">
                        <c:v>356</c:v>
                      </c:pt>
                      <c:pt idx="143">
                        <c:v>311</c:v>
                      </c:pt>
                      <c:pt idx="144" formatCode="_(* #,##0_);_(* \(#,##0\);_(* &quot;-&quot;??_);_(@_)">
                        <c:v>204</c:v>
                      </c:pt>
                      <c:pt idx="145">
                        <c:v>244</c:v>
                      </c:pt>
                      <c:pt idx="146">
                        <c:v>216</c:v>
                      </c:pt>
                      <c:pt idx="147">
                        <c:v>192</c:v>
                      </c:pt>
                      <c:pt idx="148" formatCode="_(* #,##0_);_(* \(#,##0\);_(* &quot;-&quot;??_);_(@_)">
                        <c:v>266</c:v>
                      </c:pt>
                      <c:pt idx="149" formatCode="_(* #,##0_);_(* \(#,##0\);_(* &quot;-&quot;??_);_(@_)">
                        <c:v>294</c:v>
                      </c:pt>
                      <c:pt idx="150" formatCode="_(* #,##0_);_(* \(#,##0\);_(* &quot;-&quot;??_);_(@_)">
                        <c:v>299</c:v>
                      </c:pt>
                      <c:pt idx="151" formatCode="_(* #,##0_);_(* \(#,##0\);_(* &quot;-&quot;??_);_(@_)">
                        <c:v>233</c:v>
                      </c:pt>
                      <c:pt idx="152" formatCode="_(* #,##0_);_(* \(#,##0\);_(* &quot;-&quot;??_);_(@_)">
                        <c:v>299</c:v>
                      </c:pt>
                      <c:pt idx="153" formatCode="_(* #,##0_);_(* \(#,##0\);_(* &quot;-&quot;??_);_(@_)">
                        <c:v>341</c:v>
                      </c:pt>
                      <c:pt idx="154" formatCode="_(* #,##0_);_(* \(#,##0\);_(* &quot;-&quot;??_);_(@_)">
                        <c:v>245</c:v>
                      </c:pt>
                      <c:pt idx="155" formatCode="_(* #,##0_);_(* \(#,##0\);_(* &quot;-&quot;??_);_(@_)">
                        <c:v>285</c:v>
                      </c:pt>
                      <c:pt idx="156">
                        <c:v>254</c:v>
                      </c:pt>
                      <c:pt idx="157">
                        <c:v>289</c:v>
                      </c:pt>
                      <c:pt idx="158">
                        <c:v>92</c:v>
                      </c:pt>
                      <c:pt idx="159">
                        <c:v>1</c:v>
                      </c:pt>
                      <c:pt idx="161">
                        <c:v>3</c:v>
                      </c:pt>
                      <c:pt idx="162">
                        <c:v>6</c:v>
                      </c:pt>
                      <c:pt idx="163">
                        <c:v>5</c:v>
                      </c:pt>
                      <c:pt idx="164">
                        <c:v>6</c:v>
                      </c:pt>
                      <c:pt idx="165">
                        <c:v>23</c:v>
                      </c:pt>
                      <c:pt idx="166">
                        <c:v>41</c:v>
                      </c:pt>
                      <c:pt idx="167">
                        <c:v>96</c:v>
                      </c:pt>
                      <c:pt idx="168">
                        <c:v>56</c:v>
                      </c:pt>
                      <c:pt idx="169">
                        <c:v>82</c:v>
                      </c:pt>
                      <c:pt idx="170">
                        <c:v>79</c:v>
                      </c:pt>
                      <c:pt idx="171">
                        <c:v>49</c:v>
                      </c:pt>
                      <c:pt idx="172">
                        <c:v>66</c:v>
                      </c:pt>
                    </c:numCache>
                  </c:numRef>
                </c:val>
                <c:smooth val="0"/>
                <c:extLst xmlns:c15="http://schemas.microsoft.com/office/drawing/2012/chart">
                  <c:ext xmlns:c16="http://schemas.microsoft.com/office/drawing/2014/chart" uri="{C3380CC4-5D6E-409C-BE32-E72D297353CC}">
                    <c16:uniqueId val="{00000017-F54E-4F2C-B67C-89E5093B052E}"/>
                  </c:ext>
                </c:extLst>
              </c15:ser>
            </c15:filteredLineSeries>
            <c15:filteredLineSeries>
              <c15:ser>
                <c:idx val="24"/>
                <c:order val="24"/>
                <c:tx>
                  <c:strRef>
                    <c:extLst xmlns:c15="http://schemas.microsoft.com/office/drawing/2012/chart">
                      <c:ext xmlns:c15="http://schemas.microsoft.com/office/drawing/2012/chart" uri="{02D57815-91ED-43cb-92C2-25804820EDAC}">
                        <c15:formulaRef>
                          <c15:sqref>'Tendencias nacionalidad'!$C$78</c15:sqref>
                        </c15:formulaRef>
                      </c:ext>
                    </c:extLst>
                    <c:strCache>
                      <c:ptCount val="1"/>
                      <c:pt idx="0">
                        <c:v>Dinamarca</c:v>
                      </c:pt>
                    </c:strCache>
                  </c:strRef>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nacionalidad'!$D$78:$GA$78</c15:sqref>
                        </c15:fullRef>
                        <c15:formulaRef>
                          <c15:sqref>'Tendencias nacionalidad'!$D$78:$FT$78</c15:sqref>
                        </c15:formulaRef>
                      </c:ext>
                    </c:extLst>
                    <c:numCache>
                      <c:formatCode>#,##0</c:formatCode>
                      <c:ptCount val="173"/>
                      <c:pt idx="0">
                        <c:v>265</c:v>
                      </c:pt>
                      <c:pt idx="1">
                        <c:v>307</c:v>
                      </c:pt>
                      <c:pt idx="2">
                        <c:v>216</c:v>
                      </c:pt>
                      <c:pt idx="3">
                        <c:v>119</c:v>
                      </c:pt>
                      <c:pt idx="4">
                        <c:v>65</c:v>
                      </c:pt>
                      <c:pt idx="5">
                        <c:v>98</c:v>
                      </c:pt>
                      <c:pt idx="6">
                        <c:v>294</c:v>
                      </c:pt>
                      <c:pt idx="7">
                        <c:v>80</c:v>
                      </c:pt>
                      <c:pt idx="8">
                        <c:v>155</c:v>
                      </c:pt>
                      <c:pt idx="9">
                        <c:v>283</c:v>
                      </c:pt>
                      <c:pt idx="10">
                        <c:v>162</c:v>
                      </c:pt>
                      <c:pt idx="11">
                        <c:v>88</c:v>
                      </c:pt>
                      <c:pt idx="12">
                        <c:v>219</c:v>
                      </c:pt>
                      <c:pt idx="13">
                        <c:v>477</c:v>
                      </c:pt>
                      <c:pt idx="14">
                        <c:v>222</c:v>
                      </c:pt>
                      <c:pt idx="15">
                        <c:v>110</c:v>
                      </c:pt>
                      <c:pt idx="16">
                        <c:v>92</c:v>
                      </c:pt>
                      <c:pt idx="17">
                        <c:v>159</c:v>
                      </c:pt>
                      <c:pt idx="18">
                        <c:v>307</c:v>
                      </c:pt>
                      <c:pt idx="19">
                        <c:v>107</c:v>
                      </c:pt>
                      <c:pt idx="20">
                        <c:v>148</c:v>
                      </c:pt>
                      <c:pt idx="21">
                        <c:v>279</c:v>
                      </c:pt>
                      <c:pt idx="22">
                        <c:v>201</c:v>
                      </c:pt>
                      <c:pt idx="23">
                        <c:v>148</c:v>
                      </c:pt>
                      <c:pt idx="24">
                        <c:v>203</c:v>
                      </c:pt>
                      <c:pt idx="25">
                        <c:v>261</c:v>
                      </c:pt>
                      <c:pt idx="26">
                        <c:v>206</c:v>
                      </c:pt>
                      <c:pt idx="27">
                        <c:v>168</c:v>
                      </c:pt>
                      <c:pt idx="28">
                        <c:v>175.5</c:v>
                      </c:pt>
                      <c:pt idx="29">
                        <c:v>183</c:v>
                      </c:pt>
                      <c:pt idx="30">
                        <c:v>252</c:v>
                      </c:pt>
                      <c:pt idx="31">
                        <c:v>99</c:v>
                      </c:pt>
                      <c:pt idx="32">
                        <c:v>98</c:v>
                      </c:pt>
                      <c:pt idx="33">
                        <c:v>238</c:v>
                      </c:pt>
                      <c:pt idx="34">
                        <c:v>202</c:v>
                      </c:pt>
                      <c:pt idx="35">
                        <c:v>115</c:v>
                      </c:pt>
                      <c:pt idx="36">
                        <c:v>178</c:v>
                      </c:pt>
                      <c:pt idx="37">
                        <c:v>251</c:v>
                      </c:pt>
                      <c:pt idx="38">
                        <c:v>200</c:v>
                      </c:pt>
                      <c:pt idx="39">
                        <c:v>92</c:v>
                      </c:pt>
                      <c:pt idx="40">
                        <c:v>87</c:v>
                      </c:pt>
                      <c:pt idx="41">
                        <c:v>128</c:v>
                      </c:pt>
                      <c:pt idx="42">
                        <c:v>283</c:v>
                      </c:pt>
                      <c:pt idx="43">
                        <c:v>77</c:v>
                      </c:pt>
                      <c:pt idx="44">
                        <c:v>113</c:v>
                      </c:pt>
                      <c:pt idx="45">
                        <c:v>172</c:v>
                      </c:pt>
                      <c:pt idx="46">
                        <c:v>246</c:v>
                      </c:pt>
                      <c:pt idx="47">
                        <c:v>112</c:v>
                      </c:pt>
                      <c:pt idx="48">
                        <c:v>213</c:v>
                      </c:pt>
                      <c:pt idx="49">
                        <c:v>406</c:v>
                      </c:pt>
                      <c:pt idx="50">
                        <c:v>152</c:v>
                      </c:pt>
                      <c:pt idx="51">
                        <c:v>116</c:v>
                      </c:pt>
                      <c:pt idx="52">
                        <c:v>60</c:v>
                      </c:pt>
                      <c:pt idx="53">
                        <c:v>122</c:v>
                      </c:pt>
                      <c:pt idx="54">
                        <c:v>217</c:v>
                      </c:pt>
                      <c:pt idx="55">
                        <c:v>88</c:v>
                      </c:pt>
                      <c:pt idx="56">
                        <c:v>138</c:v>
                      </c:pt>
                      <c:pt idx="57">
                        <c:v>226</c:v>
                      </c:pt>
                      <c:pt idx="58">
                        <c:v>103</c:v>
                      </c:pt>
                      <c:pt idx="59">
                        <c:v>150</c:v>
                      </c:pt>
                      <c:pt idx="60">
                        <c:v>250</c:v>
                      </c:pt>
                      <c:pt idx="61">
                        <c:v>287</c:v>
                      </c:pt>
                      <c:pt idx="62">
                        <c:v>177</c:v>
                      </c:pt>
                      <c:pt idx="63">
                        <c:v>87</c:v>
                      </c:pt>
                      <c:pt idx="64">
                        <c:v>81</c:v>
                      </c:pt>
                      <c:pt idx="65">
                        <c:v>96</c:v>
                      </c:pt>
                      <c:pt idx="66">
                        <c:v>200</c:v>
                      </c:pt>
                      <c:pt idx="67">
                        <c:v>61</c:v>
                      </c:pt>
                      <c:pt idx="68">
                        <c:v>166</c:v>
                      </c:pt>
                      <c:pt idx="69">
                        <c:v>157</c:v>
                      </c:pt>
                      <c:pt idx="70">
                        <c:v>166</c:v>
                      </c:pt>
                      <c:pt idx="71">
                        <c:v>70</c:v>
                      </c:pt>
                      <c:pt idx="72">
                        <c:v>234</c:v>
                      </c:pt>
                      <c:pt idx="73">
                        <c:v>196</c:v>
                      </c:pt>
                      <c:pt idx="74">
                        <c:v>222</c:v>
                      </c:pt>
                      <c:pt idx="75">
                        <c:v>104</c:v>
                      </c:pt>
                      <c:pt idx="76">
                        <c:v>71</c:v>
                      </c:pt>
                      <c:pt idx="77">
                        <c:v>101</c:v>
                      </c:pt>
                      <c:pt idx="78">
                        <c:v>269</c:v>
                      </c:pt>
                      <c:pt idx="79">
                        <c:v>67</c:v>
                      </c:pt>
                      <c:pt idx="80">
                        <c:v>95</c:v>
                      </c:pt>
                      <c:pt idx="81">
                        <c:v>146</c:v>
                      </c:pt>
                      <c:pt idx="82">
                        <c:v>239</c:v>
                      </c:pt>
                      <c:pt idx="83">
                        <c:v>112</c:v>
                      </c:pt>
                      <c:pt idx="84">
                        <c:v>252</c:v>
                      </c:pt>
                      <c:pt idx="85">
                        <c:v>231</c:v>
                      </c:pt>
                      <c:pt idx="86">
                        <c:v>180</c:v>
                      </c:pt>
                      <c:pt idx="87">
                        <c:v>128</c:v>
                      </c:pt>
                      <c:pt idx="88">
                        <c:v>77</c:v>
                      </c:pt>
                      <c:pt idx="89">
                        <c:v>117</c:v>
                      </c:pt>
                      <c:pt idx="90">
                        <c:v>176</c:v>
                      </c:pt>
                      <c:pt idx="91">
                        <c:v>98</c:v>
                      </c:pt>
                      <c:pt idx="92">
                        <c:v>126</c:v>
                      </c:pt>
                      <c:pt idx="93">
                        <c:v>196</c:v>
                      </c:pt>
                      <c:pt idx="94">
                        <c:v>187</c:v>
                      </c:pt>
                      <c:pt idx="95">
                        <c:v>137</c:v>
                      </c:pt>
                      <c:pt idx="96">
                        <c:v>133</c:v>
                      </c:pt>
                      <c:pt idx="97">
                        <c:v>234</c:v>
                      </c:pt>
                      <c:pt idx="98">
                        <c:v>242</c:v>
                      </c:pt>
                      <c:pt idx="99">
                        <c:v>102</c:v>
                      </c:pt>
                      <c:pt idx="100">
                        <c:v>65</c:v>
                      </c:pt>
                      <c:pt idx="101">
                        <c:v>124</c:v>
                      </c:pt>
                      <c:pt idx="102">
                        <c:v>224</c:v>
                      </c:pt>
                      <c:pt idx="103">
                        <c:v>70</c:v>
                      </c:pt>
                      <c:pt idx="104">
                        <c:v>93</c:v>
                      </c:pt>
                      <c:pt idx="105">
                        <c:v>185</c:v>
                      </c:pt>
                      <c:pt idx="106">
                        <c:v>146</c:v>
                      </c:pt>
                      <c:pt idx="107">
                        <c:v>117</c:v>
                      </c:pt>
                      <c:pt idx="108">
                        <c:v>180</c:v>
                      </c:pt>
                      <c:pt idx="109">
                        <c:v>228</c:v>
                      </c:pt>
                      <c:pt idx="110">
                        <c:v>313</c:v>
                      </c:pt>
                      <c:pt idx="111">
                        <c:v>108</c:v>
                      </c:pt>
                      <c:pt idx="112">
                        <c:v>75</c:v>
                      </c:pt>
                      <c:pt idx="113">
                        <c:v>154</c:v>
                      </c:pt>
                      <c:pt idx="114">
                        <c:v>248</c:v>
                      </c:pt>
                      <c:pt idx="115">
                        <c:v>76</c:v>
                      </c:pt>
                      <c:pt idx="116" formatCode="General">
                        <c:v>99</c:v>
                      </c:pt>
                      <c:pt idx="117">
                        <c:v>209</c:v>
                      </c:pt>
                      <c:pt idx="118">
                        <c:v>114</c:v>
                      </c:pt>
                      <c:pt idx="119">
                        <c:v>97</c:v>
                      </c:pt>
                      <c:pt idx="120">
                        <c:v>165</c:v>
                      </c:pt>
                      <c:pt idx="121">
                        <c:v>265</c:v>
                      </c:pt>
                      <c:pt idx="122">
                        <c:v>226</c:v>
                      </c:pt>
                      <c:pt idx="123">
                        <c:v>167</c:v>
                      </c:pt>
                      <c:pt idx="124">
                        <c:v>67</c:v>
                      </c:pt>
                      <c:pt idx="125">
                        <c:v>147</c:v>
                      </c:pt>
                      <c:pt idx="126">
                        <c:v>267</c:v>
                      </c:pt>
                      <c:pt idx="127">
                        <c:v>116</c:v>
                      </c:pt>
                      <c:pt idx="128">
                        <c:v>166</c:v>
                      </c:pt>
                      <c:pt idx="129">
                        <c:v>230</c:v>
                      </c:pt>
                      <c:pt idx="130">
                        <c:v>154</c:v>
                      </c:pt>
                      <c:pt idx="131">
                        <c:v>150</c:v>
                      </c:pt>
                      <c:pt idx="132">
                        <c:v>202</c:v>
                      </c:pt>
                      <c:pt idx="133">
                        <c:v>365</c:v>
                      </c:pt>
                      <c:pt idx="134">
                        <c:v>309</c:v>
                      </c:pt>
                      <c:pt idx="135">
                        <c:v>194</c:v>
                      </c:pt>
                      <c:pt idx="136">
                        <c:v>79</c:v>
                      </c:pt>
                      <c:pt idx="137">
                        <c:v>144</c:v>
                      </c:pt>
                      <c:pt idx="138">
                        <c:v>268</c:v>
                      </c:pt>
                      <c:pt idx="139">
                        <c:v>88</c:v>
                      </c:pt>
                      <c:pt idx="140">
                        <c:v>172</c:v>
                      </c:pt>
                      <c:pt idx="141">
                        <c:v>309</c:v>
                      </c:pt>
                      <c:pt idx="142">
                        <c:v>189</c:v>
                      </c:pt>
                      <c:pt idx="143">
                        <c:v>154</c:v>
                      </c:pt>
                      <c:pt idx="144" formatCode="_(* #,##0_);_(* \(#,##0\);_(* &quot;-&quot;??_);_(@_)">
                        <c:v>229</c:v>
                      </c:pt>
                      <c:pt idx="145">
                        <c:v>408</c:v>
                      </c:pt>
                      <c:pt idx="146">
                        <c:v>247</c:v>
                      </c:pt>
                      <c:pt idx="147">
                        <c:v>255</c:v>
                      </c:pt>
                      <c:pt idx="148" formatCode="_(* #,##0_);_(* \(#,##0\);_(* &quot;-&quot;??_);_(@_)">
                        <c:v>103</c:v>
                      </c:pt>
                      <c:pt idx="149" formatCode="_(* #,##0_);_(* \(#,##0\);_(* &quot;-&quot;??_);_(@_)">
                        <c:v>140</c:v>
                      </c:pt>
                      <c:pt idx="150" formatCode="_(* #,##0_);_(* \(#,##0\);_(* &quot;-&quot;??_);_(@_)">
                        <c:v>343</c:v>
                      </c:pt>
                      <c:pt idx="151" formatCode="_(* #,##0_);_(* \(#,##0\);_(* &quot;-&quot;??_);_(@_)">
                        <c:v>141</c:v>
                      </c:pt>
                      <c:pt idx="152" formatCode="_(* #,##0_);_(* \(#,##0\);_(* &quot;-&quot;??_);_(@_)">
                        <c:v>242</c:v>
                      </c:pt>
                      <c:pt idx="153" formatCode="_(* #,##0_);_(* \(#,##0\);_(* &quot;-&quot;??_);_(@_)">
                        <c:v>175</c:v>
                      </c:pt>
                      <c:pt idx="154" formatCode="_(* #,##0_);_(* \(#,##0\);_(* &quot;-&quot;??_);_(@_)">
                        <c:v>177</c:v>
                      </c:pt>
                      <c:pt idx="155" formatCode="_(* #,##0_);_(* \(#,##0\);_(* &quot;-&quot;??_);_(@_)">
                        <c:v>150</c:v>
                      </c:pt>
                      <c:pt idx="156">
                        <c:v>283</c:v>
                      </c:pt>
                      <c:pt idx="157">
                        <c:v>504</c:v>
                      </c:pt>
                      <c:pt idx="158">
                        <c:v>137</c:v>
                      </c:pt>
                      <c:pt idx="159">
                        <c:v>2</c:v>
                      </c:pt>
                      <c:pt idx="160">
                        <c:v>2</c:v>
                      </c:pt>
                      <c:pt idx="161">
                        <c:v>4</c:v>
                      </c:pt>
                      <c:pt idx="162">
                        <c:v>7</c:v>
                      </c:pt>
                      <c:pt idx="163">
                        <c:v>2</c:v>
                      </c:pt>
                      <c:pt idx="164">
                        <c:v>11</c:v>
                      </c:pt>
                      <c:pt idx="165">
                        <c:v>16</c:v>
                      </c:pt>
                      <c:pt idx="166">
                        <c:v>7</c:v>
                      </c:pt>
                      <c:pt idx="167">
                        <c:v>15</c:v>
                      </c:pt>
                      <c:pt idx="168">
                        <c:v>12</c:v>
                      </c:pt>
                      <c:pt idx="169">
                        <c:v>7</c:v>
                      </c:pt>
                      <c:pt idx="170">
                        <c:v>9</c:v>
                      </c:pt>
                      <c:pt idx="171">
                        <c:v>4</c:v>
                      </c:pt>
                      <c:pt idx="172">
                        <c:v>13</c:v>
                      </c:pt>
                    </c:numCache>
                  </c:numRef>
                </c:val>
                <c:smooth val="0"/>
                <c:extLst xmlns:c15="http://schemas.microsoft.com/office/drawing/2012/chart">
                  <c:ext xmlns:c16="http://schemas.microsoft.com/office/drawing/2014/chart" uri="{C3380CC4-5D6E-409C-BE32-E72D297353CC}">
                    <c16:uniqueId val="{00000018-F54E-4F2C-B67C-89E5093B052E}"/>
                  </c:ext>
                </c:extLst>
              </c15:ser>
            </c15:filteredLineSeries>
            <c15:filteredLineSeries>
              <c15:ser>
                <c:idx val="25"/>
                <c:order val="25"/>
                <c:tx>
                  <c:strRef>
                    <c:extLst xmlns:c15="http://schemas.microsoft.com/office/drawing/2012/chart">
                      <c:ext xmlns:c15="http://schemas.microsoft.com/office/drawing/2012/chart" uri="{02D57815-91ED-43cb-92C2-25804820EDAC}">
                        <c15:formulaRef>
                          <c15:sqref>'Tendencias nacionalidad'!$C$79</c15:sqref>
                        </c15:formulaRef>
                      </c:ext>
                    </c:extLst>
                    <c:strCache>
                      <c:ptCount val="1"/>
                      <c:pt idx="0">
                        <c:v>Israel</c:v>
                      </c:pt>
                    </c:strCache>
                  </c:strRef>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nacionalidad'!$D$79:$GA$79</c15:sqref>
                        </c15:fullRef>
                        <c15:formulaRef>
                          <c15:sqref>'Tendencias nacionalidad'!$D$79:$FT$79</c15:sqref>
                        </c15:formulaRef>
                      </c:ext>
                    </c:extLst>
                    <c:numCache>
                      <c:formatCode>#,##0</c:formatCode>
                      <c:ptCount val="173"/>
                      <c:pt idx="0">
                        <c:v>78</c:v>
                      </c:pt>
                      <c:pt idx="1">
                        <c:v>103</c:v>
                      </c:pt>
                      <c:pt idx="2">
                        <c:v>184</c:v>
                      </c:pt>
                      <c:pt idx="3">
                        <c:v>112</c:v>
                      </c:pt>
                      <c:pt idx="4">
                        <c:v>114</c:v>
                      </c:pt>
                      <c:pt idx="5">
                        <c:v>148</c:v>
                      </c:pt>
                      <c:pt idx="6">
                        <c:v>197</c:v>
                      </c:pt>
                      <c:pt idx="7">
                        <c:v>193</c:v>
                      </c:pt>
                      <c:pt idx="8">
                        <c:v>181</c:v>
                      </c:pt>
                      <c:pt idx="9">
                        <c:v>180</c:v>
                      </c:pt>
                      <c:pt idx="10">
                        <c:v>90</c:v>
                      </c:pt>
                      <c:pt idx="11">
                        <c:v>80</c:v>
                      </c:pt>
                      <c:pt idx="12">
                        <c:v>155</c:v>
                      </c:pt>
                      <c:pt idx="13">
                        <c:v>173</c:v>
                      </c:pt>
                      <c:pt idx="14">
                        <c:v>175</c:v>
                      </c:pt>
                      <c:pt idx="15">
                        <c:v>248</c:v>
                      </c:pt>
                      <c:pt idx="16">
                        <c:v>167</c:v>
                      </c:pt>
                      <c:pt idx="17">
                        <c:v>202</c:v>
                      </c:pt>
                      <c:pt idx="18">
                        <c:v>236</c:v>
                      </c:pt>
                      <c:pt idx="19">
                        <c:v>262</c:v>
                      </c:pt>
                      <c:pt idx="20">
                        <c:v>246</c:v>
                      </c:pt>
                      <c:pt idx="21">
                        <c:v>170</c:v>
                      </c:pt>
                      <c:pt idx="22">
                        <c:v>145</c:v>
                      </c:pt>
                      <c:pt idx="23">
                        <c:v>145</c:v>
                      </c:pt>
                      <c:pt idx="24">
                        <c:v>130</c:v>
                      </c:pt>
                      <c:pt idx="25">
                        <c:v>123</c:v>
                      </c:pt>
                      <c:pt idx="26">
                        <c:v>218</c:v>
                      </c:pt>
                      <c:pt idx="27">
                        <c:v>241</c:v>
                      </c:pt>
                      <c:pt idx="28">
                        <c:v>241</c:v>
                      </c:pt>
                      <c:pt idx="29">
                        <c:v>241</c:v>
                      </c:pt>
                      <c:pt idx="30">
                        <c:v>289</c:v>
                      </c:pt>
                      <c:pt idx="31">
                        <c:v>236</c:v>
                      </c:pt>
                      <c:pt idx="32">
                        <c:v>213</c:v>
                      </c:pt>
                      <c:pt idx="33">
                        <c:v>154</c:v>
                      </c:pt>
                      <c:pt idx="34">
                        <c:v>149</c:v>
                      </c:pt>
                      <c:pt idx="35">
                        <c:v>91</c:v>
                      </c:pt>
                      <c:pt idx="36">
                        <c:v>175</c:v>
                      </c:pt>
                      <c:pt idx="37">
                        <c:v>112</c:v>
                      </c:pt>
                      <c:pt idx="38">
                        <c:v>279</c:v>
                      </c:pt>
                      <c:pt idx="39">
                        <c:v>168</c:v>
                      </c:pt>
                      <c:pt idx="40">
                        <c:v>152</c:v>
                      </c:pt>
                      <c:pt idx="41">
                        <c:v>226</c:v>
                      </c:pt>
                      <c:pt idx="42">
                        <c:v>249</c:v>
                      </c:pt>
                      <c:pt idx="43">
                        <c:v>261</c:v>
                      </c:pt>
                      <c:pt idx="44">
                        <c:v>217</c:v>
                      </c:pt>
                      <c:pt idx="45">
                        <c:v>88</c:v>
                      </c:pt>
                      <c:pt idx="46">
                        <c:v>87</c:v>
                      </c:pt>
                      <c:pt idx="47">
                        <c:v>78</c:v>
                      </c:pt>
                      <c:pt idx="48">
                        <c:v>118</c:v>
                      </c:pt>
                      <c:pt idx="49">
                        <c:v>139</c:v>
                      </c:pt>
                      <c:pt idx="50">
                        <c:v>125</c:v>
                      </c:pt>
                      <c:pt idx="51">
                        <c:v>217</c:v>
                      </c:pt>
                      <c:pt idx="52">
                        <c:v>175</c:v>
                      </c:pt>
                      <c:pt idx="53">
                        <c:v>150</c:v>
                      </c:pt>
                      <c:pt idx="54">
                        <c:v>262</c:v>
                      </c:pt>
                      <c:pt idx="55">
                        <c:v>198</c:v>
                      </c:pt>
                      <c:pt idx="56">
                        <c:v>219</c:v>
                      </c:pt>
                      <c:pt idx="57">
                        <c:v>271</c:v>
                      </c:pt>
                      <c:pt idx="58">
                        <c:v>98</c:v>
                      </c:pt>
                      <c:pt idx="59">
                        <c:v>86</c:v>
                      </c:pt>
                      <c:pt idx="60">
                        <c:v>133</c:v>
                      </c:pt>
                      <c:pt idx="61">
                        <c:v>119</c:v>
                      </c:pt>
                      <c:pt idx="62">
                        <c:v>163</c:v>
                      </c:pt>
                      <c:pt idx="63">
                        <c:v>213</c:v>
                      </c:pt>
                      <c:pt idx="64">
                        <c:v>210</c:v>
                      </c:pt>
                      <c:pt idx="65">
                        <c:v>203</c:v>
                      </c:pt>
                      <c:pt idx="66">
                        <c:v>253</c:v>
                      </c:pt>
                      <c:pt idx="67">
                        <c:v>221</c:v>
                      </c:pt>
                      <c:pt idx="68">
                        <c:v>326</c:v>
                      </c:pt>
                      <c:pt idx="69">
                        <c:v>176</c:v>
                      </c:pt>
                      <c:pt idx="70">
                        <c:v>131</c:v>
                      </c:pt>
                      <c:pt idx="71">
                        <c:v>106</c:v>
                      </c:pt>
                      <c:pt idx="72">
                        <c:v>135</c:v>
                      </c:pt>
                      <c:pt idx="73">
                        <c:v>152</c:v>
                      </c:pt>
                      <c:pt idx="74">
                        <c:v>185</c:v>
                      </c:pt>
                      <c:pt idx="75">
                        <c:v>132</c:v>
                      </c:pt>
                      <c:pt idx="76">
                        <c:v>195</c:v>
                      </c:pt>
                      <c:pt idx="77">
                        <c:v>177</c:v>
                      </c:pt>
                      <c:pt idx="78">
                        <c:v>258</c:v>
                      </c:pt>
                      <c:pt idx="79">
                        <c:v>175</c:v>
                      </c:pt>
                      <c:pt idx="80">
                        <c:v>275</c:v>
                      </c:pt>
                      <c:pt idx="81">
                        <c:v>119</c:v>
                      </c:pt>
                      <c:pt idx="82">
                        <c:v>118</c:v>
                      </c:pt>
                      <c:pt idx="83">
                        <c:v>86</c:v>
                      </c:pt>
                      <c:pt idx="84">
                        <c:v>153</c:v>
                      </c:pt>
                      <c:pt idx="85">
                        <c:v>143</c:v>
                      </c:pt>
                      <c:pt idx="86">
                        <c:v>161</c:v>
                      </c:pt>
                      <c:pt idx="87">
                        <c:v>201</c:v>
                      </c:pt>
                      <c:pt idx="88">
                        <c:v>206</c:v>
                      </c:pt>
                      <c:pt idx="89">
                        <c:v>181</c:v>
                      </c:pt>
                      <c:pt idx="90">
                        <c:v>278</c:v>
                      </c:pt>
                      <c:pt idx="91">
                        <c:v>198</c:v>
                      </c:pt>
                      <c:pt idx="92">
                        <c:v>227</c:v>
                      </c:pt>
                      <c:pt idx="93">
                        <c:v>207</c:v>
                      </c:pt>
                      <c:pt idx="94">
                        <c:v>126</c:v>
                      </c:pt>
                      <c:pt idx="95">
                        <c:v>73</c:v>
                      </c:pt>
                      <c:pt idx="96">
                        <c:v>204</c:v>
                      </c:pt>
                      <c:pt idx="97">
                        <c:v>104</c:v>
                      </c:pt>
                      <c:pt idx="98">
                        <c:v>171</c:v>
                      </c:pt>
                      <c:pt idx="99">
                        <c:v>264</c:v>
                      </c:pt>
                      <c:pt idx="100">
                        <c:v>250</c:v>
                      </c:pt>
                      <c:pt idx="101">
                        <c:v>188</c:v>
                      </c:pt>
                      <c:pt idx="102">
                        <c:v>204</c:v>
                      </c:pt>
                      <c:pt idx="103">
                        <c:v>170</c:v>
                      </c:pt>
                      <c:pt idx="104">
                        <c:v>298</c:v>
                      </c:pt>
                      <c:pt idx="105">
                        <c:v>111</c:v>
                      </c:pt>
                      <c:pt idx="106">
                        <c:v>147</c:v>
                      </c:pt>
                      <c:pt idx="107">
                        <c:v>77</c:v>
                      </c:pt>
                      <c:pt idx="108">
                        <c:v>124</c:v>
                      </c:pt>
                      <c:pt idx="109">
                        <c:v>147</c:v>
                      </c:pt>
                      <c:pt idx="110">
                        <c:v>120</c:v>
                      </c:pt>
                      <c:pt idx="111">
                        <c:v>273</c:v>
                      </c:pt>
                      <c:pt idx="112">
                        <c:v>157</c:v>
                      </c:pt>
                      <c:pt idx="113">
                        <c:v>220</c:v>
                      </c:pt>
                      <c:pt idx="114">
                        <c:v>209</c:v>
                      </c:pt>
                      <c:pt idx="115">
                        <c:v>188</c:v>
                      </c:pt>
                      <c:pt idx="116" formatCode="General">
                        <c:v>175</c:v>
                      </c:pt>
                      <c:pt idx="117">
                        <c:v>245</c:v>
                      </c:pt>
                      <c:pt idx="118">
                        <c:v>107</c:v>
                      </c:pt>
                      <c:pt idx="119">
                        <c:v>136</c:v>
                      </c:pt>
                      <c:pt idx="120">
                        <c:v>102</c:v>
                      </c:pt>
                      <c:pt idx="121">
                        <c:v>109</c:v>
                      </c:pt>
                      <c:pt idx="122">
                        <c:v>146</c:v>
                      </c:pt>
                      <c:pt idx="123">
                        <c:v>271</c:v>
                      </c:pt>
                      <c:pt idx="124">
                        <c:v>156</c:v>
                      </c:pt>
                      <c:pt idx="125">
                        <c:v>142</c:v>
                      </c:pt>
                      <c:pt idx="126">
                        <c:v>179</c:v>
                      </c:pt>
                      <c:pt idx="127">
                        <c:v>186</c:v>
                      </c:pt>
                      <c:pt idx="128">
                        <c:v>144</c:v>
                      </c:pt>
                      <c:pt idx="129">
                        <c:v>117</c:v>
                      </c:pt>
                      <c:pt idx="130">
                        <c:v>104</c:v>
                      </c:pt>
                      <c:pt idx="131">
                        <c:v>119</c:v>
                      </c:pt>
                      <c:pt idx="132">
                        <c:v>145</c:v>
                      </c:pt>
                      <c:pt idx="133">
                        <c:v>134</c:v>
                      </c:pt>
                      <c:pt idx="134">
                        <c:v>200</c:v>
                      </c:pt>
                      <c:pt idx="135">
                        <c:v>232</c:v>
                      </c:pt>
                      <c:pt idx="136">
                        <c:v>249</c:v>
                      </c:pt>
                      <c:pt idx="137">
                        <c:v>206</c:v>
                      </c:pt>
                      <c:pt idx="138">
                        <c:v>241</c:v>
                      </c:pt>
                      <c:pt idx="139">
                        <c:v>250</c:v>
                      </c:pt>
                      <c:pt idx="140">
                        <c:v>307</c:v>
                      </c:pt>
                      <c:pt idx="141">
                        <c:v>141</c:v>
                      </c:pt>
                      <c:pt idx="142">
                        <c:v>72</c:v>
                      </c:pt>
                      <c:pt idx="143">
                        <c:v>230</c:v>
                      </c:pt>
                      <c:pt idx="144" formatCode="_(* #,##0_);_(* \(#,##0\);_(* &quot;-&quot;??_);_(@_)">
                        <c:v>127</c:v>
                      </c:pt>
                      <c:pt idx="145">
                        <c:v>102</c:v>
                      </c:pt>
                      <c:pt idx="146">
                        <c:v>181</c:v>
                      </c:pt>
                      <c:pt idx="147">
                        <c:v>326</c:v>
                      </c:pt>
                      <c:pt idx="148" formatCode="_(* #,##0_);_(* \(#,##0\);_(* &quot;-&quot;??_);_(@_)">
                        <c:v>267</c:v>
                      </c:pt>
                      <c:pt idx="149" formatCode="_(* #,##0_);_(* \(#,##0\);_(* &quot;-&quot;??_);_(@_)">
                        <c:v>227</c:v>
                      </c:pt>
                      <c:pt idx="150" formatCode="_(* #,##0_);_(* \(#,##0\);_(* &quot;-&quot;??_);_(@_)">
                        <c:v>312</c:v>
                      </c:pt>
                      <c:pt idx="151" formatCode="_(* #,##0_);_(* \(#,##0\);_(* &quot;-&quot;??_);_(@_)">
                        <c:v>221</c:v>
                      </c:pt>
                      <c:pt idx="152" formatCode="_(* #,##0_);_(* \(#,##0\);_(* &quot;-&quot;??_);_(@_)">
                        <c:v>232</c:v>
                      </c:pt>
                      <c:pt idx="153" formatCode="_(* #,##0_);_(* \(#,##0\);_(* &quot;-&quot;??_);_(@_)">
                        <c:v>262</c:v>
                      </c:pt>
                      <c:pt idx="154" formatCode="_(* #,##0_);_(* \(#,##0\);_(* &quot;-&quot;??_);_(@_)">
                        <c:v>139</c:v>
                      </c:pt>
                      <c:pt idx="155" formatCode="_(* #,##0_);_(* \(#,##0\);_(* &quot;-&quot;??_);_(@_)">
                        <c:v>165</c:v>
                      </c:pt>
                      <c:pt idx="156">
                        <c:v>173</c:v>
                      </c:pt>
                      <c:pt idx="157">
                        <c:v>113</c:v>
                      </c:pt>
                      <c:pt idx="158">
                        <c:v>75</c:v>
                      </c:pt>
                      <c:pt idx="161">
                        <c:v>1</c:v>
                      </c:pt>
                      <c:pt idx="162">
                        <c:v>5</c:v>
                      </c:pt>
                      <c:pt idx="163">
                        <c:v>12</c:v>
                      </c:pt>
                      <c:pt idx="164">
                        <c:v>7</c:v>
                      </c:pt>
                      <c:pt idx="165">
                        <c:v>12</c:v>
                      </c:pt>
                      <c:pt idx="166">
                        <c:v>24</c:v>
                      </c:pt>
                      <c:pt idx="167">
                        <c:v>21</c:v>
                      </c:pt>
                      <c:pt idx="168">
                        <c:v>29</c:v>
                      </c:pt>
                      <c:pt idx="169">
                        <c:v>7</c:v>
                      </c:pt>
                      <c:pt idx="170">
                        <c:v>24</c:v>
                      </c:pt>
                      <c:pt idx="171">
                        <c:v>46</c:v>
                      </c:pt>
                      <c:pt idx="172">
                        <c:v>42</c:v>
                      </c:pt>
                    </c:numCache>
                  </c:numRef>
                </c:val>
                <c:smooth val="0"/>
                <c:extLst xmlns:c15="http://schemas.microsoft.com/office/drawing/2012/chart">
                  <c:ext xmlns:c16="http://schemas.microsoft.com/office/drawing/2014/chart" uri="{C3380CC4-5D6E-409C-BE32-E72D297353CC}">
                    <c16:uniqueId val="{00000019-F54E-4F2C-B67C-89E5093B052E}"/>
                  </c:ext>
                </c:extLst>
              </c15:ser>
            </c15:filteredLineSeries>
            <c15:filteredLineSeries>
              <c15:ser>
                <c:idx val="26"/>
                <c:order val="26"/>
                <c:tx>
                  <c:strRef>
                    <c:extLst xmlns:c15="http://schemas.microsoft.com/office/drawing/2012/chart">
                      <c:ext xmlns:c15="http://schemas.microsoft.com/office/drawing/2012/chart" uri="{02D57815-91ED-43cb-92C2-25804820EDAC}">
                        <c15:formulaRef>
                          <c15:sqref>'Tendencias nacionalidad'!$C$80</c15:sqref>
                        </c15:formulaRef>
                      </c:ext>
                    </c:extLst>
                    <c:strCache>
                      <c:ptCount val="1"/>
                      <c:pt idx="0">
                        <c:v>Rusia</c:v>
                      </c:pt>
                    </c:strCache>
                  </c:strRef>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nacionalidad'!$D$80:$GA$80</c15:sqref>
                        </c15:fullRef>
                        <c15:formulaRef>
                          <c15:sqref>'Tendencias nacionalidad'!$D$80:$FT$80</c15:sqref>
                        </c15:formulaRef>
                      </c:ext>
                    </c:extLst>
                    <c:numCache>
                      <c:formatCode>#,##0</c:formatCode>
                      <c:ptCount val="173"/>
                      <c:pt idx="0">
                        <c:v>120</c:v>
                      </c:pt>
                      <c:pt idx="1">
                        <c:v>59</c:v>
                      </c:pt>
                      <c:pt idx="2">
                        <c:v>128</c:v>
                      </c:pt>
                      <c:pt idx="3">
                        <c:v>109</c:v>
                      </c:pt>
                      <c:pt idx="4">
                        <c:v>113</c:v>
                      </c:pt>
                      <c:pt idx="5">
                        <c:v>72</c:v>
                      </c:pt>
                      <c:pt idx="6">
                        <c:v>102</c:v>
                      </c:pt>
                      <c:pt idx="7">
                        <c:v>118</c:v>
                      </c:pt>
                      <c:pt idx="8">
                        <c:v>110</c:v>
                      </c:pt>
                      <c:pt idx="9">
                        <c:v>166</c:v>
                      </c:pt>
                      <c:pt idx="10">
                        <c:v>172</c:v>
                      </c:pt>
                      <c:pt idx="11">
                        <c:v>155</c:v>
                      </c:pt>
                      <c:pt idx="12">
                        <c:v>194</c:v>
                      </c:pt>
                      <c:pt idx="13">
                        <c:v>225</c:v>
                      </c:pt>
                      <c:pt idx="14">
                        <c:v>75</c:v>
                      </c:pt>
                      <c:pt idx="15">
                        <c:v>146</c:v>
                      </c:pt>
                      <c:pt idx="16">
                        <c:v>108</c:v>
                      </c:pt>
                      <c:pt idx="17">
                        <c:v>91</c:v>
                      </c:pt>
                      <c:pt idx="18">
                        <c:v>59</c:v>
                      </c:pt>
                      <c:pt idx="19">
                        <c:v>146</c:v>
                      </c:pt>
                      <c:pt idx="20">
                        <c:v>144</c:v>
                      </c:pt>
                      <c:pt idx="21">
                        <c:v>246</c:v>
                      </c:pt>
                      <c:pt idx="22">
                        <c:v>176</c:v>
                      </c:pt>
                      <c:pt idx="23">
                        <c:v>156</c:v>
                      </c:pt>
                      <c:pt idx="24">
                        <c:v>242</c:v>
                      </c:pt>
                      <c:pt idx="25">
                        <c:v>112</c:v>
                      </c:pt>
                      <c:pt idx="26">
                        <c:v>107</c:v>
                      </c:pt>
                      <c:pt idx="27">
                        <c:v>162</c:v>
                      </c:pt>
                      <c:pt idx="28">
                        <c:v>132</c:v>
                      </c:pt>
                      <c:pt idx="29">
                        <c:v>102</c:v>
                      </c:pt>
                      <c:pt idx="30">
                        <c:v>113</c:v>
                      </c:pt>
                      <c:pt idx="31">
                        <c:v>121</c:v>
                      </c:pt>
                      <c:pt idx="32">
                        <c:v>168</c:v>
                      </c:pt>
                      <c:pt idx="33">
                        <c:v>111</c:v>
                      </c:pt>
                      <c:pt idx="34">
                        <c:v>109</c:v>
                      </c:pt>
                      <c:pt idx="35">
                        <c:v>124</c:v>
                      </c:pt>
                      <c:pt idx="36">
                        <c:v>180</c:v>
                      </c:pt>
                      <c:pt idx="37">
                        <c:v>118</c:v>
                      </c:pt>
                      <c:pt idx="38">
                        <c:v>148</c:v>
                      </c:pt>
                      <c:pt idx="39">
                        <c:v>100</c:v>
                      </c:pt>
                      <c:pt idx="40">
                        <c:v>129</c:v>
                      </c:pt>
                      <c:pt idx="41">
                        <c:v>93</c:v>
                      </c:pt>
                      <c:pt idx="42">
                        <c:v>88</c:v>
                      </c:pt>
                      <c:pt idx="43">
                        <c:v>74</c:v>
                      </c:pt>
                      <c:pt idx="44">
                        <c:v>110</c:v>
                      </c:pt>
                      <c:pt idx="45">
                        <c:v>95</c:v>
                      </c:pt>
                      <c:pt idx="46">
                        <c:v>136</c:v>
                      </c:pt>
                      <c:pt idx="47">
                        <c:v>177</c:v>
                      </c:pt>
                      <c:pt idx="48">
                        <c:v>162</c:v>
                      </c:pt>
                      <c:pt idx="49">
                        <c:v>143</c:v>
                      </c:pt>
                      <c:pt idx="50">
                        <c:v>142</c:v>
                      </c:pt>
                      <c:pt idx="51">
                        <c:v>190</c:v>
                      </c:pt>
                      <c:pt idx="52">
                        <c:v>66</c:v>
                      </c:pt>
                      <c:pt idx="53">
                        <c:v>108</c:v>
                      </c:pt>
                      <c:pt idx="54">
                        <c:v>147</c:v>
                      </c:pt>
                      <c:pt idx="55">
                        <c:v>120</c:v>
                      </c:pt>
                      <c:pt idx="56">
                        <c:v>122</c:v>
                      </c:pt>
                      <c:pt idx="57">
                        <c:v>233</c:v>
                      </c:pt>
                      <c:pt idx="58">
                        <c:v>327</c:v>
                      </c:pt>
                      <c:pt idx="59">
                        <c:v>182</c:v>
                      </c:pt>
                      <c:pt idx="60">
                        <c:v>251</c:v>
                      </c:pt>
                      <c:pt idx="61">
                        <c:v>150</c:v>
                      </c:pt>
                      <c:pt idx="62">
                        <c:v>195</c:v>
                      </c:pt>
                      <c:pt idx="63">
                        <c:v>172</c:v>
                      </c:pt>
                      <c:pt idx="64">
                        <c:v>182</c:v>
                      </c:pt>
                      <c:pt idx="65">
                        <c:v>137</c:v>
                      </c:pt>
                      <c:pt idx="66">
                        <c:v>166</c:v>
                      </c:pt>
                      <c:pt idx="67">
                        <c:v>178</c:v>
                      </c:pt>
                      <c:pt idx="68">
                        <c:v>154</c:v>
                      </c:pt>
                      <c:pt idx="69">
                        <c:v>220</c:v>
                      </c:pt>
                      <c:pt idx="70">
                        <c:v>229</c:v>
                      </c:pt>
                      <c:pt idx="71">
                        <c:v>199</c:v>
                      </c:pt>
                      <c:pt idx="72">
                        <c:v>291</c:v>
                      </c:pt>
                      <c:pt idx="73">
                        <c:v>256</c:v>
                      </c:pt>
                      <c:pt idx="74">
                        <c:v>196</c:v>
                      </c:pt>
                      <c:pt idx="75">
                        <c:v>178</c:v>
                      </c:pt>
                      <c:pt idx="76">
                        <c:v>194</c:v>
                      </c:pt>
                      <c:pt idx="77">
                        <c:v>139</c:v>
                      </c:pt>
                      <c:pt idx="78">
                        <c:v>129</c:v>
                      </c:pt>
                      <c:pt idx="79">
                        <c:v>136</c:v>
                      </c:pt>
                      <c:pt idx="80">
                        <c:v>181</c:v>
                      </c:pt>
                      <c:pt idx="81">
                        <c:v>182</c:v>
                      </c:pt>
                      <c:pt idx="82">
                        <c:v>201</c:v>
                      </c:pt>
                      <c:pt idx="83">
                        <c:v>247</c:v>
                      </c:pt>
                      <c:pt idx="84">
                        <c:v>283</c:v>
                      </c:pt>
                      <c:pt idx="85">
                        <c:v>291</c:v>
                      </c:pt>
                      <c:pt idx="86">
                        <c:v>178</c:v>
                      </c:pt>
                      <c:pt idx="87">
                        <c:v>224</c:v>
                      </c:pt>
                      <c:pt idx="88">
                        <c:v>155</c:v>
                      </c:pt>
                      <c:pt idx="89">
                        <c:v>158</c:v>
                      </c:pt>
                      <c:pt idx="90">
                        <c:v>153</c:v>
                      </c:pt>
                      <c:pt idx="91">
                        <c:v>165</c:v>
                      </c:pt>
                      <c:pt idx="92">
                        <c:v>173</c:v>
                      </c:pt>
                      <c:pt idx="93">
                        <c:v>247</c:v>
                      </c:pt>
                      <c:pt idx="94">
                        <c:v>240</c:v>
                      </c:pt>
                      <c:pt idx="95">
                        <c:v>293</c:v>
                      </c:pt>
                      <c:pt idx="96">
                        <c:v>376</c:v>
                      </c:pt>
                      <c:pt idx="97">
                        <c:v>163</c:v>
                      </c:pt>
                      <c:pt idx="98">
                        <c:v>162</c:v>
                      </c:pt>
                      <c:pt idx="99">
                        <c:v>180</c:v>
                      </c:pt>
                      <c:pt idx="100">
                        <c:v>145</c:v>
                      </c:pt>
                      <c:pt idx="101">
                        <c:v>118</c:v>
                      </c:pt>
                      <c:pt idx="102">
                        <c:v>159</c:v>
                      </c:pt>
                      <c:pt idx="103">
                        <c:v>113</c:v>
                      </c:pt>
                      <c:pt idx="104">
                        <c:v>185</c:v>
                      </c:pt>
                      <c:pt idx="105">
                        <c:v>181</c:v>
                      </c:pt>
                      <c:pt idx="106">
                        <c:v>191</c:v>
                      </c:pt>
                      <c:pt idx="107">
                        <c:v>200</c:v>
                      </c:pt>
                      <c:pt idx="108">
                        <c:v>228</c:v>
                      </c:pt>
                      <c:pt idx="109">
                        <c:v>199</c:v>
                      </c:pt>
                      <c:pt idx="110">
                        <c:v>167</c:v>
                      </c:pt>
                      <c:pt idx="111">
                        <c:v>147</c:v>
                      </c:pt>
                      <c:pt idx="112">
                        <c:v>136</c:v>
                      </c:pt>
                      <c:pt idx="113">
                        <c:v>146</c:v>
                      </c:pt>
                      <c:pt idx="114">
                        <c:v>117</c:v>
                      </c:pt>
                      <c:pt idx="115">
                        <c:v>130</c:v>
                      </c:pt>
                      <c:pt idx="116" formatCode="General">
                        <c:v>120</c:v>
                      </c:pt>
                      <c:pt idx="117">
                        <c:v>266</c:v>
                      </c:pt>
                      <c:pt idx="118">
                        <c:v>200</c:v>
                      </c:pt>
                      <c:pt idx="119">
                        <c:v>214</c:v>
                      </c:pt>
                      <c:pt idx="120">
                        <c:v>248</c:v>
                      </c:pt>
                      <c:pt idx="121">
                        <c:v>204</c:v>
                      </c:pt>
                      <c:pt idx="122">
                        <c:v>211</c:v>
                      </c:pt>
                      <c:pt idx="123">
                        <c:v>202</c:v>
                      </c:pt>
                      <c:pt idx="124">
                        <c:v>142</c:v>
                      </c:pt>
                      <c:pt idx="125">
                        <c:v>160</c:v>
                      </c:pt>
                      <c:pt idx="126">
                        <c:v>134</c:v>
                      </c:pt>
                      <c:pt idx="127">
                        <c:v>152</c:v>
                      </c:pt>
                      <c:pt idx="128">
                        <c:v>185</c:v>
                      </c:pt>
                      <c:pt idx="129">
                        <c:v>234</c:v>
                      </c:pt>
                      <c:pt idx="130">
                        <c:v>193</c:v>
                      </c:pt>
                      <c:pt idx="131">
                        <c:v>296</c:v>
                      </c:pt>
                      <c:pt idx="132">
                        <c:v>246</c:v>
                      </c:pt>
                      <c:pt idx="133">
                        <c:v>213</c:v>
                      </c:pt>
                      <c:pt idx="134">
                        <c:v>182</c:v>
                      </c:pt>
                      <c:pt idx="135">
                        <c:v>198</c:v>
                      </c:pt>
                      <c:pt idx="136">
                        <c:v>159</c:v>
                      </c:pt>
                      <c:pt idx="137">
                        <c:v>138</c:v>
                      </c:pt>
                      <c:pt idx="138">
                        <c:v>169</c:v>
                      </c:pt>
                      <c:pt idx="139">
                        <c:v>173</c:v>
                      </c:pt>
                      <c:pt idx="140">
                        <c:v>195</c:v>
                      </c:pt>
                      <c:pt idx="141">
                        <c:v>203</c:v>
                      </c:pt>
                      <c:pt idx="142">
                        <c:v>223</c:v>
                      </c:pt>
                      <c:pt idx="143">
                        <c:v>279</c:v>
                      </c:pt>
                      <c:pt idx="144" formatCode="_(* #,##0_);_(* \(#,##0\);_(* &quot;-&quot;??_);_(@_)">
                        <c:v>262</c:v>
                      </c:pt>
                      <c:pt idx="145">
                        <c:v>212</c:v>
                      </c:pt>
                      <c:pt idx="146">
                        <c:v>207</c:v>
                      </c:pt>
                      <c:pt idx="147">
                        <c:v>218</c:v>
                      </c:pt>
                      <c:pt idx="148" formatCode="_(* #,##0_);_(* \(#,##0\);_(* &quot;-&quot;??_);_(@_)">
                        <c:v>155</c:v>
                      </c:pt>
                      <c:pt idx="149" formatCode="_(* #,##0_);_(* \(#,##0\);_(* &quot;-&quot;??_);_(@_)">
                        <c:v>178</c:v>
                      </c:pt>
                      <c:pt idx="150" formatCode="_(* #,##0_);_(* \(#,##0\);_(* &quot;-&quot;??_);_(@_)">
                        <c:v>194</c:v>
                      </c:pt>
                      <c:pt idx="151" formatCode="_(* #,##0_);_(* \(#,##0\);_(* &quot;-&quot;??_);_(@_)">
                        <c:v>225</c:v>
                      </c:pt>
                      <c:pt idx="152" formatCode="_(* #,##0_);_(* \(#,##0\);_(* &quot;-&quot;??_);_(@_)">
                        <c:v>226</c:v>
                      </c:pt>
                      <c:pt idx="153" formatCode="_(* #,##0_);_(* \(#,##0\);_(* &quot;-&quot;??_);_(@_)">
                        <c:v>205</c:v>
                      </c:pt>
                      <c:pt idx="154" formatCode="_(* #,##0_);_(* \(#,##0\);_(* &quot;-&quot;??_);_(@_)">
                        <c:v>228</c:v>
                      </c:pt>
                      <c:pt idx="155" formatCode="_(* #,##0_);_(* \(#,##0\);_(* &quot;-&quot;??_);_(@_)">
                        <c:v>316</c:v>
                      </c:pt>
                      <c:pt idx="156">
                        <c:v>301</c:v>
                      </c:pt>
                      <c:pt idx="157">
                        <c:v>244</c:v>
                      </c:pt>
                      <c:pt idx="158">
                        <c:v>104</c:v>
                      </c:pt>
                      <c:pt idx="159">
                        <c:v>1</c:v>
                      </c:pt>
                      <c:pt idx="160">
                        <c:v>1</c:v>
                      </c:pt>
                      <c:pt idx="161">
                        <c:v>9</c:v>
                      </c:pt>
                      <c:pt idx="162">
                        <c:v>6</c:v>
                      </c:pt>
                      <c:pt idx="163">
                        <c:v>22</c:v>
                      </c:pt>
                      <c:pt idx="164">
                        <c:v>33</c:v>
                      </c:pt>
                      <c:pt idx="165">
                        <c:v>56</c:v>
                      </c:pt>
                      <c:pt idx="166">
                        <c:v>64</c:v>
                      </c:pt>
                      <c:pt idx="167">
                        <c:v>67</c:v>
                      </c:pt>
                      <c:pt idx="168">
                        <c:v>92</c:v>
                      </c:pt>
                      <c:pt idx="169">
                        <c:v>69</c:v>
                      </c:pt>
                      <c:pt idx="170">
                        <c:v>89</c:v>
                      </c:pt>
                      <c:pt idx="171">
                        <c:v>87</c:v>
                      </c:pt>
                      <c:pt idx="172">
                        <c:v>61</c:v>
                      </c:pt>
                    </c:numCache>
                  </c:numRef>
                </c:val>
                <c:smooth val="0"/>
                <c:extLst xmlns:c15="http://schemas.microsoft.com/office/drawing/2012/chart">
                  <c:ext xmlns:c16="http://schemas.microsoft.com/office/drawing/2014/chart" uri="{C3380CC4-5D6E-409C-BE32-E72D297353CC}">
                    <c16:uniqueId val="{0000001A-F54E-4F2C-B67C-89E5093B052E}"/>
                  </c:ext>
                </c:extLst>
              </c15:ser>
            </c15:filteredLineSeries>
            <c15:filteredLineSeries>
              <c15:ser>
                <c:idx val="27"/>
                <c:order val="27"/>
                <c:tx>
                  <c:strRef>
                    <c:extLst xmlns:c15="http://schemas.microsoft.com/office/drawing/2012/chart">
                      <c:ext xmlns:c15="http://schemas.microsoft.com/office/drawing/2012/chart" uri="{02D57815-91ED-43cb-92C2-25804820EDAC}">
                        <c15:formulaRef>
                          <c15:sqref>'Tendencias nacionalidad'!$C$81</c15:sqref>
                        </c15:formulaRef>
                      </c:ext>
                    </c:extLst>
                    <c:strCache>
                      <c:ptCount val="1"/>
                      <c:pt idx="0">
                        <c:v>Uruguay</c:v>
                      </c:pt>
                    </c:strCache>
                  </c:strRef>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nacionalidad'!$D$81:$GA$81</c15:sqref>
                        </c15:fullRef>
                        <c15:formulaRef>
                          <c15:sqref>'Tendencias nacionalidad'!$D$81:$FT$81</c15:sqref>
                        </c15:formulaRef>
                      </c:ext>
                    </c:extLst>
                    <c:numCache>
                      <c:formatCode>#,##0</c:formatCode>
                      <c:ptCount val="173"/>
                      <c:pt idx="0">
                        <c:v>90</c:v>
                      </c:pt>
                      <c:pt idx="1">
                        <c:v>70</c:v>
                      </c:pt>
                      <c:pt idx="2">
                        <c:v>94</c:v>
                      </c:pt>
                      <c:pt idx="3">
                        <c:v>80</c:v>
                      </c:pt>
                      <c:pt idx="4">
                        <c:v>77</c:v>
                      </c:pt>
                      <c:pt idx="5">
                        <c:v>104</c:v>
                      </c:pt>
                      <c:pt idx="6">
                        <c:v>112</c:v>
                      </c:pt>
                      <c:pt idx="7">
                        <c:v>170</c:v>
                      </c:pt>
                      <c:pt idx="8">
                        <c:v>120</c:v>
                      </c:pt>
                      <c:pt idx="9">
                        <c:v>184</c:v>
                      </c:pt>
                      <c:pt idx="10">
                        <c:v>125</c:v>
                      </c:pt>
                      <c:pt idx="11">
                        <c:v>60</c:v>
                      </c:pt>
                      <c:pt idx="12">
                        <c:v>96</c:v>
                      </c:pt>
                      <c:pt idx="13">
                        <c:v>129</c:v>
                      </c:pt>
                      <c:pt idx="14">
                        <c:v>105</c:v>
                      </c:pt>
                      <c:pt idx="15">
                        <c:v>118</c:v>
                      </c:pt>
                      <c:pt idx="16">
                        <c:v>121</c:v>
                      </c:pt>
                      <c:pt idx="17">
                        <c:v>112</c:v>
                      </c:pt>
                      <c:pt idx="18">
                        <c:v>164</c:v>
                      </c:pt>
                      <c:pt idx="19">
                        <c:v>138</c:v>
                      </c:pt>
                      <c:pt idx="20">
                        <c:v>125</c:v>
                      </c:pt>
                      <c:pt idx="21">
                        <c:v>137</c:v>
                      </c:pt>
                      <c:pt idx="22">
                        <c:v>167</c:v>
                      </c:pt>
                      <c:pt idx="23">
                        <c:v>102</c:v>
                      </c:pt>
                      <c:pt idx="24">
                        <c:v>111</c:v>
                      </c:pt>
                      <c:pt idx="25">
                        <c:v>90</c:v>
                      </c:pt>
                      <c:pt idx="26">
                        <c:v>127</c:v>
                      </c:pt>
                      <c:pt idx="27">
                        <c:v>124</c:v>
                      </c:pt>
                      <c:pt idx="28">
                        <c:v>129.5</c:v>
                      </c:pt>
                      <c:pt idx="29">
                        <c:v>135</c:v>
                      </c:pt>
                      <c:pt idx="30">
                        <c:v>136</c:v>
                      </c:pt>
                      <c:pt idx="31">
                        <c:v>128</c:v>
                      </c:pt>
                      <c:pt idx="32">
                        <c:v>105</c:v>
                      </c:pt>
                      <c:pt idx="33">
                        <c:v>161</c:v>
                      </c:pt>
                      <c:pt idx="34">
                        <c:v>145</c:v>
                      </c:pt>
                      <c:pt idx="35">
                        <c:v>92</c:v>
                      </c:pt>
                      <c:pt idx="36">
                        <c:v>110</c:v>
                      </c:pt>
                      <c:pt idx="37">
                        <c:v>117</c:v>
                      </c:pt>
                      <c:pt idx="38">
                        <c:v>126</c:v>
                      </c:pt>
                      <c:pt idx="39">
                        <c:v>133</c:v>
                      </c:pt>
                      <c:pt idx="40">
                        <c:v>112</c:v>
                      </c:pt>
                      <c:pt idx="41">
                        <c:v>130</c:v>
                      </c:pt>
                      <c:pt idx="42">
                        <c:v>106</c:v>
                      </c:pt>
                      <c:pt idx="43">
                        <c:v>129</c:v>
                      </c:pt>
                      <c:pt idx="44">
                        <c:v>98</c:v>
                      </c:pt>
                      <c:pt idx="45">
                        <c:v>102</c:v>
                      </c:pt>
                      <c:pt idx="46">
                        <c:v>193</c:v>
                      </c:pt>
                      <c:pt idx="47">
                        <c:v>110</c:v>
                      </c:pt>
                      <c:pt idx="48">
                        <c:v>120</c:v>
                      </c:pt>
                      <c:pt idx="49">
                        <c:v>131</c:v>
                      </c:pt>
                      <c:pt idx="50">
                        <c:v>181</c:v>
                      </c:pt>
                      <c:pt idx="51">
                        <c:v>146</c:v>
                      </c:pt>
                      <c:pt idx="52">
                        <c:v>119</c:v>
                      </c:pt>
                      <c:pt idx="53">
                        <c:v>111</c:v>
                      </c:pt>
                      <c:pt idx="54">
                        <c:v>135</c:v>
                      </c:pt>
                      <c:pt idx="55">
                        <c:v>117</c:v>
                      </c:pt>
                      <c:pt idx="56">
                        <c:v>146</c:v>
                      </c:pt>
                      <c:pt idx="57">
                        <c:v>146</c:v>
                      </c:pt>
                      <c:pt idx="58">
                        <c:v>146</c:v>
                      </c:pt>
                      <c:pt idx="59">
                        <c:v>94</c:v>
                      </c:pt>
                      <c:pt idx="60">
                        <c:v>88</c:v>
                      </c:pt>
                      <c:pt idx="61">
                        <c:v>92</c:v>
                      </c:pt>
                      <c:pt idx="62">
                        <c:v>110</c:v>
                      </c:pt>
                      <c:pt idx="63">
                        <c:v>169</c:v>
                      </c:pt>
                      <c:pt idx="64">
                        <c:v>178</c:v>
                      </c:pt>
                      <c:pt idx="65">
                        <c:v>182</c:v>
                      </c:pt>
                      <c:pt idx="66">
                        <c:v>203</c:v>
                      </c:pt>
                      <c:pt idx="67">
                        <c:v>98</c:v>
                      </c:pt>
                      <c:pt idx="68">
                        <c:v>163</c:v>
                      </c:pt>
                      <c:pt idx="69">
                        <c:v>160</c:v>
                      </c:pt>
                      <c:pt idx="70">
                        <c:v>216</c:v>
                      </c:pt>
                      <c:pt idx="71">
                        <c:v>139</c:v>
                      </c:pt>
                      <c:pt idx="72">
                        <c:v>147</c:v>
                      </c:pt>
                      <c:pt idx="73">
                        <c:v>131</c:v>
                      </c:pt>
                      <c:pt idx="74">
                        <c:v>146</c:v>
                      </c:pt>
                      <c:pt idx="75">
                        <c:v>150</c:v>
                      </c:pt>
                      <c:pt idx="76">
                        <c:v>161</c:v>
                      </c:pt>
                      <c:pt idx="77">
                        <c:v>198</c:v>
                      </c:pt>
                      <c:pt idx="78">
                        <c:v>154</c:v>
                      </c:pt>
                      <c:pt idx="79">
                        <c:v>173</c:v>
                      </c:pt>
                      <c:pt idx="80">
                        <c:v>155</c:v>
                      </c:pt>
                      <c:pt idx="81">
                        <c:v>288</c:v>
                      </c:pt>
                      <c:pt idx="82">
                        <c:v>181</c:v>
                      </c:pt>
                      <c:pt idx="83">
                        <c:v>120</c:v>
                      </c:pt>
                      <c:pt idx="84">
                        <c:v>145</c:v>
                      </c:pt>
                      <c:pt idx="85">
                        <c:v>146</c:v>
                      </c:pt>
                      <c:pt idx="86">
                        <c:v>144</c:v>
                      </c:pt>
                      <c:pt idx="87">
                        <c:v>156</c:v>
                      </c:pt>
                      <c:pt idx="88">
                        <c:v>133</c:v>
                      </c:pt>
                      <c:pt idx="89">
                        <c:v>125</c:v>
                      </c:pt>
                      <c:pt idx="90">
                        <c:v>156</c:v>
                      </c:pt>
                      <c:pt idx="91">
                        <c:v>183</c:v>
                      </c:pt>
                      <c:pt idx="92">
                        <c:v>249</c:v>
                      </c:pt>
                      <c:pt idx="93">
                        <c:v>141</c:v>
                      </c:pt>
                      <c:pt idx="94">
                        <c:v>221</c:v>
                      </c:pt>
                      <c:pt idx="95">
                        <c:v>169</c:v>
                      </c:pt>
                      <c:pt idx="96">
                        <c:v>176</c:v>
                      </c:pt>
                      <c:pt idx="97">
                        <c:v>115</c:v>
                      </c:pt>
                      <c:pt idx="98">
                        <c:v>180</c:v>
                      </c:pt>
                      <c:pt idx="99">
                        <c:v>180</c:v>
                      </c:pt>
                      <c:pt idx="100">
                        <c:v>192</c:v>
                      </c:pt>
                      <c:pt idx="101">
                        <c:v>170</c:v>
                      </c:pt>
                      <c:pt idx="102">
                        <c:v>148</c:v>
                      </c:pt>
                      <c:pt idx="103">
                        <c:v>190</c:v>
                      </c:pt>
                      <c:pt idx="104">
                        <c:v>162</c:v>
                      </c:pt>
                      <c:pt idx="105">
                        <c:v>176</c:v>
                      </c:pt>
                      <c:pt idx="106">
                        <c:v>180</c:v>
                      </c:pt>
                      <c:pt idx="107">
                        <c:v>130</c:v>
                      </c:pt>
                      <c:pt idx="108">
                        <c:v>160</c:v>
                      </c:pt>
                      <c:pt idx="109">
                        <c:v>120</c:v>
                      </c:pt>
                      <c:pt idx="110">
                        <c:v>153</c:v>
                      </c:pt>
                      <c:pt idx="111">
                        <c:v>121</c:v>
                      </c:pt>
                      <c:pt idx="112">
                        <c:v>126</c:v>
                      </c:pt>
                      <c:pt idx="113">
                        <c:v>187</c:v>
                      </c:pt>
                      <c:pt idx="114">
                        <c:v>148</c:v>
                      </c:pt>
                      <c:pt idx="115">
                        <c:v>133</c:v>
                      </c:pt>
                      <c:pt idx="116" formatCode="General">
                        <c:v>126</c:v>
                      </c:pt>
                      <c:pt idx="117">
                        <c:v>231</c:v>
                      </c:pt>
                      <c:pt idx="118">
                        <c:v>192</c:v>
                      </c:pt>
                      <c:pt idx="119">
                        <c:v>155</c:v>
                      </c:pt>
                      <c:pt idx="120">
                        <c:v>279</c:v>
                      </c:pt>
                      <c:pt idx="121">
                        <c:v>182</c:v>
                      </c:pt>
                      <c:pt idx="122">
                        <c:v>147</c:v>
                      </c:pt>
                      <c:pt idx="123">
                        <c:v>152</c:v>
                      </c:pt>
                      <c:pt idx="124">
                        <c:v>125</c:v>
                      </c:pt>
                      <c:pt idx="125">
                        <c:v>152</c:v>
                      </c:pt>
                      <c:pt idx="126">
                        <c:v>203</c:v>
                      </c:pt>
                      <c:pt idx="127">
                        <c:v>198</c:v>
                      </c:pt>
                      <c:pt idx="128">
                        <c:v>213</c:v>
                      </c:pt>
                      <c:pt idx="129">
                        <c:v>185</c:v>
                      </c:pt>
                      <c:pt idx="130">
                        <c:v>205</c:v>
                      </c:pt>
                      <c:pt idx="131">
                        <c:v>242</c:v>
                      </c:pt>
                      <c:pt idx="132">
                        <c:v>240</c:v>
                      </c:pt>
                      <c:pt idx="133">
                        <c:v>134</c:v>
                      </c:pt>
                      <c:pt idx="134">
                        <c:v>197</c:v>
                      </c:pt>
                      <c:pt idx="135">
                        <c:v>152</c:v>
                      </c:pt>
                      <c:pt idx="136">
                        <c:v>183</c:v>
                      </c:pt>
                      <c:pt idx="137">
                        <c:v>238</c:v>
                      </c:pt>
                      <c:pt idx="138">
                        <c:v>201</c:v>
                      </c:pt>
                      <c:pt idx="139">
                        <c:v>184</c:v>
                      </c:pt>
                      <c:pt idx="140">
                        <c:v>193</c:v>
                      </c:pt>
                      <c:pt idx="141">
                        <c:v>217</c:v>
                      </c:pt>
                      <c:pt idx="142">
                        <c:v>232</c:v>
                      </c:pt>
                      <c:pt idx="143">
                        <c:v>203</c:v>
                      </c:pt>
                      <c:pt idx="144" formatCode="_(* #,##0_);_(* \(#,##0\);_(* &quot;-&quot;??_);_(@_)">
                        <c:v>191</c:v>
                      </c:pt>
                      <c:pt idx="145">
                        <c:v>196</c:v>
                      </c:pt>
                      <c:pt idx="146">
                        <c:v>245</c:v>
                      </c:pt>
                      <c:pt idx="147">
                        <c:v>262</c:v>
                      </c:pt>
                      <c:pt idx="148" formatCode="_(* #,##0_);_(* \(#,##0\);_(* &quot;-&quot;??_);_(@_)">
                        <c:v>175</c:v>
                      </c:pt>
                      <c:pt idx="149" formatCode="_(* #,##0_);_(* \(#,##0\);_(* &quot;-&quot;??_);_(@_)">
                        <c:v>225</c:v>
                      </c:pt>
                      <c:pt idx="150" formatCode="_(* #,##0_);_(* \(#,##0\);_(* &quot;-&quot;??_);_(@_)">
                        <c:v>197</c:v>
                      </c:pt>
                      <c:pt idx="151" formatCode="_(* #,##0_);_(* \(#,##0\);_(* &quot;-&quot;??_);_(@_)">
                        <c:v>272</c:v>
                      </c:pt>
                      <c:pt idx="152" formatCode="_(* #,##0_);_(* \(#,##0\);_(* &quot;-&quot;??_);_(@_)">
                        <c:v>228</c:v>
                      </c:pt>
                      <c:pt idx="153" formatCode="_(* #,##0_);_(* \(#,##0\);_(* &quot;-&quot;??_);_(@_)">
                        <c:v>183</c:v>
                      </c:pt>
                      <c:pt idx="154" formatCode="_(* #,##0_);_(* \(#,##0\);_(* &quot;-&quot;??_);_(@_)">
                        <c:v>245</c:v>
                      </c:pt>
                      <c:pt idx="155" formatCode="_(* #,##0_);_(* \(#,##0\);_(* &quot;-&quot;??_);_(@_)">
                        <c:v>178</c:v>
                      </c:pt>
                      <c:pt idx="156">
                        <c:v>190</c:v>
                      </c:pt>
                      <c:pt idx="157">
                        <c:v>181</c:v>
                      </c:pt>
                      <c:pt idx="158">
                        <c:v>73</c:v>
                      </c:pt>
                      <c:pt idx="160">
                        <c:v>1</c:v>
                      </c:pt>
                      <c:pt idx="161">
                        <c:v>2</c:v>
                      </c:pt>
                      <c:pt idx="162">
                        <c:v>8</c:v>
                      </c:pt>
                      <c:pt idx="163">
                        <c:v>2</c:v>
                      </c:pt>
                      <c:pt idx="164">
                        <c:v>19</c:v>
                      </c:pt>
                      <c:pt idx="165">
                        <c:v>33</c:v>
                      </c:pt>
                      <c:pt idx="166">
                        <c:v>23</c:v>
                      </c:pt>
                      <c:pt idx="167">
                        <c:v>34</c:v>
                      </c:pt>
                      <c:pt idx="168">
                        <c:v>60</c:v>
                      </c:pt>
                      <c:pt idx="169">
                        <c:v>26</c:v>
                      </c:pt>
                      <c:pt idx="170">
                        <c:v>71</c:v>
                      </c:pt>
                      <c:pt idx="171">
                        <c:v>33</c:v>
                      </c:pt>
                      <c:pt idx="172">
                        <c:v>46</c:v>
                      </c:pt>
                    </c:numCache>
                  </c:numRef>
                </c:val>
                <c:smooth val="0"/>
                <c:extLst xmlns:c15="http://schemas.microsoft.com/office/drawing/2012/chart">
                  <c:ext xmlns:c16="http://schemas.microsoft.com/office/drawing/2014/chart" uri="{C3380CC4-5D6E-409C-BE32-E72D297353CC}">
                    <c16:uniqueId val="{0000001B-F54E-4F2C-B67C-89E5093B052E}"/>
                  </c:ext>
                </c:extLst>
              </c15:ser>
            </c15:filteredLineSeries>
            <c15:filteredLineSeries>
              <c15:ser>
                <c:idx val="28"/>
                <c:order val="28"/>
                <c:tx>
                  <c:strRef>
                    <c:extLst xmlns:c15="http://schemas.microsoft.com/office/drawing/2012/chart">
                      <c:ext xmlns:c15="http://schemas.microsoft.com/office/drawing/2012/chart" uri="{02D57815-91ED-43cb-92C2-25804820EDAC}">
                        <c15:formulaRef>
                          <c15:sqref>'Tendencias nacionalidad'!$C$82</c15:sqref>
                        </c15:formulaRef>
                      </c:ext>
                    </c:extLst>
                    <c:strCache>
                      <c:ptCount val="1"/>
                      <c:pt idx="0">
                        <c:v>Austria</c:v>
                      </c:pt>
                    </c:strCache>
                  </c:strRef>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nacionalidad'!$D$82:$GA$82</c15:sqref>
                        </c15:fullRef>
                        <c15:formulaRef>
                          <c15:sqref>'Tendencias nacionalidad'!$D$82:$FT$82</c15:sqref>
                        </c15:formulaRef>
                      </c:ext>
                    </c:extLst>
                    <c:numCache>
                      <c:formatCode>#,##0</c:formatCode>
                      <c:ptCount val="173"/>
                      <c:pt idx="0">
                        <c:v>138</c:v>
                      </c:pt>
                      <c:pt idx="1">
                        <c:v>149</c:v>
                      </c:pt>
                      <c:pt idx="2">
                        <c:v>93</c:v>
                      </c:pt>
                      <c:pt idx="3">
                        <c:v>71</c:v>
                      </c:pt>
                      <c:pt idx="4">
                        <c:v>66</c:v>
                      </c:pt>
                      <c:pt idx="5">
                        <c:v>73</c:v>
                      </c:pt>
                      <c:pt idx="6">
                        <c:v>273</c:v>
                      </c:pt>
                      <c:pt idx="7">
                        <c:v>222</c:v>
                      </c:pt>
                      <c:pt idx="8">
                        <c:v>113</c:v>
                      </c:pt>
                      <c:pt idx="9">
                        <c:v>166</c:v>
                      </c:pt>
                      <c:pt idx="10">
                        <c:v>134</c:v>
                      </c:pt>
                      <c:pt idx="11">
                        <c:v>162</c:v>
                      </c:pt>
                      <c:pt idx="12">
                        <c:v>167</c:v>
                      </c:pt>
                      <c:pt idx="13">
                        <c:v>188</c:v>
                      </c:pt>
                      <c:pt idx="14">
                        <c:v>94</c:v>
                      </c:pt>
                      <c:pt idx="15">
                        <c:v>113</c:v>
                      </c:pt>
                      <c:pt idx="16">
                        <c:v>105</c:v>
                      </c:pt>
                      <c:pt idx="17">
                        <c:v>120</c:v>
                      </c:pt>
                      <c:pt idx="18">
                        <c:v>255</c:v>
                      </c:pt>
                      <c:pt idx="19">
                        <c:v>170</c:v>
                      </c:pt>
                      <c:pt idx="20">
                        <c:v>131</c:v>
                      </c:pt>
                      <c:pt idx="21">
                        <c:v>185</c:v>
                      </c:pt>
                      <c:pt idx="22">
                        <c:v>164</c:v>
                      </c:pt>
                      <c:pt idx="23">
                        <c:v>159</c:v>
                      </c:pt>
                      <c:pt idx="24">
                        <c:v>134</c:v>
                      </c:pt>
                      <c:pt idx="25">
                        <c:v>96</c:v>
                      </c:pt>
                      <c:pt idx="26">
                        <c:v>90</c:v>
                      </c:pt>
                      <c:pt idx="27">
                        <c:v>110</c:v>
                      </c:pt>
                      <c:pt idx="28">
                        <c:v>119</c:v>
                      </c:pt>
                      <c:pt idx="29">
                        <c:v>128</c:v>
                      </c:pt>
                      <c:pt idx="30">
                        <c:v>272</c:v>
                      </c:pt>
                      <c:pt idx="31">
                        <c:v>165</c:v>
                      </c:pt>
                      <c:pt idx="32">
                        <c:v>119</c:v>
                      </c:pt>
                      <c:pt idx="33">
                        <c:v>146</c:v>
                      </c:pt>
                      <c:pt idx="34">
                        <c:v>215</c:v>
                      </c:pt>
                      <c:pt idx="35">
                        <c:v>170</c:v>
                      </c:pt>
                      <c:pt idx="36">
                        <c:v>177</c:v>
                      </c:pt>
                      <c:pt idx="37">
                        <c:v>92</c:v>
                      </c:pt>
                      <c:pt idx="38">
                        <c:v>146</c:v>
                      </c:pt>
                      <c:pt idx="39">
                        <c:v>95</c:v>
                      </c:pt>
                      <c:pt idx="40">
                        <c:v>91</c:v>
                      </c:pt>
                      <c:pt idx="41">
                        <c:v>100</c:v>
                      </c:pt>
                      <c:pt idx="42">
                        <c:v>236</c:v>
                      </c:pt>
                      <c:pt idx="43">
                        <c:v>185</c:v>
                      </c:pt>
                      <c:pt idx="44">
                        <c:v>102</c:v>
                      </c:pt>
                      <c:pt idx="45">
                        <c:v>65</c:v>
                      </c:pt>
                      <c:pt idx="46">
                        <c:v>181</c:v>
                      </c:pt>
                      <c:pt idx="47">
                        <c:v>133</c:v>
                      </c:pt>
                      <c:pt idx="48">
                        <c:v>124</c:v>
                      </c:pt>
                      <c:pt idx="49">
                        <c:v>128</c:v>
                      </c:pt>
                      <c:pt idx="50">
                        <c:v>97</c:v>
                      </c:pt>
                      <c:pt idx="51">
                        <c:v>97</c:v>
                      </c:pt>
                      <c:pt idx="52">
                        <c:v>73</c:v>
                      </c:pt>
                      <c:pt idx="53">
                        <c:v>87</c:v>
                      </c:pt>
                      <c:pt idx="54">
                        <c:v>232</c:v>
                      </c:pt>
                      <c:pt idx="55">
                        <c:v>210</c:v>
                      </c:pt>
                      <c:pt idx="56">
                        <c:v>131</c:v>
                      </c:pt>
                      <c:pt idx="57">
                        <c:v>157</c:v>
                      </c:pt>
                      <c:pt idx="58">
                        <c:v>200</c:v>
                      </c:pt>
                      <c:pt idx="59">
                        <c:v>130</c:v>
                      </c:pt>
                      <c:pt idx="60">
                        <c:v>157</c:v>
                      </c:pt>
                      <c:pt idx="61">
                        <c:v>139</c:v>
                      </c:pt>
                      <c:pt idx="62">
                        <c:v>112</c:v>
                      </c:pt>
                      <c:pt idx="63">
                        <c:v>105</c:v>
                      </c:pt>
                      <c:pt idx="64">
                        <c:v>107</c:v>
                      </c:pt>
                      <c:pt idx="65">
                        <c:v>110</c:v>
                      </c:pt>
                      <c:pt idx="66">
                        <c:v>321</c:v>
                      </c:pt>
                      <c:pt idx="67">
                        <c:v>252</c:v>
                      </c:pt>
                      <c:pt idx="68">
                        <c:v>119</c:v>
                      </c:pt>
                      <c:pt idx="69">
                        <c:v>185</c:v>
                      </c:pt>
                      <c:pt idx="70">
                        <c:v>180</c:v>
                      </c:pt>
                      <c:pt idx="71">
                        <c:v>215</c:v>
                      </c:pt>
                      <c:pt idx="72">
                        <c:v>188</c:v>
                      </c:pt>
                      <c:pt idx="73">
                        <c:v>155</c:v>
                      </c:pt>
                      <c:pt idx="74">
                        <c:v>124</c:v>
                      </c:pt>
                      <c:pt idx="75">
                        <c:v>85</c:v>
                      </c:pt>
                      <c:pt idx="76">
                        <c:v>98</c:v>
                      </c:pt>
                      <c:pt idx="77">
                        <c:v>116</c:v>
                      </c:pt>
                      <c:pt idx="78">
                        <c:v>334</c:v>
                      </c:pt>
                      <c:pt idx="79">
                        <c:v>184</c:v>
                      </c:pt>
                      <c:pt idx="80">
                        <c:v>116</c:v>
                      </c:pt>
                      <c:pt idx="81">
                        <c:v>188</c:v>
                      </c:pt>
                      <c:pt idx="82">
                        <c:v>217</c:v>
                      </c:pt>
                      <c:pt idx="83">
                        <c:v>213</c:v>
                      </c:pt>
                      <c:pt idx="84">
                        <c:v>154</c:v>
                      </c:pt>
                      <c:pt idx="85">
                        <c:v>218</c:v>
                      </c:pt>
                      <c:pt idx="86">
                        <c:v>150</c:v>
                      </c:pt>
                      <c:pt idx="87">
                        <c:v>102</c:v>
                      </c:pt>
                      <c:pt idx="88">
                        <c:v>127</c:v>
                      </c:pt>
                      <c:pt idx="89">
                        <c:v>148</c:v>
                      </c:pt>
                      <c:pt idx="90">
                        <c:v>356</c:v>
                      </c:pt>
                      <c:pt idx="91">
                        <c:v>244</c:v>
                      </c:pt>
                      <c:pt idx="92">
                        <c:v>139</c:v>
                      </c:pt>
                      <c:pt idx="93">
                        <c:v>182</c:v>
                      </c:pt>
                      <c:pt idx="94">
                        <c:v>216</c:v>
                      </c:pt>
                      <c:pt idx="95">
                        <c:v>174</c:v>
                      </c:pt>
                      <c:pt idx="96">
                        <c:v>141</c:v>
                      </c:pt>
                      <c:pt idx="97">
                        <c:v>235</c:v>
                      </c:pt>
                      <c:pt idx="98">
                        <c:v>158</c:v>
                      </c:pt>
                      <c:pt idx="99">
                        <c:v>101</c:v>
                      </c:pt>
                      <c:pt idx="100">
                        <c:v>126</c:v>
                      </c:pt>
                      <c:pt idx="101">
                        <c:v>105</c:v>
                      </c:pt>
                      <c:pt idx="102">
                        <c:v>297</c:v>
                      </c:pt>
                      <c:pt idx="103">
                        <c:v>231</c:v>
                      </c:pt>
                      <c:pt idx="104">
                        <c:v>140</c:v>
                      </c:pt>
                      <c:pt idx="105">
                        <c:v>165</c:v>
                      </c:pt>
                      <c:pt idx="106">
                        <c:v>213</c:v>
                      </c:pt>
                      <c:pt idx="107">
                        <c:v>154</c:v>
                      </c:pt>
                      <c:pt idx="108">
                        <c:v>151</c:v>
                      </c:pt>
                      <c:pt idx="109">
                        <c:v>183</c:v>
                      </c:pt>
                      <c:pt idx="110">
                        <c:v>129</c:v>
                      </c:pt>
                      <c:pt idx="111">
                        <c:v>112</c:v>
                      </c:pt>
                      <c:pt idx="112">
                        <c:v>87</c:v>
                      </c:pt>
                      <c:pt idx="113">
                        <c:v>103</c:v>
                      </c:pt>
                      <c:pt idx="114">
                        <c:v>117</c:v>
                      </c:pt>
                      <c:pt idx="115">
                        <c:v>153</c:v>
                      </c:pt>
                      <c:pt idx="116" formatCode="General">
                        <c:v>140</c:v>
                      </c:pt>
                      <c:pt idx="117">
                        <c:v>189</c:v>
                      </c:pt>
                      <c:pt idx="118">
                        <c:v>171</c:v>
                      </c:pt>
                      <c:pt idx="119">
                        <c:v>137</c:v>
                      </c:pt>
                      <c:pt idx="120">
                        <c:v>168</c:v>
                      </c:pt>
                      <c:pt idx="121">
                        <c:v>142</c:v>
                      </c:pt>
                      <c:pt idx="122">
                        <c:v>113</c:v>
                      </c:pt>
                      <c:pt idx="123">
                        <c:v>157</c:v>
                      </c:pt>
                      <c:pt idx="124">
                        <c:v>113</c:v>
                      </c:pt>
                      <c:pt idx="125">
                        <c:v>102</c:v>
                      </c:pt>
                      <c:pt idx="126">
                        <c:v>264</c:v>
                      </c:pt>
                      <c:pt idx="127">
                        <c:v>228</c:v>
                      </c:pt>
                      <c:pt idx="128">
                        <c:v>135</c:v>
                      </c:pt>
                      <c:pt idx="129">
                        <c:v>169</c:v>
                      </c:pt>
                      <c:pt idx="130">
                        <c:v>191</c:v>
                      </c:pt>
                      <c:pt idx="131">
                        <c:v>143</c:v>
                      </c:pt>
                      <c:pt idx="132">
                        <c:v>187</c:v>
                      </c:pt>
                      <c:pt idx="133">
                        <c:v>214</c:v>
                      </c:pt>
                      <c:pt idx="134">
                        <c:v>150</c:v>
                      </c:pt>
                      <c:pt idx="135">
                        <c:v>142</c:v>
                      </c:pt>
                      <c:pt idx="136">
                        <c:v>131</c:v>
                      </c:pt>
                      <c:pt idx="137">
                        <c:v>131</c:v>
                      </c:pt>
                      <c:pt idx="138">
                        <c:v>273</c:v>
                      </c:pt>
                      <c:pt idx="139">
                        <c:v>208</c:v>
                      </c:pt>
                      <c:pt idx="140">
                        <c:v>147</c:v>
                      </c:pt>
                      <c:pt idx="141">
                        <c:v>236</c:v>
                      </c:pt>
                      <c:pt idx="142">
                        <c:v>206</c:v>
                      </c:pt>
                      <c:pt idx="143">
                        <c:v>165</c:v>
                      </c:pt>
                      <c:pt idx="144" formatCode="_(* #,##0_);_(* \(#,##0\);_(* &quot;-&quot;??_);_(@_)">
                        <c:v>195</c:v>
                      </c:pt>
                      <c:pt idx="145">
                        <c:v>254</c:v>
                      </c:pt>
                      <c:pt idx="146">
                        <c:v>168</c:v>
                      </c:pt>
                      <c:pt idx="147">
                        <c:v>170</c:v>
                      </c:pt>
                      <c:pt idx="148" formatCode="_(* #,##0_);_(* \(#,##0\);_(* &quot;-&quot;??_);_(@_)">
                        <c:v>155</c:v>
                      </c:pt>
                      <c:pt idx="149" formatCode="_(* #,##0_);_(* \(#,##0\);_(* &quot;-&quot;??_);_(@_)">
                        <c:v>139</c:v>
                      </c:pt>
                      <c:pt idx="150" formatCode="_(* #,##0_);_(* \(#,##0\);_(* &quot;-&quot;??_);_(@_)">
                        <c:v>329</c:v>
                      </c:pt>
                      <c:pt idx="151" formatCode="_(* #,##0_);_(* \(#,##0\);_(* &quot;-&quot;??_);_(@_)">
                        <c:v>278</c:v>
                      </c:pt>
                      <c:pt idx="152" formatCode="_(* #,##0_);_(* \(#,##0\);_(* &quot;-&quot;??_);_(@_)">
                        <c:v>180</c:v>
                      </c:pt>
                      <c:pt idx="153" formatCode="_(* #,##0_);_(* \(#,##0\);_(* &quot;-&quot;??_);_(@_)">
                        <c:v>169</c:v>
                      </c:pt>
                      <c:pt idx="154" formatCode="_(* #,##0_);_(* \(#,##0\);_(* &quot;-&quot;??_);_(@_)">
                        <c:v>181</c:v>
                      </c:pt>
                      <c:pt idx="155" formatCode="_(* #,##0_);_(* \(#,##0\);_(* &quot;-&quot;??_);_(@_)">
                        <c:v>202</c:v>
                      </c:pt>
                      <c:pt idx="156">
                        <c:v>260</c:v>
                      </c:pt>
                      <c:pt idx="157">
                        <c:v>232</c:v>
                      </c:pt>
                      <c:pt idx="158">
                        <c:v>86</c:v>
                      </c:pt>
                      <c:pt idx="160">
                        <c:v>1</c:v>
                      </c:pt>
                      <c:pt idx="161">
                        <c:v>1</c:v>
                      </c:pt>
                      <c:pt idx="162">
                        <c:v>7</c:v>
                      </c:pt>
                      <c:pt idx="163">
                        <c:v>17</c:v>
                      </c:pt>
                      <c:pt idx="164">
                        <c:v>8</c:v>
                      </c:pt>
                      <c:pt idx="165">
                        <c:v>12</c:v>
                      </c:pt>
                      <c:pt idx="166">
                        <c:v>21</c:v>
                      </c:pt>
                      <c:pt idx="167">
                        <c:v>32</c:v>
                      </c:pt>
                      <c:pt idx="168">
                        <c:v>29</c:v>
                      </c:pt>
                      <c:pt idx="169">
                        <c:v>17</c:v>
                      </c:pt>
                      <c:pt idx="170">
                        <c:v>19</c:v>
                      </c:pt>
                      <c:pt idx="171">
                        <c:v>23</c:v>
                      </c:pt>
                      <c:pt idx="172">
                        <c:v>26</c:v>
                      </c:pt>
                    </c:numCache>
                  </c:numRef>
                </c:val>
                <c:smooth val="0"/>
                <c:extLst xmlns:c15="http://schemas.microsoft.com/office/drawing/2012/chart">
                  <c:ext xmlns:c16="http://schemas.microsoft.com/office/drawing/2014/chart" uri="{C3380CC4-5D6E-409C-BE32-E72D297353CC}">
                    <c16:uniqueId val="{0000001C-F54E-4F2C-B67C-89E5093B052E}"/>
                  </c:ext>
                </c:extLst>
              </c15:ser>
            </c15:filteredLineSeries>
            <c15:filteredLineSeries>
              <c15:ser>
                <c:idx val="29"/>
                <c:order val="29"/>
                <c:tx>
                  <c:strRef>
                    <c:extLst xmlns:c15="http://schemas.microsoft.com/office/drawing/2012/chart">
                      <c:ext xmlns:c15="http://schemas.microsoft.com/office/drawing/2012/chart" uri="{02D57815-91ED-43cb-92C2-25804820EDAC}">
                        <c15:formulaRef>
                          <c15:sqref>'Tendencias nacionalidad'!$C$83</c15:sqref>
                        </c15:formulaRef>
                      </c:ext>
                    </c:extLst>
                    <c:strCache>
                      <c:ptCount val="1"/>
                      <c:pt idx="0">
                        <c:v>Suecia</c:v>
                      </c:pt>
                    </c:strCache>
                  </c:strRef>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nacionalidad'!$D$83:$GA$83</c15:sqref>
                        </c15:fullRef>
                        <c15:formulaRef>
                          <c15:sqref>'Tendencias nacionalidad'!$D$83:$FT$83</c15:sqref>
                        </c15:formulaRef>
                      </c:ext>
                    </c:extLst>
                    <c:numCache>
                      <c:formatCode>#,##0</c:formatCode>
                      <c:ptCount val="173"/>
                      <c:pt idx="0">
                        <c:v>339</c:v>
                      </c:pt>
                      <c:pt idx="1">
                        <c:v>210</c:v>
                      </c:pt>
                      <c:pt idx="2">
                        <c:v>197</c:v>
                      </c:pt>
                      <c:pt idx="3">
                        <c:v>159</c:v>
                      </c:pt>
                      <c:pt idx="4">
                        <c:v>91</c:v>
                      </c:pt>
                      <c:pt idx="5">
                        <c:v>219</c:v>
                      </c:pt>
                      <c:pt idx="6">
                        <c:v>149</c:v>
                      </c:pt>
                      <c:pt idx="7">
                        <c:v>85</c:v>
                      </c:pt>
                      <c:pt idx="8">
                        <c:v>129</c:v>
                      </c:pt>
                      <c:pt idx="9">
                        <c:v>258</c:v>
                      </c:pt>
                      <c:pt idx="10">
                        <c:v>319</c:v>
                      </c:pt>
                      <c:pt idx="11">
                        <c:v>367</c:v>
                      </c:pt>
                      <c:pt idx="12">
                        <c:v>226</c:v>
                      </c:pt>
                      <c:pt idx="13">
                        <c:v>386</c:v>
                      </c:pt>
                      <c:pt idx="14">
                        <c:v>264</c:v>
                      </c:pt>
                      <c:pt idx="15">
                        <c:v>123</c:v>
                      </c:pt>
                      <c:pt idx="16">
                        <c:v>132</c:v>
                      </c:pt>
                      <c:pt idx="17">
                        <c:v>204</c:v>
                      </c:pt>
                      <c:pt idx="18">
                        <c:v>173</c:v>
                      </c:pt>
                      <c:pt idx="19">
                        <c:v>77</c:v>
                      </c:pt>
                      <c:pt idx="20">
                        <c:v>137</c:v>
                      </c:pt>
                      <c:pt idx="21">
                        <c:v>325</c:v>
                      </c:pt>
                      <c:pt idx="22">
                        <c:v>450</c:v>
                      </c:pt>
                      <c:pt idx="23">
                        <c:v>328</c:v>
                      </c:pt>
                      <c:pt idx="24">
                        <c:v>333</c:v>
                      </c:pt>
                      <c:pt idx="25">
                        <c:v>256</c:v>
                      </c:pt>
                      <c:pt idx="26">
                        <c:v>147</c:v>
                      </c:pt>
                      <c:pt idx="27">
                        <c:v>149</c:v>
                      </c:pt>
                      <c:pt idx="28">
                        <c:v>162</c:v>
                      </c:pt>
                      <c:pt idx="29">
                        <c:v>175</c:v>
                      </c:pt>
                      <c:pt idx="30">
                        <c:v>174</c:v>
                      </c:pt>
                      <c:pt idx="31">
                        <c:v>70</c:v>
                      </c:pt>
                      <c:pt idx="32">
                        <c:v>125</c:v>
                      </c:pt>
                      <c:pt idx="33">
                        <c:v>265</c:v>
                      </c:pt>
                      <c:pt idx="34">
                        <c:v>391</c:v>
                      </c:pt>
                      <c:pt idx="35">
                        <c:v>315</c:v>
                      </c:pt>
                      <c:pt idx="36">
                        <c:v>395</c:v>
                      </c:pt>
                      <c:pt idx="37">
                        <c:v>294</c:v>
                      </c:pt>
                      <c:pt idx="38">
                        <c:v>272</c:v>
                      </c:pt>
                      <c:pt idx="39">
                        <c:v>88</c:v>
                      </c:pt>
                      <c:pt idx="40">
                        <c:v>79</c:v>
                      </c:pt>
                      <c:pt idx="41">
                        <c:v>166</c:v>
                      </c:pt>
                      <c:pt idx="42">
                        <c:v>142</c:v>
                      </c:pt>
                      <c:pt idx="43">
                        <c:v>83</c:v>
                      </c:pt>
                      <c:pt idx="44">
                        <c:v>98</c:v>
                      </c:pt>
                      <c:pt idx="45">
                        <c:v>145</c:v>
                      </c:pt>
                      <c:pt idx="46">
                        <c:v>286</c:v>
                      </c:pt>
                      <c:pt idx="47">
                        <c:v>256</c:v>
                      </c:pt>
                      <c:pt idx="48">
                        <c:v>277</c:v>
                      </c:pt>
                      <c:pt idx="49">
                        <c:v>260</c:v>
                      </c:pt>
                      <c:pt idx="50">
                        <c:v>183</c:v>
                      </c:pt>
                      <c:pt idx="51">
                        <c:v>123</c:v>
                      </c:pt>
                      <c:pt idx="52">
                        <c:v>86</c:v>
                      </c:pt>
                      <c:pt idx="53">
                        <c:v>219</c:v>
                      </c:pt>
                      <c:pt idx="54">
                        <c:v>105</c:v>
                      </c:pt>
                      <c:pt idx="55">
                        <c:v>112</c:v>
                      </c:pt>
                      <c:pt idx="56">
                        <c:v>111</c:v>
                      </c:pt>
                      <c:pt idx="57">
                        <c:v>254</c:v>
                      </c:pt>
                      <c:pt idx="58">
                        <c:v>359</c:v>
                      </c:pt>
                      <c:pt idx="59">
                        <c:v>276</c:v>
                      </c:pt>
                      <c:pt idx="60">
                        <c:v>262</c:v>
                      </c:pt>
                      <c:pt idx="61">
                        <c:v>289</c:v>
                      </c:pt>
                      <c:pt idx="62">
                        <c:v>213</c:v>
                      </c:pt>
                      <c:pt idx="63">
                        <c:v>112</c:v>
                      </c:pt>
                      <c:pt idx="64">
                        <c:v>95</c:v>
                      </c:pt>
                      <c:pt idx="65">
                        <c:v>248</c:v>
                      </c:pt>
                      <c:pt idx="66">
                        <c:v>156</c:v>
                      </c:pt>
                      <c:pt idx="67">
                        <c:v>88</c:v>
                      </c:pt>
                      <c:pt idx="68">
                        <c:v>131</c:v>
                      </c:pt>
                      <c:pt idx="69">
                        <c:v>245</c:v>
                      </c:pt>
                      <c:pt idx="70">
                        <c:v>457</c:v>
                      </c:pt>
                      <c:pt idx="71">
                        <c:v>390</c:v>
                      </c:pt>
                      <c:pt idx="72">
                        <c:v>285</c:v>
                      </c:pt>
                      <c:pt idx="73">
                        <c:v>221</c:v>
                      </c:pt>
                      <c:pt idx="74">
                        <c:v>246</c:v>
                      </c:pt>
                      <c:pt idx="75">
                        <c:v>101</c:v>
                      </c:pt>
                      <c:pt idx="76">
                        <c:v>77</c:v>
                      </c:pt>
                      <c:pt idx="77">
                        <c:v>202</c:v>
                      </c:pt>
                      <c:pt idx="78">
                        <c:v>190</c:v>
                      </c:pt>
                      <c:pt idx="79">
                        <c:v>55</c:v>
                      </c:pt>
                      <c:pt idx="80">
                        <c:v>100</c:v>
                      </c:pt>
                      <c:pt idx="81">
                        <c:v>284</c:v>
                      </c:pt>
                      <c:pt idx="82">
                        <c:v>378</c:v>
                      </c:pt>
                      <c:pt idx="83">
                        <c:v>396</c:v>
                      </c:pt>
                      <c:pt idx="84">
                        <c:v>313</c:v>
                      </c:pt>
                      <c:pt idx="85">
                        <c:v>295</c:v>
                      </c:pt>
                      <c:pt idx="86">
                        <c:v>198</c:v>
                      </c:pt>
                      <c:pt idx="87">
                        <c:v>114</c:v>
                      </c:pt>
                      <c:pt idx="88">
                        <c:v>95</c:v>
                      </c:pt>
                      <c:pt idx="89">
                        <c:v>180</c:v>
                      </c:pt>
                      <c:pt idx="90">
                        <c:v>145</c:v>
                      </c:pt>
                      <c:pt idx="91">
                        <c:v>101</c:v>
                      </c:pt>
                      <c:pt idx="92">
                        <c:v>88</c:v>
                      </c:pt>
                      <c:pt idx="93">
                        <c:v>305</c:v>
                      </c:pt>
                      <c:pt idx="94">
                        <c:v>368</c:v>
                      </c:pt>
                      <c:pt idx="95">
                        <c:v>385</c:v>
                      </c:pt>
                      <c:pt idx="96">
                        <c:v>271</c:v>
                      </c:pt>
                      <c:pt idx="97">
                        <c:v>281</c:v>
                      </c:pt>
                      <c:pt idx="98">
                        <c:v>204</c:v>
                      </c:pt>
                      <c:pt idx="99">
                        <c:v>122</c:v>
                      </c:pt>
                      <c:pt idx="100">
                        <c:v>83</c:v>
                      </c:pt>
                      <c:pt idx="101">
                        <c:v>245</c:v>
                      </c:pt>
                      <c:pt idx="102">
                        <c:v>168</c:v>
                      </c:pt>
                      <c:pt idx="103">
                        <c:v>86</c:v>
                      </c:pt>
                      <c:pt idx="104">
                        <c:v>149</c:v>
                      </c:pt>
                      <c:pt idx="105">
                        <c:v>327</c:v>
                      </c:pt>
                      <c:pt idx="106">
                        <c:v>370</c:v>
                      </c:pt>
                      <c:pt idx="107">
                        <c:v>393</c:v>
                      </c:pt>
                      <c:pt idx="108">
                        <c:v>261</c:v>
                      </c:pt>
                      <c:pt idx="109">
                        <c:v>243</c:v>
                      </c:pt>
                      <c:pt idx="110">
                        <c:v>222</c:v>
                      </c:pt>
                      <c:pt idx="111">
                        <c:v>135</c:v>
                      </c:pt>
                      <c:pt idx="112">
                        <c:v>89</c:v>
                      </c:pt>
                      <c:pt idx="113">
                        <c:v>230</c:v>
                      </c:pt>
                      <c:pt idx="114">
                        <c:v>147</c:v>
                      </c:pt>
                      <c:pt idx="115">
                        <c:v>63</c:v>
                      </c:pt>
                      <c:pt idx="116" formatCode="General">
                        <c:v>96</c:v>
                      </c:pt>
                      <c:pt idx="117">
                        <c:v>338</c:v>
                      </c:pt>
                      <c:pt idx="118">
                        <c:v>256</c:v>
                      </c:pt>
                      <c:pt idx="119">
                        <c:v>252</c:v>
                      </c:pt>
                      <c:pt idx="120">
                        <c:v>197</c:v>
                      </c:pt>
                      <c:pt idx="121">
                        <c:v>217</c:v>
                      </c:pt>
                      <c:pt idx="122">
                        <c:v>144</c:v>
                      </c:pt>
                      <c:pt idx="123">
                        <c:v>145</c:v>
                      </c:pt>
                      <c:pt idx="124">
                        <c:v>75</c:v>
                      </c:pt>
                      <c:pt idx="125">
                        <c:v>141</c:v>
                      </c:pt>
                      <c:pt idx="126">
                        <c:v>109</c:v>
                      </c:pt>
                      <c:pt idx="127">
                        <c:v>77</c:v>
                      </c:pt>
                      <c:pt idx="128">
                        <c:v>82</c:v>
                      </c:pt>
                      <c:pt idx="129">
                        <c:v>232</c:v>
                      </c:pt>
                      <c:pt idx="130">
                        <c:v>376</c:v>
                      </c:pt>
                      <c:pt idx="131">
                        <c:v>299</c:v>
                      </c:pt>
                      <c:pt idx="132">
                        <c:v>195</c:v>
                      </c:pt>
                      <c:pt idx="133">
                        <c:v>235</c:v>
                      </c:pt>
                      <c:pt idx="134">
                        <c:v>183</c:v>
                      </c:pt>
                      <c:pt idx="135">
                        <c:v>113</c:v>
                      </c:pt>
                      <c:pt idx="136">
                        <c:v>75</c:v>
                      </c:pt>
                      <c:pt idx="137">
                        <c:v>182</c:v>
                      </c:pt>
                      <c:pt idx="138">
                        <c:v>155</c:v>
                      </c:pt>
                      <c:pt idx="139">
                        <c:v>72</c:v>
                      </c:pt>
                      <c:pt idx="140">
                        <c:v>97</c:v>
                      </c:pt>
                      <c:pt idx="141">
                        <c:v>185</c:v>
                      </c:pt>
                      <c:pt idx="142">
                        <c:v>290</c:v>
                      </c:pt>
                      <c:pt idx="143">
                        <c:v>273</c:v>
                      </c:pt>
                      <c:pt idx="144" formatCode="_(* #,##0_);_(* \(#,##0\);_(* &quot;-&quot;??_);_(@_)">
                        <c:v>248</c:v>
                      </c:pt>
                      <c:pt idx="145">
                        <c:v>226</c:v>
                      </c:pt>
                      <c:pt idx="146">
                        <c:v>182</c:v>
                      </c:pt>
                      <c:pt idx="147">
                        <c:v>104</c:v>
                      </c:pt>
                      <c:pt idx="148" formatCode="_(* #,##0_);_(* \(#,##0\);_(* &quot;-&quot;??_);_(@_)">
                        <c:v>93</c:v>
                      </c:pt>
                      <c:pt idx="149" formatCode="_(* #,##0_);_(* \(#,##0\);_(* &quot;-&quot;??_);_(@_)">
                        <c:v>256</c:v>
                      </c:pt>
                      <c:pt idx="150" formatCode="_(* #,##0_);_(* \(#,##0\);_(* &quot;-&quot;??_);_(@_)">
                        <c:v>199</c:v>
                      </c:pt>
                      <c:pt idx="151" formatCode="_(* #,##0_);_(* \(#,##0\);_(* &quot;-&quot;??_);_(@_)">
                        <c:v>90</c:v>
                      </c:pt>
                      <c:pt idx="152" formatCode="_(* #,##0_);_(* \(#,##0\);_(* &quot;-&quot;??_);_(@_)">
                        <c:v>89</c:v>
                      </c:pt>
                      <c:pt idx="153" formatCode="_(* #,##0_);_(* \(#,##0\);_(* &quot;-&quot;??_);_(@_)">
                        <c:v>133</c:v>
                      </c:pt>
                      <c:pt idx="154" formatCode="_(* #,##0_);_(* \(#,##0\);_(* &quot;-&quot;??_);_(@_)">
                        <c:v>278</c:v>
                      </c:pt>
                      <c:pt idx="155" formatCode="_(* #,##0_);_(* \(#,##0\);_(* &quot;-&quot;??_);_(@_)">
                        <c:v>272</c:v>
                      </c:pt>
                      <c:pt idx="156">
                        <c:v>263</c:v>
                      </c:pt>
                      <c:pt idx="157">
                        <c:v>231</c:v>
                      </c:pt>
                      <c:pt idx="158">
                        <c:v>68</c:v>
                      </c:pt>
                      <c:pt idx="160">
                        <c:v>3</c:v>
                      </c:pt>
                      <c:pt idx="161">
                        <c:v>5</c:v>
                      </c:pt>
                      <c:pt idx="162">
                        <c:v>10</c:v>
                      </c:pt>
                      <c:pt idx="163">
                        <c:v>9</c:v>
                      </c:pt>
                      <c:pt idx="164">
                        <c:v>15</c:v>
                      </c:pt>
                      <c:pt idx="165">
                        <c:v>16</c:v>
                      </c:pt>
                      <c:pt idx="166">
                        <c:v>29</c:v>
                      </c:pt>
                      <c:pt idx="167">
                        <c:v>37</c:v>
                      </c:pt>
                      <c:pt idx="168">
                        <c:v>34</c:v>
                      </c:pt>
                      <c:pt idx="169">
                        <c:v>17</c:v>
                      </c:pt>
                      <c:pt idx="170">
                        <c:v>20</c:v>
                      </c:pt>
                      <c:pt idx="171">
                        <c:v>15</c:v>
                      </c:pt>
                      <c:pt idx="172">
                        <c:v>24</c:v>
                      </c:pt>
                    </c:numCache>
                  </c:numRef>
                </c:val>
                <c:smooth val="0"/>
                <c:extLst xmlns:c15="http://schemas.microsoft.com/office/drawing/2012/chart">
                  <c:ext xmlns:c16="http://schemas.microsoft.com/office/drawing/2014/chart" uri="{C3380CC4-5D6E-409C-BE32-E72D297353CC}">
                    <c16:uniqueId val="{0000001D-F54E-4F2C-B67C-89E5093B052E}"/>
                  </c:ext>
                </c:extLst>
              </c15:ser>
            </c15:filteredLineSeries>
            <c15:filteredLineSeries>
              <c15:ser>
                <c:idx val="31"/>
                <c:order val="31"/>
                <c:tx>
                  <c:strRef>
                    <c:extLst xmlns:c15="http://schemas.microsoft.com/office/drawing/2012/chart">
                      <c:ext xmlns:c15="http://schemas.microsoft.com/office/drawing/2012/chart" uri="{02D57815-91ED-43cb-92C2-25804820EDAC}">
                        <c15:formulaRef>
                          <c15:sqref>'Tendencias nacionalidad'!$C$85</c15:sqref>
                        </c15:formulaRef>
                      </c:ext>
                    </c:extLst>
                    <c:strCache>
                      <c:ptCount val="1"/>
                      <c:pt idx="0">
                        <c:v>Otros</c:v>
                      </c:pt>
                    </c:strCache>
                  </c:strRef>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nacionalidad'!$D$85:$GA$85</c15:sqref>
                        </c15:fullRef>
                        <c15:formulaRef>
                          <c15:sqref>'Tendencias nacionalidad'!$D$85:$FT$85</c15:sqref>
                        </c15:formulaRef>
                      </c:ext>
                    </c:extLst>
                    <c:numCache>
                      <c:formatCode>#,##0</c:formatCode>
                      <c:ptCount val="173"/>
                      <c:pt idx="0">
                        <c:v>1352</c:v>
                      </c:pt>
                      <c:pt idx="1">
                        <c:v>1073</c:v>
                      </c:pt>
                      <c:pt idx="2">
                        <c:v>1228</c:v>
                      </c:pt>
                      <c:pt idx="3">
                        <c:v>1130</c:v>
                      </c:pt>
                      <c:pt idx="4">
                        <c:v>1032</c:v>
                      </c:pt>
                      <c:pt idx="5">
                        <c:v>1214</c:v>
                      </c:pt>
                      <c:pt idx="6">
                        <c:v>1621</c:v>
                      </c:pt>
                      <c:pt idx="7">
                        <c:v>1503</c:v>
                      </c:pt>
                      <c:pt idx="8">
                        <c:v>1581</c:v>
                      </c:pt>
                      <c:pt idx="9">
                        <c:v>1686</c:v>
                      </c:pt>
                      <c:pt idx="10">
                        <c:v>1465</c:v>
                      </c:pt>
                      <c:pt idx="11">
                        <c:v>1267</c:v>
                      </c:pt>
                      <c:pt idx="12">
                        <c:v>1457</c:v>
                      </c:pt>
                      <c:pt idx="13">
                        <c:v>1912</c:v>
                      </c:pt>
                      <c:pt idx="14">
                        <c:v>1681</c:v>
                      </c:pt>
                      <c:pt idx="15">
                        <c:v>1419</c:v>
                      </c:pt>
                      <c:pt idx="16">
                        <c:v>1507</c:v>
                      </c:pt>
                      <c:pt idx="17">
                        <c:v>1667</c:v>
                      </c:pt>
                      <c:pt idx="18">
                        <c:v>1856</c:v>
                      </c:pt>
                      <c:pt idx="19">
                        <c:v>2105</c:v>
                      </c:pt>
                      <c:pt idx="20">
                        <c:v>1931</c:v>
                      </c:pt>
                      <c:pt idx="21">
                        <c:v>2079</c:v>
                      </c:pt>
                      <c:pt idx="22">
                        <c:v>2062</c:v>
                      </c:pt>
                      <c:pt idx="23">
                        <c:v>1753</c:v>
                      </c:pt>
                      <c:pt idx="24">
                        <c:v>1691</c:v>
                      </c:pt>
                      <c:pt idx="25">
                        <c:v>1564</c:v>
                      </c:pt>
                      <c:pt idx="26">
                        <c:v>1837</c:v>
                      </c:pt>
                      <c:pt idx="27">
                        <c:v>1902</c:v>
                      </c:pt>
                      <c:pt idx="28">
                        <c:v>1950.5</c:v>
                      </c:pt>
                      <c:pt idx="29">
                        <c:v>1999</c:v>
                      </c:pt>
                      <c:pt idx="30">
                        <c:v>2276</c:v>
                      </c:pt>
                      <c:pt idx="31">
                        <c:v>2179</c:v>
                      </c:pt>
                      <c:pt idx="32">
                        <c:v>1873</c:v>
                      </c:pt>
                      <c:pt idx="33">
                        <c:v>2115</c:v>
                      </c:pt>
                      <c:pt idx="34">
                        <c:v>1922</c:v>
                      </c:pt>
                      <c:pt idx="35">
                        <c:v>1842</c:v>
                      </c:pt>
                      <c:pt idx="36">
                        <c:v>2005</c:v>
                      </c:pt>
                      <c:pt idx="37">
                        <c:v>2148</c:v>
                      </c:pt>
                      <c:pt idx="38">
                        <c:v>2032</c:v>
                      </c:pt>
                      <c:pt idx="39">
                        <c:v>1797</c:v>
                      </c:pt>
                      <c:pt idx="40">
                        <c:v>1836</c:v>
                      </c:pt>
                      <c:pt idx="41">
                        <c:v>2056</c:v>
                      </c:pt>
                      <c:pt idx="42">
                        <c:v>2157</c:v>
                      </c:pt>
                      <c:pt idx="43">
                        <c:v>2080</c:v>
                      </c:pt>
                      <c:pt idx="44">
                        <c:v>1869</c:v>
                      </c:pt>
                      <c:pt idx="45">
                        <c:v>3234</c:v>
                      </c:pt>
                      <c:pt idx="46">
                        <c:v>2064</c:v>
                      </c:pt>
                      <c:pt idx="47">
                        <c:v>1947</c:v>
                      </c:pt>
                      <c:pt idx="48">
                        <c:v>2161</c:v>
                      </c:pt>
                      <c:pt idx="49">
                        <c:v>1925</c:v>
                      </c:pt>
                      <c:pt idx="50">
                        <c:v>2397</c:v>
                      </c:pt>
                      <c:pt idx="51">
                        <c:v>2132</c:v>
                      </c:pt>
                      <c:pt idx="52">
                        <c:v>1881</c:v>
                      </c:pt>
                      <c:pt idx="53">
                        <c:v>1933</c:v>
                      </c:pt>
                      <c:pt idx="54">
                        <c:v>1785</c:v>
                      </c:pt>
                      <c:pt idx="55">
                        <c:v>1871</c:v>
                      </c:pt>
                      <c:pt idx="56">
                        <c:v>1793</c:v>
                      </c:pt>
                      <c:pt idx="57">
                        <c:v>1900</c:v>
                      </c:pt>
                      <c:pt idx="58">
                        <c:v>2198</c:v>
                      </c:pt>
                      <c:pt idx="59">
                        <c:v>1731</c:v>
                      </c:pt>
                      <c:pt idx="60">
                        <c:v>2292</c:v>
                      </c:pt>
                      <c:pt idx="61">
                        <c:v>1667</c:v>
                      </c:pt>
                      <c:pt idx="62">
                        <c:v>1785</c:v>
                      </c:pt>
                      <c:pt idx="63">
                        <c:v>1717</c:v>
                      </c:pt>
                      <c:pt idx="64">
                        <c:v>2030</c:v>
                      </c:pt>
                      <c:pt idx="65">
                        <c:v>2417</c:v>
                      </c:pt>
                      <c:pt idx="66">
                        <c:v>2406</c:v>
                      </c:pt>
                      <c:pt idx="67">
                        <c:v>2181</c:v>
                      </c:pt>
                      <c:pt idx="68">
                        <c:v>2263</c:v>
                      </c:pt>
                      <c:pt idx="69">
                        <c:v>2409</c:v>
                      </c:pt>
                      <c:pt idx="70">
                        <c:v>2762</c:v>
                      </c:pt>
                      <c:pt idx="71">
                        <c:v>2408</c:v>
                      </c:pt>
                      <c:pt idx="72">
                        <c:v>2705</c:v>
                      </c:pt>
                      <c:pt idx="73">
                        <c:v>2224</c:v>
                      </c:pt>
                      <c:pt idx="74">
                        <c:v>3674</c:v>
                      </c:pt>
                      <c:pt idx="75">
                        <c:v>2902</c:v>
                      </c:pt>
                      <c:pt idx="76">
                        <c:v>2693</c:v>
                      </c:pt>
                      <c:pt idx="77">
                        <c:v>3260</c:v>
                      </c:pt>
                      <c:pt idx="78">
                        <c:v>2875</c:v>
                      </c:pt>
                      <c:pt idx="79">
                        <c:v>2875</c:v>
                      </c:pt>
                      <c:pt idx="80">
                        <c:v>2838</c:v>
                      </c:pt>
                      <c:pt idx="81">
                        <c:v>3163</c:v>
                      </c:pt>
                      <c:pt idx="82">
                        <c:v>3258</c:v>
                      </c:pt>
                      <c:pt idx="83">
                        <c:v>3987</c:v>
                      </c:pt>
                      <c:pt idx="84">
                        <c:v>1464</c:v>
                      </c:pt>
                      <c:pt idx="85">
                        <c:v>2663</c:v>
                      </c:pt>
                      <c:pt idx="86">
                        <c:v>2765</c:v>
                      </c:pt>
                      <c:pt idx="87">
                        <c:v>2718</c:v>
                      </c:pt>
                      <c:pt idx="88">
                        <c:v>2898</c:v>
                      </c:pt>
                      <c:pt idx="89">
                        <c:v>1850</c:v>
                      </c:pt>
                      <c:pt idx="90">
                        <c:v>3517</c:v>
                      </c:pt>
                      <c:pt idx="91">
                        <c:v>3243</c:v>
                      </c:pt>
                      <c:pt idx="92">
                        <c:v>4230</c:v>
                      </c:pt>
                      <c:pt idx="93">
                        <c:v>4080</c:v>
                      </c:pt>
                      <c:pt idx="94">
                        <c:v>4657</c:v>
                      </c:pt>
                      <c:pt idx="95">
                        <c:v>4249</c:v>
                      </c:pt>
                      <c:pt idx="96">
                        <c:v>4365</c:v>
                      </c:pt>
                      <c:pt idx="97">
                        <c:v>4265</c:v>
                      </c:pt>
                      <c:pt idx="98">
                        <c:v>4529</c:v>
                      </c:pt>
                      <c:pt idx="99">
                        <c:v>4893</c:v>
                      </c:pt>
                      <c:pt idx="100">
                        <c:v>4695</c:v>
                      </c:pt>
                      <c:pt idx="101">
                        <c:v>4155</c:v>
                      </c:pt>
                      <c:pt idx="102">
                        <c:v>4388</c:v>
                      </c:pt>
                      <c:pt idx="103">
                        <c:v>2823</c:v>
                      </c:pt>
                      <c:pt idx="104">
                        <c:v>3036</c:v>
                      </c:pt>
                      <c:pt idx="105">
                        <c:v>2822</c:v>
                      </c:pt>
                      <c:pt idx="106">
                        <c:v>3131</c:v>
                      </c:pt>
                      <c:pt idx="107">
                        <c:v>2609</c:v>
                      </c:pt>
                      <c:pt idx="108">
                        <c:v>2637</c:v>
                      </c:pt>
                      <c:pt idx="109">
                        <c:v>2682</c:v>
                      </c:pt>
                      <c:pt idx="110">
                        <c:v>2560</c:v>
                      </c:pt>
                      <c:pt idx="111">
                        <c:v>2027</c:v>
                      </c:pt>
                      <c:pt idx="112">
                        <c:v>2406</c:v>
                      </c:pt>
                      <c:pt idx="113">
                        <c:v>2378</c:v>
                      </c:pt>
                      <c:pt idx="114">
                        <c:v>2754</c:v>
                      </c:pt>
                      <c:pt idx="115">
                        <c:v>2485</c:v>
                      </c:pt>
                      <c:pt idx="116">
                        <c:v>2655</c:v>
                      </c:pt>
                      <c:pt idx="117">
                        <c:v>5694</c:v>
                      </c:pt>
                      <c:pt idx="118">
                        <c:v>3499</c:v>
                      </c:pt>
                      <c:pt idx="119">
                        <c:v>3813</c:v>
                      </c:pt>
                      <c:pt idx="120">
                        <c:v>3249</c:v>
                      </c:pt>
                      <c:pt idx="121">
                        <c:v>2963</c:v>
                      </c:pt>
                      <c:pt idx="122">
                        <c:v>3245</c:v>
                      </c:pt>
                      <c:pt idx="123">
                        <c:v>3320</c:v>
                      </c:pt>
                      <c:pt idx="124">
                        <c:v>3212</c:v>
                      </c:pt>
                      <c:pt idx="125">
                        <c:v>3871</c:v>
                      </c:pt>
                      <c:pt idx="126">
                        <c:v>4324</c:v>
                      </c:pt>
                      <c:pt idx="127">
                        <c:v>3626</c:v>
                      </c:pt>
                      <c:pt idx="128">
                        <c:v>3420</c:v>
                      </c:pt>
                      <c:pt idx="129">
                        <c:v>3792</c:v>
                      </c:pt>
                      <c:pt idx="130">
                        <c:v>4114</c:v>
                      </c:pt>
                      <c:pt idx="131">
                        <c:v>4059</c:v>
                      </c:pt>
                      <c:pt idx="132">
                        <c:v>3570</c:v>
                      </c:pt>
                      <c:pt idx="133">
                        <c:v>3494</c:v>
                      </c:pt>
                      <c:pt idx="134">
                        <c:v>3839</c:v>
                      </c:pt>
                      <c:pt idx="135">
                        <c:v>3851</c:v>
                      </c:pt>
                      <c:pt idx="136">
                        <c:v>3882</c:v>
                      </c:pt>
                      <c:pt idx="137">
                        <c:v>4239</c:v>
                      </c:pt>
                      <c:pt idx="138">
                        <c:v>4301</c:v>
                      </c:pt>
                      <c:pt idx="139">
                        <c:v>3635</c:v>
                      </c:pt>
                      <c:pt idx="140">
                        <c:v>3911</c:v>
                      </c:pt>
                      <c:pt idx="141">
                        <c:v>4054</c:v>
                      </c:pt>
                      <c:pt idx="142">
                        <c:v>4768</c:v>
                      </c:pt>
                      <c:pt idx="143">
                        <c:v>4485</c:v>
                      </c:pt>
                      <c:pt idx="144" formatCode="_(* #,##0_);_(* \(#,##0\);_(* &quot;-&quot;??_);_(@_)">
                        <c:v>3867</c:v>
                      </c:pt>
                      <c:pt idx="145" formatCode="_(* #,##0_);_(* \(#,##0\);_(* &quot;-&quot;??_);_(@_)">
                        <c:v>3871</c:v>
                      </c:pt>
                      <c:pt idx="146" formatCode="_(* #,##0_);_(* \(#,##0\);_(* &quot;-&quot;??_);_(@_)">
                        <c:v>4529</c:v>
                      </c:pt>
                      <c:pt idx="147" formatCode="_(* #,##0_);_(* \(#,##0\);_(* &quot;-&quot;??_);_(@_)">
                        <c:v>4829</c:v>
                      </c:pt>
                      <c:pt idx="148" formatCode="_(* #,##0_);_(* \(#,##0\);_(* &quot;-&quot;??_);_(@_)">
                        <c:v>3586</c:v>
                      </c:pt>
                      <c:pt idx="149" formatCode="_(* #,##0_);_(* \(#,##0\);_(* &quot;-&quot;??_);_(@_)">
                        <c:v>6971</c:v>
                      </c:pt>
                      <c:pt idx="150" formatCode="_(* #,##0_);_(* \(#,##0\);_(* &quot;-&quot;??_);_(@_)">
                        <c:v>6736</c:v>
                      </c:pt>
                      <c:pt idx="151" formatCode="_(* #,##0_);_(* \(#,##0\);_(* &quot;-&quot;??_);_(@_)">
                        <c:v>1079</c:v>
                      </c:pt>
                      <c:pt idx="152" formatCode="_(* #,##0_);_(* \(#,##0\);_(* &quot;-&quot;??_);_(@_)">
                        <c:v>3112</c:v>
                      </c:pt>
                      <c:pt idx="153" formatCode="_(* #,##0_);_(* \(#,##0\);_(* &quot;-&quot;??_);_(@_)">
                        <c:v>2696</c:v>
                      </c:pt>
                      <c:pt idx="154" formatCode="_(* #,##0_);_(* \(#,##0\);_(* &quot;-&quot;??_);_(@_)">
                        <c:v>3234</c:v>
                      </c:pt>
                      <c:pt idx="155" formatCode="_(* #,##0_);_(* \(#,##0\);_(* &quot;-&quot;??_);_(@_)">
                        <c:v>3088</c:v>
                      </c:pt>
                      <c:pt idx="156" formatCode="_(* #,##0_);_(* \(#,##0\);_(* &quot;-&quot;??_);_(@_)">
                        <c:v>3447</c:v>
                      </c:pt>
                      <c:pt idx="157" formatCode="_(* #,##0_);_(* \(#,##0\);_(* &quot;-&quot;??_);_(@_)">
                        <c:v>2919</c:v>
                      </c:pt>
                      <c:pt idx="158" formatCode="_(* #,##0_);_(* \(#,##0\);_(* &quot;-&quot;??_);_(@_)">
                        <c:v>1120</c:v>
                      </c:pt>
                      <c:pt idx="159" formatCode="_(* #,##0_);_(* \(#,##0\);_(* &quot;-&quot;??_);_(@_)">
                        <c:v>23</c:v>
                      </c:pt>
                      <c:pt idx="160" formatCode="_(* #,##0_);_(* \(#,##0\);_(* &quot;-&quot;??_);_(@_)">
                        <c:v>40</c:v>
                      </c:pt>
                      <c:pt idx="161" formatCode="_(* #,##0_);_(* \(#,##0\);_(* &quot;-&quot;??_);_(@_)">
                        <c:v>81</c:v>
                      </c:pt>
                      <c:pt idx="162" formatCode="_(* #,##0_);_(* \(#,##0\);_(* &quot;-&quot;??_);_(@_)">
                        <c:v>160</c:v>
                      </c:pt>
                      <c:pt idx="163" formatCode="_(* #,##0_);_(* \(#,##0\);_(* &quot;-&quot;??_);_(@_)">
                        <c:v>197</c:v>
                      </c:pt>
                      <c:pt idx="164" formatCode="_(* #,##0_);_(* \(#,##0\);_(* &quot;-&quot;??_);_(@_)">
                        <c:v>256</c:v>
                      </c:pt>
                      <c:pt idx="165" formatCode="_(* #,##0_);_(* \(#,##0\);_(* &quot;-&quot;??_);_(@_)">
                        <c:v>421</c:v>
                      </c:pt>
                      <c:pt idx="166" formatCode="_(* #,##0_);_(* \(#,##0\);_(* &quot;-&quot;??_);_(@_)">
                        <c:v>533</c:v>
                      </c:pt>
                      <c:pt idx="167" formatCode="_(* #,##0_);_(* \(#,##0\);_(* &quot;-&quot;??_);_(@_)">
                        <c:v>796</c:v>
                      </c:pt>
                      <c:pt idx="168" formatCode="_(* #,##0_);_(* \(#,##0\);_(* &quot;-&quot;??_);_(@_)">
                        <c:v>-330</c:v>
                      </c:pt>
                      <c:pt idx="169" formatCode="_(* #,##0_);_(* \(#,##0\);_(* &quot;-&quot;??_);_(@_)">
                        <c:v>535</c:v>
                      </c:pt>
                      <c:pt idx="170" formatCode="_(* #,##0_);_(* \(#,##0\);_(* &quot;-&quot;??_);_(@_)">
                        <c:v>676</c:v>
                      </c:pt>
                      <c:pt idx="171" formatCode="_(* #,##0_);_(* \(#,##0\);_(* &quot;-&quot;??_);_(@_)">
                        <c:v>695</c:v>
                      </c:pt>
                      <c:pt idx="172" formatCode="_(* #,##0_);_(* \(#,##0\);_(* &quot;-&quot;??_);_(@_)">
                        <c:v>698</c:v>
                      </c:pt>
                    </c:numCache>
                  </c:numRef>
                </c:val>
                <c:smooth val="0"/>
                <c:extLst xmlns:c15="http://schemas.microsoft.com/office/drawing/2012/chart">
                  <c:ext xmlns:c16="http://schemas.microsoft.com/office/drawing/2014/chart" uri="{C3380CC4-5D6E-409C-BE32-E72D297353CC}">
                    <c16:uniqueId val="{0000001F-F54E-4F2C-B67C-89E5093B052E}"/>
                  </c:ext>
                </c:extLst>
              </c15:ser>
            </c15:filteredLineSeries>
          </c:ext>
        </c:extLst>
      </c:lineChart>
      <c:dateAx>
        <c:axId val="939981295"/>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EC"/>
          </a:p>
        </c:txPr>
        <c:crossAx val="939983375"/>
        <c:crosses val="autoZero"/>
        <c:auto val="1"/>
        <c:lblOffset val="100"/>
        <c:baseTimeUnit val="months"/>
      </c:dateAx>
      <c:valAx>
        <c:axId val="93998337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39981295"/>
        <c:crosses val="autoZero"/>
        <c:crossBetween val="between"/>
      </c:valAx>
      <c:spPr>
        <a:noFill/>
        <a:ln>
          <a:noFill/>
        </a:ln>
        <a:effectLst/>
      </c:spPr>
    </c:plotArea>
    <c:legend>
      <c:legendPos val="r"/>
      <c:layout>
        <c:manualLayout>
          <c:xMode val="edge"/>
          <c:yMode val="edge"/>
          <c:x val="0.84961331660570216"/>
          <c:y val="0.17328623259408485"/>
          <c:w val="0.14525608647358521"/>
          <c:h val="0.42892867528885198"/>
        </c:manualLayout>
      </c:layout>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Evolución llegadas</a:t>
            </a:r>
            <a:r>
              <a:rPr lang="es-EC" baseline="0"/>
              <a:t> 2019-2021</a:t>
            </a:r>
          </a:p>
          <a:p>
            <a:pPr>
              <a:defRPr/>
            </a:pPr>
            <a:r>
              <a:rPr lang="es-EC" baseline="0"/>
              <a:t>Norteamerica</a:t>
            </a:r>
            <a:endParaRPr lang="es-EC"/>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2.9979287385654363E-2"/>
          <c:y val="0.10995690148269265"/>
          <c:w val="0.89191564165294746"/>
          <c:h val="0.68730920228405445"/>
        </c:manualLayout>
      </c:layout>
      <c:lineChart>
        <c:grouping val="standard"/>
        <c:varyColors val="0"/>
        <c:ser>
          <c:idx val="0"/>
          <c:order val="0"/>
          <c:tx>
            <c:strRef>
              <c:f>'Tendencias nacionalidad'!$C$54</c:f>
              <c:strCache>
                <c:ptCount val="1"/>
                <c:pt idx="0">
                  <c:v>Estados Unidos</c:v>
                </c:pt>
              </c:strCache>
              <c:extLst xmlns:c15="http://schemas.microsoft.com/office/drawing/2012/chart"/>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nacionalidad'!$D$54:$GA$54</c15:sqref>
                  </c15:fullRef>
                </c:ext>
              </c:extLst>
              <c:f>'Tendencias nacionalidad'!$D$54:$FT$54</c:f>
              <c:numCache>
                <c:formatCode>#,##0</c:formatCode>
                <c:ptCount val="173"/>
                <c:pt idx="0">
                  <c:v>7760</c:v>
                </c:pt>
                <c:pt idx="1">
                  <c:v>7608</c:v>
                </c:pt>
                <c:pt idx="2">
                  <c:v>9828</c:v>
                </c:pt>
                <c:pt idx="3">
                  <c:v>7137</c:v>
                </c:pt>
                <c:pt idx="4">
                  <c:v>8490</c:v>
                </c:pt>
                <c:pt idx="5">
                  <c:v>14706</c:v>
                </c:pt>
                <c:pt idx="6">
                  <c:v>16146</c:v>
                </c:pt>
                <c:pt idx="7">
                  <c:v>12359</c:v>
                </c:pt>
                <c:pt idx="8">
                  <c:v>6638</c:v>
                </c:pt>
                <c:pt idx="9">
                  <c:v>7413</c:v>
                </c:pt>
                <c:pt idx="10">
                  <c:v>8563</c:v>
                </c:pt>
                <c:pt idx="11">
                  <c:v>11317</c:v>
                </c:pt>
                <c:pt idx="12">
                  <c:v>10075</c:v>
                </c:pt>
                <c:pt idx="13">
                  <c:v>13044</c:v>
                </c:pt>
                <c:pt idx="14">
                  <c:v>11621</c:v>
                </c:pt>
                <c:pt idx="15">
                  <c:v>8418</c:v>
                </c:pt>
                <c:pt idx="16">
                  <c:v>11294</c:v>
                </c:pt>
                <c:pt idx="17">
                  <c:v>18034</c:v>
                </c:pt>
                <c:pt idx="18">
                  <c:v>16699</c:v>
                </c:pt>
                <c:pt idx="19">
                  <c:v>12325</c:v>
                </c:pt>
                <c:pt idx="20">
                  <c:v>7659</c:v>
                </c:pt>
                <c:pt idx="21">
                  <c:v>7702</c:v>
                </c:pt>
                <c:pt idx="22">
                  <c:v>8570</c:v>
                </c:pt>
                <c:pt idx="23">
                  <c:v>11704</c:v>
                </c:pt>
                <c:pt idx="24">
                  <c:v>9962</c:v>
                </c:pt>
                <c:pt idx="25">
                  <c:v>9139</c:v>
                </c:pt>
                <c:pt idx="26">
                  <c:v>10302</c:v>
                </c:pt>
                <c:pt idx="27">
                  <c:v>8924</c:v>
                </c:pt>
                <c:pt idx="28">
                  <c:v>12993</c:v>
                </c:pt>
                <c:pt idx="29">
                  <c:v>17062</c:v>
                </c:pt>
                <c:pt idx="30">
                  <c:v>16655</c:v>
                </c:pt>
                <c:pt idx="31">
                  <c:v>11416</c:v>
                </c:pt>
                <c:pt idx="32">
                  <c:v>6635</c:v>
                </c:pt>
                <c:pt idx="33">
                  <c:v>7211</c:v>
                </c:pt>
                <c:pt idx="34">
                  <c:v>7598</c:v>
                </c:pt>
                <c:pt idx="35">
                  <c:v>11858</c:v>
                </c:pt>
                <c:pt idx="36">
                  <c:v>9232</c:v>
                </c:pt>
                <c:pt idx="37">
                  <c:v>8487</c:v>
                </c:pt>
                <c:pt idx="38">
                  <c:v>10219</c:v>
                </c:pt>
                <c:pt idx="39">
                  <c:v>7810</c:v>
                </c:pt>
                <c:pt idx="40">
                  <c:v>10758</c:v>
                </c:pt>
                <c:pt idx="41">
                  <c:v>15930</c:v>
                </c:pt>
                <c:pt idx="42">
                  <c:v>15799</c:v>
                </c:pt>
                <c:pt idx="43">
                  <c:v>10584</c:v>
                </c:pt>
                <c:pt idx="44">
                  <c:v>6327</c:v>
                </c:pt>
                <c:pt idx="45">
                  <c:v>7725</c:v>
                </c:pt>
                <c:pt idx="46">
                  <c:v>7556</c:v>
                </c:pt>
                <c:pt idx="47">
                  <c:v>11437</c:v>
                </c:pt>
                <c:pt idx="48">
                  <c:v>9093</c:v>
                </c:pt>
                <c:pt idx="49">
                  <c:v>9118</c:v>
                </c:pt>
                <c:pt idx="50">
                  <c:v>11492</c:v>
                </c:pt>
                <c:pt idx="51">
                  <c:v>9029</c:v>
                </c:pt>
                <c:pt idx="52">
                  <c:v>11497</c:v>
                </c:pt>
                <c:pt idx="53">
                  <c:v>16581</c:v>
                </c:pt>
                <c:pt idx="54">
                  <c:v>16087</c:v>
                </c:pt>
                <c:pt idx="55">
                  <c:v>10842</c:v>
                </c:pt>
                <c:pt idx="56">
                  <c:v>6954</c:v>
                </c:pt>
                <c:pt idx="57">
                  <c:v>7874</c:v>
                </c:pt>
                <c:pt idx="58">
                  <c:v>8957</c:v>
                </c:pt>
                <c:pt idx="59">
                  <c:v>12798</c:v>
                </c:pt>
                <c:pt idx="60">
                  <c:v>9054</c:v>
                </c:pt>
                <c:pt idx="61">
                  <c:v>8325</c:v>
                </c:pt>
                <c:pt idx="62">
                  <c:v>11925</c:v>
                </c:pt>
                <c:pt idx="63">
                  <c:v>9068</c:v>
                </c:pt>
                <c:pt idx="64">
                  <c:v>11902</c:v>
                </c:pt>
                <c:pt idx="65">
                  <c:v>18638</c:v>
                </c:pt>
                <c:pt idx="66">
                  <c:v>18162</c:v>
                </c:pt>
                <c:pt idx="67">
                  <c:v>12296</c:v>
                </c:pt>
                <c:pt idx="68">
                  <c:v>8393</c:v>
                </c:pt>
                <c:pt idx="69">
                  <c:v>9607</c:v>
                </c:pt>
                <c:pt idx="70">
                  <c:v>9130</c:v>
                </c:pt>
                <c:pt idx="71">
                  <c:v>14125</c:v>
                </c:pt>
                <c:pt idx="72">
                  <c:v>11222</c:v>
                </c:pt>
                <c:pt idx="73">
                  <c:v>10182</c:v>
                </c:pt>
                <c:pt idx="74">
                  <c:v>12798</c:v>
                </c:pt>
                <c:pt idx="75">
                  <c:v>8722</c:v>
                </c:pt>
                <c:pt idx="76">
                  <c:v>11830</c:v>
                </c:pt>
                <c:pt idx="77">
                  <c:v>18551</c:v>
                </c:pt>
                <c:pt idx="78">
                  <c:v>17188</c:v>
                </c:pt>
                <c:pt idx="79">
                  <c:v>11501</c:v>
                </c:pt>
                <c:pt idx="80">
                  <c:v>8067</c:v>
                </c:pt>
                <c:pt idx="81">
                  <c:v>9168</c:v>
                </c:pt>
                <c:pt idx="82">
                  <c:v>8606</c:v>
                </c:pt>
                <c:pt idx="83">
                  <c:v>13760</c:v>
                </c:pt>
                <c:pt idx="84">
                  <c:v>10287</c:v>
                </c:pt>
                <c:pt idx="85">
                  <c:v>10836</c:v>
                </c:pt>
                <c:pt idx="86">
                  <c:v>12287</c:v>
                </c:pt>
                <c:pt idx="87">
                  <c:v>9534</c:v>
                </c:pt>
                <c:pt idx="88">
                  <c:v>12241</c:v>
                </c:pt>
                <c:pt idx="89">
                  <c:v>19418</c:v>
                </c:pt>
                <c:pt idx="90">
                  <c:v>18361</c:v>
                </c:pt>
                <c:pt idx="91">
                  <c:v>11442</c:v>
                </c:pt>
                <c:pt idx="92">
                  <c:v>7926</c:v>
                </c:pt>
                <c:pt idx="93">
                  <c:v>9349</c:v>
                </c:pt>
                <c:pt idx="94">
                  <c:v>9325</c:v>
                </c:pt>
                <c:pt idx="95">
                  <c:v>16124</c:v>
                </c:pt>
                <c:pt idx="96">
                  <c:v>13066</c:v>
                </c:pt>
                <c:pt idx="97">
                  <c:v>11670</c:v>
                </c:pt>
                <c:pt idx="98">
                  <c:v>13778</c:v>
                </c:pt>
                <c:pt idx="99">
                  <c:v>10311</c:v>
                </c:pt>
                <c:pt idx="100">
                  <c:v>13333</c:v>
                </c:pt>
                <c:pt idx="101">
                  <c:v>20663</c:v>
                </c:pt>
                <c:pt idx="102">
                  <c:v>21177</c:v>
                </c:pt>
                <c:pt idx="103">
                  <c:v>12790</c:v>
                </c:pt>
                <c:pt idx="104">
                  <c:v>8295</c:v>
                </c:pt>
                <c:pt idx="105">
                  <c:v>10454</c:v>
                </c:pt>
                <c:pt idx="106">
                  <c:v>10526</c:v>
                </c:pt>
                <c:pt idx="107">
                  <c:v>17781</c:v>
                </c:pt>
                <c:pt idx="108">
                  <c:v>13010</c:v>
                </c:pt>
                <c:pt idx="109">
                  <c:v>12991</c:v>
                </c:pt>
                <c:pt idx="110">
                  <c:v>16523</c:v>
                </c:pt>
                <c:pt idx="111">
                  <c:v>11438</c:v>
                </c:pt>
                <c:pt idx="112">
                  <c:v>14743</c:v>
                </c:pt>
                <c:pt idx="113">
                  <c:v>22278</c:v>
                </c:pt>
                <c:pt idx="114">
                  <c:v>20718</c:v>
                </c:pt>
                <c:pt idx="115">
                  <c:v>12747</c:v>
                </c:pt>
                <c:pt idx="116" formatCode="General">
                  <c:v>8085</c:v>
                </c:pt>
                <c:pt idx="117">
                  <c:v>8608</c:v>
                </c:pt>
                <c:pt idx="118">
                  <c:v>8458</c:v>
                </c:pt>
                <c:pt idx="119">
                  <c:v>14249</c:v>
                </c:pt>
                <c:pt idx="120">
                  <c:v>10839</c:v>
                </c:pt>
                <c:pt idx="121">
                  <c:v>9438</c:v>
                </c:pt>
                <c:pt idx="122">
                  <c:v>12542</c:v>
                </c:pt>
                <c:pt idx="123">
                  <c:v>10543</c:v>
                </c:pt>
                <c:pt idx="124">
                  <c:v>11258</c:v>
                </c:pt>
                <c:pt idx="125">
                  <c:v>20272</c:v>
                </c:pt>
                <c:pt idx="126">
                  <c:v>17940</c:v>
                </c:pt>
                <c:pt idx="127">
                  <c:v>10624</c:v>
                </c:pt>
                <c:pt idx="128">
                  <c:v>7285</c:v>
                </c:pt>
                <c:pt idx="129">
                  <c:v>7872</c:v>
                </c:pt>
                <c:pt idx="130">
                  <c:v>8957</c:v>
                </c:pt>
                <c:pt idx="131">
                  <c:v>14636</c:v>
                </c:pt>
                <c:pt idx="132">
                  <c:v>11180</c:v>
                </c:pt>
                <c:pt idx="133">
                  <c:v>10692</c:v>
                </c:pt>
                <c:pt idx="134">
                  <c:v>15555</c:v>
                </c:pt>
                <c:pt idx="135">
                  <c:v>9707</c:v>
                </c:pt>
                <c:pt idx="136">
                  <c:v>13514</c:v>
                </c:pt>
                <c:pt idx="137">
                  <c:v>21285</c:v>
                </c:pt>
                <c:pt idx="138">
                  <c:v>17119</c:v>
                </c:pt>
                <c:pt idx="139">
                  <c:v>10772</c:v>
                </c:pt>
                <c:pt idx="140">
                  <c:v>7523</c:v>
                </c:pt>
                <c:pt idx="141">
                  <c:v>8091</c:v>
                </c:pt>
                <c:pt idx="142">
                  <c:v>8887</c:v>
                </c:pt>
                <c:pt idx="143">
                  <c:v>14417</c:v>
                </c:pt>
                <c:pt idx="144" formatCode="_(* #,##0_);_(* \(#,##0\);_(* &quot;-&quot;??_);_(@_)">
                  <c:v>11535</c:v>
                </c:pt>
                <c:pt idx="145">
                  <c:v>10029</c:v>
                </c:pt>
                <c:pt idx="146">
                  <c:v>13852</c:v>
                </c:pt>
                <c:pt idx="147">
                  <c:v>10247</c:v>
                </c:pt>
                <c:pt idx="148" formatCode="_(* #,##0_);_(* \(#,##0\);_(* &quot;-&quot;??_);_(@_)">
                  <c:v>10194</c:v>
                </c:pt>
                <c:pt idx="149" formatCode="_(* #,##0_);_(* \(#,##0\);_(* &quot;-&quot;??_);_(@_)">
                  <c:v>27252</c:v>
                </c:pt>
                <c:pt idx="150" formatCode="_(* #,##0_);_(* \(#,##0\);_(* &quot;-&quot;??_);_(@_)">
                  <c:v>24033</c:v>
                </c:pt>
                <c:pt idx="151" formatCode="_(* #,##0_);_(* \(#,##0\);_(* &quot;-&quot;??_);_(@_)">
                  <c:v>16389</c:v>
                </c:pt>
                <c:pt idx="152" formatCode="_(* #,##0_);_(* \(#,##0\);_(* &quot;-&quot;??_);_(@_)">
                  <c:v>12076</c:v>
                </c:pt>
                <c:pt idx="153" formatCode="_(* #,##0_);_(* \(#,##0\);_(* &quot;-&quot;??_);_(@_)">
                  <c:v>10654</c:v>
                </c:pt>
                <c:pt idx="154" formatCode="_(* #,##0_);_(* \(#,##0\);_(* &quot;-&quot;??_);_(@_)">
                  <c:v>13694</c:v>
                </c:pt>
                <c:pt idx="155" formatCode="_(* #,##0_);_(* \(#,##0\);_(* &quot;-&quot;??_);_(@_)">
                  <c:v>20560</c:v>
                </c:pt>
                <c:pt idx="156">
                  <c:v>15918</c:v>
                </c:pt>
                <c:pt idx="157">
                  <c:v>16475</c:v>
                </c:pt>
                <c:pt idx="158">
                  <c:v>6730</c:v>
                </c:pt>
                <c:pt idx="159">
                  <c:v>88</c:v>
                </c:pt>
                <c:pt idx="160">
                  <c:v>146</c:v>
                </c:pt>
                <c:pt idx="161">
                  <c:v>570</c:v>
                </c:pt>
                <c:pt idx="162">
                  <c:v>1194</c:v>
                </c:pt>
                <c:pt idx="163">
                  <c:v>1377</c:v>
                </c:pt>
                <c:pt idx="164">
                  <c:v>1707</c:v>
                </c:pt>
                <c:pt idx="165">
                  <c:v>2600</c:v>
                </c:pt>
                <c:pt idx="166">
                  <c:v>3904</c:v>
                </c:pt>
                <c:pt idx="167">
                  <c:v>7006</c:v>
                </c:pt>
                <c:pt idx="168">
                  <c:v>4551</c:v>
                </c:pt>
                <c:pt idx="169">
                  <c:v>3828</c:v>
                </c:pt>
                <c:pt idx="170">
                  <c:v>5327</c:v>
                </c:pt>
                <c:pt idx="171">
                  <c:v>5475</c:v>
                </c:pt>
                <c:pt idx="172">
                  <c:v>6558</c:v>
                </c:pt>
              </c:numCache>
            </c:numRef>
          </c:val>
          <c:smooth val="0"/>
          <c:extLst>
            <c:ext xmlns:c16="http://schemas.microsoft.com/office/drawing/2014/chart" uri="{C3380CC4-5D6E-409C-BE32-E72D297353CC}">
              <c16:uniqueId val="{00000005-8ED6-4044-8E62-D67E03BE4939}"/>
            </c:ext>
          </c:extLst>
        </c:ser>
        <c:ser>
          <c:idx val="3"/>
          <c:order val="3"/>
          <c:tx>
            <c:strRef>
              <c:f>'Tendencias nacionalidad'!$C$57</c:f>
              <c:strCache>
                <c:ptCount val="1"/>
                <c:pt idx="0">
                  <c:v>México</c:v>
                </c:pt>
              </c:strCache>
              <c:extLst xmlns:c15="http://schemas.microsoft.com/office/drawing/2012/chart"/>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nacionalidad'!$D$57:$GA$57</c15:sqref>
                  </c15:fullRef>
                </c:ext>
              </c:extLst>
              <c:f>'Tendencias nacionalidad'!$D$57:$FT$57</c:f>
              <c:numCache>
                <c:formatCode>#,##0</c:formatCode>
                <c:ptCount val="173"/>
                <c:pt idx="0">
                  <c:v>342</c:v>
                </c:pt>
                <c:pt idx="1">
                  <c:v>325</c:v>
                </c:pt>
                <c:pt idx="2">
                  <c:v>440</c:v>
                </c:pt>
                <c:pt idx="3">
                  <c:v>392</c:v>
                </c:pt>
                <c:pt idx="4">
                  <c:v>377</c:v>
                </c:pt>
                <c:pt idx="5">
                  <c:v>432</c:v>
                </c:pt>
                <c:pt idx="6">
                  <c:v>744</c:v>
                </c:pt>
                <c:pt idx="7">
                  <c:v>705</c:v>
                </c:pt>
                <c:pt idx="8">
                  <c:v>586</c:v>
                </c:pt>
                <c:pt idx="9">
                  <c:v>717</c:v>
                </c:pt>
                <c:pt idx="10">
                  <c:v>686</c:v>
                </c:pt>
                <c:pt idx="11">
                  <c:v>372</c:v>
                </c:pt>
                <c:pt idx="12">
                  <c:v>410</c:v>
                </c:pt>
                <c:pt idx="13">
                  <c:v>574</c:v>
                </c:pt>
                <c:pt idx="14">
                  <c:v>487</c:v>
                </c:pt>
                <c:pt idx="15">
                  <c:v>479</c:v>
                </c:pt>
                <c:pt idx="16">
                  <c:v>793</c:v>
                </c:pt>
                <c:pt idx="17">
                  <c:v>734</c:v>
                </c:pt>
                <c:pt idx="18">
                  <c:v>771</c:v>
                </c:pt>
                <c:pt idx="19">
                  <c:v>700</c:v>
                </c:pt>
                <c:pt idx="20">
                  <c:v>748</c:v>
                </c:pt>
                <c:pt idx="21">
                  <c:v>982</c:v>
                </c:pt>
                <c:pt idx="22">
                  <c:v>878</c:v>
                </c:pt>
                <c:pt idx="23">
                  <c:v>637</c:v>
                </c:pt>
                <c:pt idx="24">
                  <c:v>523</c:v>
                </c:pt>
                <c:pt idx="25">
                  <c:v>468</c:v>
                </c:pt>
                <c:pt idx="26">
                  <c:v>576</c:v>
                </c:pt>
                <c:pt idx="27">
                  <c:v>748</c:v>
                </c:pt>
                <c:pt idx="28">
                  <c:v>686.5</c:v>
                </c:pt>
                <c:pt idx="29">
                  <c:v>625</c:v>
                </c:pt>
                <c:pt idx="30">
                  <c:v>812</c:v>
                </c:pt>
                <c:pt idx="31">
                  <c:v>649</c:v>
                </c:pt>
                <c:pt idx="32">
                  <c:v>789</c:v>
                </c:pt>
                <c:pt idx="33">
                  <c:v>775</c:v>
                </c:pt>
                <c:pt idx="34">
                  <c:v>715</c:v>
                </c:pt>
                <c:pt idx="35">
                  <c:v>854</c:v>
                </c:pt>
                <c:pt idx="36">
                  <c:v>597</c:v>
                </c:pt>
                <c:pt idx="37">
                  <c:v>512</c:v>
                </c:pt>
                <c:pt idx="38">
                  <c:v>746</c:v>
                </c:pt>
                <c:pt idx="39">
                  <c:v>803</c:v>
                </c:pt>
                <c:pt idx="40">
                  <c:v>767</c:v>
                </c:pt>
                <c:pt idx="41">
                  <c:v>836</c:v>
                </c:pt>
                <c:pt idx="42">
                  <c:v>966</c:v>
                </c:pt>
                <c:pt idx="43">
                  <c:v>923</c:v>
                </c:pt>
                <c:pt idx="44">
                  <c:v>647</c:v>
                </c:pt>
                <c:pt idx="45">
                  <c:v>940</c:v>
                </c:pt>
                <c:pt idx="46">
                  <c:v>839</c:v>
                </c:pt>
                <c:pt idx="47">
                  <c:v>742</c:v>
                </c:pt>
                <c:pt idx="48">
                  <c:v>640</c:v>
                </c:pt>
                <c:pt idx="49">
                  <c:v>651</c:v>
                </c:pt>
                <c:pt idx="50">
                  <c:v>859</c:v>
                </c:pt>
                <c:pt idx="51">
                  <c:v>1037</c:v>
                </c:pt>
                <c:pt idx="52">
                  <c:v>1051</c:v>
                </c:pt>
                <c:pt idx="53">
                  <c:v>1180</c:v>
                </c:pt>
                <c:pt idx="54">
                  <c:v>1219</c:v>
                </c:pt>
                <c:pt idx="55">
                  <c:v>1102</c:v>
                </c:pt>
                <c:pt idx="56">
                  <c:v>841</c:v>
                </c:pt>
                <c:pt idx="57">
                  <c:v>1028</c:v>
                </c:pt>
                <c:pt idx="58">
                  <c:v>1132</c:v>
                </c:pt>
                <c:pt idx="59">
                  <c:v>930</c:v>
                </c:pt>
                <c:pt idx="60">
                  <c:v>131</c:v>
                </c:pt>
                <c:pt idx="61">
                  <c:v>779</c:v>
                </c:pt>
                <c:pt idx="62">
                  <c:v>894</c:v>
                </c:pt>
                <c:pt idx="63">
                  <c:v>942</c:v>
                </c:pt>
                <c:pt idx="64">
                  <c:v>1059</c:v>
                </c:pt>
                <c:pt idx="65">
                  <c:v>1016</c:v>
                </c:pt>
                <c:pt idx="66">
                  <c:v>1165</c:v>
                </c:pt>
                <c:pt idx="67">
                  <c:v>913</c:v>
                </c:pt>
                <c:pt idx="68">
                  <c:v>955</c:v>
                </c:pt>
                <c:pt idx="69">
                  <c:v>1191</c:v>
                </c:pt>
                <c:pt idx="70">
                  <c:v>1067</c:v>
                </c:pt>
                <c:pt idx="71">
                  <c:v>1084</c:v>
                </c:pt>
                <c:pt idx="72">
                  <c:v>850</c:v>
                </c:pt>
                <c:pt idx="73">
                  <c:v>816</c:v>
                </c:pt>
                <c:pt idx="74">
                  <c:v>1061</c:v>
                </c:pt>
                <c:pt idx="75">
                  <c:v>1104</c:v>
                </c:pt>
                <c:pt idx="76">
                  <c:v>971</c:v>
                </c:pt>
                <c:pt idx="77">
                  <c:v>925</c:v>
                </c:pt>
                <c:pt idx="78">
                  <c:v>1157</c:v>
                </c:pt>
                <c:pt idx="79">
                  <c:v>914</c:v>
                </c:pt>
                <c:pt idx="80">
                  <c:v>977</c:v>
                </c:pt>
                <c:pt idx="81">
                  <c:v>994</c:v>
                </c:pt>
                <c:pt idx="82">
                  <c:v>1010</c:v>
                </c:pt>
                <c:pt idx="83">
                  <c:v>1471</c:v>
                </c:pt>
                <c:pt idx="84">
                  <c:v>1161</c:v>
                </c:pt>
                <c:pt idx="85">
                  <c:v>1292</c:v>
                </c:pt>
                <c:pt idx="86">
                  <c:v>1612</c:v>
                </c:pt>
                <c:pt idx="87">
                  <c:v>1518</c:v>
                </c:pt>
                <c:pt idx="88">
                  <c:v>1350</c:v>
                </c:pt>
                <c:pt idx="89">
                  <c:v>1490</c:v>
                </c:pt>
                <c:pt idx="90">
                  <c:v>1712</c:v>
                </c:pt>
                <c:pt idx="91">
                  <c:v>1328</c:v>
                </c:pt>
                <c:pt idx="92">
                  <c:v>1559</c:v>
                </c:pt>
                <c:pt idx="93">
                  <c:v>1567</c:v>
                </c:pt>
                <c:pt idx="94">
                  <c:v>1967</c:v>
                </c:pt>
                <c:pt idx="95">
                  <c:v>1576</c:v>
                </c:pt>
                <c:pt idx="96">
                  <c:v>1180</c:v>
                </c:pt>
                <c:pt idx="97">
                  <c:v>1207</c:v>
                </c:pt>
                <c:pt idx="98">
                  <c:v>1707</c:v>
                </c:pt>
                <c:pt idx="99">
                  <c:v>1417</c:v>
                </c:pt>
                <c:pt idx="100">
                  <c:v>1426</c:v>
                </c:pt>
                <c:pt idx="101">
                  <c:v>1346</c:v>
                </c:pt>
                <c:pt idx="102">
                  <c:v>1759</c:v>
                </c:pt>
                <c:pt idx="103">
                  <c:v>1362</c:v>
                </c:pt>
                <c:pt idx="104">
                  <c:v>1364</c:v>
                </c:pt>
                <c:pt idx="105">
                  <c:v>1673</c:v>
                </c:pt>
                <c:pt idx="106">
                  <c:v>1398</c:v>
                </c:pt>
                <c:pt idx="107">
                  <c:v>1325</c:v>
                </c:pt>
                <c:pt idx="108">
                  <c:v>1187</c:v>
                </c:pt>
                <c:pt idx="109">
                  <c:v>1174</c:v>
                </c:pt>
                <c:pt idx="110">
                  <c:v>1524</c:v>
                </c:pt>
                <c:pt idx="111">
                  <c:v>1104</c:v>
                </c:pt>
                <c:pt idx="112">
                  <c:v>1264</c:v>
                </c:pt>
                <c:pt idx="113">
                  <c:v>1329</c:v>
                </c:pt>
                <c:pt idx="114">
                  <c:v>1498</c:v>
                </c:pt>
                <c:pt idx="115">
                  <c:v>1248</c:v>
                </c:pt>
                <c:pt idx="116" formatCode="General">
                  <c:v>1308</c:v>
                </c:pt>
                <c:pt idx="117">
                  <c:v>1953</c:v>
                </c:pt>
                <c:pt idx="118">
                  <c:v>1459</c:v>
                </c:pt>
                <c:pt idx="119">
                  <c:v>1279</c:v>
                </c:pt>
                <c:pt idx="120">
                  <c:v>1089</c:v>
                </c:pt>
                <c:pt idx="121">
                  <c:v>1033</c:v>
                </c:pt>
                <c:pt idx="122">
                  <c:v>1340</c:v>
                </c:pt>
                <c:pt idx="123">
                  <c:v>1541</c:v>
                </c:pt>
                <c:pt idx="124">
                  <c:v>1270</c:v>
                </c:pt>
                <c:pt idx="125">
                  <c:v>1466</c:v>
                </c:pt>
                <c:pt idx="126">
                  <c:v>1782</c:v>
                </c:pt>
                <c:pt idx="127">
                  <c:v>1384</c:v>
                </c:pt>
                <c:pt idx="128">
                  <c:v>1310</c:v>
                </c:pt>
                <c:pt idx="129">
                  <c:v>1643</c:v>
                </c:pt>
                <c:pt idx="130">
                  <c:v>1674</c:v>
                </c:pt>
                <c:pt idx="131">
                  <c:v>1625</c:v>
                </c:pt>
                <c:pt idx="132">
                  <c:v>1302</c:v>
                </c:pt>
                <c:pt idx="133">
                  <c:v>1297</c:v>
                </c:pt>
                <c:pt idx="134">
                  <c:v>1472</c:v>
                </c:pt>
                <c:pt idx="135">
                  <c:v>1656</c:v>
                </c:pt>
                <c:pt idx="136">
                  <c:v>1613</c:v>
                </c:pt>
                <c:pt idx="137">
                  <c:v>1730</c:v>
                </c:pt>
                <c:pt idx="138">
                  <c:v>2122</c:v>
                </c:pt>
                <c:pt idx="139">
                  <c:v>1672</c:v>
                </c:pt>
                <c:pt idx="140">
                  <c:v>1935</c:v>
                </c:pt>
                <c:pt idx="141">
                  <c:v>2094</c:v>
                </c:pt>
                <c:pt idx="142">
                  <c:v>1907</c:v>
                </c:pt>
                <c:pt idx="143">
                  <c:v>1793</c:v>
                </c:pt>
                <c:pt idx="144" formatCode="_(* #,##0_);_(* \(#,##0\);_(* &quot;-&quot;??_);_(@_)">
                  <c:v>1454</c:v>
                </c:pt>
                <c:pt idx="145">
                  <c:v>1596</c:v>
                </c:pt>
                <c:pt idx="146">
                  <c:v>1930</c:v>
                </c:pt>
                <c:pt idx="147">
                  <c:v>2053</c:v>
                </c:pt>
                <c:pt idx="148" formatCode="_(* #,##0_);_(* \(#,##0\);_(* &quot;-&quot;??_);_(@_)">
                  <c:v>1644</c:v>
                </c:pt>
                <c:pt idx="149" formatCode="_(* #,##0_);_(* \(#,##0\);_(* &quot;-&quot;??_);_(@_)">
                  <c:v>1820</c:v>
                </c:pt>
                <c:pt idx="150" formatCode="_(* #,##0_);_(* \(#,##0\);_(* &quot;-&quot;??_);_(@_)">
                  <c:v>1932</c:v>
                </c:pt>
                <c:pt idx="151" formatCode="_(* #,##0_);_(* \(#,##0\);_(* &quot;-&quot;??_);_(@_)">
                  <c:v>1590</c:v>
                </c:pt>
                <c:pt idx="152" formatCode="_(* #,##0_);_(* \(#,##0\);_(* &quot;-&quot;??_);_(@_)">
                  <c:v>1672</c:v>
                </c:pt>
                <c:pt idx="153" formatCode="_(* #,##0_);_(* \(#,##0\);_(* &quot;-&quot;??_);_(@_)">
                  <c:v>1400</c:v>
                </c:pt>
                <c:pt idx="154" formatCode="_(* #,##0_);_(* \(#,##0\);_(* &quot;-&quot;??_);_(@_)">
                  <c:v>1836</c:v>
                </c:pt>
                <c:pt idx="155" formatCode="_(* #,##0_);_(* \(#,##0\);_(* &quot;-&quot;??_);_(@_)">
                  <c:v>2108</c:v>
                </c:pt>
                <c:pt idx="156">
                  <c:v>1799</c:v>
                </c:pt>
                <c:pt idx="157">
                  <c:v>1661</c:v>
                </c:pt>
                <c:pt idx="158">
                  <c:v>771</c:v>
                </c:pt>
                <c:pt idx="159">
                  <c:v>15</c:v>
                </c:pt>
                <c:pt idx="160">
                  <c:v>12</c:v>
                </c:pt>
                <c:pt idx="161">
                  <c:v>37</c:v>
                </c:pt>
                <c:pt idx="162">
                  <c:v>43</c:v>
                </c:pt>
                <c:pt idx="163">
                  <c:v>355</c:v>
                </c:pt>
                <c:pt idx="164">
                  <c:v>419</c:v>
                </c:pt>
                <c:pt idx="165">
                  <c:v>477</c:v>
                </c:pt>
                <c:pt idx="166">
                  <c:v>574</c:v>
                </c:pt>
                <c:pt idx="167">
                  <c:v>731</c:v>
                </c:pt>
                <c:pt idx="168">
                  <c:v>699</c:v>
                </c:pt>
                <c:pt idx="169">
                  <c:v>570</c:v>
                </c:pt>
                <c:pt idx="170">
                  <c:v>525</c:v>
                </c:pt>
                <c:pt idx="171">
                  <c:v>407</c:v>
                </c:pt>
                <c:pt idx="172">
                  <c:v>549</c:v>
                </c:pt>
              </c:numCache>
            </c:numRef>
          </c:val>
          <c:smooth val="0"/>
          <c:extLst>
            <c:ext xmlns:c16="http://schemas.microsoft.com/office/drawing/2014/chart" uri="{C3380CC4-5D6E-409C-BE32-E72D297353CC}">
              <c16:uniqueId val="{00000007-8ED6-4044-8E62-D67E03BE4939}"/>
            </c:ext>
          </c:extLst>
        </c:ser>
        <c:ser>
          <c:idx val="5"/>
          <c:order val="5"/>
          <c:tx>
            <c:strRef>
              <c:f>'Tendencias nacionalidad'!$C$59</c:f>
              <c:strCache>
                <c:ptCount val="1"/>
                <c:pt idx="0">
                  <c:v>Canadá</c:v>
                </c:pt>
              </c:strCache>
              <c:extLst xmlns:c15="http://schemas.microsoft.com/office/drawing/2012/chart"/>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nacionalidad'!$D$59:$GA$59</c15:sqref>
                  </c15:fullRef>
                </c:ext>
              </c:extLst>
              <c:f>'Tendencias nacionalidad'!$D$59:$FT$59</c:f>
              <c:numCache>
                <c:formatCode>#,##0</c:formatCode>
                <c:ptCount val="173"/>
                <c:pt idx="0">
                  <c:v>1097</c:v>
                </c:pt>
                <c:pt idx="1">
                  <c:v>1128</c:v>
                </c:pt>
                <c:pt idx="2">
                  <c:v>1588</c:v>
                </c:pt>
                <c:pt idx="3">
                  <c:v>794</c:v>
                </c:pt>
                <c:pt idx="4">
                  <c:v>1013</c:v>
                </c:pt>
                <c:pt idx="5">
                  <c:v>864</c:v>
                </c:pt>
                <c:pt idx="6">
                  <c:v>1335</c:v>
                </c:pt>
                <c:pt idx="7">
                  <c:v>1183</c:v>
                </c:pt>
                <c:pt idx="8">
                  <c:v>675</c:v>
                </c:pt>
                <c:pt idx="9">
                  <c:v>1026</c:v>
                </c:pt>
                <c:pt idx="10">
                  <c:v>1173</c:v>
                </c:pt>
                <c:pt idx="11">
                  <c:v>1378</c:v>
                </c:pt>
                <c:pt idx="12">
                  <c:v>1388</c:v>
                </c:pt>
                <c:pt idx="13">
                  <c:v>2196</c:v>
                </c:pt>
                <c:pt idx="14">
                  <c:v>1673</c:v>
                </c:pt>
                <c:pt idx="15">
                  <c:v>1110</c:v>
                </c:pt>
                <c:pt idx="16">
                  <c:v>1238</c:v>
                </c:pt>
                <c:pt idx="17">
                  <c:v>1120</c:v>
                </c:pt>
                <c:pt idx="18">
                  <c:v>1523</c:v>
                </c:pt>
                <c:pt idx="19">
                  <c:v>1054</c:v>
                </c:pt>
                <c:pt idx="20">
                  <c:v>752</c:v>
                </c:pt>
                <c:pt idx="21">
                  <c:v>1026</c:v>
                </c:pt>
                <c:pt idx="22">
                  <c:v>1336</c:v>
                </c:pt>
                <c:pt idx="23">
                  <c:v>1471</c:v>
                </c:pt>
                <c:pt idx="24">
                  <c:v>1451</c:v>
                </c:pt>
                <c:pt idx="25">
                  <c:v>1549</c:v>
                </c:pt>
                <c:pt idx="26">
                  <c:v>1686</c:v>
                </c:pt>
                <c:pt idx="27">
                  <c:v>1231</c:v>
                </c:pt>
                <c:pt idx="28">
                  <c:v>1258.5</c:v>
                </c:pt>
                <c:pt idx="29">
                  <c:v>1286</c:v>
                </c:pt>
                <c:pt idx="30">
                  <c:v>1497</c:v>
                </c:pt>
                <c:pt idx="31">
                  <c:v>1229</c:v>
                </c:pt>
                <c:pt idx="32">
                  <c:v>696</c:v>
                </c:pt>
                <c:pt idx="33">
                  <c:v>955</c:v>
                </c:pt>
                <c:pt idx="34">
                  <c:v>1183</c:v>
                </c:pt>
                <c:pt idx="35">
                  <c:v>1674</c:v>
                </c:pt>
                <c:pt idx="36">
                  <c:v>1425</c:v>
                </c:pt>
                <c:pt idx="37">
                  <c:v>1645</c:v>
                </c:pt>
                <c:pt idx="38">
                  <c:v>1789</c:v>
                </c:pt>
                <c:pt idx="39">
                  <c:v>1180</c:v>
                </c:pt>
                <c:pt idx="40">
                  <c:v>1399</c:v>
                </c:pt>
                <c:pt idx="41">
                  <c:v>1174</c:v>
                </c:pt>
                <c:pt idx="42">
                  <c:v>1698</c:v>
                </c:pt>
                <c:pt idx="43">
                  <c:v>1224</c:v>
                </c:pt>
                <c:pt idx="44">
                  <c:v>650</c:v>
                </c:pt>
                <c:pt idx="45">
                  <c:v>1101</c:v>
                </c:pt>
                <c:pt idx="46">
                  <c:v>1202</c:v>
                </c:pt>
                <c:pt idx="47">
                  <c:v>1523</c:v>
                </c:pt>
                <c:pt idx="48">
                  <c:v>1487</c:v>
                </c:pt>
                <c:pt idx="49">
                  <c:v>1741</c:v>
                </c:pt>
                <c:pt idx="50">
                  <c:v>1757</c:v>
                </c:pt>
                <c:pt idx="51">
                  <c:v>1161</c:v>
                </c:pt>
                <c:pt idx="52">
                  <c:v>1486</c:v>
                </c:pt>
                <c:pt idx="53">
                  <c:v>1172</c:v>
                </c:pt>
                <c:pt idx="54">
                  <c:v>1748</c:v>
                </c:pt>
                <c:pt idx="55">
                  <c:v>1257</c:v>
                </c:pt>
                <c:pt idx="56">
                  <c:v>770</c:v>
                </c:pt>
                <c:pt idx="57">
                  <c:v>1371</c:v>
                </c:pt>
                <c:pt idx="58">
                  <c:v>1247</c:v>
                </c:pt>
                <c:pt idx="59">
                  <c:v>1717</c:v>
                </c:pt>
                <c:pt idx="60">
                  <c:v>1699</c:v>
                </c:pt>
                <c:pt idx="61">
                  <c:v>1657</c:v>
                </c:pt>
                <c:pt idx="62">
                  <c:v>1895</c:v>
                </c:pt>
                <c:pt idx="63">
                  <c:v>1311</c:v>
                </c:pt>
                <c:pt idx="64">
                  <c:v>1551</c:v>
                </c:pt>
                <c:pt idx="65">
                  <c:v>1339</c:v>
                </c:pt>
                <c:pt idx="66">
                  <c:v>1694</c:v>
                </c:pt>
                <c:pt idx="67">
                  <c:v>1391</c:v>
                </c:pt>
                <c:pt idx="68">
                  <c:v>950</c:v>
                </c:pt>
                <c:pt idx="69">
                  <c:v>1450</c:v>
                </c:pt>
                <c:pt idx="70">
                  <c:v>1542</c:v>
                </c:pt>
                <c:pt idx="71">
                  <c:v>1940</c:v>
                </c:pt>
                <c:pt idx="72">
                  <c:v>1614</c:v>
                </c:pt>
                <c:pt idx="73">
                  <c:v>1762</c:v>
                </c:pt>
                <c:pt idx="74">
                  <c:v>2027</c:v>
                </c:pt>
                <c:pt idx="75">
                  <c:v>1646</c:v>
                </c:pt>
                <c:pt idx="76">
                  <c:v>1560</c:v>
                </c:pt>
                <c:pt idx="77">
                  <c:v>1312</c:v>
                </c:pt>
                <c:pt idx="78">
                  <c:v>1894</c:v>
                </c:pt>
                <c:pt idx="79">
                  <c:v>1246</c:v>
                </c:pt>
                <c:pt idx="80">
                  <c:v>1069</c:v>
                </c:pt>
                <c:pt idx="81">
                  <c:v>1302</c:v>
                </c:pt>
                <c:pt idx="82">
                  <c:v>1849</c:v>
                </c:pt>
                <c:pt idx="83">
                  <c:v>1875</c:v>
                </c:pt>
                <c:pt idx="84">
                  <c:v>1969</c:v>
                </c:pt>
                <c:pt idx="85">
                  <c:v>2078</c:v>
                </c:pt>
                <c:pt idx="86">
                  <c:v>2126</c:v>
                </c:pt>
                <c:pt idx="87">
                  <c:v>1741</c:v>
                </c:pt>
                <c:pt idx="88">
                  <c:v>1834</c:v>
                </c:pt>
                <c:pt idx="89">
                  <c:v>1415</c:v>
                </c:pt>
                <c:pt idx="90">
                  <c:v>1946</c:v>
                </c:pt>
                <c:pt idx="91">
                  <c:v>1377</c:v>
                </c:pt>
                <c:pt idx="92">
                  <c:v>1099</c:v>
                </c:pt>
                <c:pt idx="93">
                  <c:v>1315</c:v>
                </c:pt>
                <c:pt idx="94">
                  <c:v>1764</c:v>
                </c:pt>
                <c:pt idx="95">
                  <c:v>2184</c:v>
                </c:pt>
                <c:pt idx="96">
                  <c:v>2293</c:v>
                </c:pt>
                <c:pt idx="97">
                  <c:v>2373</c:v>
                </c:pt>
                <c:pt idx="98">
                  <c:v>2492</c:v>
                </c:pt>
                <c:pt idx="99">
                  <c:v>1804</c:v>
                </c:pt>
                <c:pt idx="100">
                  <c:v>1766</c:v>
                </c:pt>
                <c:pt idx="101">
                  <c:v>1447</c:v>
                </c:pt>
                <c:pt idx="102">
                  <c:v>1820</c:v>
                </c:pt>
                <c:pt idx="103">
                  <c:v>1470</c:v>
                </c:pt>
                <c:pt idx="104">
                  <c:v>1006</c:v>
                </c:pt>
                <c:pt idx="105">
                  <c:v>1543</c:v>
                </c:pt>
                <c:pt idx="106">
                  <c:v>1675</c:v>
                </c:pt>
                <c:pt idx="107">
                  <c:v>1968</c:v>
                </c:pt>
                <c:pt idx="108">
                  <c:v>2212</c:v>
                </c:pt>
                <c:pt idx="109">
                  <c:v>2279</c:v>
                </c:pt>
                <c:pt idx="110">
                  <c:v>2405</c:v>
                </c:pt>
                <c:pt idx="111">
                  <c:v>1417</c:v>
                </c:pt>
                <c:pt idx="112">
                  <c:v>1492</c:v>
                </c:pt>
                <c:pt idx="113">
                  <c:v>1401</c:v>
                </c:pt>
                <c:pt idx="114">
                  <c:v>1771</c:v>
                </c:pt>
                <c:pt idx="115">
                  <c:v>1274</c:v>
                </c:pt>
                <c:pt idx="116" formatCode="General">
                  <c:v>881</c:v>
                </c:pt>
                <c:pt idx="117">
                  <c:v>1361</c:v>
                </c:pt>
                <c:pt idx="118">
                  <c:v>1421</c:v>
                </c:pt>
                <c:pt idx="119">
                  <c:v>1636</c:v>
                </c:pt>
                <c:pt idx="120">
                  <c:v>1773</c:v>
                </c:pt>
                <c:pt idx="121">
                  <c:v>1831</c:v>
                </c:pt>
                <c:pt idx="122">
                  <c:v>2120</c:v>
                </c:pt>
                <c:pt idx="123">
                  <c:v>1423</c:v>
                </c:pt>
                <c:pt idx="124">
                  <c:v>1427</c:v>
                </c:pt>
                <c:pt idx="125">
                  <c:v>1092</c:v>
                </c:pt>
                <c:pt idx="126">
                  <c:v>1458</c:v>
                </c:pt>
                <c:pt idx="127">
                  <c:v>1343</c:v>
                </c:pt>
                <c:pt idx="128">
                  <c:v>861</c:v>
                </c:pt>
                <c:pt idx="129">
                  <c:v>1355</c:v>
                </c:pt>
                <c:pt idx="130">
                  <c:v>1698</c:v>
                </c:pt>
                <c:pt idx="131">
                  <c:v>1912</c:v>
                </c:pt>
                <c:pt idx="132">
                  <c:v>2025</c:v>
                </c:pt>
                <c:pt idx="133">
                  <c:v>2289</c:v>
                </c:pt>
                <c:pt idx="134">
                  <c:v>2452</c:v>
                </c:pt>
                <c:pt idx="135">
                  <c:v>1346</c:v>
                </c:pt>
                <c:pt idx="136">
                  <c:v>1691</c:v>
                </c:pt>
                <c:pt idx="137">
                  <c:v>1280</c:v>
                </c:pt>
                <c:pt idx="138">
                  <c:v>1777</c:v>
                </c:pt>
                <c:pt idx="139">
                  <c:v>1210</c:v>
                </c:pt>
                <c:pt idx="140">
                  <c:v>1034</c:v>
                </c:pt>
                <c:pt idx="141">
                  <c:v>1386</c:v>
                </c:pt>
                <c:pt idx="142">
                  <c:v>1601</c:v>
                </c:pt>
                <c:pt idx="143">
                  <c:v>1810</c:v>
                </c:pt>
                <c:pt idx="144" formatCode="_(* #,##0_);_(* \(#,##0\);_(* &quot;-&quot;??_);_(@_)">
                  <c:v>2035</c:v>
                </c:pt>
                <c:pt idx="145">
                  <c:v>2191</c:v>
                </c:pt>
                <c:pt idx="146">
                  <c:v>2327</c:v>
                </c:pt>
                <c:pt idx="147">
                  <c:v>1596</c:v>
                </c:pt>
                <c:pt idx="148" formatCode="_(* #,##0_);_(* \(#,##0\);_(* &quot;-&quot;??_);_(@_)">
                  <c:v>2092</c:v>
                </c:pt>
                <c:pt idx="149" formatCode="_(* #,##0_);_(* \(#,##0\);_(* &quot;-&quot;??_);_(@_)">
                  <c:v>1594</c:v>
                </c:pt>
                <c:pt idx="150" formatCode="_(* #,##0_);_(* \(#,##0\);_(* &quot;-&quot;??_);_(@_)">
                  <c:v>2060</c:v>
                </c:pt>
                <c:pt idx="151" formatCode="_(* #,##0_);_(* \(#,##0\);_(* &quot;-&quot;??_);_(@_)">
                  <c:v>1657</c:v>
                </c:pt>
                <c:pt idx="152" formatCode="_(* #,##0_);_(* \(#,##0\);_(* &quot;-&quot;??_);_(@_)">
                  <c:v>1555</c:v>
                </c:pt>
                <c:pt idx="153" formatCode="_(* #,##0_);_(* \(#,##0\);_(* &quot;-&quot;??_);_(@_)">
                  <c:v>1477</c:v>
                </c:pt>
                <c:pt idx="154" formatCode="_(* #,##0_);_(* \(#,##0\);_(* &quot;-&quot;??_);_(@_)">
                  <c:v>2134</c:v>
                </c:pt>
                <c:pt idx="155" formatCode="_(* #,##0_);_(* \(#,##0\);_(* &quot;-&quot;??_);_(@_)">
                  <c:v>3145</c:v>
                </c:pt>
                <c:pt idx="156">
                  <c:v>3444</c:v>
                </c:pt>
                <c:pt idx="157">
                  <c:v>3918</c:v>
                </c:pt>
                <c:pt idx="158">
                  <c:v>1407</c:v>
                </c:pt>
                <c:pt idx="160">
                  <c:v>6</c:v>
                </c:pt>
                <c:pt idx="161">
                  <c:v>27</c:v>
                </c:pt>
                <c:pt idx="162">
                  <c:v>81</c:v>
                </c:pt>
                <c:pt idx="163">
                  <c:v>101</c:v>
                </c:pt>
                <c:pt idx="164">
                  <c:v>100</c:v>
                </c:pt>
                <c:pt idx="165">
                  <c:v>146</c:v>
                </c:pt>
                <c:pt idx="166">
                  <c:v>248</c:v>
                </c:pt>
                <c:pt idx="167">
                  <c:v>319</c:v>
                </c:pt>
                <c:pt idx="168">
                  <c:v>263</c:v>
                </c:pt>
                <c:pt idx="169">
                  <c:v>101</c:v>
                </c:pt>
                <c:pt idx="170">
                  <c:v>134</c:v>
                </c:pt>
                <c:pt idx="171">
                  <c:v>136</c:v>
                </c:pt>
                <c:pt idx="172">
                  <c:v>142</c:v>
                </c:pt>
              </c:numCache>
            </c:numRef>
          </c:val>
          <c:smooth val="0"/>
          <c:extLst>
            <c:ext xmlns:c16="http://schemas.microsoft.com/office/drawing/2014/chart" uri="{C3380CC4-5D6E-409C-BE32-E72D297353CC}">
              <c16:uniqueId val="{00000009-8ED6-4044-8E62-D67E03BE4939}"/>
            </c:ext>
          </c:extLst>
        </c:ser>
        <c:dLbls>
          <c:showLegendKey val="0"/>
          <c:showVal val="0"/>
          <c:showCatName val="0"/>
          <c:showSerName val="0"/>
          <c:showPercent val="0"/>
          <c:showBubbleSize val="0"/>
        </c:dLbls>
        <c:marker val="1"/>
        <c:smooth val="0"/>
        <c:axId val="939981295"/>
        <c:axId val="939983375"/>
        <c:extLst>
          <c:ext xmlns:c15="http://schemas.microsoft.com/office/drawing/2012/chart" uri="{02D57815-91ED-43cb-92C2-25804820EDAC}">
            <c15:filteredLineSeries>
              <c15:ser>
                <c:idx val="1"/>
                <c:order val="1"/>
                <c:tx>
                  <c:strRef>
                    <c:extLst>
                      <c:ext uri="{02D57815-91ED-43cb-92C2-25804820EDAC}">
                        <c15:formulaRef>
                          <c15:sqref>'Tendencias nacionalidad'!$C$55</c15:sqref>
                        </c15:formulaRef>
                      </c:ext>
                    </c:extLst>
                    <c:strCache>
                      <c:ptCount val="1"/>
                      <c:pt idx="0">
                        <c:v>Colombia</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extLst>
                      <c:ex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uri="{02D57815-91ED-43cb-92C2-25804820EDAC}">
                        <c15:fullRef>
                          <c15:sqref>'Tendencias nacionalidad'!$D$55:$GA$55</c15:sqref>
                        </c15:fullRef>
                        <c15:formulaRef>
                          <c15:sqref>'Tendencias nacionalidad'!$D$55:$FT$55</c15:sqref>
                        </c15:formulaRef>
                      </c:ext>
                    </c:extLst>
                    <c:numCache>
                      <c:formatCode>#,##0</c:formatCode>
                      <c:ptCount val="173"/>
                      <c:pt idx="0">
                        <c:v>3612</c:v>
                      </c:pt>
                      <c:pt idx="1">
                        <c:v>3116</c:v>
                      </c:pt>
                      <c:pt idx="2">
                        <c:v>3978</c:v>
                      </c:pt>
                      <c:pt idx="3">
                        <c:v>3576</c:v>
                      </c:pt>
                      <c:pt idx="4">
                        <c:v>3473</c:v>
                      </c:pt>
                      <c:pt idx="5">
                        <c:v>4582</c:v>
                      </c:pt>
                      <c:pt idx="6">
                        <c:v>4498</c:v>
                      </c:pt>
                      <c:pt idx="7">
                        <c:v>4352</c:v>
                      </c:pt>
                      <c:pt idx="8">
                        <c:v>3527</c:v>
                      </c:pt>
                      <c:pt idx="9">
                        <c:v>4205</c:v>
                      </c:pt>
                      <c:pt idx="10">
                        <c:v>3971</c:v>
                      </c:pt>
                      <c:pt idx="11">
                        <c:v>4158</c:v>
                      </c:pt>
                      <c:pt idx="12">
                        <c:v>4338</c:v>
                      </c:pt>
                      <c:pt idx="13">
                        <c:v>5058</c:v>
                      </c:pt>
                      <c:pt idx="14">
                        <c:v>3960</c:v>
                      </c:pt>
                      <c:pt idx="15">
                        <c:v>3703</c:v>
                      </c:pt>
                      <c:pt idx="16">
                        <c:v>3953</c:v>
                      </c:pt>
                      <c:pt idx="17">
                        <c:v>4572</c:v>
                      </c:pt>
                      <c:pt idx="18">
                        <c:v>4180</c:v>
                      </c:pt>
                      <c:pt idx="19">
                        <c:v>4336</c:v>
                      </c:pt>
                      <c:pt idx="20">
                        <c:v>4204</c:v>
                      </c:pt>
                      <c:pt idx="21">
                        <c:v>4674</c:v>
                      </c:pt>
                      <c:pt idx="22">
                        <c:v>4854</c:v>
                      </c:pt>
                      <c:pt idx="23">
                        <c:v>4274</c:v>
                      </c:pt>
                      <c:pt idx="24">
                        <c:v>4073</c:v>
                      </c:pt>
                      <c:pt idx="25">
                        <c:v>2886</c:v>
                      </c:pt>
                      <c:pt idx="26">
                        <c:v>3369</c:v>
                      </c:pt>
                      <c:pt idx="27">
                        <c:v>3480</c:v>
                      </c:pt>
                      <c:pt idx="28">
                        <c:v>3860</c:v>
                      </c:pt>
                      <c:pt idx="29">
                        <c:v>4240</c:v>
                      </c:pt>
                      <c:pt idx="30">
                        <c:v>3540</c:v>
                      </c:pt>
                      <c:pt idx="31">
                        <c:v>3377</c:v>
                      </c:pt>
                      <c:pt idx="32">
                        <c:v>3115</c:v>
                      </c:pt>
                      <c:pt idx="33">
                        <c:v>3286</c:v>
                      </c:pt>
                      <c:pt idx="34">
                        <c:v>3811</c:v>
                      </c:pt>
                      <c:pt idx="35">
                        <c:v>4393</c:v>
                      </c:pt>
                      <c:pt idx="36">
                        <c:v>4213</c:v>
                      </c:pt>
                      <c:pt idx="37">
                        <c:v>5082</c:v>
                      </c:pt>
                      <c:pt idx="38">
                        <c:v>4528</c:v>
                      </c:pt>
                      <c:pt idx="39">
                        <c:v>3869</c:v>
                      </c:pt>
                      <c:pt idx="40">
                        <c:v>4155</c:v>
                      </c:pt>
                      <c:pt idx="41">
                        <c:v>4580</c:v>
                      </c:pt>
                      <c:pt idx="42">
                        <c:v>3726</c:v>
                      </c:pt>
                      <c:pt idx="43">
                        <c:v>4284</c:v>
                      </c:pt>
                      <c:pt idx="44">
                        <c:v>4206</c:v>
                      </c:pt>
                      <c:pt idx="45">
                        <c:v>3205</c:v>
                      </c:pt>
                      <c:pt idx="46">
                        <c:v>4265</c:v>
                      </c:pt>
                      <c:pt idx="47">
                        <c:v>5299</c:v>
                      </c:pt>
                      <c:pt idx="48">
                        <c:v>4599</c:v>
                      </c:pt>
                      <c:pt idx="49">
                        <c:v>4035</c:v>
                      </c:pt>
                      <c:pt idx="50">
                        <c:v>4283</c:v>
                      </c:pt>
                      <c:pt idx="51">
                        <c:v>4324</c:v>
                      </c:pt>
                      <c:pt idx="52">
                        <c:v>4000</c:v>
                      </c:pt>
                      <c:pt idx="53">
                        <c:v>4403</c:v>
                      </c:pt>
                      <c:pt idx="54">
                        <c:v>4279</c:v>
                      </c:pt>
                      <c:pt idx="55">
                        <c:v>4167</c:v>
                      </c:pt>
                      <c:pt idx="56">
                        <c:v>3958</c:v>
                      </c:pt>
                      <c:pt idx="57">
                        <c:v>4138</c:v>
                      </c:pt>
                      <c:pt idx="58">
                        <c:v>4519</c:v>
                      </c:pt>
                      <c:pt idx="59">
                        <c:v>5404</c:v>
                      </c:pt>
                      <c:pt idx="60">
                        <c:v>4222</c:v>
                      </c:pt>
                      <c:pt idx="61">
                        <c:v>3651</c:v>
                      </c:pt>
                      <c:pt idx="62">
                        <c:v>5058</c:v>
                      </c:pt>
                      <c:pt idx="63">
                        <c:v>5339</c:v>
                      </c:pt>
                      <c:pt idx="64">
                        <c:v>5273</c:v>
                      </c:pt>
                      <c:pt idx="65">
                        <c:v>7476</c:v>
                      </c:pt>
                      <c:pt idx="66">
                        <c:v>6425</c:v>
                      </c:pt>
                      <c:pt idx="67">
                        <c:v>5246</c:v>
                      </c:pt>
                      <c:pt idx="68">
                        <c:v>5162</c:v>
                      </c:pt>
                      <c:pt idx="69">
                        <c:v>6180</c:v>
                      </c:pt>
                      <c:pt idx="70">
                        <c:v>5649</c:v>
                      </c:pt>
                      <c:pt idx="71">
                        <c:v>7785</c:v>
                      </c:pt>
                      <c:pt idx="72">
                        <c:v>6627</c:v>
                      </c:pt>
                      <c:pt idx="73">
                        <c:v>4735</c:v>
                      </c:pt>
                      <c:pt idx="74">
                        <c:v>6020</c:v>
                      </c:pt>
                      <c:pt idx="75">
                        <c:v>4853</c:v>
                      </c:pt>
                      <c:pt idx="76">
                        <c:v>5241</c:v>
                      </c:pt>
                      <c:pt idx="77">
                        <c:v>6297</c:v>
                      </c:pt>
                      <c:pt idx="78">
                        <c:v>6066</c:v>
                      </c:pt>
                      <c:pt idx="79">
                        <c:v>4747</c:v>
                      </c:pt>
                      <c:pt idx="80">
                        <c:v>5233</c:v>
                      </c:pt>
                      <c:pt idx="81">
                        <c:v>5182</c:v>
                      </c:pt>
                      <c:pt idx="82">
                        <c:v>5169</c:v>
                      </c:pt>
                      <c:pt idx="83">
                        <c:v>7563</c:v>
                      </c:pt>
                      <c:pt idx="84">
                        <c:v>6453</c:v>
                      </c:pt>
                      <c:pt idx="85">
                        <c:v>6126</c:v>
                      </c:pt>
                      <c:pt idx="86">
                        <c:v>4727</c:v>
                      </c:pt>
                      <c:pt idx="87">
                        <c:v>6021</c:v>
                      </c:pt>
                      <c:pt idx="88">
                        <c:v>5531</c:v>
                      </c:pt>
                      <c:pt idx="89">
                        <c:v>6575</c:v>
                      </c:pt>
                      <c:pt idx="90">
                        <c:v>5999</c:v>
                      </c:pt>
                      <c:pt idx="91">
                        <c:v>4680</c:v>
                      </c:pt>
                      <c:pt idx="92">
                        <c:v>5649</c:v>
                      </c:pt>
                      <c:pt idx="93">
                        <c:v>5721</c:v>
                      </c:pt>
                      <c:pt idx="94">
                        <c:v>5569</c:v>
                      </c:pt>
                      <c:pt idx="95">
                        <c:v>8371</c:v>
                      </c:pt>
                      <c:pt idx="96">
                        <c:v>6640</c:v>
                      </c:pt>
                      <c:pt idx="97">
                        <c:v>4736</c:v>
                      </c:pt>
                      <c:pt idx="98">
                        <c:v>5948</c:v>
                      </c:pt>
                      <c:pt idx="99">
                        <c:v>4689</c:v>
                      </c:pt>
                      <c:pt idx="100">
                        <c:v>4319</c:v>
                      </c:pt>
                      <c:pt idx="101">
                        <c:v>4879</c:v>
                      </c:pt>
                      <c:pt idx="102">
                        <c:v>4752</c:v>
                      </c:pt>
                      <c:pt idx="103">
                        <c:v>3500</c:v>
                      </c:pt>
                      <c:pt idx="104">
                        <c:v>4127</c:v>
                      </c:pt>
                      <c:pt idx="105">
                        <c:v>4183</c:v>
                      </c:pt>
                      <c:pt idx="106">
                        <c:v>4285</c:v>
                      </c:pt>
                      <c:pt idx="107">
                        <c:v>4830</c:v>
                      </c:pt>
                      <c:pt idx="108">
                        <c:v>4076</c:v>
                      </c:pt>
                      <c:pt idx="109">
                        <c:v>3914</c:v>
                      </c:pt>
                      <c:pt idx="110">
                        <c:v>4490</c:v>
                      </c:pt>
                      <c:pt idx="111">
                        <c:v>3335</c:v>
                      </c:pt>
                      <c:pt idx="112">
                        <c:v>3996</c:v>
                      </c:pt>
                      <c:pt idx="113">
                        <c:v>4670</c:v>
                      </c:pt>
                      <c:pt idx="114">
                        <c:v>5537</c:v>
                      </c:pt>
                      <c:pt idx="115">
                        <c:v>4018</c:v>
                      </c:pt>
                      <c:pt idx="116" formatCode="General">
                        <c:v>4519</c:v>
                      </c:pt>
                      <c:pt idx="117">
                        <c:v>5595</c:v>
                      </c:pt>
                      <c:pt idx="118">
                        <c:v>4741</c:v>
                      </c:pt>
                      <c:pt idx="119">
                        <c:v>6269</c:v>
                      </c:pt>
                      <c:pt idx="120">
                        <c:v>5134</c:v>
                      </c:pt>
                      <c:pt idx="121">
                        <c:v>3872</c:v>
                      </c:pt>
                      <c:pt idx="122">
                        <c:v>5370</c:v>
                      </c:pt>
                      <c:pt idx="123">
                        <c:v>4990</c:v>
                      </c:pt>
                      <c:pt idx="124">
                        <c:v>3983</c:v>
                      </c:pt>
                      <c:pt idx="125">
                        <c:v>5374</c:v>
                      </c:pt>
                      <c:pt idx="126">
                        <c:v>4853</c:v>
                      </c:pt>
                      <c:pt idx="127">
                        <c:v>3383</c:v>
                      </c:pt>
                      <c:pt idx="128">
                        <c:v>3872</c:v>
                      </c:pt>
                      <c:pt idx="129">
                        <c:v>4508</c:v>
                      </c:pt>
                      <c:pt idx="130">
                        <c:v>4726</c:v>
                      </c:pt>
                      <c:pt idx="131">
                        <c:v>5220</c:v>
                      </c:pt>
                      <c:pt idx="132">
                        <c:v>4683</c:v>
                      </c:pt>
                      <c:pt idx="133">
                        <c:v>3861</c:v>
                      </c:pt>
                      <c:pt idx="134">
                        <c:v>4441</c:v>
                      </c:pt>
                      <c:pt idx="135">
                        <c:v>4400</c:v>
                      </c:pt>
                      <c:pt idx="136">
                        <c:v>4233</c:v>
                      </c:pt>
                      <c:pt idx="137">
                        <c:v>5316</c:v>
                      </c:pt>
                      <c:pt idx="138">
                        <c:v>5022</c:v>
                      </c:pt>
                      <c:pt idx="139">
                        <c:v>3702</c:v>
                      </c:pt>
                      <c:pt idx="140">
                        <c:v>4846</c:v>
                      </c:pt>
                      <c:pt idx="141">
                        <c:v>5051</c:v>
                      </c:pt>
                      <c:pt idx="142">
                        <c:v>4639</c:v>
                      </c:pt>
                      <c:pt idx="143">
                        <c:v>5112</c:v>
                      </c:pt>
                      <c:pt idx="144" formatCode="_(* #,##0_);_(* \(#,##0\);_(* &quot;-&quot;??_);_(@_)">
                        <c:v>4089</c:v>
                      </c:pt>
                      <c:pt idx="145">
                        <c:v>3965</c:v>
                      </c:pt>
                      <c:pt idx="146">
                        <c:v>4027</c:v>
                      </c:pt>
                      <c:pt idx="147">
                        <c:v>4474</c:v>
                      </c:pt>
                      <c:pt idx="148" formatCode="_(* #,##0_);_(* \(#,##0\);_(* &quot;-&quot;??_);_(@_)">
                        <c:v>5071</c:v>
                      </c:pt>
                      <c:pt idx="149" formatCode="_(* #,##0_);_(* \(#,##0\);_(* &quot;-&quot;??_);_(@_)">
                        <c:v>5044</c:v>
                      </c:pt>
                      <c:pt idx="150" formatCode="_(* #,##0_);_(* \(#,##0\);_(* &quot;-&quot;??_);_(@_)">
                        <c:v>5286</c:v>
                      </c:pt>
                      <c:pt idx="151" formatCode="_(* #,##0_);_(* \(#,##0\);_(* &quot;-&quot;??_);_(@_)">
                        <c:v>4513</c:v>
                      </c:pt>
                      <c:pt idx="152" formatCode="_(* #,##0_);_(* \(#,##0\);_(* &quot;-&quot;??_);_(@_)">
                        <c:v>5430</c:v>
                      </c:pt>
                      <c:pt idx="153" formatCode="_(* #,##0_);_(* \(#,##0\);_(* &quot;-&quot;??_);_(@_)">
                        <c:v>4227</c:v>
                      </c:pt>
                      <c:pt idx="154" formatCode="_(* #,##0_);_(* \(#,##0\);_(* &quot;-&quot;??_);_(@_)">
                        <c:v>5428</c:v>
                      </c:pt>
                      <c:pt idx="155" formatCode="_(* #,##0_);_(* \(#,##0\);_(* &quot;-&quot;??_);_(@_)">
                        <c:v>6113</c:v>
                      </c:pt>
                      <c:pt idx="156">
                        <c:v>5961</c:v>
                      </c:pt>
                      <c:pt idx="157">
                        <c:v>4733</c:v>
                      </c:pt>
                      <c:pt idx="158">
                        <c:v>2174</c:v>
                      </c:pt>
                      <c:pt idx="159">
                        <c:v>32</c:v>
                      </c:pt>
                      <c:pt idx="160">
                        <c:v>56</c:v>
                      </c:pt>
                      <c:pt idx="161">
                        <c:v>99</c:v>
                      </c:pt>
                      <c:pt idx="162">
                        <c:v>201</c:v>
                      </c:pt>
                      <c:pt idx="163">
                        <c:v>218</c:v>
                      </c:pt>
                      <c:pt idx="164">
                        <c:v>423</c:v>
                      </c:pt>
                      <c:pt idx="165">
                        <c:v>1349</c:v>
                      </c:pt>
                      <c:pt idx="166">
                        <c:v>1549</c:v>
                      </c:pt>
                      <c:pt idx="167">
                        <c:v>1964</c:v>
                      </c:pt>
                      <c:pt idx="168">
                        <c:v>2113</c:v>
                      </c:pt>
                      <c:pt idx="169">
                        <c:v>1427</c:v>
                      </c:pt>
                      <c:pt idx="170">
                        <c:v>1870</c:v>
                      </c:pt>
                      <c:pt idx="171">
                        <c:v>1489</c:v>
                      </c:pt>
                      <c:pt idx="172">
                        <c:v>1774</c:v>
                      </c:pt>
                    </c:numCache>
                  </c:numRef>
                </c:val>
                <c:smooth val="0"/>
                <c:extLst>
                  <c:ext xmlns:c16="http://schemas.microsoft.com/office/drawing/2014/chart" uri="{C3380CC4-5D6E-409C-BE32-E72D297353CC}">
                    <c16:uniqueId val="{00000000-8ED6-4044-8E62-D67E03BE4939}"/>
                  </c:ext>
                </c:extLst>
              </c15:ser>
            </c15:filteredLineSeries>
            <c15:filteredLineSeries>
              <c15:ser>
                <c:idx val="2"/>
                <c:order val="2"/>
                <c:tx>
                  <c:strRef>
                    <c:extLst xmlns:c15="http://schemas.microsoft.com/office/drawing/2012/chart">
                      <c:ext xmlns:c15="http://schemas.microsoft.com/office/drawing/2012/chart" uri="{02D57815-91ED-43cb-92C2-25804820EDAC}">
                        <c15:formulaRef>
                          <c15:sqref>'Tendencias nacionalidad'!$C$56</c15:sqref>
                        </c15:formulaRef>
                      </c:ext>
                    </c:extLst>
                    <c:strCache>
                      <c:ptCount val="1"/>
                      <c:pt idx="0">
                        <c:v>España</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nacionalidad'!$D$56:$GA$56</c15:sqref>
                        </c15:fullRef>
                        <c15:formulaRef>
                          <c15:sqref>'Tendencias nacionalidad'!$D$56:$FT$56</c15:sqref>
                        </c15:formulaRef>
                      </c:ext>
                    </c:extLst>
                    <c:numCache>
                      <c:formatCode>#,##0</c:formatCode>
                      <c:ptCount val="173"/>
                      <c:pt idx="0">
                        <c:v>1324</c:v>
                      </c:pt>
                      <c:pt idx="1">
                        <c:v>1555</c:v>
                      </c:pt>
                      <c:pt idx="2">
                        <c:v>1410</c:v>
                      </c:pt>
                      <c:pt idx="3">
                        <c:v>1429</c:v>
                      </c:pt>
                      <c:pt idx="4">
                        <c:v>1418</c:v>
                      </c:pt>
                      <c:pt idx="5">
                        <c:v>2607</c:v>
                      </c:pt>
                      <c:pt idx="6">
                        <c:v>2835</c:v>
                      </c:pt>
                      <c:pt idx="7">
                        <c:v>2685</c:v>
                      </c:pt>
                      <c:pt idx="8">
                        <c:v>2112</c:v>
                      </c:pt>
                      <c:pt idx="9">
                        <c:v>1839</c:v>
                      </c:pt>
                      <c:pt idx="10">
                        <c:v>2329</c:v>
                      </c:pt>
                      <c:pt idx="11">
                        <c:v>2088</c:v>
                      </c:pt>
                      <c:pt idx="12">
                        <c:v>1837</c:v>
                      </c:pt>
                      <c:pt idx="13">
                        <c:v>2639</c:v>
                      </c:pt>
                      <c:pt idx="14">
                        <c:v>1865</c:v>
                      </c:pt>
                      <c:pt idx="15">
                        <c:v>1646</c:v>
                      </c:pt>
                      <c:pt idx="16">
                        <c:v>2039</c:v>
                      </c:pt>
                      <c:pt idx="17">
                        <c:v>3303</c:v>
                      </c:pt>
                      <c:pt idx="18">
                        <c:v>2996</c:v>
                      </c:pt>
                      <c:pt idx="19">
                        <c:v>3169</c:v>
                      </c:pt>
                      <c:pt idx="20">
                        <c:v>2100</c:v>
                      </c:pt>
                      <c:pt idx="21">
                        <c:v>1903</c:v>
                      </c:pt>
                      <c:pt idx="22">
                        <c:v>2662</c:v>
                      </c:pt>
                      <c:pt idx="23">
                        <c:v>1902</c:v>
                      </c:pt>
                      <c:pt idx="24">
                        <c:v>2189</c:v>
                      </c:pt>
                      <c:pt idx="25">
                        <c:v>2306</c:v>
                      </c:pt>
                      <c:pt idx="26">
                        <c:v>2100</c:v>
                      </c:pt>
                      <c:pt idx="27">
                        <c:v>2003</c:v>
                      </c:pt>
                      <c:pt idx="28">
                        <c:v>3328</c:v>
                      </c:pt>
                      <c:pt idx="29">
                        <c:v>4653</c:v>
                      </c:pt>
                      <c:pt idx="30">
                        <c:v>3137</c:v>
                      </c:pt>
                      <c:pt idx="31">
                        <c:v>3497</c:v>
                      </c:pt>
                      <c:pt idx="32">
                        <c:v>2351</c:v>
                      </c:pt>
                      <c:pt idx="33">
                        <c:v>2125</c:v>
                      </c:pt>
                      <c:pt idx="34">
                        <c:v>2575</c:v>
                      </c:pt>
                      <c:pt idx="35">
                        <c:v>2250</c:v>
                      </c:pt>
                      <c:pt idx="36">
                        <c:v>2074</c:v>
                      </c:pt>
                      <c:pt idx="37">
                        <c:v>2222</c:v>
                      </c:pt>
                      <c:pt idx="38">
                        <c:v>2157</c:v>
                      </c:pt>
                      <c:pt idx="39">
                        <c:v>1650</c:v>
                      </c:pt>
                      <c:pt idx="40">
                        <c:v>2169</c:v>
                      </c:pt>
                      <c:pt idx="41">
                        <c:v>4211</c:v>
                      </c:pt>
                      <c:pt idx="42">
                        <c:v>3416</c:v>
                      </c:pt>
                      <c:pt idx="43">
                        <c:v>3730</c:v>
                      </c:pt>
                      <c:pt idx="44">
                        <c:v>2638</c:v>
                      </c:pt>
                      <c:pt idx="45">
                        <c:v>2451</c:v>
                      </c:pt>
                      <c:pt idx="46">
                        <c:v>2709</c:v>
                      </c:pt>
                      <c:pt idx="47">
                        <c:v>2407</c:v>
                      </c:pt>
                      <c:pt idx="48">
                        <c:v>2245</c:v>
                      </c:pt>
                      <c:pt idx="49">
                        <c:v>2360</c:v>
                      </c:pt>
                      <c:pt idx="50">
                        <c:v>1994</c:v>
                      </c:pt>
                      <c:pt idx="51">
                        <c:v>2054</c:v>
                      </c:pt>
                      <c:pt idx="52">
                        <c:v>1974</c:v>
                      </c:pt>
                      <c:pt idx="53">
                        <c:v>4580</c:v>
                      </c:pt>
                      <c:pt idx="54">
                        <c:v>3668</c:v>
                      </c:pt>
                      <c:pt idx="55">
                        <c:v>3797</c:v>
                      </c:pt>
                      <c:pt idx="56">
                        <c:v>2808</c:v>
                      </c:pt>
                      <c:pt idx="57">
                        <c:v>2386</c:v>
                      </c:pt>
                      <c:pt idx="58">
                        <c:v>2699</c:v>
                      </c:pt>
                      <c:pt idx="59">
                        <c:v>2363</c:v>
                      </c:pt>
                      <c:pt idx="60">
                        <c:v>2062</c:v>
                      </c:pt>
                      <c:pt idx="61">
                        <c:v>2453</c:v>
                      </c:pt>
                      <c:pt idx="62">
                        <c:v>2219</c:v>
                      </c:pt>
                      <c:pt idx="63">
                        <c:v>2379</c:v>
                      </c:pt>
                      <c:pt idx="64">
                        <c:v>2483</c:v>
                      </c:pt>
                      <c:pt idx="65">
                        <c:v>4629</c:v>
                      </c:pt>
                      <c:pt idx="66">
                        <c:v>3352</c:v>
                      </c:pt>
                      <c:pt idx="67">
                        <c:v>3785</c:v>
                      </c:pt>
                      <c:pt idx="68">
                        <c:v>3170</c:v>
                      </c:pt>
                      <c:pt idx="69">
                        <c:v>2516</c:v>
                      </c:pt>
                      <c:pt idx="70">
                        <c:v>2627</c:v>
                      </c:pt>
                      <c:pt idx="71">
                        <c:v>2343</c:v>
                      </c:pt>
                      <c:pt idx="72">
                        <c:v>2275</c:v>
                      </c:pt>
                      <c:pt idx="73">
                        <c:v>2408</c:v>
                      </c:pt>
                      <c:pt idx="74">
                        <c:v>2259</c:v>
                      </c:pt>
                      <c:pt idx="75">
                        <c:v>2051</c:v>
                      </c:pt>
                      <c:pt idx="76">
                        <c:v>2962</c:v>
                      </c:pt>
                      <c:pt idx="77">
                        <c:v>4633</c:v>
                      </c:pt>
                      <c:pt idx="78">
                        <c:v>3650</c:v>
                      </c:pt>
                      <c:pt idx="79">
                        <c:v>3942</c:v>
                      </c:pt>
                      <c:pt idx="80">
                        <c:v>3578</c:v>
                      </c:pt>
                      <c:pt idx="81">
                        <c:v>2866</c:v>
                      </c:pt>
                      <c:pt idx="82">
                        <c:v>3622</c:v>
                      </c:pt>
                      <c:pt idx="83">
                        <c:v>3262</c:v>
                      </c:pt>
                      <c:pt idx="84">
                        <c:v>4693</c:v>
                      </c:pt>
                      <c:pt idx="85">
                        <c:v>3329</c:v>
                      </c:pt>
                      <c:pt idx="86">
                        <c:v>3172</c:v>
                      </c:pt>
                      <c:pt idx="87">
                        <c:v>2855</c:v>
                      </c:pt>
                      <c:pt idx="88">
                        <c:v>3070</c:v>
                      </c:pt>
                      <c:pt idx="89">
                        <c:v>1437</c:v>
                      </c:pt>
                      <c:pt idx="90">
                        <c:v>4812</c:v>
                      </c:pt>
                      <c:pt idx="91">
                        <c:v>4547</c:v>
                      </c:pt>
                      <c:pt idx="92">
                        <c:v>3616</c:v>
                      </c:pt>
                      <c:pt idx="93">
                        <c:v>3498</c:v>
                      </c:pt>
                      <c:pt idx="94">
                        <c:v>3618</c:v>
                      </c:pt>
                      <c:pt idx="95">
                        <c:v>3484</c:v>
                      </c:pt>
                      <c:pt idx="96">
                        <c:v>3113</c:v>
                      </c:pt>
                      <c:pt idx="97">
                        <c:v>3325</c:v>
                      </c:pt>
                      <c:pt idx="98">
                        <c:v>3195</c:v>
                      </c:pt>
                      <c:pt idx="99">
                        <c:v>2623</c:v>
                      </c:pt>
                      <c:pt idx="100">
                        <c:v>3137</c:v>
                      </c:pt>
                      <c:pt idx="101">
                        <c:v>5235</c:v>
                      </c:pt>
                      <c:pt idx="102">
                        <c:v>4766</c:v>
                      </c:pt>
                      <c:pt idx="103">
                        <c:v>4153</c:v>
                      </c:pt>
                      <c:pt idx="104">
                        <c:v>3633</c:v>
                      </c:pt>
                      <c:pt idx="105">
                        <c:v>3383</c:v>
                      </c:pt>
                      <c:pt idx="106">
                        <c:v>3320</c:v>
                      </c:pt>
                      <c:pt idx="107">
                        <c:v>3878</c:v>
                      </c:pt>
                      <c:pt idx="108">
                        <c:v>2964</c:v>
                      </c:pt>
                      <c:pt idx="109">
                        <c:v>3137</c:v>
                      </c:pt>
                      <c:pt idx="110">
                        <c:v>3077</c:v>
                      </c:pt>
                      <c:pt idx="111">
                        <c:v>2577</c:v>
                      </c:pt>
                      <c:pt idx="112">
                        <c:v>2847</c:v>
                      </c:pt>
                      <c:pt idx="113">
                        <c:v>5765</c:v>
                      </c:pt>
                      <c:pt idx="114">
                        <c:v>4826</c:v>
                      </c:pt>
                      <c:pt idx="115">
                        <c:v>4045</c:v>
                      </c:pt>
                      <c:pt idx="116" formatCode="General">
                        <c:v>2741</c:v>
                      </c:pt>
                      <c:pt idx="117">
                        <c:v>2404</c:v>
                      </c:pt>
                      <c:pt idx="118">
                        <c:v>2367</c:v>
                      </c:pt>
                      <c:pt idx="119">
                        <c:v>2423</c:v>
                      </c:pt>
                      <c:pt idx="120">
                        <c:v>1937</c:v>
                      </c:pt>
                      <c:pt idx="121">
                        <c:v>1872</c:v>
                      </c:pt>
                      <c:pt idx="122">
                        <c:v>1901</c:v>
                      </c:pt>
                      <c:pt idx="123">
                        <c:v>2061</c:v>
                      </c:pt>
                      <c:pt idx="124">
                        <c:v>1740</c:v>
                      </c:pt>
                      <c:pt idx="125">
                        <c:v>3360</c:v>
                      </c:pt>
                      <c:pt idx="126">
                        <c:v>2960</c:v>
                      </c:pt>
                      <c:pt idx="127">
                        <c:v>2392</c:v>
                      </c:pt>
                      <c:pt idx="128">
                        <c:v>2217</c:v>
                      </c:pt>
                      <c:pt idx="129">
                        <c:v>2173</c:v>
                      </c:pt>
                      <c:pt idx="130">
                        <c:v>2397</c:v>
                      </c:pt>
                      <c:pt idx="131">
                        <c:v>2655</c:v>
                      </c:pt>
                      <c:pt idx="132">
                        <c:v>2327</c:v>
                      </c:pt>
                      <c:pt idx="133">
                        <c:v>2245</c:v>
                      </c:pt>
                      <c:pt idx="134">
                        <c:v>2500</c:v>
                      </c:pt>
                      <c:pt idx="135">
                        <c:v>2062</c:v>
                      </c:pt>
                      <c:pt idx="136">
                        <c:v>2145</c:v>
                      </c:pt>
                      <c:pt idx="137">
                        <c:v>3948</c:v>
                      </c:pt>
                      <c:pt idx="138">
                        <c:v>3670</c:v>
                      </c:pt>
                      <c:pt idx="139">
                        <c:v>3213</c:v>
                      </c:pt>
                      <c:pt idx="140">
                        <c:v>2579</c:v>
                      </c:pt>
                      <c:pt idx="141">
                        <c:v>2489</c:v>
                      </c:pt>
                      <c:pt idx="142">
                        <c:v>2626</c:v>
                      </c:pt>
                      <c:pt idx="143">
                        <c:v>2981</c:v>
                      </c:pt>
                      <c:pt idx="144" formatCode="_(* #,##0_);_(* \(#,##0\);_(* &quot;-&quot;??_);_(@_)">
                        <c:v>1985</c:v>
                      </c:pt>
                      <c:pt idx="145">
                        <c:v>2280</c:v>
                      </c:pt>
                      <c:pt idx="146">
                        <c:v>2141</c:v>
                      </c:pt>
                      <c:pt idx="147">
                        <c:v>2248</c:v>
                      </c:pt>
                      <c:pt idx="148" formatCode="_(* #,##0_);_(* \(#,##0\);_(* &quot;-&quot;??_);_(@_)">
                        <c:v>4117</c:v>
                      </c:pt>
                      <c:pt idx="149" formatCode="_(* #,##0_);_(* \(#,##0\);_(* &quot;-&quot;??_);_(@_)">
                        <c:v>7279</c:v>
                      </c:pt>
                      <c:pt idx="150" formatCode="_(* #,##0_);_(* \(#,##0\);_(* &quot;-&quot;??_);_(@_)">
                        <c:v>8646</c:v>
                      </c:pt>
                      <c:pt idx="151" formatCode="_(* #,##0_);_(* \(#,##0\);_(* &quot;-&quot;??_);_(@_)">
                        <c:v>7778</c:v>
                      </c:pt>
                      <c:pt idx="152" formatCode="_(* #,##0_);_(* \(#,##0\);_(* &quot;-&quot;??_);_(@_)">
                        <c:v>6031</c:v>
                      </c:pt>
                      <c:pt idx="153" formatCode="_(* #,##0_);_(* \(#,##0\);_(* &quot;-&quot;??_);_(@_)">
                        <c:v>4476</c:v>
                      </c:pt>
                      <c:pt idx="154" formatCode="_(* #,##0_);_(* \(#,##0\);_(* &quot;-&quot;??_);_(@_)">
                        <c:v>5469</c:v>
                      </c:pt>
                      <c:pt idx="155" formatCode="_(* #,##0_);_(* \(#,##0\);_(* &quot;-&quot;??_);_(@_)">
                        <c:v>7951</c:v>
                      </c:pt>
                      <c:pt idx="156">
                        <c:v>4895</c:v>
                      </c:pt>
                      <c:pt idx="157">
                        <c:v>5061</c:v>
                      </c:pt>
                      <c:pt idx="158">
                        <c:v>1744</c:v>
                      </c:pt>
                      <c:pt idx="159">
                        <c:v>42</c:v>
                      </c:pt>
                      <c:pt idx="160">
                        <c:v>49</c:v>
                      </c:pt>
                      <c:pt idx="161">
                        <c:v>94</c:v>
                      </c:pt>
                      <c:pt idx="162">
                        <c:v>976</c:v>
                      </c:pt>
                      <c:pt idx="163">
                        <c:v>912</c:v>
                      </c:pt>
                      <c:pt idx="164">
                        <c:v>1188</c:v>
                      </c:pt>
                      <c:pt idx="165">
                        <c:v>1364</c:v>
                      </c:pt>
                      <c:pt idx="166">
                        <c:v>1646</c:v>
                      </c:pt>
                      <c:pt idx="167">
                        <c:v>2750</c:v>
                      </c:pt>
                      <c:pt idx="168">
                        <c:v>2113</c:v>
                      </c:pt>
                      <c:pt idx="169">
                        <c:v>1570</c:v>
                      </c:pt>
                      <c:pt idx="170">
                        <c:v>2019</c:v>
                      </c:pt>
                      <c:pt idx="171">
                        <c:v>1576</c:v>
                      </c:pt>
                      <c:pt idx="172">
                        <c:v>1610</c:v>
                      </c:pt>
                    </c:numCache>
                  </c:numRef>
                </c:val>
                <c:smooth val="0"/>
                <c:extLst xmlns:c15="http://schemas.microsoft.com/office/drawing/2012/chart">
                  <c:ext xmlns:c16="http://schemas.microsoft.com/office/drawing/2014/chart" uri="{C3380CC4-5D6E-409C-BE32-E72D297353CC}">
                    <c16:uniqueId val="{00000006-8ED6-4044-8E62-D67E03BE4939}"/>
                  </c:ext>
                </c:extLst>
              </c15:ser>
            </c15:filteredLineSeries>
            <c15:filteredLineSeries>
              <c15:ser>
                <c:idx val="4"/>
                <c:order val="4"/>
                <c:tx>
                  <c:strRef>
                    <c:extLst xmlns:c15="http://schemas.microsoft.com/office/drawing/2012/chart">
                      <c:ext xmlns:c15="http://schemas.microsoft.com/office/drawing/2012/chart" uri="{02D57815-91ED-43cb-92C2-25804820EDAC}">
                        <c15:formulaRef>
                          <c15:sqref>'Tendencias nacionalidad'!$C$58</c15:sqref>
                        </c15:formulaRef>
                      </c:ext>
                    </c:extLst>
                    <c:strCache>
                      <c:ptCount val="1"/>
                      <c:pt idx="0">
                        <c:v>Alemania</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nacionalidad'!$D$58:$GA$58</c15:sqref>
                        </c15:fullRef>
                        <c15:formulaRef>
                          <c15:sqref>'Tendencias nacionalidad'!$D$58:$FT$58</c15:sqref>
                        </c15:formulaRef>
                      </c:ext>
                    </c:extLst>
                    <c:numCache>
                      <c:formatCode>#,##0</c:formatCode>
                      <c:ptCount val="173"/>
                      <c:pt idx="0">
                        <c:v>979</c:v>
                      </c:pt>
                      <c:pt idx="1">
                        <c:v>1028</c:v>
                      </c:pt>
                      <c:pt idx="2">
                        <c:v>1191</c:v>
                      </c:pt>
                      <c:pt idx="3">
                        <c:v>822</c:v>
                      </c:pt>
                      <c:pt idx="4">
                        <c:v>771</c:v>
                      </c:pt>
                      <c:pt idx="5">
                        <c:v>743</c:v>
                      </c:pt>
                      <c:pt idx="6">
                        <c:v>1668</c:v>
                      </c:pt>
                      <c:pt idx="7">
                        <c:v>1648</c:v>
                      </c:pt>
                      <c:pt idx="8">
                        <c:v>1293</c:v>
                      </c:pt>
                      <c:pt idx="9">
                        <c:v>1389</c:v>
                      </c:pt>
                      <c:pt idx="10">
                        <c:v>1328</c:v>
                      </c:pt>
                      <c:pt idx="11">
                        <c:v>1045</c:v>
                      </c:pt>
                      <c:pt idx="12">
                        <c:v>1064</c:v>
                      </c:pt>
                      <c:pt idx="13">
                        <c:v>1703</c:v>
                      </c:pt>
                      <c:pt idx="14">
                        <c:v>1525</c:v>
                      </c:pt>
                      <c:pt idx="15">
                        <c:v>905</c:v>
                      </c:pt>
                      <c:pt idx="16">
                        <c:v>1008</c:v>
                      </c:pt>
                      <c:pt idx="17">
                        <c:v>1074</c:v>
                      </c:pt>
                      <c:pt idx="18">
                        <c:v>1651</c:v>
                      </c:pt>
                      <c:pt idx="19">
                        <c:v>1896</c:v>
                      </c:pt>
                      <c:pt idx="20">
                        <c:v>1295</c:v>
                      </c:pt>
                      <c:pt idx="21">
                        <c:v>1655</c:v>
                      </c:pt>
                      <c:pt idx="22">
                        <c:v>1637</c:v>
                      </c:pt>
                      <c:pt idx="23">
                        <c:v>1309</c:v>
                      </c:pt>
                      <c:pt idx="24">
                        <c:v>1162</c:v>
                      </c:pt>
                      <c:pt idx="25">
                        <c:v>1372</c:v>
                      </c:pt>
                      <c:pt idx="26">
                        <c:v>1251</c:v>
                      </c:pt>
                      <c:pt idx="27">
                        <c:v>1188</c:v>
                      </c:pt>
                      <c:pt idx="28">
                        <c:v>1125.5</c:v>
                      </c:pt>
                      <c:pt idx="29">
                        <c:v>1063</c:v>
                      </c:pt>
                      <c:pt idx="30">
                        <c:v>1694</c:v>
                      </c:pt>
                      <c:pt idx="31">
                        <c:v>1936</c:v>
                      </c:pt>
                      <c:pt idx="32">
                        <c:v>1190</c:v>
                      </c:pt>
                      <c:pt idx="33">
                        <c:v>1628</c:v>
                      </c:pt>
                      <c:pt idx="34">
                        <c:v>1627</c:v>
                      </c:pt>
                      <c:pt idx="35">
                        <c:v>1330</c:v>
                      </c:pt>
                      <c:pt idx="36">
                        <c:v>1167</c:v>
                      </c:pt>
                      <c:pt idx="37">
                        <c:v>1178</c:v>
                      </c:pt>
                      <c:pt idx="38">
                        <c:v>1274</c:v>
                      </c:pt>
                      <c:pt idx="39">
                        <c:v>821</c:v>
                      </c:pt>
                      <c:pt idx="40">
                        <c:v>976</c:v>
                      </c:pt>
                      <c:pt idx="41">
                        <c:v>1016</c:v>
                      </c:pt>
                      <c:pt idx="42">
                        <c:v>1824</c:v>
                      </c:pt>
                      <c:pt idx="43">
                        <c:v>1850</c:v>
                      </c:pt>
                      <c:pt idx="44">
                        <c:v>1266</c:v>
                      </c:pt>
                      <c:pt idx="45">
                        <c:v>1582</c:v>
                      </c:pt>
                      <c:pt idx="46">
                        <c:v>1470</c:v>
                      </c:pt>
                      <c:pt idx="47">
                        <c:v>1296</c:v>
                      </c:pt>
                      <c:pt idx="48">
                        <c:v>1126</c:v>
                      </c:pt>
                      <c:pt idx="49">
                        <c:v>1446</c:v>
                      </c:pt>
                      <c:pt idx="50">
                        <c:v>1204</c:v>
                      </c:pt>
                      <c:pt idx="51">
                        <c:v>1160</c:v>
                      </c:pt>
                      <c:pt idx="52">
                        <c:v>926</c:v>
                      </c:pt>
                      <c:pt idx="53">
                        <c:v>1107</c:v>
                      </c:pt>
                      <c:pt idx="54">
                        <c:v>1753</c:v>
                      </c:pt>
                      <c:pt idx="55">
                        <c:v>2142</c:v>
                      </c:pt>
                      <c:pt idx="56">
                        <c:v>1459</c:v>
                      </c:pt>
                      <c:pt idx="57">
                        <c:v>1726</c:v>
                      </c:pt>
                      <c:pt idx="58">
                        <c:v>1523</c:v>
                      </c:pt>
                      <c:pt idx="59">
                        <c:v>1238</c:v>
                      </c:pt>
                      <c:pt idx="60">
                        <c:v>1222</c:v>
                      </c:pt>
                      <c:pt idx="61">
                        <c:v>1433</c:v>
                      </c:pt>
                      <c:pt idx="62">
                        <c:v>1585</c:v>
                      </c:pt>
                      <c:pt idx="63">
                        <c:v>1043</c:v>
                      </c:pt>
                      <c:pt idx="64">
                        <c:v>1060</c:v>
                      </c:pt>
                      <c:pt idx="65">
                        <c:v>1097</c:v>
                      </c:pt>
                      <c:pt idx="66">
                        <c:v>1975</c:v>
                      </c:pt>
                      <c:pt idx="67">
                        <c:v>2483</c:v>
                      </c:pt>
                      <c:pt idx="68">
                        <c:v>1516</c:v>
                      </c:pt>
                      <c:pt idx="69">
                        <c:v>1776</c:v>
                      </c:pt>
                      <c:pt idx="70">
                        <c:v>1812</c:v>
                      </c:pt>
                      <c:pt idx="71">
                        <c:v>1505</c:v>
                      </c:pt>
                      <c:pt idx="72">
                        <c:v>1259</c:v>
                      </c:pt>
                      <c:pt idx="73">
                        <c:v>1498</c:v>
                      </c:pt>
                      <c:pt idx="74">
                        <c:v>1791</c:v>
                      </c:pt>
                      <c:pt idx="75">
                        <c:v>999</c:v>
                      </c:pt>
                      <c:pt idx="76">
                        <c:v>1135</c:v>
                      </c:pt>
                      <c:pt idx="77">
                        <c:v>1094</c:v>
                      </c:pt>
                      <c:pt idx="78">
                        <c:v>1954</c:v>
                      </c:pt>
                      <c:pt idx="79">
                        <c:v>2103</c:v>
                      </c:pt>
                      <c:pt idx="80">
                        <c:v>1514</c:v>
                      </c:pt>
                      <c:pt idx="81">
                        <c:v>1650</c:v>
                      </c:pt>
                      <c:pt idx="82">
                        <c:v>1669</c:v>
                      </c:pt>
                      <c:pt idx="83">
                        <c:v>1507</c:v>
                      </c:pt>
                      <c:pt idx="84">
                        <c:v>1252</c:v>
                      </c:pt>
                      <c:pt idx="85">
                        <c:v>1443</c:v>
                      </c:pt>
                      <c:pt idx="86">
                        <c:v>1447</c:v>
                      </c:pt>
                      <c:pt idx="87">
                        <c:v>1394</c:v>
                      </c:pt>
                      <c:pt idx="88">
                        <c:v>1109</c:v>
                      </c:pt>
                      <c:pt idx="89">
                        <c:v>986</c:v>
                      </c:pt>
                      <c:pt idx="90">
                        <c:v>2241</c:v>
                      </c:pt>
                      <c:pt idx="91">
                        <c:v>2458</c:v>
                      </c:pt>
                      <c:pt idx="92">
                        <c:v>1566</c:v>
                      </c:pt>
                      <c:pt idx="93">
                        <c:v>1926</c:v>
                      </c:pt>
                      <c:pt idx="94">
                        <c:v>1800</c:v>
                      </c:pt>
                      <c:pt idx="95">
                        <c:v>1600</c:v>
                      </c:pt>
                      <c:pt idx="96">
                        <c:v>1310</c:v>
                      </c:pt>
                      <c:pt idx="97">
                        <c:v>1458</c:v>
                      </c:pt>
                      <c:pt idx="98">
                        <c:v>1764</c:v>
                      </c:pt>
                      <c:pt idx="99">
                        <c:v>1021</c:v>
                      </c:pt>
                      <c:pt idx="100">
                        <c:v>1209</c:v>
                      </c:pt>
                      <c:pt idx="101">
                        <c:v>1089</c:v>
                      </c:pt>
                      <c:pt idx="102">
                        <c:v>1876</c:v>
                      </c:pt>
                      <c:pt idx="103">
                        <c:v>2424</c:v>
                      </c:pt>
                      <c:pt idx="104">
                        <c:v>1390</c:v>
                      </c:pt>
                      <c:pt idx="105">
                        <c:v>1890</c:v>
                      </c:pt>
                      <c:pt idx="106">
                        <c:v>1595</c:v>
                      </c:pt>
                      <c:pt idx="107">
                        <c:v>1538</c:v>
                      </c:pt>
                      <c:pt idx="108">
                        <c:v>1219</c:v>
                      </c:pt>
                      <c:pt idx="109">
                        <c:v>1461</c:v>
                      </c:pt>
                      <c:pt idx="110">
                        <c:v>1530</c:v>
                      </c:pt>
                      <c:pt idx="111">
                        <c:v>984</c:v>
                      </c:pt>
                      <c:pt idx="112">
                        <c:v>1111</c:v>
                      </c:pt>
                      <c:pt idx="113">
                        <c:v>1105</c:v>
                      </c:pt>
                      <c:pt idx="114">
                        <c:v>2133</c:v>
                      </c:pt>
                      <c:pt idx="115">
                        <c:v>2090</c:v>
                      </c:pt>
                      <c:pt idx="116" formatCode="General">
                        <c:v>1304</c:v>
                      </c:pt>
                      <c:pt idx="117">
                        <c:v>1939</c:v>
                      </c:pt>
                      <c:pt idx="118">
                        <c:v>1447</c:v>
                      </c:pt>
                      <c:pt idx="119">
                        <c:v>1384</c:v>
                      </c:pt>
                      <c:pt idx="120">
                        <c:v>1181</c:v>
                      </c:pt>
                      <c:pt idx="121">
                        <c:v>1257</c:v>
                      </c:pt>
                      <c:pt idx="122">
                        <c:v>1493</c:v>
                      </c:pt>
                      <c:pt idx="123">
                        <c:v>1328</c:v>
                      </c:pt>
                      <c:pt idx="124">
                        <c:v>1017</c:v>
                      </c:pt>
                      <c:pt idx="125">
                        <c:v>1177</c:v>
                      </c:pt>
                      <c:pt idx="126">
                        <c:v>1762</c:v>
                      </c:pt>
                      <c:pt idx="127">
                        <c:v>2116</c:v>
                      </c:pt>
                      <c:pt idx="128">
                        <c:v>1515</c:v>
                      </c:pt>
                      <c:pt idx="129">
                        <c:v>2079</c:v>
                      </c:pt>
                      <c:pt idx="130">
                        <c:v>1709</c:v>
                      </c:pt>
                      <c:pt idx="131">
                        <c:v>1429</c:v>
                      </c:pt>
                      <c:pt idx="132">
                        <c:v>1364</c:v>
                      </c:pt>
                      <c:pt idx="133">
                        <c:v>1772</c:v>
                      </c:pt>
                      <c:pt idx="134">
                        <c:v>1987</c:v>
                      </c:pt>
                      <c:pt idx="135">
                        <c:v>1233</c:v>
                      </c:pt>
                      <c:pt idx="136">
                        <c:v>1437</c:v>
                      </c:pt>
                      <c:pt idx="137">
                        <c:v>1289</c:v>
                      </c:pt>
                      <c:pt idx="138">
                        <c:v>2110</c:v>
                      </c:pt>
                      <c:pt idx="139">
                        <c:v>2013</c:v>
                      </c:pt>
                      <c:pt idx="140">
                        <c:v>1690</c:v>
                      </c:pt>
                      <c:pt idx="141">
                        <c:v>1860</c:v>
                      </c:pt>
                      <c:pt idx="142">
                        <c:v>2026</c:v>
                      </c:pt>
                      <c:pt idx="143">
                        <c:v>1630</c:v>
                      </c:pt>
                      <c:pt idx="144" formatCode="_(* #,##0_);_(* \(#,##0\);_(* &quot;-&quot;??_);_(@_)">
                        <c:v>1437</c:v>
                      </c:pt>
                      <c:pt idx="145">
                        <c:v>1736</c:v>
                      </c:pt>
                      <c:pt idx="146">
                        <c:v>1752</c:v>
                      </c:pt>
                      <c:pt idx="147">
                        <c:v>1612</c:v>
                      </c:pt>
                      <c:pt idx="148" formatCode="_(* #,##0_);_(* \(#,##0\);_(* &quot;-&quot;??_);_(@_)">
                        <c:v>1388</c:v>
                      </c:pt>
                      <c:pt idx="149" formatCode="_(* #,##0_);_(* \(#,##0\);_(* &quot;-&quot;??_);_(@_)">
                        <c:v>1538</c:v>
                      </c:pt>
                      <c:pt idx="150" formatCode="_(* #,##0_);_(* \(#,##0\);_(* &quot;-&quot;??_);_(@_)">
                        <c:v>2642</c:v>
                      </c:pt>
                      <c:pt idx="151" formatCode="_(* #,##0_);_(* \(#,##0\);_(* &quot;-&quot;??_);_(@_)">
                        <c:v>2517</c:v>
                      </c:pt>
                      <c:pt idx="152" formatCode="_(* #,##0_);_(* \(#,##0\);_(* &quot;-&quot;??_);_(@_)">
                        <c:v>1974</c:v>
                      </c:pt>
                      <c:pt idx="153" formatCode="_(* #,##0_);_(* \(#,##0\);_(* &quot;-&quot;??_);_(@_)">
                        <c:v>1837</c:v>
                      </c:pt>
                      <c:pt idx="154" formatCode="_(* #,##0_);_(* \(#,##0\);_(* &quot;-&quot;??_);_(@_)">
                        <c:v>2241</c:v>
                      </c:pt>
                      <c:pt idx="155" formatCode="_(* #,##0_);_(* \(#,##0\);_(* &quot;-&quot;??_);_(@_)">
                        <c:v>2074</c:v>
                      </c:pt>
                      <c:pt idx="156">
                        <c:v>1785</c:v>
                      </c:pt>
                      <c:pt idx="157">
                        <c:v>2078</c:v>
                      </c:pt>
                      <c:pt idx="158">
                        <c:v>880</c:v>
                      </c:pt>
                      <c:pt idx="159">
                        <c:v>9</c:v>
                      </c:pt>
                      <c:pt idx="160">
                        <c:v>12</c:v>
                      </c:pt>
                      <c:pt idx="161">
                        <c:v>19</c:v>
                      </c:pt>
                      <c:pt idx="162">
                        <c:v>54</c:v>
                      </c:pt>
                      <c:pt idx="163">
                        <c:v>137</c:v>
                      </c:pt>
                      <c:pt idx="164">
                        <c:v>139</c:v>
                      </c:pt>
                      <c:pt idx="165">
                        <c:v>179</c:v>
                      </c:pt>
                      <c:pt idx="166">
                        <c:v>145</c:v>
                      </c:pt>
                      <c:pt idx="167">
                        <c:v>331</c:v>
                      </c:pt>
                      <c:pt idx="168">
                        <c:v>281</c:v>
                      </c:pt>
                      <c:pt idx="169">
                        <c:v>166</c:v>
                      </c:pt>
                      <c:pt idx="170">
                        <c:v>258</c:v>
                      </c:pt>
                      <c:pt idx="171">
                        <c:v>249</c:v>
                      </c:pt>
                      <c:pt idx="172">
                        <c:v>270</c:v>
                      </c:pt>
                    </c:numCache>
                  </c:numRef>
                </c:val>
                <c:smooth val="0"/>
                <c:extLst xmlns:c15="http://schemas.microsoft.com/office/drawing/2012/chart">
                  <c:ext xmlns:c16="http://schemas.microsoft.com/office/drawing/2014/chart" uri="{C3380CC4-5D6E-409C-BE32-E72D297353CC}">
                    <c16:uniqueId val="{00000008-8ED6-4044-8E62-D67E03BE4939}"/>
                  </c:ext>
                </c:extLst>
              </c15:ser>
            </c15:filteredLineSeries>
            <c15:filteredLineSeries>
              <c15:ser>
                <c:idx val="6"/>
                <c:order val="6"/>
                <c:tx>
                  <c:strRef>
                    <c:extLst xmlns:c15="http://schemas.microsoft.com/office/drawing/2012/chart">
                      <c:ext xmlns:c15="http://schemas.microsoft.com/office/drawing/2012/chart" uri="{02D57815-91ED-43cb-92C2-25804820EDAC}">
                        <c15:formulaRef>
                          <c15:sqref>'Tendencias nacionalidad'!$C$60</c15:sqref>
                        </c15:formulaRef>
                      </c:ext>
                    </c:extLst>
                    <c:strCache>
                      <c:ptCount val="1"/>
                      <c:pt idx="0">
                        <c:v>Perú</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nacionalidad'!$D$60:$GA$60</c15:sqref>
                        </c15:fullRef>
                        <c15:formulaRef>
                          <c15:sqref>'Tendencias nacionalidad'!$D$60:$FT$60</c15:sqref>
                        </c15:formulaRef>
                      </c:ext>
                    </c:extLst>
                    <c:numCache>
                      <c:formatCode>#,##0</c:formatCode>
                      <c:ptCount val="173"/>
                      <c:pt idx="0">
                        <c:v>597</c:v>
                      </c:pt>
                      <c:pt idx="1">
                        <c:v>619</c:v>
                      </c:pt>
                      <c:pt idx="2">
                        <c:v>664</c:v>
                      </c:pt>
                      <c:pt idx="3">
                        <c:v>603</c:v>
                      </c:pt>
                      <c:pt idx="4">
                        <c:v>624</c:v>
                      </c:pt>
                      <c:pt idx="5">
                        <c:v>757</c:v>
                      </c:pt>
                      <c:pt idx="6">
                        <c:v>855</c:v>
                      </c:pt>
                      <c:pt idx="7">
                        <c:v>821</c:v>
                      </c:pt>
                      <c:pt idx="8">
                        <c:v>861</c:v>
                      </c:pt>
                      <c:pt idx="9">
                        <c:v>909</c:v>
                      </c:pt>
                      <c:pt idx="10">
                        <c:v>950</c:v>
                      </c:pt>
                      <c:pt idx="11">
                        <c:v>519</c:v>
                      </c:pt>
                      <c:pt idx="12">
                        <c:v>656</c:v>
                      </c:pt>
                      <c:pt idx="13">
                        <c:v>1028</c:v>
                      </c:pt>
                      <c:pt idx="14">
                        <c:v>728</c:v>
                      </c:pt>
                      <c:pt idx="15">
                        <c:v>856</c:v>
                      </c:pt>
                      <c:pt idx="16">
                        <c:v>835</c:v>
                      </c:pt>
                      <c:pt idx="17">
                        <c:v>752</c:v>
                      </c:pt>
                      <c:pt idx="18">
                        <c:v>845</c:v>
                      </c:pt>
                      <c:pt idx="19">
                        <c:v>925</c:v>
                      </c:pt>
                      <c:pt idx="20">
                        <c:v>919</c:v>
                      </c:pt>
                      <c:pt idx="21">
                        <c:v>813</c:v>
                      </c:pt>
                      <c:pt idx="22">
                        <c:v>935</c:v>
                      </c:pt>
                      <c:pt idx="23">
                        <c:v>759</c:v>
                      </c:pt>
                      <c:pt idx="24">
                        <c:v>1199</c:v>
                      </c:pt>
                      <c:pt idx="25">
                        <c:v>857</c:v>
                      </c:pt>
                      <c:pt idx="26">
                        <c:v>1043</c:v>
                      </c:pt>
                      <c:pt idx="27">
                        <c:v>841</c:v>
                      </c:pt>
                      <c:pt idx="28">
                        <c:v>873</c:v>
                      </c:pt>
                      <c:pt idx="29">
                        <c:v>905</c:v>
                      </c:pt>
                      <c:pt idx="30">
                        <c:v>964</c:v>
                      </c:pt>
                      <c:pt idx="31">
                        <c:v>761</c:v>
                      </c:pt>
                      <c:pt idx="32">
                        <c:v>873</c:v>
                      </c:pt>
                      <c:pt idx="33">
                        <c:v>845</c:v>
                      </c:pt>
                      <c:pt idx="34">
                        <c:v>869</c:v>
                      </c:pt>
                      <c:pt idx="35">
                        <c:v>782</c:v>
                      </c:pt>
                      <c:pt idx="36">
                        <c:v>924</c:v>
                      </c:pt>
                      <c:pt idx="37">
                        <c:v>1186</c:v>
                      </c:pt>
                      <c:pt idx="38">
                        <c:v>910</c:v>
                      </c:pt>
                      <c:pt idx="39">
                        <c:v>828</c:v>
                      </c:pt>
                      <c:pt idx="40">
                        <c:v>935</c:v>
                      </c:pt>
                      <c:pt idx="41">
                        <c:v>820</c:v>
                      </c:pt>
                      <c:pt idx="42">
                        <c:v>779</c:v>
                      </c:pt>
                      <c:pt idx="43">
                        <c:v>919</c:v>
                      </c:pt>
                      <c:pt idx="44">
                        <c:v>728</c:v>
                      </c:pt>
                      <c:pt idx="45">
                        <c:v>943</c:v>
                      </c:pt>
                      <c:pt idx="46">
                        <c:v>971</c:v>
                      </c:pt>
                      <c:pt idx="47">
                        <c:v>681</c:v>
                      </c:pt>
                      <c:pt idx="48">
                        <c:v>724</c:v>
                      </c:pt>
                      <c:pt idx="49">
                        <c:v>842</c:v>
                      </c:pt>
                      <c:pt idx="50">
                        <c:v>1005</c:v>
                      </c:pt>
                      <c:pt idx="51">
                        <c:v>954</c:v>
                      </c:pt>
                      <c:pt idx="52">
                        <c:v>999</c:v>
                      </c:pt>
                      <c:pt idx="53">
                        <c:v>933</c:v>
                      </c:pt>
                      <c:pt idx="54">
                        <c:v>1055</c:v>
                      </c:pt>
                      <c:pt idx="55">
                        <c:v>987</c:v>
                      </c:pt>
                      <c:pt idx="56">
                        <c:v>933</c:v>
                      </c:pt>
                      <c:pt idx="57">
                        <c:v>1124</c:v>
                      </c:pt>
                      <c:pt idx="58">
                        <c:v>1562</c:v>
                      </c:pt>
                      <c:pt idx="59">
                        <c:v>831</c:v>
                      </c:pt>
                      <c:pt idx="60">
                        <c:v>932</c:v>
                      </c:pt>
                      <c:pt idx="61">
                        <c:v>818</c:v>
                      </c:pt>
                      <c:pt idx="62">
                        <c:v>1172</c:v>
                      </c:pt>
                      <c:pt idx="63">
                        <c:v>1112</c:v>
                      </c:pt>
                      <c:pt idx="64">
                        <c:v>1238</c:v>
                      </c:pt>
                      <c:pt idx="65">
                        <c:v>1179</c:v>
                      </c:pt>
                      <c:pt idx="66">
                        <c:v>1336</c:v>
                      </c:pt>
                      <c:pt idx="67">
                        <c:v>1297</c:v>
                      </c:pt>
                      <c:pt idx="68">
                        <c:v>1381</c:v>
                      </c:pt>
                      <c:pt idx="69">
                        <c:v>1530</c:v>
                      </c:pt>
                      <c:pt idx="70">
                        <c:v>1372</c:v>
                      </c:pt>
                      <c:pt idx="71">
                        <c:v>931</c:v>
                      </c:pt>
                      <c:pt idx="72">
                        <c:v>1248</c:v>
                      </c:pt>
                      <c:pt idx="73">
                        <c:v>1342</c:v>
                      </c:pt>
                      <c:pt idx="74">
                        <c:v>1370</c:v>
                      </c:pt>
                      <c:pt idx="75">
                        <c:v>1459</c:v>
                      </c:pt>
                      <c:pt idx="76">
                        <c:v>1709</c:v>
                      </c:pt>
                      <c:pt idx="77">
                        <c:v>1759</c:v>
                      </c:pt>
                      <c:pt idx="78">
                        <c:v>1941</c:v>
                      </c:pt>
                      <c:pt idx="79">
                        <c:v>1512</c:v>
                      </c:pt>
                      <c:pt idx="80">
                        <c:v>1510</c:v>
                      </c:pt>
                      <c:pt idx="81">
                        <c:v>1280</c:v>
                      </c:pt>
                      <c:pt idx="82">
                        <c:v>1258</c:v>
                      </c:pt>
                      <c:pt idx="83">
                        <c:v>1183</c:v>
                      </c:pt>
                      <c:pt idx="84">
                        <c:v>1359</c:v>
                      </c:pt>
                      <c:pt idx="85">
                        <c:v>2651</c:v>
                      </c:pt>
                      <c:pt idx="86">
                        <c:v>1597</c:v>
                      </c:pt>
                      <c:pt idx="87">
                        <c:v>1563</c:v>
                      </c:pt>
                      <c:pt idx="88">
                        <c:v>1626</c:v>
                      </c:pt>
                      <c:pt idx="89">
                        <c:v>1960</c:v>
                      </c:pt>
                      <c:pt idx="90">
                        <c:v>1511</c:v>
                      </c:pt>
                      <c:pt idx="91">
                        <c:v>1434</c:v>
                      </c:pt>
                      <c:pt idx="92">
                        <c:v>1571</c:v>
                      </c:pt>
                      <c:pt idx="93">
                        <c:v>1512</c:v>
                      </c:pt>
                      <c:pt idx="94">
                        <c:v>1614</c:v>
                      </c:pt>
                      <c:pt idx="95">
                        <c:v>1304</c:v>
                      </c:pt>
                      <c:pt idx="96">
                        <c:v>1201</c:v>
                      </c:pt>
                      <c:pt idx="97">
                        <c:v>1299</c:v>
                      </c:pt>
                      <c:pt idx="98">
                        <c:v>1352</c:v>
                      </c:pt>
                      <c:pt idx="99">
                        <c:v>1279</c:v>
                      </c:pt>
                      <c:pt idx="100">
                        <c:v>1332</c:v>
                      </c:pt>
                      <c:pt idx="101">
                        <c:v>1003</c:v>
                      </c:pt>
                      <c:pt idx="102">
                        <c:v>1305</c:v>
                      </c:pt>
                      <c:pt idx="103">
                        <c:v>1008</c:v>
                      </c:pt>
                      <c:pt idx="104">
                        <c:v>1166</c:v>
                      </c:pt>
                      <c:pt idx="105">
                        <c:v>1289</c:v>
                      </c:pt>
                      <c:pt idx="106">
                        <c:v>1225</c:v>
                      </c:pt>
                      <c:pt idx="107">
                        <c:v>1000</c:v>
                      </c:pt>
                      <c:pt idx="108">
                        <c:v>1181</c:v>
                      </c:pt>
                      <c:pt idx="109">
                        <c:v>1107</c:v>
                      </c:pt>
                      <c:pt idx="110">
                        <c:v>1047</c:v>
                      </c:pt>
                      <c:pt idx="111">
                        <c:v>865</c:v>
                      </c:pt>
                      <c:pt idx="112">
                        <c:v>996</c:v>
                      </c:pt>
                      <c:pt idx="113">
                        <c:v>1029</c:v>
                      </c:pt>
                      <c:pt idx="114">
                        <c:v>1026</c:v>
                      </c:pt>
                      <c:pt idx="115">
                        <c:v>985</c:v>
                      </c:pt>
                      <c:pt idx="116" formatCode="General">
                        <c:v>1164</c:v>
                      </c:pt>
                      <c:pt idx="117">
                        <c:v>1353</c:v>
                      </c:pt>
                      <c:pt idx="118">
                        <c:v>1188</c:v>
                      </c:pt>
                      <c:pt idx="119">
                        <c:v>896</c:v>
                      </c:pt>
                      <c:pt idx="120">
                        <c:v>1029</c:v>
                      </c:pt>
                      <c:pt idx="121">
                        <c:v>798</c:v>
                      </c:pt>
                      <c:pt idx="122">
                        <c:v>1288</c:v>
                      </c:pt>
                      <c:pt idx="123">
                        <c:v>1344</c:v>
                      </c:pt>
                      <c:pt idx="124">
                        <c:v>1295</c:v>
                      </c:pt>
                      <c:pt idx="125">
                        <c:v>1374</c:v>
                      </c:pt>
                      <c:pt idx="126">
                        <c:v>1410</c:v>
                      </c:pt>
                      <c:pt idx="127">
                        <c:v>1173</c:v>
                      </c:pt>
                      <c:pt idx="128">
                        <c:v>1723</c:v>
                      </c:pt>
                      <c:pt idx="129">
                        <c:v>1669</c:v>
                      </c:pt>
                      <c:pt idx="130">
                        <c:v>1302</c:v>
                      </c:pt>
                      <c:pt idx="131">
                        <c:v>1261</c:v>
                      </c:pt>
                      <c:pt idx="132">
                        <c:v>1555</c:v>
                      </c:pt>
                      <c:pt idx="133">
                        <c:v>1225</c:v>
                      </c:pt>
                      <c:pt idx="134">
                        <c:v>1478</c:v>
                      </c:pt>
                      <c:pt idx="135">
                        <c:v>1463</c:v>
                      </c:pt>
                      <c:pt idx="136">
                        <c:v>1596</c:v>
                      </c:pt>
                      <c:pt idx="137">
                        <c:v>1775</c:v>
                      </c:pt>
                      <c:pt idx="138">
                        <c:v>1486</c:v>
                      </c:pt>
                      <c:pt idx="139">
                        <c:v>1271</c:v>
                      </c:pt>
                      <c:pt idx="140">
                        <c:v>1312</c:v>
                      </c:pt>
                      <c:pt idx="141">
                        <c:v>1756</c:v>
                      </c:pt>
                      <c:pt idx="142">
                        <c:v>1294</c:v>
                      </c:pt>
                      <c:pt idx="143">
                        <c:v>1227</c:v>
                      </c:pt>
                      <c:pt idx="144" formatCode="_(* #,##0_);_(* \(#,##0\);_(* &quot;-&quot;??_);_(@_)">
                        <c:v>1128</c:v>
                      </c:pt>
                      <c:pt idx="145">
                        <c:v>1306</c:v>
                      </c:pt>
                      <c:pt idx="146">
                        <c:v>1156</c:v>
                      </c:pt>
                      <c:pt idx="147">
                        <c:v>1277</c:v>
                      </c:pt>
                      <c:pt idx="148" formatCode="_(* #,##0_);_(* \(#,##0\);_(* &quot;-&quot;??_);_(@_)">
                        <c:v>1495</c:v>
                      </c:pt>
                      <c:pt idx="149" formatCode="_(* #,##0_);_(* \(#,##0\);_(* &quot;-&quot;??_);_(@_)">
                        <c:v>2157</c:v>
                      </c:pt>
                      <c:pt idx="150" formatCode="_(* #,##0_);_(* \(#,##0\);_(* &quot;-&quot;??_);_(@_)">
                        <c:v>1553</c:v>
                      </c:pt>
                      <c:pt idx="151" formatCode="_(* #,##0_);_(* \(#,##0\);_(* &quot;-&quot;??_);_(@_)">
                        <c:v>1363</c:v>
                      </c:pt>
                      <c:pt idx="152" formatCode="_(* #,##0_);_(* \(#,##0\);_(* &quot;-&quot;??_);_(@_)">
                        <c:v>1780</c:v>
                      </c:pt>
                      <c:pt idx="153" formatCode="_(* #,##0_);_(* \(#,##0\);_(* &quot;-&quot;??_);_(@_)">
                        <c:v>1568</c:v>
                      </c:pt>
                      <c:pt idx="154" formatCode="_(* #,##0_);_(* \(#,##0\);_(* &quot;-&quot;??_);_(@_)">
                        <c:v>1727</c:v>
                      </c:pt>
                      <c:pt idx="155" formatCode="_(* #,##0_);_(* \(#,##0\);_(* &quot;-&quot;??_);_(@_)">
                        <c:v>1580</c:v>
                      </c:pt>
                      <c:pt idx="156">
                        <c:v>1581</c:v>
                      </c:pt>
                      <c:pt idx="157">
                        <c:v>1552</c:v>
                      </c:pt>
                      <c:pt idx="158">
                        <c:v>622</c:v>
                      </c:pt>
                      <c:pt idx="159">
                        <c:v>9</c:v>
                      </c:pt>
                      <c:pt idx="160">
                        <c:v>9</c:v>
                      </c:pt>
                      <c:pt idx="161">
                        <c:v>10</c:v>
                      </c:pt>
                      <c:pt idx="162">
                        <c:v>37</c:v>
                      </c:pt>
                      <c:pt idx="163">
                        <c:v>81</c:v>
                      </c:pt>
                      <c:pt idx="164">
                        <c:v>96</c:v>
                      </c:pt>
                      <c:pt idx="165">
                        <c:v>728</c:v>
                      </c:pt>
                      <c:pt idx="166">
                        <c:v>365</c:v>
                      </c:pt>
                      <c:pt idx="167">
                        <c:v>501</c:v>
                      </c:pt>
                      <c:pt idx="168">
                        <c:v>409</c:v>
                      </c:pt>
                      <c:pt idx="169">
                        <c:v>230</c:v>
                      </c:pt>
                      <c:pt idx="170">
                        <c:v>254</c:v>
                      </c:pt>
                      <c:pt idx="171">
                        <c:v>310</c:v>
                      </c:pt>
                      <c:pt idx="172">
                        <c:v>595</c:v>
                      </c:pt>
                    </c:numCache>
                  </c:numRef>
                </c:val>
                <c:smooth val="0"/>
                <c:extLst xmlns:c15="http://schemas.microsoft.com/office/drawing/2012/chart">
                  <c:ext xmlns:c16="http://schemas.microsoft.com/office/drawing/2014/chart" uri="{C3380CC4-5D6E-409C-BE32-E72D297353CC}">
                    <c16:uniqueId val="{00000001-8ED6-4044-8E62-D67E03BE4939}"/>
                  </c:ext>
                </c:extLst>
              </c15:ser>
            </c15:filteredLineSeries>
            <c15:filteredLineSeries>
              <c15:ser>
                <c:idx val="7"/>
                <c:order val="7"/>
                <c:tx>
                  <c:strRef>
                    <c:extLst xmlns:c15="http://schemas.microsoft.com/office/drawing/2012/chart">
                      <c:ext xmlns:c15="http://schemas.microsoft.com/office/drawing/2012/chart" uri="{02D57815-91ED-43cb-92C2-25804820EDAC}">
                        <c15:formulaRef>
                          <c15:sqref>'Tendencias nacionalidad'!$C$61</c15:sqref>
                        </c15:formulaRef>
                      </c:ext>
                    </c:extLst>
                    <c:strCache>
                      <c:ptCount val="1"/>
                      <c:pt idx="0">
                        <c:v>Reino Unido</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nacionalidad'!$D$61:$GA$61</c15:sqref>
                        </c15:fullRef>
                        <c15:formulaRef>
                          <c15:sqref>'Tendencias nacionalidad'!$D$61:$FT$61</c15:sqref>
                        </c15:formulaRef>
                      </c:ext>
                    </c:extLst>
                    <c:numCache>
                      <c:formatCode>#,##0</c:formatCode>
                      <c:ptCount val="173"/>
                      <c:pt idx="0">
                        <c:v>1260</c:v>
                      </c:pt>
                      <c:pt idx="1">
                        <c:v>1276</c:v>
                      </c:pt>
                      <c:pt idx="2">
                        <c:v>1273</c:v>
                      </c:pt>
                      <c:pt idx="3">
                        <c:v>1609</c:v>
                      </c:pt>
                      <c:pt idx="4">
                        <c:v>1342</c:v>
                      </c:pt>
                      <c:pt idx="5">
                        <c:v>1217</c:v>
                      </c:pt>
                      <c:pt idx="6">
                        <c:v>2417</c:v>
                      </c:pt>
                      <c:pt idx="7">
                        <c:v>1711</c:v>
                      </c:pt>
                      <c:pt idx="8">
                        <c:v>1389</c:v>
                      </c:pt>
                      <c:pt idx="9">
                        <c:v>1689</c:v>
                      </c:pt>
                      <c:pt idx="10">
                        <c:v>1780</c:v>
                      </c:pt>
                      <c:pt idx="11">
                        <c:v>1105</c:v>
                      </c:pt>
                      <c:pt idx="12">
                        <c:v>1501</c:v>
                      </c:pt>
                      <c:pt idx="13">
                        <c:v>2067</c:v>
                      </c:pt>
                      <c:pt idx="14">
                        <c:v>1748</c:v>
                      </c:pt>
                      <c:pt idx="15">
                        <c:v>1878</c:v>
                      </c:pt>
                      <c:pt idx="16">
                        <c:v>1744</c:v>
                      </c:pt>
                      <c:pt idx="17">
                        <c:v>1450</c:v>
                      </c:pt>
                      <c:pt idx="18">
                        <c:v>2185</c:v>
                      </c:pt>
                      <c:pt idx="19">
                        <c:v>1787</c:v>
                      </c:pt>
                      <c:pt idx="20">
                        <c:v>1529</c:v>
                      </c:pt>
                      <c:pt idx="21">
                        <c:v>1653</c:v>
                      </c:pt>
                      <c:pt idx="22">
                        <c:v>1668</c:v>
                      </c:pt>
                      <c:pt idx="23">
                        <c:v>1114</c:v>
                      </c:pt>
                      <c:pt idx="24">
                        <c:v>1499</c:v>
                      </c:pt>
                      <c:pt idx="25">
                        <c:v>1325</c:v>
                      </c:pt>
                      <c:pt idx="26">
                        <c:v>1263</c:v>
                      </c:pt>
                      <c:pt idx="27">
                        <c:v>1502</c:v>
                      </c:pt>
                      <c:pt idx="28">
                        <c:v>1439.5</c:v>
                      </c:pt>
                      <c:pt idx="29">
                        <c:v>1377</c:v>
                      </c:pt>
                      <c:pt idx="30">
                        <c:v>2221</c:v>
                      </c:pt>
                      <c:pt idx="31">
                        <c:v>1438</c:v>
                      </c:pt>
                      <c:pt idx="32">
                        <c:v>1140</c:v>
                      </c:pt>
                      <c:pt idx="33">
                        <c:v>1561</c:v>
                      </c:pt>
                      <c:pt idx="34">
                        <c:v>1508</c:v>
                      </c:pt>
                      <c:pt idx="35">
                        <c:v>1164</c:v>
                      </c:pt>
                      <c:pt idx="36">
                        <c:v>1064</c:v>
                      </c:pt>
                      <c:pt idx="37">
                        <c:v>994</c:v>
                      </c:pt>
                      <c:pt idx="38">
                        <c:v>1080</c:v>
                      </c:pt>
                      <c:pt idx="39">
                        <c:v>1258</c:v>
                      </c:pt>
                      <c:pt idx="40">
                        <c:v>1059</c:v>
                      </c:pt>
                      <c:pt idx="41">
                        <c:v>1091</c:v>
                      </c:pt>
                      <c:pt idx="42">
                        <c:v>2091</c:v>
                      </c:pt>
                      <c:pt idx="43">
                        <c:v>1225</c:v>
                      </c:pt>
                      <c:pt idx="44">
                        <c:v>975</c:v>
                      </c:pt>
                      <c:pt idx="45">
                        <c:v>1230</c:v>
                      </c:pt>
                      <c:pt idx="46">
                        <c:v>1152</c:v>
                      </c:pt>
                      <c:pt idx="47">
                        <c:v>925</c:v>
                      </c:pt>
                      <c:pt idx="48">
                        <c:v>1025</c:v>
                      </c:pt>
                      <c:pt idx="49">
                        <c:v>900</c:v>
                      </c:pt>
                      <c:pt idx="50">
                        <c:v>988</c:v>
                      </c:pt>
                      <c:pt idx="51">
                        <c:v>1272</c:v>
                      </c:pt>
                      <c:pt idx="52">
                        <c:v>1126</c:v>
                      </c:pt>
                      <c:pt idx="53">
                        <c:v>1015</c:v>
                      </c:pt>
                      <c:pt idx="54">
                        <c:v>2074</c:v>
                      </c:pt>
                      <c:pt idx="55">
                        <c:v>1207</c:v>
                      </c:pt>
                      <c:pt idx="56">
                        <c:v>944</c:v>
                      </c:pt>
                      <c:pt idx="57">
                        <c:v>1417</c:v>
                      </c:pt>
                      <c:pt idx="58">
                        <c:v>1382</c:v>
                      </c:pt>
                      <c:pt idx="59">
                        <c:v>934</c:v>
                      </c:pt>
                      <c:pt idx="60">
                        <c:v>898</c:v>
                      </c:pt>
                      <c:pt idx="61">
                        <c:v>919</c:v>
                      </c:pt>
                      <c:pt idx="62">
                        <c:v>1062</c:v>
                      </c:pt>
                      <c:pt idx="63">
                        <c:v>1197</c:v>
                      </c:pt>
                      <c:pt idx="64">
                        <c:v>1156</c:v>
                      </c:pt>
                      <c:pt idx="65">
                        <c:v>1051</c:v>
                      </c:pt>
                      <c:pt idx="66">
                        <c:v>1995</c:v>
                      </c:pt>
                      <c:pt idx="67">
                        <c:v>1140</c:v>
                      </c:pt>
                      <c:pt idx="68">
                        <c:v>909</c:v>
                      </c:pt>
                      <c:pt idx="69">
                        <c:v>1154</c:v>
                      </c:pt>
                      <c:pt idx="70">
                        <c:v>1295</c:v>
                      </c:pt>
                      <c:pt idx="71">
                        <c:v>1103</c:v>
                      </c:pt>
                      <c:pt idx="72">
                        <c:v>1090</c:v>
                      </c:pt>
                      <c:pt idx="73">
                        <c:v>977</c:v>
                      </c:pt>
                      <c:pt idx="74">
                        <c:v>1157</c:v>
                      </c:pt>
                      <c:pt idx="75">
                        <c:v>1135</c:v>
                      </c:pt>
                      <c:pt idx="76">
                        <c:v>1253</c:v>
                      </c:pt>
                      <c:pt idx="77">
                        <c:v>1120</c:v>
                      </c:pt>
                      <c:pt idx="78">
                        <c:v>2381</c:v>
                      </c:pt>
                      <c:pt idx="79">
                        <c:v>1417</c:v>
                      </c:pt>
                      <c:pt idx="80">
                        <c:v>1070</c:v>
                      </c:pt>
                      <c:pt idx="81">
                        <c:v>1403</c:v>
                      </c:pt>
                      <c:pt idx="82">
                        <c:v>1588</c:v>
                      </c:pt>
                      <c:pt idx="83">
                        <c:v>935</c:v>
                      </c:pt>
                      <c:pt idx="84">
                        <c:v>1166</c:v>
                      </c:pt>
                      <c:pt idx="85">
                        <c:v>1197</c:v>
                      </c:pt>
                      <c:pt idx="86">
                        <c:v>1218</c:v>
                      </c:pt>
                      <c:pt idx="87">
                        <c:v>1543</c:v>
                      </c:pt>
                      <c:pt idx="88">
                        <c:v>1497</c:v>
                      </c:pt>
                      <c:pt idx="89">
                        <c:v>1386</c:v>
                      </c:pt>
                      <c:pt idx="90">
                        <c:v>2484</c:v>
                      </c:pt>
                      <c:pt idx="91">
                        <c:v>1411</c:v>
                      </c:pt>
                      <c:pt idx="92">
                        <c:v>1179</c:v>
                      </c:pt>
                      <c:pt idx="93">
                        <c:v>1580</c:v>
                      </c:pt>
                      <c:pt idx="94">
                        <c:v>1532</c:v>
                      </c:pt>
                      <c:pt idx="95">
                        <c:v>1130</c:v>
                      </c:pt>
                      <c:pt idx="96">
                        <c:v>1217</c:v>
                      </c:pt>
                      <c:pt idx="97">
                        <c:v>1190</c:v>
                      </c:pt>
                      <c:pt idx="98">
                        <c:v>1225</c:v>
                      </c:pt>
                      <c:pt idx="99">
                        <c:v>1363</c:v>
                      </c:pt>
                      <c:pt idx="100">
                        <c:v>1425</c:v>
                      </c:pt>
                      <c:pt idx="101">
                        <c:v>1441</c:v>
                      </c:pt>
                      <c:pt idx="102">
                        <c:v>2802</c:v>
                      </c:pt>
                      <c:pt idx="103">
                        <c:v>1381</c:v>
                      </c:pt>
                      <c:pt idx="104">
                        <c:v>1092</c:v>
                      </c:pt>
                      <c:pt idx="105">
                        <c:v>1519</c:v>
                      </c:pt>
                      <c:pt idx="106">
                        <c:v>1658</c:v>
                      </c:pt>
                      <c:pt idx="107">
                        <c:v>1266</c:v>
                      </c:pt>
                      <c:pt idx="108">
                        <c:v>1300</c:v>
                      </c:pt>
                      <c:pt idx="109">
                        <c:v>1442</c:v>
                      </c:pt>
                      <c:pt idx="110">
                        <c:v>1528</c:v>
                      </c:pt>
                      <c:pt idx="111">
                        <c:v>1307</c:v>
                      </c:pt>
                      <c:pt idx="112">
                        <c:v>1382</c:v>
                      </c:pt>
                      <c:pt idx="113">
                        <c:v>1465</c:v>
                      </c:pt>
                      <c:pt idx="114">
                        <c:v>2920</c:v>
                      </c:pt>
                      <c:pt idx="115">
                        <c:v>1383</c:v>
                      </c:pt>
                      <c:pt idx="116" formatCode="General">
                        <c:v>1079</c:v>
                      </c:pt>
                      <c:pt idx="117">
                        <c:v>1606</c:v>
                      </c:pt>
                      <c:pt idx="118">
                        <c:v>1282</c:v>
                      </c:pt>
                      <c:pt idx="119">
                        <c:v>964</c:v>
                      </c:pt>
                      <c:pt idx="120">
                        <c:v>1117</c:v>
                      </c:pt>
                      <c:pt idx="121">
                        <c:v>1160</c:v>
                      </c:pt>
                      <c:pt idx="122">
                        <c:v>1175</c:v>
                      </c:pt>
                      <c:pt idx="123">
                        <c:v>1542</c:v>
                      </c:pt>
                      <c:pt idx="124">
                        <c:v>1184</c:v>
                      </c:pt>
                      <c:pt idx="125">
                        <c:v>1335</c:v>
                      </c:pt>
                      <c:pt idx="126">
                        <c:v>2297</c:v>
                      </c:pt>
                      <c:pt idx="127">
                        <c:v>1142</c:v>
                      </c:pt>
                      <c:pt idx="128">
                        <c:v>1058</c:v>
                      </c:pt>
                      <c:pt idx="129">
                        <c:v>1309</c:v>
                      </c:pt>
                      <c:pt idx="130">
                        <c:v>1336</c:v>
                      </c:pt>
                      <c:pt idx="131">
                        <c:v>1167</c:v>
                      </c:pt>
                      <c:pt idx="132">
                        <c:v>1254</c:v>
                      </c:pt>
                      <c:pt idx="133">
                        <c:v>1291</c:v>
                      </c:pt>
                      <c:pt idx="134">
                        <c:v>1485</c:v>
                      </c:pt>
                      <c:pt idx="135">
                        <c:v>1293</c:v>
                      </c:pt>
                      <c:pt idx="136">
                        <c:v>1573</c:v>
                      </c:pt>
                      <c:pt idx="137">
                        <c:v>1297</c:v>
                      </c:pt>
                      <c:pt idx="138">
                        <c:v>2452</c:v>
                      </c:pt>
                      <c:pt idx="139">
                        <c:v>1513</c:v>
                      </c:pt>
                      <c:pt idx="140">
                        <c:v>1089</c:v>
                      </c:pt>
                      <c:pt idx="141">
                        <c:v>1329</c:v>
                      </c:pt>
                      <c:pt idx="142">
                        <c:v>1462</c:v>
                      </c:pt>
                      <c:pt idx="143">
                        <c:v>1313</c:v>
                      </c:pt>
                      <c:pt idx="144" formatCode="_(* #,##0_);_(* \(#,##0\);_(* &quot;-&quot;??_);_(@_)">
                        <c:v>1244</c:v>
                      </c:pt>
                      <c:pt idx="145">
                        <c:v>1234</c:v>
                      </c:pt>
                      <c:pt idx="146">
                        <c:v>1311</c:v>
                      </c:pt>
                      <c:pt idx="147">
                        <c:v>1662</c:v>
                      </c:pt>
                      <c:pt idx="148" formatCode="_(* #,##0_);_(* \(#,##0\);_(* &quot;-&quot;??_);_(@_)">
                        <c:v>1707</c:v>
                      </c:pt>
                      <c:pt idx="149" formatCode="_(* #,##0_);_(* \(#,##0\);_(* &quot;-&quot;??_);_(@_)">
                        <c:v>1425</c:v>
                      </c:pt>
                      <c:pt idx="150" formatCode="_(* #,##0_);_(* \(#,##0\);_(* &quot;-&quot;??_);_(@_)">
                        <c:v>2786</c:v>
                      </c:pt>
                      <c:pt idx="151" formatCode="_(* #,##0_);_(* \(#,##0\);_(* &quot;-&quot;??_);_(@_)">
                        <c:v>1489</c:v>
                      </c:pt>
                      <c:pt idx="152" formatCode="_(* #,##0_);_(* \(#,##0\);_(* &quot;-&quot;??_);_(@_)">
                        <c:v>1465</c:v>
                      </c:pt>
                      <c:pt idx="153" formatCode="_(* #,##0_);_(* \(#,##0\);_(* &quot;-&quot;??_);_(@_)">
                        <c:v>1380</c:v>
                      </c:pt>
                      <c:pt idx="154" formatCode="_(* #,##0_);_(* \(#,##0\);_(* &quot;-&quot;??_);_(@_)">
                        <c:v>1705</c:v>
                      </c:pt>
                      <c:pt idx="155" formatCode="_(* #,##0_);_(* \(#,##0\);_(* &quot;-&quot;??_);_(@_)">
                        <c:v>1455</c:v>
                      </c:pt>
                      <c:pt idx="156">
                        <c:v>1574</c:v>
                      </c:pt>
                      <c:pt idx="157">
                        <c:v>1589</c:v>
                      </c:pt>
                      <c:pt idx="158">
                        <c:v>625</c:v>
                      </c:pt>
                      <c:pt idx="159">
                        <c:v>10</c:v>
                      </c:pt>
                      <c:pt idx="160">
                        <c:v>13</c:v>
                      </c:pt>
                      <c:pt idx="161">
                        <c:v>43</c:v>
                      </c:pt>
                      <c:pt idx="162">
                        <c:v>111</c:v>
                      </c:pt>
                      <c:pt idx="163">
                        <c:v>75</c:v>
                      </c:pt>
                      <c:pt idx="164">
                        <c:v>83</c:v>
                      </c:pt>
                      <c:pt idx="165">
                        <c:v>144</c:v>
                      </c:pt>
                      <c:pt idx="166">
                        <c:v>168</c:v>
                      </c:pt>
                      <c:pt idx="167">
                        <c:v>209</c:v>
                      </c:pt>
                      <c:pt idx="168">
                        <c:v>127</c:v>
                      </c:pt>
                      <c:pt idx="169">
                        <c:v>84</c:v>
                      </c:pt>
                      <c:pt idx="170">
                        <c:v>106</c:v>
                      </c:pt>
                      <c:pt idx="171">
                        <c:v>88</c:v>
                      </c:pt>
                      <c:pt idx="172">
                        <c:v>97</c:v>
                      </c:pt>
                    </c:numCache>
                  </c:numRef>
                </c:val>
                <c:smooth val="0"/>
                <c:extLst xmlns:c15="http://schemas.microsoft.com/office/drawing/2012/chart">
                  <c:ext xmlns:c16="http://schemas.microsoft.com/office/drawing/2014/chart" uri="{C3380CC4-5D6E-409C-BE32-E72D297353CC}">
                    <c16:uniqueId val="{0000000A-8ED6-4044-8E62-D67E03BE4939}"/>
                  </c:ext>
                </c:extLst>
              </c15:ser>
            </c15:filteredLineSeries>
            <c15:filteredLineSeries>
              <c15:ser>
                <c:idx val="8"/>
                <c:order val="8"/>
                <c:tx>
                  <c:strRef>
                    <c:extLst xmlns:c15="http://schemas.microsoft.com/office/drawing/2012/chart">
                      <c:ext xmlns:c15="http://schemas.microsoft.com/office/drawing/2012/chart" uri="{02D57815-91ED-43cb-92C2-25804820EDAC}">
                        <c15:formulaRef>
                          <c15:sqref>'Tendencias nacionalidad'!$C$62</c15:sqref>
                        </c15:formulaRef>
                      </c:ext>
                    </c:extLst>
                    <c:strCache>
                      <c:ptCount val="1"/>
                      <c:pt idx="0">
                        <c:v>Argentina</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nacionalidad'!$D$62:$GA$62</c15:sqref>
                        </c15:fullRef>
                        <c15:formulaRef>
                          <c15:sqref>'Tendencias nacionalidad'!$D$62:$FT$62</c15:sqref>
                        </c15:formulaRef>
                      </c:ext>
                    </c:extLst>
                    <c:numCache>
                      <c:formatCode>#,##0</c:formatCode>
                      <c:ptCount val="173"/>
                      <c:pt idx="0">
                        <c:v>789</c:v>
                      </c:pt>
                      <c:pt idx="1">
                        <c:v>633</c:v>
                      </c:pt>
                      <c:pt idx="2">
                        <c:v>790</c:v>
                      </c:pt>
                      <c:pt idx="3">
                        <c:v>531</c:v>
                      </c:pt>
                      <c:pt idx="4">
                        <c:v>677</c:v>
                      </c:pt>
                      <c:pt idx="5">
                        <c:v>720</c:v>
                      </c:pt>
                      <c:pt idx="6">
                        <c:v>840</c:v>
                      </c:pt>
                      <c:pt idx="7">
                        <c:v>638</c:v>
                      </c:pt>
                      <c:pt idx="8">
                        <c:v>799</c:v>
                      </c:pt>
                      <c:pt idx="9">
                        <c:v>895</c:v>
                      </c:pt>
                      <c:pt idx="10">
                        <c:v>815</c:v>
                      </c:pt>
                      <c:pt idx="11">
                        <c:v>556</c:v>
                      </c:pt>
                      <c:pt idx="12">
                        <c:v>877</c:v>
                      </c:pt>
                      <c:pt idx="13">
                        <c:v>1083</c:v>
                      </c:pt>
                      <c:pt idx="14">
                        <c:v>783</c:v>
                      </c:pt>
                      <c:pt idx="15">
                        <c:v>893</c:v>
                      </c:pt>
                      <c:pt idx="16">
                        <c:v>1008</c:v>
                      </c:pt>
                      <c:pt idx="17">
                        <c:v>891</c:v>
                      </c:pt>
                      <c:pt idx="18">
                        <c:v>1034</c:v>
                      </c:pt>
                      <c:pt idx="19">
                        <c:v>977</c:v>
                      </c:pt>
                      <c:pt idx="20">
                        <c:v>828</c:v>
                      </c:pt>
                      <c:pt idx="21">
                        <c:v>1198</c:v>
                      </c:pt>
                      <c:pt idx="22">
                        <c:v>1047</c:v>
                      </c:pt>
                      <c:pt idx="23">
                        <c:v>774</c:v>
                      </c:pt>
                      <c:pt idx="24">
                        <c:v>1114</c:v>
                      </c:pt>
                      <c:pt idx="25">
                        <c:v>722</c:v>
                      </c:pt>
                      <c:pt idx="26">
                        <c:v>846</c:v>
                      </c:pt>
                      <c:pt idx="27">
                        <c:v>796</c:v>
                      </c:pt>
                      <c:pt idx="28">
                        <c:v>856</c:v>
                      </c:pt>
                      <c:pt idx="29">
                        <c:v>916</c:v>
                      </c:pt>
                      <c:pt idx="30">
                        <c:v>901</c:v>
                      </c:pt>
                      <c:pt idx="31">
                        <c:v>883</c:v>
                      </c:pt>
                      <c:pt idx="32">
                        <c:v>875</c:v>
                      </c:pt>
                      <c:pt idx="33">
                        <c:v>977</c:v>
                      </c:pt>
                      <c:pt idx="34">
                        <c:v>967</c:v>
                      </c:pt>
                      <c:pt idx="35">
                        <c:v>772</c:v>
                      </c:pt>
                      <c:pt idx="36">
                        <c:v>1396</c:v>
                      </c:pt>
                      <c:pt idx="37">
                        <c:v>1205</c:v>
                      </c:pt>
                      <c:pt idx="38">
                        <c:v>912</c:v>
                      </c:pt>
                      <c:pt idx="39">
                        <c:v>908</c:v>
                      </c:pt>
                      <c:pt idx="40">
                        <c:v>967</c:v>
                      </c:pt>
                      <c:pt idx="41">
                        <c:v>882</c:v>
                      </c:pt>
                      <c:pt idx="42">
                        <c:v>1056</c:v>
                      </c:pt>
                      <c:pt idx="43">
                        <c:v>1101</c:v>
                      </c:pt>
                      <c:pt idx="44">
                        <c:v>976</c:v>
                      </c:pt>
                      <c:pt idx="45">
                        <c:v>1462</c:v>
                      </c:pt>
                      <c:pt idx="46">
                        <c:v>1545</c:v>
                      </c:pt>
                      <c:pt idx="47">
                        <c:v>986</c:v>
                      </c:pt>
                      <c:pt idx="48">
                        <c:v>1718</c:v>
                      </c:pt>
                      <c:pt idx="49">
                        <c:v>934</c:v>
                      </c:pt>
                      <c:pt idx="50">
                        <c:v>1091</c:v>
                      </c:pt>
                      <c:pt idx="51">
                        <c:v>1046</c:v>
                      </c:pt>
                      <c:pt idx="52">
                        <c:v>1461</c:v>
                      </c:pt>
                      <c:pt idx="53">
                        <c:v>1069</c:v>
                      </c:pt>
                      <c:pt idx="54">
                        <c:v>1551</c:v>
                      </c:pt>
                      <c:pt idx="55">
                        <c:v>1104</c:v>
                      </c:pt>
                      <c:pt idx="56">
                        <c:v>1190</c:v>
                      </c:pt>
                      <c:pt idx="57">
                        <c:v>1136</c:v>
                      </c:pt>
                      <c:pt idx="58">
                        <c:v>1275</c:v>
                      </c:pt>
                      <c:pt idx="59">
                        <c:v>1310</c:v>
                      </c:pt>
                      <c:pt idx="60">
                        <c:v>1784</c:v>
                      </c:pt>
                      <c:pt idx="61">
                        <c:v>1322</c:v>
                      </c:pt>
                      <c:pt idx="62">
                        <c:v>1395</c:v>
                      </c:pt>
                      <c:pt idx="63">
                        <c:v>1235</c:v>
                      </c:pt>
                      <c:pt idx="64">
                        <c:v>1315</c:v>
                      </c:pt>
                      <c:pt idx="65">
                        <c:v>1332</c:v>
                      </c:pt>
                      <c:pt idx="66">
                        <c:v>1518</c:v>
                      </c:pt>
                      <c:pt idx="67">
                        <c:v>1259</c:v>
                      </c:pt>
                      <c:pt idx="68">
                        <c:v>1472</c:v>
                      </c:pt>
                      <c:pt idx="69">
                        <c:v>1367</c:v>
                      </c:pt>
                      <c:pt idx="70">
                        <c:v>1601</c:v>
                      </c:pt>
                      <c:pt idx="71">
                        <c:v>1254</c:v>
                      </c:pt>
                      <c:pt idx="72">
                        <c:v>1879</c:v>
                      </c:pt>
                      <c:pt idx="73">
                        <c:v>1503</c:v>
                      </c:pt>
                      <c:pt idx="74">
                        <c:v>1512</c:v>
                      </c:pt>
                      <c:pt idx="75">
                        <c:v>1260</c:v>
                      </c:pt>
                      <c:pt idx="76">
                        <c:v>1274</c:v>
                      </c:pt>
                      <c:pt idx="77">
                        <c:v>1581</c:v>
                      </c:pt>
                      <c:pt idx="78">
                        <c:v>1834</c:v>
                      </c:pt>
                      <c:pt idx="79">
                        <c:v>1236</c:v>
                      </c:pt>
                      <c:pt idx="80">
                        <c:v>1466</c:v>
                      </c:pt>
                      <c:pt idx="81">
                        <c:v>1369</c:v>
                      </c:pt>
                      <c:pt idx="82">
                        <c:v>1577</c:v>
                      </c:pt>
                      <c:pt idx="83">
                        <c:v>2187</c:v>
                      </c:pt>
                      <c:pt idx="84">
                        <c:v>3220</c:v>
                      </c:pt>
                      <c:pt idx="85">
                        <c:v>2071</c:v>
                      </c:pt>
                      <c:pt idx="86">
                        <c:v>1743</c:v>
                      </c:pt>
                      <c:pt idx="87">
                        <c:v>1363</c:v>
                      </c:pt>
                      <c:pt idx="88">
                        <c:v>1349</c:v>
                      </c:pt>
                      <c:pt idx="89">
                        <c:v>1063</c:v>
                      </c:pt>
                      <c:pt idx="90">
                        <c:v>1787</c:v>
                      </c:pt>
                      <c:pt idx="91">
                        <c:v>1326</c:v>
                      </c:pt>
                      <c:pt idx="92">
                        <c:v>1425</c:v>
                      </c:pt>
                      <c:pt idx="93">
                        <c:v>1500</c:v>
                      </c:pt>
                      <c:pt idx="94">
                        <c:v>1769</c:v>
                      </c:pt>
                      <c:pt idx="95">
                        <c:v>2090</c:v>
                      </c:pt>
                      <c:pt idx="96">
                        <c:v>3295</c:v>
                      </c:pt>
                      <c:pt idx="97">
                        <c:v>2310</c:v>
                      </c:pt>
                      <c:pt idx="98">
                        <c:v>2105</c:v>
                      </c:pt>
                      <c:pt idx="99">
                        <c:v>1992</c:v>
                      </c:pt>
                      <c:pt idx="100">
                        <c:v>1818</c:v>
                      </c:pt>
                      <c:pt idx="101">
                        <c:v>1519</c:v>
                      </c:pt>
                      <c:pt idx="102">
                        <c:v>2089</c:v>
                      </c:pt>
                      <c:pt idx="103">
                        <c:v>1660</c:v>
                      </c:pt>
                      <c:pt idx="104">
                        <c:v>1946</c:v>
                      </c:pt>
                      <c:pt idx="105">
                        <c:v>1568</c:v>
                      </c:pt>
                      <c:pt idx="106">
                        <c:v>1851</c:v>
                      </c:pt>
                      <c:pt idx="107">
                        <c:v>2065</c:v>
                      </c:pt>
                      <c:pt idx="108">
                        <c:v>3139</c:v>
                      </c:pt>
                      <c:pt idx="109">
                        <c:v>2105</c:v>
                      </c:pt>
                      <c:pt idx="110">
                        <c:v>1755</c:v>
                      </c:pt>
                      <c:pt idx="111">
                        <c:v>1363</c:v>
                      </c:pt>
                      <c:pt idx="112">
                        <c:v>1165</c:v>
                      </c:pt>
                      <c:pt idx="113">
                        <c:v>1203</c:v>
                      </c:pt>
                      <c:pt idx="114">
                        <c:v>1589</c:v>
                      </c:pt>
                      <c:pt idx="115">
                        <c:v>910</c:v>
                      </c:pt>
                      <c:pt idx="116" formatCode="General">
                        <c:v>1071</c:v>
                      </c:pt>
                      <c:pt idx="117">
                        <c:v>1410</c:v>
                      </c:pt>
                      <c:pt idx="118">
                        <c:v>1145</c:v>
                      </c:pt>
                      <c:pt idx="119">
                        <c:v>1173</c:v>
                      </c:pt>
                      <c:pt idx="120">
                        <c:v>2221</c:v>
                      </c:pt>
                      <c:pt idx="121">
                        <c:v>1653</c:v>
                      </c:pt>
                      <c:pt idx="122">
                        <c:v>1131</c:v>
                      </c:pt>
                      <c:pt idx="123">
                        <c:v>1119</c:v>
                      </c:pt>
                      <c:pt idx="124">
                        <c:v>1057</c:v>
                      </c:pt>
                      <c:pt idx="125">
                        <c:v>1011</c:v>
                      </c:pt>
                      <c:pt idx="126">
                        <c:v>1532</c:v>
                      </c:pt>
                      <c:pt idx="127">
                        <c:v>1043</c:v>
                      </c:pt>
                      <c:pt idx="128">
                        <c:v>1075</c:v>
                      </c:pt>
                      <c:pt idx="129">
                        <c:v>1444</c:v>
                      </c:pt>
                      <c:pt idx="130">
                        <c:v>1289</c:v>
                      </c:pt>
                      <c:pt idx="131">
                        <c:v>1447</c:v>
                      </c:pt>
                      <c:pt idx="132">
                        <c:v>1936</c:v>
                      </c:pt>
                      <c:pt idx="133">
                        <c:v>1243</c:v>
                      </c:pt>
                      <c:pt idx="134">
                        <c:v>1312</c:v>
                      </c:pt>
                      <c:pt idx="135">
                        <c:v>1222</c:v>
                      </c:pt>
                      <c:pt idx="136">
                        <c:v>1260</c:v>
                      </c:pt>
                      <c:pt idx="137">
                        <c:v>1287</c:v>
                      </c:pt>
                      <c:pt idx="138">
                        <c:v>1555</c:v>
                      </c:pt>
                      <c:pt idx="139">
                        <c:v>855</c:v>
                      </c:pt>
                      <c:pt idx="140">
                        <c:v>1160</c:v>
                      </c:pt>
                      <c:pt idx="141">
                        <c:v>1155</c:v>
                      </c:pt>
                      <c:pt idx="142">
                        <c:v>1121</c:v>
                      </c:pt>
                      <c:pt idx="143">
                        <c:v>1093</c:v>
                      </c:pt>
                      <c:pt idx="144" formatCode="_(* #,##0_);_(* \(#,##0\);_(* &quot;-&quot;??_);_(@_)">
                        <c:v>1355</c:v>
                      </c:pt>
                      <c:pt idx="145">
                        <c:v>948</c:v>
                      </c:pt>
                      <c:pt idx="146">
                        <c:v>998</c:v>
                      </c:pt>
                      <c:pt idx="147">
                        <c:v>1768</c:v>
                      </c:pt>
                      <c:pt idx="148" formatCode="_(* #,##0_);_(* \(#,##0\);_(* &quot;-&quot;??_);_(@_)">
                        <c:v>1123</c:v>
                      </c:pt>
                      <c:pt idx="149" formatCode="_(* #,##0_);_(* \(#,##0\);_(* &quot;-&quot;??_);_(@_)">
                        <c:v>1251</c:v>
                      </c:pt>
                      <c:pt idx="150" formatCode="_(* #,##0_);_(* \(#,##0\);_(* &quot;-&quot;??_);_(@_)">
                        <c:v>1375</c:v>
                      </c:pt>
                      <c:pt idx="151" formatCode="_(* #,##0_);_(* \(#,##0\);_(* &quot;-&quot;??_);_(@_)">
                        <c:v>1547</c:v>
                      </c:pt>
                      <c:pt idx="152" formatCode="_(* #,##0_);_(* \(#,##0\);_(* &quot;-&quot;??_);_(@_)">
                        <c:v>1387</c:v>
                      </c:pt>
                      <c:pt idx="153" formatCode="_(* #,##0_);_(* \(#,##0\);_(* &quot;-&quot;??_);_(@_)">
                        <c:v>1045</c:v>
                      </c:pt>
                      <c:pt idx="154" formatCode="_(* #,##0_);_(* \(#,##0\);_(* &quot;-&quot;??_);_(@_)">
                        <c:v>1297</c:v>
                      </c:pt>
                      <c:pt idx="155" formatCode="_(* #,##0_);_(* \(#,##0\);_(* &quot;-&quot;??_);_(@_)">
                        <c:v>1336</c:v>
                      </c:pt>
                      <c:pt idx="156">
                        <c:v>1535</c:v>
                      </c:pt>
                      <c:pt idx="157">
                        <c:v>1245</c:v>
                      </c:pt>
                      <c:pt idx="158">
                        <c:v>601</c:v>
                      </c:pt>
                      <c:pt idx="159">
                        <c:v>8</c:v>
                      </c:pt>
                      <c:pt idx="160">
                        <c:v>13</c:v>
                      </c:pt>
                      <c:pt idx="161">
                        <c:v>16</c:v>
                      </c:pt>
                      <c:pt idx="162">
                        <c:v>20</c:v>
                      </c:pt>
                      <c:pt idx="163">
                        <c:v>18</c:v>
                      </c:pt>
                      <c:pt idx="164">
                        <c:v>66</c:v>
                      </c:pt>
                      <c:pt idx="165">
                        <c:v>114</c:v>
                      </c:pt>
                      <c:pt idx="166">
                        <c:v>147</c:v>
                      </c:pt>
                      <c:pt idx="167">
                        <c:v>285</c:v>
                      </c:pt>
                      <c:pt idx="168">
                        <c:v>391</c:v>
                      </c:pt>
                      <c:pt idx="169">
                        <c:v>262</c:v>
                      </c:pt>
                      <c:pt idx="170">
                        <c:v>281</c:v>
                      </c:pt>
                      <c:pt idx="171">
                        <c:v>217</c:v>
                      </c:pt>
                      <c:pt idx="172">
                        <c:v>229</c:v>
                      </c:pt>
                    </c:numCache>
                  </c:numRef>
                </c:val>
                <c:smooth val="0"/>
                <c:extLst xmlns:c15="http://schemas.microsoft.com/office/drawing/2012/chart">
                  <c:ext xmlns:c16="http://schemas.microsoft.com/office/drawing/2014/chart" uri="{C3380CC4-5D6E-409C-BE32-E72D297353CC}">
                    <c16:uniqueId val="{00000002-8ED6-4044-8E62-D67E03BE4939}"/>
                  </c:ext>
                </c:extLst>
              </c15:ser>
            </c15:filteredLineSeries>
            <c15:filteredLineSeries>
              <c15:ser>
                <c:idx val="9"/>
                <c:order val="9"/>
                <c:tx>
                  <c:strRef>
                    <c:extLst xmlns:c15="http://schemas.microsoft.com/office/drawing/2012/chart">
                      <c:ext xmlns:c15="http://schemas.microsoft.com/office/drawing/2012/chart" uri="{02D57815-91ED-43cb-92C2-25804820EDAC}">
                        <c15:formulaRef>
                          <c15:sqref>'Tendencias nacionalidad'!$C$63</c15:sqref>
                        </c15:formulaRef>
                      </c:ext>
                    </c:extLst>
                    <c:strCache>
                      <c:ptCount val="1"/>
                      <c:pt idx="0">
                        <c:v>Francia</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nacionalidad'!$D$63:$GA$63</c15:sqref>
                        </c15:fullRef>
                        <c15:formulaRef>
                          <c15:sqref>'Tendencias nacionalidad'!$D$63:$FT$63</c15:sqref>
                        </c15:formulaRef>
                      </c:ext>
                    </c:extLst>
                    <c:numCache>
                      <c:formatCode>#,##0</c:formatCode>
                      <c:ptCount val="173"/>
                      <c:pt idx="0">
                        <c:v>543</c:v>
                      </c:pt>
                      <c:pt idx="1">
                        <c:v>685</c:v>
                      </c:pt>
                      <c:pt idx="2">
                        <c:v>788</c:v>
                      </c:pt>
                      <c:pt idx="3">
                        <c:v>824</c:v>
                      </c:pt>
                      <c:pt idx="4">
                        <c:v>704</c:v>
                      </c:pt>
                      <c:pt idx="5">
                        <c:v>744</c:v>
                      </c:pt>
                      <c:pt idx="6">
                        <c:v>1339</c:v>
                      </c:pt>
                      <c:pt idx="7">
                        <c:v>1363</c:v>
                      </c:pt>
                      <c:pt idx="8">
                        <c:v>964</c:v>
                      </c:pt>
                      <c:pt idx="9">
                        <c:v>1261</c:v>
                      </c:pt>
                      <c:pt idx="10">
                        <c:v>1037</c:v>
                      </c:pt>
                      <c:pt idx="11">
                        <c:v>669</c:v>
                      </c:pt>
                      <c:pt idx="12">
                        <c:v>824</c:v>
                      </c:pt>
                      <c:pt idx="13">
                        <c:v>1149</c:v>
                      </c:pt>
                      <c:pt idx="14">
                        <c:v>823</c:v>
                      </c:pt>
                      <c:pt idx="15">
                        <c:v>1148</c:v>
                      </c:pt>
                      <c:pt idx="16">
                        <c:v>934</c:v>
                      </c:pt>
                      <c:pt idx="17">
                        <c:v>975</c:v>
                      </c:pt>
                      <c:pt idx="18">
                        <c:v>1638</c:v>
                      </c:pt>
                      <c:pt idx="19">
                        <c:v>1653</c:v>
                      </c:pt>
                      <c:pt idx="20">
                        <c:v>1093</c:v>
                      </c:pt>
                      <c:pt idx="21">
                        <c:v>1377</c:v>
                      </c:pt>
                      <c:pt idx="22">
                        <c:v>1200</c:v>
                      </c:pt>
                      <c:pt idx="23">
                        <c:v>673</c:v>
                      </c:pt>
                      <c:pt idx="24">
                        <c:v>983</c:v>
                      </c:pt>
                      <c:pt idx="25">
                        <c:v>1015</c:v>
                      </c:pt>
                      <c:pt idx="26">
                        <c:v>796</c:v>
                      </c:pt>
                      <c:pt idx="27">
                        <c:v>1016</c:v>
                      </c:pt>
                      <c:pt idx="28">
                        <c:v>965</c:v>
                      </c:pt>
                      <c:pt idx="29">
                        <c:v>914</c:v>
                      </c:pt>
                      <c:pt idx="30">
                        <c:v>1694</c:v>
                      </c:pt>
                      <c:pt idx="31">
                        <c:v>1736</c:v>
                      </c:pt>
                      <c:pt idx="32">
                        <c:v>1131</c:v>
                      </c:pt>
                      <c:pt idx="33">
                        <c:v>1386</c:v>
                      </c:pt>
                      <c:pt idx="34">
                        <c:v>1175</c:v>
                      </c:pt>
                      <c:pt idx="35">
                        <c:v>749</c:v>
                      </c:pt>
                      <c:pt idx="36">
                        <c:v>742</c:v>
                      </c:pt>
                      <c:pt idx="37">
                        <c:v>833</c:v>
                      </c:pt>
                      <c:pt idx="38">
                        <c:v>1023</c:v>
                      </c:pt>
                      <c:pt idx="39">
                        <c:v>740</c:v>
                      </c:pt>
                      <c:pt idx="40">
                        <c:v>1128</c:v>
                      </c:pt>
                      <c:pt idx="41">
                        <c:v>840</c:v>
                      </c:pt>
                      <c:pt idx="42">
                        <c:v>1883</c:v>
                      </c:pt>
                      <c:pt idx="43">
                        <c:v>1664</c:v>
                      </c:pt>
                      <c:pt idx="44">
                        <c:v>843</c:v>
                      </c:pt>
                      <c:pt idx="45">
                        <c:v>1482</c:v>
                      </c:pt>
                      <c:pt idx="46">
                        <c:v>1372</c:v>
                      </c:pt>
                      <c:pt idx="47">
                        <c:v>727</c:v>
                      </c:pt>
                      <c:pt idx="48">
                        <c:v>759</c:v>
                      </c:pt>
                      <c:pt idx="49">
                        <c:v>756</c:v>
                      </c:pt>
                      <c:pt idx="50">
                        <c:v>935</c:v>
                      </c:pt>
                      <c:pt idx="51">
                        <c:v>872</c:v>
                      </c:pt>
                      <c:pt idx="52">
                        <c:v>1262</c:v>
                      </c:pt>
                      <c:pt idx="53">
                        <c:v>730</c:v>
                      </c:pt>
                      <c:pt idx="54">
                        <c:v>1595</c:v>
                      </c:pt>
                      <c:pt idx="55">
                        <c:v>1453</c:v>
                      </c:pt>
                      <c:pt idx="56">
                        <c:v>992</c:v>
                      </c:pt>
                      <c:pt idx="57">
                        <c:v>1427</c:v>
                      </c:pt>
                      <c:pt idx="58">
                        <c:v>1289</c:v>
                      </c:pt>
                      <c:pt idx="59">
                        <c:v>680</c:v>
                      </c:pt>
                      <c:pt idx="60">
                        <c:v>673</c:v>
                      </c:pt>
                      <c:pt idx="61">
                        <c:v>845</c:v>
                      </c:pt>
                      <c:pt idx="62">
                        <c:v>756</c:v>
                      </c:pt>
                      <c:pt idx="63">
                        <c:v>782</c:v>
                      </c:pt>
                      <c:pt idx="64">
                        <c:v>829</c:v>
                      </c:pt>
                      <c:pt idx="65">
                        <c:v>701</c:v>
                      </c:pt>
                      <c:pt idx="66">
                        <c:v>1552</c:v>
                      </c:pt>
                      <c:pt idx="67">
                        <c:v>1404</c:v>
                      </c:pt>
                      <c:pt idx="68">
                        <c:v>1214</c:v>
                      </c:pt>
                      <c:pt idx="69">
                        <c:v>1410</c:v>
                      </c:pt>
                      <c:pt idx="70">
                        <c:v>1180</c:v>
                      </c:pt>
                      <c:pt idx="71">
                        <c:v>745</c:v>
                      </c:pt>
                      <c:pt idx="72">
                        <c:v>880</c:v>
                      </c:pt>
                      <c:pt idx="73">
                        <c:v>808</c:v>
                      </c:pt>
                      <c:pt idx="74">
                        <c:v>969</c:v>
                      </c:pt>
                      <c:pt idx="75">
                        <c:v>844</c:v>
                      </c:pt>
                      <c:pt idx="76">
                        <c:v>1026</c:v>
                      </c:pt>
                      <c:pt idx="77">
                        <c:v>860</c:v>
                      </c:pt>
                      <c:pt idx="78">
                        <c:v>1550</c:v>
                      </c:pt>
                      <c:pt idx="79">
                        <c:v>1310</c:v>
                      </c:pt>
                      <c:pt idx="80">
                        <c:v>1292</c:v>
                      </c:pt>
                      <c:pt idx="81">
                        <c:v>1197</c:v>
                      </c:pt>
                      <c:pt idx="82">
                        <c:v>1162</c:v>
                      </c:pt>
                      <c:pt idx="83">
                        <c:v>751</c:v>
                      </c:pt>
                      <c:pt idx="84">
                        <c:v>877</c:v>
                      </c:pt>
                      <c:pt idx="85">
                        <c:v>898</c:v>
                      </c:pt>
                      <c:pt idx="86">
                        <c:v>932</c:v>
                      </c:pt>
                      <c:pt idx="87">
                        <c:v>964</c:v>
                      </c:pt>
                      <c:pt idx="88">
                        <c:v>964</c:v>
                      </c:pt>
                      <c:pt idx="89">
                        <c:v>934</c:v>
                      </c:pt>
                      <c:pt idx="90">
                        <c:v>1664</c:v>
                      </c:pt>
                      <c:pt idx="91">
                        <c:v>1228</c:v>
                      </c:pt>
                      <c:pt idx="92">
                        <c:v>1269</c:v>
                      </c:pt>
                      <c:pt idx="93">
                        <c:v>1389</c:v>
                      </c:pt>
                      <c:pt idx="94">
                        <c:v>1581</c:v>
                      </c:pt>
                      <c:pt idx="95">
                        <c:v>983</c:v>
                      </c:pt>
                      <c:pt idx="96">
                        <c:v>1065</c:v>
                      </c:pt>
                      <c:pt idx="97">
                        <c:v>1008</c:v>
                      </c:pt>
                      <c:pt idx="98">
                        <c:v>802</c:v>
                      </c:pt>
                      <c:pt idx="99">
                        <c:v>921</c:v>
                      </c:pt>
                      <c:pt idx="100">
                        <c:v>958</c:v>
                      </c:pt>
                      <c:pt idx="101">
                        <c:v>965</c:v>
                      </c:pt>
                      <c:pt idx="102">
                        <c:v>1548</c:v>
                      </c:pt>
                      <c:pt idx="103">
                        <c:v>1233</c:v>
                      </c:pt>
                      <c:pt idx="104">
                        <c:v>1512</c:v>
                      </c:pt>
                      <c:pt idx="105">
                        <c:v>1510</c:v>
                      </c:pt>
                      <c:pt idx="106">
                        <c:v>1671</c:v>
                      </c:pt>
                      <c:pt idx="107">
                        <c:v>856</c:v>
                      </c:pt>
                      <c:pt idx="108">
                        <c:v>953</c:v>
                      </c:pt>
                      <c:pt idx="109">
                        <c:v>996</c:v>
                      </c:pt>
                      <c:pt idx="110">
                        <c:v>916</c:v>
                      </c:pt>
                      <c:pt idx="111">
                        <c:v>945</c:v>
                      </c:pt>
                      <c:pt idx="112">
                        <c:v>905</c:v>
                      </c:pt>
                      <c:pt idx="113">
                        <c:v>1030</c:v>
                      </c:pt>
                      <c:pt idx="114">
                        <c:v>1552</c:v>
                      </c:pt>
                      <c:pt idx="115">
                        <c:v>1191</c:v>
                      </c:pt>
                      <c:pt idx="116" formatCode="General">
                        <c:v>950</c:v>
                      </c:pt>
                      <c:pt idx="117">
                        <c:v>1536</c:v>
                      </c:pt>
                      <c:pt idx="118">
                        <c:v>1546</c:v>
                      </c:pt>
                      <c:pt idx="119">
                        <c:v>835</c:v>
                      </c:pt>
                      <c:pt idx="120">
                        <c:v>933</c:v>
                      </c:pt>
                      <c:pt idx="121">
                        <c:v>916</c:v>
                      </c:pt>
                      <c:pt idx="122">
                        <c:v>937</c:v>
                      </c:pt>
                      <c:pt idx="123">
                        <c:v>939</c:v>
                      </c:pt>
                      <c:pt idx="124">
                        <c:v>912</c:v>
                      </c:pt>
                      <c:pt idx="125">
                        <c:v>911</c:v>
                      </c:pt>
                      <c:pt idx="126">
                        <c:v>1705</c:v>
                      </c:pt>
                      <c:pt idx="127">
                        <c:v>1227</c:v>
                      </c:pt>
                      <c:pt idx="128">
                        <c:v>1164</c:v>
                      </c:pt>
                      <c:pt idx="129">
                        <c:v>1553</c:v>
                      </c:pt>
                      <c:pt idx="130">
                        <c:v>1734</c:v>
                      </c:pt>
                      <c:pt idx="131">
                        <c:v>865</c:v>
                      </c:pt>
                      <c:pt idx="132">
                        <c:v>1076</c:v>
                      </c:pt>
                      <c:pt idx="133">
                        <c:v>1089</c:v>
                      </c:pt>
                      <c:pt idx="134">
                        <c:v>834</c:v>
                      </c:pt>
                      <c:pt idx="135">
                        <c:v>1162</c:v>
                      </c:pt>
                      <c:pt idx="136">
                        <c:v>1082</c:v>
                      </c:pt>
                      <c:pt idx="137">
                        <c:v>1183</c:v>
                      </c:pt>
                      <c:pt idx="138">
                        <c:v>1912</c:v>
                      </c:pt>
                      <c:pt idx="139">
                        <c:v>1373</c:v>
                      </c:pt>
                      <c:pt idx="140">
                        <c:v>1332</c:v>
                      </c:pt>
                      <c:pt idx="141">
                        <c:v>1688</c:v>
                      </c:pt>
                      <c:pt idx="142">
                        <c:v>1480</c:v>
                      </c:pt>
                      <c:pt idx="143">
                        <c:v>952</c:v>
                      </c:pt>
                      <c:pt idx="144" formatCode="_(* #,##0_);_(* \(#,##0\);_(* &quot;-&quot;??_);_(@_)">
                        <c:v>1067</c:v>
                      </c:pt>
                      <c:pt idx="145">
                        <c:v>1374</c:v>
                      </c:pt>
                      <c:pt idx="146">
                        <c:v>865</c:v>
                      </c:pt>
                      <c:pt idx="147">
                        <c:v>1271</c:v>
                      </c:pt>
                      <c:pt idx="148" formatCode="_(* #,##0_);_(* \(#,##0\);_(* &quot;-&quot;??_);_(@_)">
                        <c:v>1648</c:v>
                      </c:pt>
                      <c:pt idx="149" formatCode="_(* #,##0_);_(* \(#,##0\);_(* &quot;-&quot;??_);_(@_)">
                        <c:v>1645</c:v>
                      </c:pt>
                      <c:pt idx="150" formatCode="_(* #,##0_);_(* \(#,##0\);_(* &quot;-&quot;??_);_(@_)">
                        <c:v>2746</c:v>
                      </c:pt>
                      <c:pt idx="151" formatCode="_(* #,##0_);_(* \(#,##0\);_(* &quot;-&quot;??_);_(@_)">
                        <c:v>2514</c:v>
                      </c:pt>
                      <c:pt idx="152" formatCode="_(* #,##0_);_(* \(#,##0\);_(* &quot;-&quot;??_);_(@_)">
                        <c:v>2251</c:v>
                      </c:pt>
                      <c:pt idx="153" formatCode="_(* #,##0_);_(* \(#,##0\);_(* &quot;-&quot;??_);_(@_)">
                        <c:v>1562</c:v>
                      </c:pt>
                      <c:pt idx="154" formatCode="_(* #,##0_);_(* \(#,##0\);_(* &quot;-&quot;??_);_(@_)">
                        <c:v>1949</c:v>
                      </c:pt>
                      <c:pt idx="155" formatCode="_(* #,##0_);_(* \(#,##0\);_(* &quot;-&quot;??_);_(@_)">
                        <c:v>1590</c:v>
                      </c:pt>
                      <c:pt idx="156">
                        <c:v>1717</c:v>
                      </c:pt>
                      <c:pt idx="157">
                        <c:v>1675</c:v>
                      </c:pt>
                      <c:pt idx="158">
                        <c:v>661</c:v>
                      </c:pt>
                      <c:pt idx="159">
                        <c:v>2</c:v>
                      </c:pt>
                      <c:pt idx="160">
                        <c:v>18</c:v>
                      </c:pt>
                      <c:pt idx="161">
                        <c:v>11</c:v>
                      </c:pt>
                      <c:pt idx="162">
                        <c:v>68</c:v>
                      </c:pt>
                      <c:pt idx="163">
                        <c:v>158</c:v>
                      </c:pt>
                      <c:pt idx="164">
                        <c:v>152</c:v>
                      </c:pt>
                      <c:pt idx="165">
                        <c:v>261</c:v>
                      </c:pt>
                      <c:pt idx="166">
                        <c:v>186</c:v>
                      </c:pt>
                      <c:pt idx="167">
                        <c:v>413</c:v>
                      </c:pt>
                      <c:pt idx="168">
                        <c:v>431</c:v>
                      </c:pt>
                      <c:pt idx="169">
                        <c:v>209</c:v>
                      </c:pt>
                      <c:pt idx="170">
                        <c:v>211</c:v>
                      </c:pt>
                      <c:pt idx="171">
                        <c:v>238</c:v>
                      </c:pt>
                      <c:pt idx="172">
                        <c:v>277</c:v>
                      </c:pt>
                    </c:numCache>
                  </c:numRef>
                </c:val>
                <c:smooth val="0"/>
                <c:extLst xmlns:c15="http://schemas.microsoft.com/office/drawing/2012/chart">
                  <c:ext xmlns:c16="http://schemas.microsoft.com/office/drawing/2014/chart" uri="{C3380CC4-5D6E-409C-BE32-E72D297353CC}">
                    <c16:uniqueId val="{0000000B-8ED6-4044-8E62-D67E03BE4939}"/>
                  </c:ext>
                </c:extLst>
              </c15:ser>
            </c15:filteredLineSeries>
            <c15:filteredLineSeries>
              <c15:ser>
                <c:idx val="10"/>
                <c:order val="10"/>
                <c:tx>
                  <c:strRef>
                    <c:extLst xmlns:c15="http://schemas.microsoft.com/office/drawing/2012/chart">
                      <c:ext xmlns:c15="http://schemas.microsoft.com/office/drawing/2012/chart" uri="{02D57815-91ED-43cb-92C2-25804820EDAC}">
                        <c15:formulaRef>
                          <c15:sqref>'Tendencias nacionalidad'!$C$64</c15:sqref>
                        </c15:formulaRef>
                      </c:ext>
                    </c:extLst>
                    <c:strCache>
                      <c:ptCount val="1"/>
                      <c:pt idx="0">
                        <c:v>Venezuela</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nacionalidad'!$D$64:$GA$64</c15:sqref>
                        </c15:fullRef>
                        <c15:formulaRef>
                          <c15:sqref>'Tendencias nacionalidad'!$D$64:$FT$64</c15:sqref>
                        </c15:formulaRef>
                      </c:ext>
                    </c:extLst>
                    <c:numCache>
                      <c:formatCode>#,##0</c:formatCode>
                      <c:ptCount val="173"/>
                      <c:pt idx="0">
                        <c:v>753</c:v>
                      </c:pt>
                      <c:pt idx="1">
                        <c:v>714</c:v>
                      </c:pt>
                      <c:pt idx="2">
                        <c:v>737</c:v>
                      </c:pt>
                      <c:pt idx="3">
                        <c:v>613</c:v>
                      </c:pt>
                      <c:pt idx="4">
                        <c:v>651</c:v>
                      </c:pt>
                      <c:pt idx="5">
                        <c:v>747</c:v>
                      </c:pt>
                      <c:pt idx="6">
                        <c:v>827</c:v>
                      </c:pt>
                      <c:pt idx="7">
                        <c:v>1300</c:v>
                      </c:pt>
                      <c:pt idx="8">
                        <c:v>952</c:v>
                      </c:pt>
                      <c:pt idx="9">
                        <c:v>1111</c:v>
                      </c:pt>
                      <c:pt idx="10">
                        <c:v>1099</c:v>
                      </c:pt>
                      <c:pt idx="11">
                        <c:v>1314</c:v>
                      </c:pt>
                      <c:pt idx="12">
                        <c:v>827</c:v>
                      </c:pt>
                      <c:pt idx="13">
                        <c:v>1276</c:v>
                      </c:pt>
                      <c:pt idx="14">
                        <c:v>1217</c:v>
                      </c:pt>
                      <c:pt idx="15">
                        <c:v>1118</c:v>
                      </c:pt>
                      <c:pt idx="16">
                        <c:v>1255</c:v>
                      </c:pt>
                      <c:pt idx="17">
                        <c:v>1036</c:v>
                      </c:pt>
                      <c:pt idx="18">
                        <c:v>1195</c:v>
                      </c:pt>
                      <c:pt idx="19">
                        <c:v>1641</c:v>
                      </c:pt>
                      <c:pt idx="20">
                        <c:v>1154</c:v>
                      </c:pt>
                      <c:pt idx="21">
                        <c:v>1777</c:v>
                      </c:pt>
                      <c:pt idx="22">
                        <c:v>1428</c:v>
                      </c:pt>
                      <c:pt idx="23">
                        <c:v>2225</c:v>
                      </c:pt>
                      <c:pt idx="24">
                        <c:v>1083</c:v>
                      </c:pt>
                      <c:pt idx="25">
                        <c:v>1249</c:v>
                      </c:pt>
                      <c:pt idx="26">
                        <c:v>1024</c:v>
                      </c:pt>
                      <c:pt idx="27">
                        <c:v>1356</c:v>
                      </c:pt>
                      <c:pt idx="28">
                        <c:v>1292</c:v>
                      </c:pt>
                      <c:pt idx="29">
                        <c:v>1228</c:v>
                      </c:pt>
                      <c:pt idx="30">
                        <c:v>1508</c:v>
                      </c:pt>
                      <c:pt idx="31">
                        <c:v>2113</c:v>
                      </c:pt>
                      <c:pt idx="32">
                        <c:v>1520</c:v>
                      </c:pt>
                      <c:pt idx="33">
                        <c:v>1841</c:v>
                      </c:pt>
                      <c:pt idx="34">
                        <c:v>2046</c:v>
                      </c:pt>
                      <c:pt idx="35">
                        <c:v>3228</c:v>
                      </c:pt>
                      <c:pt idx="36">
                        <c:v>1651</c:v>
                      </c:pt>
                      <c:pt idx="37">
                        <c:v>2875</c:v>
                      </c:pt>
                      <c:pt idx="38">
                        <c:v>1387</c:v>
                      </c:pt>
                      <c:pt idx="39">
                        <c:v>1111</c:v>
                      </c:pt>
                      <c:pt idx="40">
                        <c:v>1191</c:v>
                      </c:pt>
                      <c:pt idx="41">
                        <c:v>1113</c:v>
                      </c:pt>
                      <c:pt idx="42">
                        <c:v>1335</c:v>
                      </c:pt>
                      <c:pt idx="43">
                        <c:v>1591</c:v>
                      </c:pt>
                      <c:pt idx="44">
                        <c:v>1306</c:v>
                      </c:pt>
                      <c:pt idx="45">
                        <c:v>1534</c:v>
                      </c:pt>
                      <c:pt idx="46">
                        <c:v>1720</c:v>
                      </c:pt>
                      <c:pt idx="47">
                        <c:v>1968</c:v>
                      </c:pt>
                      <c:pt idx="48">
                        <c:v>1032</c:v>
                      </c:pt>
                      <c:pt idx="49">
                        <c:v>1376</c:v>
                      </c:pt>
                      <c:pt idx="50">
                        <c:v>1492</c:v>
                      </c:pt>
                      <c:pt idx="51">
                        <c:v>1632</c:v>
                      </c:pt>
                      <c:pt idx="52">
                        <c:v>1480</c:v>
                      </c:pt>
                      <c:pt idx="53">
                        <c:v>1340</c:v>
                      </c:pt>
                      <c:pt idx="54">
                        <c:v>1534</c:v>
                      </c:pt>
                      <c:pt idx="55">
                        <c:v>1989</c:v>
                      </c:pt>
                      <c:pt idx="56">
                        <c:v>2317</c:v>
                      </c:pt>
                      <c:pt idx="57">
                        <c:v>2313</c:v>
                      </c:pt>
                      <c:pt idx="58">
                        <c:v>2294</c:v>
                      </c:pt>
                      <c:pt idx="59">
                        <c:v>2927</c:v>
                      </c:pt>
                      <c:pt idx="60">
                        <c:v>1103</c:v>
                      </c:pt>
                      <c:pt idx="61">
                        <c:v>1731</c:v>
                      </c:pt>
                      <c:pt idx="62">
                        <c:v>1529</c:v>
                      </c:pt>
                      <c:pt idx="63">
                        <c:v>1459</c:v>
                      </c:pt>
                      <c:pt idx="64">
                        <c:v>1418</c:v>
                      </c:pt>
                      <c:pt idx="65">
                        <c:v>1675</c:v>
                      </c:pt>
                      <c:pt idx="66">
                        <c:v>1770</c:v>
                      </c:pt>
                      <c:pt idx="67">
                        <c:v>2101</c:v>
                      </c:pt>
                      <c:pt idx="68">
                        <c:v>2091</c:v>
                      </c:pt>
                      <c:pt idx="69">
                        <c:v>2502</c:v>
                      </c:pt>
                      <c:pt idx="70">
                        <c:v>4173</c:v>
                      </c:pt>
                      <c:pt idx="71">
                        <c:v>4955</c:v>
                      </c:pt>
                      <c:pt idx="72">
                        <c:v>3054</c:v>
                      </c:pt>
                      <c:pt idx="73">
                        <c:v>4459</c:v>
                      </c:pt>
                      <c:pt idx="74">
                        <c:v>4045</c:v>
                      </c:pt>
                      <c:pt idx="75">
                        <c:v>4332</c:v>
                      </c:pt>
                      <c:pt idx="76">
                        <c:v>4937</c:v>
                      </c:pt>
                      <c:pt idx="77">
                        <c:v>5647</c:v>
                      </c:pt>
                      <c:pt idx="78">
                        <c:v>7092</c:v>
                      </c:pt>
                      <c:pt idx="79">
                        <c:v>7074</c:v>
                      </c:pt>
                      <c:pt idx="80">
                        <c:v>7620</c:v>
                      </c:pt>
                      <c:pt idx="81">
                        <c:v>10699</c:v>
                      </c:pt>
                      <c:pt idx="82">
                        <c:v>11241</c:v>
                      </c:pt>
                      <c:pt idx="83">
                        <c:v>7989</c:v>
                      </c:pt>
                      <c:pt idx="84">
                        <c:v>4693</c:v>
                      </c:pt>
                      <c:pt idx="85">
                        <c:v>5741</c:v>
                      </c:pt>
                      <c:pt idx="86">
                        <c:v>5725</c:v>
                      </c:pt>
                      <c:pt idx="87">
                        <c:v>5619</c:v>
                      </c:pt>
                      <c:pt idx="88">
                        <c:v>5346</c:v>
                      </c:pt>
                      <c:pt idx="89">
                        <c:v>6807</c:v>
                      </c:pt>
                      <c:pt idx="90">
                        <c:v>6926</c:v>
                      </c:pt>
                      <c:pt idx="91">
                        <c:v>8583</c:v>
                      </c:pt>
                      <c:pt idx="92">
                        <c:v>9992</c:v>
                      </c:pt>
                      <c:pt idx="93">
                        <c:v>9297</c:v>
                      </c:pt>
                      <c:pt idx="94">
                        <c:v>10296</c:v>
                      </c:pt>
                      <c:pt idx="95">
                        <c:v>11157</c:v>
                      </c:pt>
                      <c:pt idx="96">
                        <c:v>2358</c:v>
                      </c:pt>
                      <c:pt idx="97">
                        <c:v>2290</c:v>
                      </c:pt>
                      <c:pt idx="98">
                        <c:v>4142</c:v>
                      </c:pt>
                      <c:pt idx="99">
                        <c:v>6065</c:v>
                      </c:pt>
                      <c:pt idx="100">
                        <c:v>5121</c:v>
                      </c:pt>
                      <c:pt idx="101">
                        <c:v>3749</c:v>
                      </c:pt>
                      <c:pt idx="102">
                        <c:v>2801</c:v>
                      </c:pt>
                      <c:pt idx="103">
                        <c:v>3138</c:v>
                      </c:pt>
                      <c:pt idx="104">
                        <c:v>4863</c:v>
                      </c:pt>
                      <c:pt idx="105">
                        <c:v>5562</c:v>
                      </c:pt>
                      <c:pt idx="106">
                        <c:v>6086</c:v>
                      </c:pt>
                      <c:pt idx="107">
                        <c:v>5218</c:v>
                      </c:pt>
                      <c:pt idx="108">
                        <c:v>3766</c:v>
                      </c:pt>
                      <c:pt idx="109">
                        <c:v>3119</c:v>
                      </c:pt>
                      <c:pt idx="110">
                        <c:v>3278</c:v>
                      </c:pt>
                      <c:pt idx="111">
                        <c:v>2499</c:v>
                      </c:pt>
                      <c:pt idx="112">
                        <c:v>2287</c:v>
                      </c:pt>
                      <c:pt idx="113">
                        <c:v>1861</c:v>
                      </c:pt>
                      <c:pt idx="114">
                        <c:v>1997</c:v>
                      </c:pt>
                      <c:pt idx="115">
                        <c:v>1859</c:v>
                      </c:pt>
                      <c:pt idx="116" formatCode="General">
                        <c:v>1632</c:v>
                      </c:pt>
                      <c:pt idx="117">
                        <c:v>1802</c:v>
                      </c:pt>
                      <c:pt idx="118">
                        <c:v>2234</c:v>
                      </c:pt>
                      <c:pt idx="119">
                        <c:v>2275</c:v>
                      </c:pt>
                      <c:pt idx="120">
                        <c:v>2611</c:v>
                      </c:pt>
                      <c:pt idx="121">
                        <c:v>2623</c:v>
                      </c:pt>
                      <c:pt idx="122">
                        <c:v>3077</c:v>
                      </c:pt>
                      <c:pt idx="123">
                        <c:v>1899</c:v>
                      </c:pt>
                      <c:pt idx="124">
                        <c:v>1788</c:v>
                      </c:pt>
                      <c:pt idx="125">
                        <c:v>1844</c:v>
                      </c:pt>
                      <c:pt idx="126">
                        <c:v>2187</c:v>
                      </c:pt>
                      <c:pt idx="127">
                        <c:v>1627</c:v>
                      </c:pt>
                      <c:pt idx="128">
                        <c:v>1459</c:v>
                      </c:pt>
                      <c:pt idx="129">
                        <c:v>1321</c:v>
                      </c:pt>
                      <c:pt idx="130">
                        <c:v>1420</c:v>
                      </c:pt>
                      <c:pt idx="131">
                        <c:v>1417</c:v>
                      </c:pt>
                      <c:pt idx="132">
                        <c:v>1226</c:v>
                      </c:pt>
                      <c:pt idx="133">
                        <c:v>1186</c:v>
                      </c:pt>
                      <c:pt idx="134">
                        <c:v>1106</c:v>
                      </c:pt>
                      <c:pt idx="135">
                        <c:v>1006</c:v>
                      </c:pt>
                      <c:pt idx="136">
                        <c:v>1115</c:v>
                      </c:pt>
                      <c:pt idx="137">
                        <c:v>1223</c:v>
                      </c:pt>
                      <c:pt idx="138">
                        <c:v>1373</c:v>
                      </c:pt>
                      <c:pt idx="139">
                        <c:v>1180</c:v>
                      </c:pt>
                      <c:pt idx="140">
                        <c:v>1316</c:v>
                      </c:pt>
                      <c:pt idx="141">
                        <c:v>1366</c:v>
                      </c:pt>
                      <c:pt idx="142">
                        <c:v>1417</c:v>
                      </c:pt>
                      <c:pt idx="143">
                        <c:v>1480</c:v>
                      </c:pt>
                      <c:pt idx="144" formatCode="_(* #,##0_);_(* \(#,##0\);_(* &quot;-&quot;??_);_(@_)">
                        <c:v>839</c:v>
                      </c:pt>
                      <c:pt idx="145">
                        <c:v>615</c:v>
                      </c:pt>
                      <c:pt idx="146">
                        <c:v>713</c:v>
                      </c:pt>
                      <c:pt idx="147">
                        <c:v>970</c:v>
                      </c:pt>
                      <c:pt idx="148" formatCode="_(* #,##0_);_(* \(#,##0\);_(* &quot;-&quot;??_);_(@_)">
                        <c:v>1338</c:v>
                      </c:pt>
                      <c:pt idx="149" formatCode="_(* #,##0_);_(* \(#,##0\);_(* &quot;-&quot;??_);_(@_)">
                        <c:v>1196</c:v>
                      </c:pt>
                      <c:pt idx="150" formatCode="_(* #,##0_);_(* \(#,##0\);_(* &quot;-&quot;??_);_(@_)">
                        <c:v>1791</c:v>
                      </c:pt>
                      <c:pt idx="151" formatCode="_(* #,##0_);_(* \(#,##0\);_(* &quot;-&quot;??_);_(@_)">
                        <c:v>1978</c:v>
                      </c:pt>
                      <c:pt idx="152" formatCode="_(* #,##0_);_(* \(#,##0\);_(* &quot;-&quot;??_);_(@_)">
                        <c:v>959</c:v>
                      </c:pt>
                      <c:pt idx="153" formatCode="_(* #,##0_);_(* \(#,##0\);_(* &quot;-&quot;??_);_(@_)">
                        <c:v>956</c:v>
                      </c:pt>
                      <c:pt idx="154" formatCode="_(* #,##0_);_(* \(#,##0\);_(* &quot;-&quot;??_);_(@_)">
                        <c:v>1165</c:v>
                      </c:pt>
                      <c:pt idx="155" formatCode="_(* #,##0_);_(* \(#,##0\);_(* &quot;-&quot;??_);_(@_)">
                        <c:v>1300</c:v>
                      </c:pt>
                      <c:pt idx="156">
                        <c:v>1957</c:v>
                      </c:pt>
                      <c:pt idx="157">
                        <c:v>980</c:v>
                      </c:pt>
                      <c:pt idx="158">
                        <c:v>604</c:v>
                      </c:pt>
                      <c:pt idx="159">
                        <c:v>15</c:v>
                      </c:pt>
                      <c:pt idx="160">
                        <c:v>28</c:v>
                      </c:pt>
                      <c:pt idx="161">
                        <c:v>30</c:v>
                      </c:pt>
                      <c:pt idx="162">
                        <c:v>79</c:v>
                      </c:pt>
                      <c:pt idx="163">
                        <c:v>74</c:v>
                      </c:pt>
                      <c:pt idx="164">
                        <c:v>158</c:v>
                      </c:pt>
                      <c:pt idx="165">
                        <c:v>136</c:v>
                      </c:pt>
                      <c:pt idx="166">
                        <c:v>327</c:v>
                      </c:pt>
                      <c:pt idx="167">
                        <c:v>284</c:v>
                      </c:pt>
                      <c:pt idx="168">
                        <c:v>409</c:v>
                      </c:pt>
                      <c:pt idx="169">
                        <c:v>282</c:v>
                      </c:pt>
                      <c:pt idx="170">
                        <c:v>283</c:v>
                      </c:pt>
                      <c:pt idx="171">
                        <c:v>342</c:v>
                      </c:pt>
                      <c:pt idx="172">
                        <c:v>477</c:v>
                      </c:pt>
                    </c:numCache>
                  </c:numRef>
                </c:val>
                <c:smooth val="0"/>
                <c:extLst xmlns:c15="http://schemas.microsoft.com/office/drawing/2012/chart">
                  <c:ext xmlns:c16="http://schemas.microsoft.com/office/drawing/2014/chart" uri="{C3380CC4-5D6E-409C-BE32-E72D297353CC}">
                    <c16:uniqueId val="{0000000C-8ED6-4044-8E62-D67E03BE4939}"/>
                  </c:ext>
                </c:extLst>
              </c15:ser>
            </c15:filteredLineSeries>
            <c15:filteredLineSeries>
              <c15:ser>
                <c:idx val="11"/>
                <c:order val="11"/>
                <c:tx>
                  <c:strRef>
                    <c:extLst xmlns:c15="http://schemas.microsoft.com/office/drawing/2012/chart">
                      <c:ext xmlns:c15="http://schemas.microsoft.com/office/drawing/2012/chart" uri="{02D57815-91ED-43cb-92C2-25804820EDAC}">
                        <c15:formulaRef>
                          <c15:sqref>'Tendencias nacionalidad'!$C$65</c15:sqref>
                        </c15:formulaRef>
                      </c:ext>
                    </c:extLst>
                    <c:strCache>
                      <c:ptCount val="1"/>
                      <c:pt idx="0">
                        <c:v>Brasil</c:v>
                      </c:pt>
                    </c:strCache>
                  </c:strRef>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nacionalidad'!$D$65:$GA$65</c15:sqref>
                        </c15:fullRef>
                        <c15:formulaRef>
                          <c15:sqref>'Tendencias nacionalidad'!$D$65:$FT$65</c15:sqref>
                        </c15:formulaRef>
                      </c:ext>
                    </c:extLst>
                    <c:numCache>
                      <c:formatCode>#,##0</c:formatCode>
                      <c:ptCount val="173"/>
                      <c:pt idx="0">
                        <c:v>601</c:v>
                      </c:pt>
                      <c:pt idx="1">
                        <c:v>485</c:v>
                      </c:pt>
                      <c:pt idx="2">
                        <c:v>562</c:v>
                      </c:pt>
                      <c:pt idx="3">
                        <c:v>458</c:v>
                      </c:pt>
                      <c:pt idx="4">
                        <c:v>506</c:v>
                      </c:pt>
                      <c:pt idx="5">
                        <c:v>493</c:v>
                      </c:pt>
                      <c:pt idx="6">
                        <c:v>640</c:v>
                      </c:pt>
                      <c:pt idx="7">
                        <c:v>660</c:v>
                      </c:pt>
                      <c:pt idx="8">
                        <c:v>623</c:v>
                      </c:pt>
                      <c:pt idx="9">
                        <c:v>809</c:v>
                      </c:pt>
                      <c:pt idx="10">
                        <c:v>721</c:v>
                      </c:pt>
                      <c:pt idx="11">
                        <c:v>581</c:v>
                      </c:pt>
                      <c:pt idx="12">
                        <c:v>742</c:v>
                      </c:pt>
                      <c:pt idx="13">
                        <c:v>1092</c:v>
                      </c:pt>
                      <c:pt idx="14">
                        <c:v>815</c:v>
                      </c:pt>
                      <c:pt idx="15">
                        <c:v>665</c:v>
                      </c:pt>
                      <c:pt idx="16">
                        <c:v>807</c:v>
                      </c:pt>
                      <c:pt idx="17">
                        <c:v>1147</c:v>
                      </c:pt>
                      <c:pt idx="18">
                        <c:v>1017</c:v>
                      </c:pt>
                      <c:pt idx="19">
                        <c:v>826</c:v>
                      </c:pt>
                      <c:pt idx="20">
                        <c:v>918</c:v>
                      </c:pt>
                      <c:pt idx="21">
                        <c:v>792</c:v>
                      </c:pt>
                      <c:pt idx="22">
                        <c:v>734</c:v>
                      </c:pt>
                      <c:pt idx="23">
                        <c:v>659</c:v>
                      </c:pt>
                      <c:pt idx="24">
                        <c:v>705</c:v>
                      </c:pt>
                      <c:pt idx="25">
                        <c:v>675</c:v>
                      </c:pt>
                      <c:pt idx="26">
                        <c:v>680</c:v>
                      </c:pt>
                      <c:pt idx="27">
                        <c:v>672</c:v>
                      </c:pt>
                      <c:pt idx="28">
                        <c:v>653</c:v>
                      </c:pt>
                      <c:pt idx="29">
                        <c:v>634</c:v>
                      </c:pt>
                      <c:pt idx="30">
                        <c:v>832</c:v>
                      </c:pt>
                      <c:pt idx="31">
                        <c:v>848</c:v>
                      </c:pt>
                      <c:pt idx="32">
                        <c:v>720</c:v>
                      </c:pt>
                      <c:pt idx="33">
                        <c:v>789</c:v>
                      </c:pt>
                      <c:pt idx="34">
                        <c:v>930</c:v>
                      </c:pt>
                      <c:pt idx="35">
                        <c:v>731</c:v>
                      </c:pt>
                      <c:pt idx="36">
                        <c:v>924</c:v>
                      </c:pt>
                      <c:pt idx="37">
                        <c:v>696</c:v>
                      </c:pt>
                      <c:pt idx="38">
                        <c:v>663</c:v>
                      </c:pt>
                      <c:pt idx="39">
                        <c:v>716</c:v>
                      </c:pt>
                      <c:pt idx="40">
                        <c:v>756</c:v>
                      </c:pt>
                      <c:pt idx="41">
                        <c:v>723</c:v>
                      </c:pt>
                      <c:pt idx="42">
                        <c:v>894</c:v>
                      </c:pt>
                      <c:pt idx="43">
                        <c:v>783</c:v>
                      </c:pt>
                      <c:pt idx="44">
                        <c:v>912</c:v>
                      </c:pt>
                      <c:pt idx="45">
                        <c:v>829</c:v>
                      </c:pt>
                      <c:pt idx="46">
                        <c:v>856</c:v>
                      </c:pt>
                      <c:pt idx="47">
                        <c:v>807</c:v>
                      </c:pt>
                      <c:pt idx="48">
                        <c:v>932</c:v>
                      </c:pt>
                      <c:pt idx="49">
                        <c:v>719</c:v>
                      </c:pt>
                      <c:pt idx="50">
                        <c:v>938</c:v>
                      </c:pt>
                      <c:pt idx="51">
                        <c:v>769</c:v>
                      </c:pt>
                      <c:pt idx="52">
                        <c:v>816</c:v>
                      </c:pt>
                      <c:pt idx="53">
                        <c:v>810</c:v>
                      </c:pt>
                      <c:pt idx="54">
                        <c:v>970</c:v>
                      </c:pt>
                      <c:pt idx="55">
                        <c:v>834</c:v>
                      </c:pt>
                      <c:pt idx="56">
                        <c:v>856</c:v>
                      </c:pt>
                      <c:pt idx="57">
                        <c:v>924</c:v>
                      </c:pt>
                      <c:pt idx="58">
                        <c:v>793</c:v>
                      </c:pt>
                      <c:pt idx="59">
                        <c:v>822</c:v>
                      </c:pt>
                      <c:pt idx="60">
                        <c:v>834</c:v>
                      </c:pt>
                      <c:pt idx="61">
                        <c:v>769</c:v>
                      </c:pt>
                      <c:pt idx="62">
                        <c:v>821</c:v>
                      </c:pt>
                      <c:pt idx="63">
                        <c:v>842</c:v>
                      </c:pt>
                      <c:pt idx="64">
                        <c:v>921</c:v>
                      </c:pt>
                      <c:pt idx="65">
                        <c:v>1131</c:v>
                      </c:pt>
                      <c:pt idx="66">
                        <c:v>1140</c:v>
                      </c:pt>
                      <c:pt idx="67">
                        <c:v>979</c:v>
                      </c:pt>
                      <c:pt idx="68">
                        <c:v>975</c:v>
                      </c:pt>
                      <c:pt idx="69">
                        <c:v>994</c:v>
                      </c:pt>
                      <c:pt idx="70">
                        <c:v>1053</c:v>
                      </c:pt>
                      <c:pt idx="71">
                        <c:v>931</c:v>
                      </c:pt>
                      <c:pt idx="72">
                        <c:v>941</c:v>
                      </c:pt>
                      <c:pt idx="73">
                        <c:v>723</c:v>
                      </c:pt>
                      <c:pt idx="74">
                        <c:v>783</c:v>
                      </c:pt>
                      <c:pt idx="75">
                        <c:v>862</c:v>
                      </c:pt>
                      <c:pt idx="76">
                        <c:v>903</c:v>
                      </c:pt>
                      <c:pt idx="77">
                        <c:v>861</c:v>
                      </c:pt>
                      <c:pt idx="78">
                        <c:v>932</c:v>
                      </c:pt>
                      <c:pt idx="79">
                        <c:v>714</c:v>
                      </c:pt>
                      <c:pt idx="80">
                        <c:v>996</c:v>
                      </c:pt>
                      <c:pt idx="81">
                        <c:v>940</c:v>
                      </c:pt>
                      <c:pt idx="82">
                        <c:v>1183</c:v>
                      </c:pt>
                      <c:pt idx="83">
                        <c:v>1214</c:v>
                      </c:pt>
                      <c:pt idx="84">
                        <c:v>1206</c:v>
                      </c:pt>
                      <c:pt idx="85">
                        <c:v>1082</c:v>
                      </c:pt>
                      <c:pt idx="86">
                        <c:v>958</c:v>
                      </c:pt>
                      <c:pt idx="87">
                        <c:v>984</c:v>
                      </c:pt>
                      <c:pt idx="88">
                        <c:v>1190</c:v>
                      </c:pt>
                      <c:pt idx="89">
                        <c:v>753</c:v>
                      </c:pt>
                      <c:pt idx="90">
                        <c:v>1072</c:v>
                      </c:pt>
                      <c:pt idx="91">
                        <c:v>1031</c:v>
                      </c:pt>
                      <c:pt idx="92">
                        <c:v>1195</c:v>
                      </c:pt>
                      <c:pt idx="93">
                        <c:v>1257</c:v>
                      </c:pt>
                      <c:pt idx="94">
                        <c:v>1415</c:v>
                      </c:pt>
                      <c:pt idx="95">
                        <c:v>1565</c:v>
                      </c:pt>
                      <c:pt idx="96">
                        <c:v>1621</c:v>
                      </c:pt>
                      <c:pt idx="97">
                        <c:v>1093</c:v>
                      </c:pt>
                      <c:pt idx="98">
                        <c:v>918</c:v>
                      </c:pt>
                      <c:pt idx="99">
                        <c:v>1026</c:v>
                      </c:pt>
                      <c:pt idx="100">
                        <c:v>1047</c:v>
                      </c:pt>
                      <c:pt idx="101">
                        <c:v>937</c:v>
                      </c:pt>
                      <c:pt idx="102">
                        <c:v>1223</c:v>
                      </c:pt>
                      <c:pt idx="103">
                        <c:v>939</c:v>
                      </c:pt>
                      <c:pt idx="104">
                        <c:v>863</c:v>
                      </c:pt>
                      <c:pt idx="105">
                        <c:v>940</c:v>
                      </c:pt>
                      <c:pt idx="106">
                        <c:v>1003</c:v>
                      </c:pt>
                      <c:pt idx="107">
                        <c:v>1325</c:v>
                      </c:pt>
                      <c:pt idx="108">
                        <c:v>965</c:v>
                      </c:pt>
                      <c:pt idx="109">
                        <c:v>748</c:v>
                      </c:pt>
                      <c:pt idx="110">
                        <c:v>734</c:v>
                      </c:pt>
                      <c:pt idx="111">
                        <c:v>736</c:v>
                      </c:pt>
                      <c:pt idx="112">
                        <c:v>751</c:v>
                      </c:pt>
                      <c:pt idx="113">
                        <c:v>821</c:v>
                      </c:pt>
                      <c:pt idx="114">
                        <c:v>874</c:v>
                      </c:pt>
                      <c:pt idx="115">
                        <c:v>960</c:v>
                      </c:pt>
                      <c:pt idx="116" formatCode="General">
                        <c:v>826</c:v>
                      </c:pt>
                      <c:pt idx="117">
                        <c:v>1331</c:v>
                      </c:pt>
                      <c:pt idx="118">
                        <c:v>981</c:v>
                      </c:pt>
                      <c:pt idx="119">
                        <c:v>896</c:v>
                      </c:pt>
                      <c:pt idx="120">
                        <c:v>1060</c:v>
                      </c:pt>
                      <c:pt idx="121">
                        <c:v>849</c:v>
                      </c:pt>
                      <c:pt idx="122">
                        <c:v>907</c:v>
                      </c:pt>
                      <c:pt idx="123">
                        <c:v>1130</c:v>
                      </c:pt>
                      <c:pt idx="124">
                        <c:v>878</c:v>
                      </c:pt>
                      <c:pt idx="125">
                        <c:v>938</c:v>
                      </c:pt>
                      <c:pt idx="126">
                        <c:v>1156</c:v>
                      </c:pt>
                      <c:pt idx="127">
                        <c:v>925</c:v>
                      </c:pt>
                      <c:pt idx="128">
                        <c:v>972</c:v>
                      </c:pt>
                      <c:pt idx="129">
                        <c:v>1125</c:v>
                      </c:pt>
                      <c:pt idx="130">
                        <c:v>1076</c:v>
                      </c:pt>
                      <c:pt idx="131">
                        <c:v>960</c:v>
                      </c:pt>
                      <c:pt idx="132">
                        <c:v>1141</c:v>
                      </c:pt>
                      <c:pt idx="133">
                        <c:v>1020</c:v>
                      </c:pt>
                      <c:pt idx="134">
                        <c:v>899</c:v>
                      </c:pt>
                      <c:pt idx="135">
                        <c:v>1032</c:v>
                      </c:pt>
                      <c:pt idx="136">
                        <c:v>1005</c:v>
                      </c:pt>
                      <c:pt idx="137">
                        <c:v>1056</c:v>
                      </c:pt>
                      <c:pt idx="138">
                        <c:v>1355</c:v>
                      </c:pt>
                      <c:pt idx="139">
                        <c:v>837</c:v>
                      </c:pt>
                      <c:pt idx="140">
                        <c:v>1152</c:v>
                      </c:pt>
                      <c:pt idx="141">
                        <c:v>1381</c:v>
                      </c:pt>
                      <c:pt idx="142">
                        <c:v>1016</c:v>
                      </c:pt>
                      <c:pt idx="143">
                        <c:v>1162</c:v>
                      </c:pt>
                      <c:pt idx="144" formatCode="_(* #,##0_);_(* \(#,##0\);_(* &quot;-&quot;??_);_(@_)">
                        <c:v>2040</c:v>
                      </c:pt>
                      <c:pt idx="145">
                        <c:v>1025</c:v>
                      </c:pt>
                      <c:pt idx="146">
                        <c:v>1254</c:v>
                      </c:pt>
                      <c:pt idx="147">
                        <c:v>1827</c:v>
                      </c:pt>
                      <c:pt idx="148" formatCode="_(* #,##0_);_(* \(#,##0\);_(* &quot;-&quot;??_);_(@_)">
                        <c:v>1348</c:v>
                      </c:pt>
                      <c:pt idx="149" formatCode="_(* #,##0_);_(* \(#,##0\);_(* &quot;-&quot;??_);_(@_)">
                        <c:v>1543</c:v>
                      </c:pt>
                      <c:pt idx="150" formatCode="_(* #,##0_);_(* \(#,##0\);_(* &quot;-&quot;??_);_(@_)">
                        <c:v>1780</c:v>
                      </c:pt>
                      <c:pt idx="151" formatCode="_(* #,##0_);_(* \(#,##0\);_(* &quot;-&quot;??_);_(@_)">
                        <c:v>1558</c:v>
                      </c:pt>
                      <c:pt idx="152" formatCode="_(* #,##0_);_(* \(#,##0\);_(* &quot;-&quot;??_);_(@_)">
                        <c:v>1957</c:v>
                      </c:pt>
                      <c:pt idx="153" formatCode="_(* #,##0_);_(* \(#,##0\);_(* &quot;-&quot;??_);_(@_)">
                        <c:v>972</c:v>
                      </c:pt>
                      <c:pt idx="154" formatCode="_(* #,##0_);_(* \(#,##0\);_(* &quot;-&quot;??_);_(@_)">
                        <c:v>1447</c:v>
                      </c:pt>
                      <c:pt idx="155" formatCode="_(* #,##0_);_(* \(#,##0\);_(* &quot;-&quot;??_);_(@_)">
                        <c:v>1594</c:v>
                      </c:pt>
                      <c:pt idx="156">
                        <c:v>1536</c:v>
                      </c:pt>
                      <c:pt idx="157">
                        <c:v>1652</c:v>
                      </c:pt>
                      <c:pt idx="158">
                        <c:v>512</c:v>
                      </c:pt>
                      <c:pt idx="159">
                        <c:v>12</c:v>
                      </c:pt>
                      <c:pt idx="160">
                        <c:v>20</c:v>
                      </c:pt>
                      <c:pt idx="161">
                        <c:v>12</c:v>
                      </c:pt>
                      <c:pt idx="162">
                        <c:v>48</c:v>
                      </c:pt>
                      <c:pt idx="163">
                        <c:v>69</c:v>
                      </c:pt>
                      <c:pt idx="164">
                        <c:v>197</c:v>
                      </c:pt>
                      <c:pt idx="165">
                        <c:v>136</c:v>
                      </c:pt>
                      <c:pt idx="166">
                        <c:v>294</c:v>
                      </c:pt>
                      <c:pt idx="167">
                        <c:v>368</c:v>
                      </c:pt>
                      <c:pt idx="168">
                        <c:v>324</c:v>
                      </c:pt>
                      <c:pt idx="169">
                        <c:v>198</c:v>
                      </c:pt>
                      <c:pt idx="170">
                        <c:v>231</c:v>
                      </c:pt>
                      <c:pt idx="171">
                        <c:v>238</c:v>
                      </c:pt>
                      <c:pt idx="172">
                        <c:v>367</c:v>
                      </c:pt>
                    </c:numCache>
                  </c:numRef>
                </c:val>
                <c:smooth val="0"/>
                <c:extLst xmlns:c15="http://schemas.microsoft.com/office/drawing/2012/chart">
                  <c:ext xmlns:c16="http://schemas.microsoft.com/office/drawing/2014/chart" uri="{C3380CC4-5D6E-409C-BE32-E72D297353CC}">
                    <c16:uniqueId val="{00000003-8ED6-4044-8E62-D67E03BE4939}"/>
                  </c:ext>
                </c:extLst>
              </c15:ser>
            </c15:filteredLineSeries>
            <c15:filteredLineSeries>
              <c15:ser>
                <c:idx val="12"/>
                <c:order val="12"/>
                <c:tx>
                  <c:strRef>
                    <c:extLst xmlns:c15="http://schemas.microsoft.com/office/drawing/2012/chart">
                      <c:ext xmlns:c15="http://schemas.microsoft.com/office/drawing/2012/chart" uri="{02D57815-91ED-43cb-92C2-25804820EDAC}">
                        <c15:formulaRef>
                          <c15:sqref>'Tendencias nacionalidad'!$C$66</c15:sqref>
                        </c15:formulaRef>
                      </c:ext>
                    </c:extLst>
                    <c:strCache>
                      <c:ptCount val="1"/>
                      <c:pt idx="0">
                        <c:v>Países Bajo (Holanda)</c:v>
                      </c:pt>
                    </c:strCache>
                  </c:strRef>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nacionalidad'!$D$66:$GA$66</c15:sqref>
                        </c15:fullRef>
                        <c15:formulaRef>
                          <c15:sqref>'Tendencias nacionalidad'!$D$66:$FT$66</c15:sqref>
                        </c15:formulaRef>
                      </c:ext>
                    </c:extLst>
                    <c:numCache>
                      <c:formatCode>#,##0</c:formatCode>
                      <c:ptCount val="173"/>
                      <c:pt idx="0">
                        <c:v>367</c:v>
                      </c:pt>
                      <c:pt idx="1">
                        <c:v>335</c:v>
                      </c:pt>
                      <c:pt idx="2">
                        <c:v>364</c:v>
                      </c:pt>
                      <c:pt idx="3">
                        <c:v>343</c:v>
                      </c:pt>
                      <c:pt idx="4">
                        <c:v>321</c:v>
                      </c:pt>
                      <c:pt idx="5">
                        <c:v>421</c:v>
                      </c:pt>
                      <c:pt idx="6">
                        <c:v>1328</c:v>
                      </c:pt>
                      <c:pt idx="7">
                        <c:v>606</c:v>
                      </c:pt>
                      <c:pt idx="8">
                        <c:v>710</c:v>
                      </c:pt>
                      <c:pt idx="9">
                        <c:v>637</c:v>
                      </c:pt>
                      <c:pt idx="10">
                        <c:v>607</c:v>
                      </c:pt>
                      <c:pt idx="11">
                        <c:v>455</c:v>
                      </c:pt>
                      <c:pt idx="12">
                        <c:v>449</c:v>
                      </c:pt>
                      <c:pt idx="13">
                        <c:v>677</c:v>
                      </c:pt>
                      <c:pt idx="14">
                        <c:v>399</c:v>
                      </c:pt>
                      <c:pt idx="15">
                        <c:v>431</c:v>
                      </c:pt>
                      <c:pt idx="16">
                        <c:v>467</c:v>
                      </c:pt>
                      <c:pt idx="17">
                        <c:v>553</c:v>
                      </c:pt>
                      <c:pt idx="18">
                        <c:v>1757</c:v>
                      </c:pt>
                      <c:pt idx="19">
                        <c:v>735</c:v>
                      </c:pt>
                      <c:pt idx="20">
                        <c:v>835</c:v>
                      </c:pt>
                      <c:pt idx="21">
                        <c:v>626</c:v>
                      </c:pt>
                      <c:pt idx="22">
                        <c:v>706</c:v>
                      </c:pt>
                      <c:pt idx="23">
                        <c:v>541</c:v>
                      </c:pt>
                      <c:pt idx="24">
                        <c:v>469</c:v>
                      </c:pt>
                      <c:pt idx="25">
                        <c:v>395</c:v>
                      </c:pt>
                      <c:pt idx="26">
                        <c:v>369</c:v>
                      </c:pt>
                      <c:pt idx="27">
                        <c:v>552</c:v>
                      </c:pt>
                      <c:pt idx="28">
                        <c:v>528.5</c:v>
                      </c:pt>
                      <c:pt idx="29">
                        <c:v>505</c:v>
                      </c:pt>
                      <c:pt idx="30">
                        <c:v>1602</c:v>
                      </c:pt>
                      <c:pt idx="31">
                        <c:v>575</c:v>
                      </c:pt>
                      <c:pt idx="32">
                        <c:v>499</c:v>
                      </c:pt>
                      <c:pt idx="33">
                        <c:v>639</c:v>
                      </c:pt>
                      <c:pt idx="34">
                        <c:v>543</c:v>
                      </c:pt>
                      <c:pt idx="35">
                        <c:v>581</c:v>
                      </c:pt>
                      <c:pt idx="36">
                        <c:v>434</c:v>
                      </c:pt>
                      <c:pt idx="37">
                        <c:v>396</c:v>
                      </c:pt>
                      <c:pt idx="38">
                        <c:v>432</c:v>
                      </c:pt>
                      <c:pt idx="39">
                        <c:v>463</c:v>
                      </c:pt>
                      <c:pt idx="40">
                        <c:v>441</c:v>
                      </c:pt>
                      <c:pt idx="41">
                        <c:v>377</c:v>
                      </c:pt>
                      <c:pt idx="42">
                        <c:v>1417</c:v>
                      </c:pt>
                      <c:pt idx="43">
                        <c:v>511</c:v>
                      </c:pt>
                      <c:pt idx="44">
                        <c:v>455</c:v>
                      </c:pt>
                      <c:pt idx="45">
                        <c:v>706</c:v>
                      </c:pt>
                      <c:pt idx="46">
                        <c:v>468</c:v>
                      </c:pt>
                      <c:pt idx="47">
                        <c:v>524</c:v>
                      </c:pt>
                      <c:pt idx="48">
                        <c:v>438</c:v>
                      </c:pt>
                      <c:pt idx="49">
                        <c:v>331</c:v>
                      </c:pt>
                      <c:pt idx="50">
                        <c:v>359</c:v>
                      </c:pt>
                      <c:pt idx="51">
                        <c:v>410</c:v>
                      </c:pt>
                      <c:pt idx="52">
                        <c:v>374</c:v>
                      </c:pt>
                      <c:pt idx="53">
                        <c:v>359</c:v>
                      </c:pt>
                      <c:pt idx="54">
                        <c:v>1243</c:v>
                      </c:pt>
                      <c:pt idx="55">
                        <c:v>455</c:v>
                      </c:pt>
                      <c:pt idx="56">
                        <c:v>514</c:v>
                      </c:pt>
                      <c:pt idx="57">
                        <c:v>723</c:v>
                      </c:pt>
                      <c:pt idx="58">
                        <c:v>623</c:v>
                      </c:pt>
                      <c:pt idx="59">
                        <c:v>735</c:v>
                      </c:pt>
                      <c:pt idx="60">
                        <c:v>332</c:v>
                      </c:pt>
                      <c:pt idx="61">
                        <c:v>352</c:v>
                      </c:pt>
                      <c:pt idx="62">
                        <c:v>638</c:v>
                      </c:pt>
                      <c:pt idx="63">
                        <c:v>642</c:v>
                      </c:pt>
                      <c:pt idx="64">
                        <c:v>601</c:v>
                      </c:pt>
                      <c:pt idx="65">
                        <c:v>662</c:v>
                      </c:pt>
                      <c:pt idx="66">
                        <c:v>1316</c:v>
                      </c:pt>
                      <c:pt idx="67">
                        <c:v>757</c:v>
                      </c:pt>
                      <c:pt idx="68">
                        <c:v>771</c:v>
                      </c:pt>
                      <c:pt idx="69">
                        <c:v>824</c:v>
                      </c:pt>
                      <c:pt idx="70">
                        <c:v>633</c:v>
                      </c:pt>
                      <c:pt idx="71">
                        <c:v>769</c:v>
                      </c:pt>
                      <c:pt idx="72">
                        <c:v>724</c:v>
                      </c:pt>
                      <c:pt idx="73">
                        <c:v>624</c:v>
                      </c:pt>
                      <c:pt idx="74">
                        <c:v>698</c:v>
                      </c:pt>
                      <c:pt idx="75">
                        <c:v>891</c:v>
                      </c:pt>
                      <c:pt idx="76">
                        <c:v>886</c:v>
                      </c:pt>
                      <c:pt idx="77">
                        <c:v>710</c:v>
                      </c:pt>
                      <c:pt idx="78">
                        <c:v>1482</c:v>
                      </c:pt>
                      <c:pt idx="79">
                        <c:v>838</c:v>
                      </c:pt>
                      <c:pt idx="80">
                        <c:v>807</c:v>
                      </c:pt>
                      <c:pt idx="81">
                        <c:v>948</c:v>
                      </c:pt>
                      <c:pt idx="82">
                        <c:v>938</c:v>
                      </c:pt>
                      <c:pt idx="83">
                        <c:v>944</c:v>
                      </c:pt>
                      <c:pt idx="84">
                        <c:v>899</c:v>
                      </c:pt>
                      <c:pt idx="85">
                        <c:v>843</c:v>
                      </c:pt>
                      <c:pt idx="86">
                        <c:v>878</c:v>
                      </c:pt>
                      <c:pt idx="87">
                        <c:v>841</c:v>
                      </c:pt>
                      <c:pt idx="88">
                        <c:v>842</c:v>
                      </c:pt>
                      <c:pt idx="89">
                        <c:v>797</c:v>
                      </c:pt>
                      <c:pt idx="90">
                        <c:v>1571</c:v>
                      </c:pt>
                      <c:pt idx="91">
                        <c:v>851</c:v>
                      </c:pt>
                      <c:pt idx="92">
                        <c:v>1035</c:v>
                      </c:pt>
                      <c:pt idx="93">
                        <c:v>1030</c:v>
                      </c:pt>
                      <c:pt idx="94">
                        <c:v>948</c:v>
                      </c:pt>
                      <c:pt idx="95">
                        <c:v>981</c:v>
                      </c:pt>
                      <c:pt idx="96">
                        <c:v>855</c:v>
                      </c:pt>
                      <c:pt idx="97">
                        <c:v>841</c:v>
                      </c:pt>
                      <c:pt idx="98">
                        <c:v>827</c:v>
                      </c:pt>
                      <c:pt idx="99">
                        <c:v>901</c:v>
                      </c:pt>
                      <c:pt idx="100">
                        <c:v>901</c:v>
                      </c:pt>
                      <c:pt idx="101">
                        <c:v>856</c:v>
                      </c:pt>
                      <c:pt idx="102">
                        <c:v>1787</c:v>
                      </c:pt>
                      <c:pt idx="103">
                        <c:v>764</c:v>
                      </c:pt>
                      <c:pt idx="104">
                        <c:v>989</c:v>
                      </c:pt>
                      <c:pt idx="105">
                        <c:v>1108</c:v>
                      </c:pt>
                      <c:pt idx="106">
                        <c:v>937</c:v>
                      </c:pt>
                      <c:pt idx="107">
                        <c:v>924</c:v>
                      </c:pt>
                      <c:pt idx="108">
                        <c:v>975</c:v>
                      </c:pt>
                      <c:pt idx="109">
                        <c:v>931</c:v>
                      </c:pt>
                      <c:pt idx="110">
                        <c:v>933</c:v>
                      </c:pt>
                      <c:pt idx="111">
                        <c:v>938</c:v>
                      </c:pt>
                      <c:pt idx="112">
                        <c:v>939</c:v>
                      </c:pt>
                      <c:pt idx="113">
                        <c:v>948</c:v>
                      </c:pt>
                      <c:pt idx="114">
                        <c:v>1894</c:v>
                      </c:pt>
                      <c:pt idx="115">
                        <c:v>1056</c:v>
                      </c:pt>
                      <c:pt idx="116" formatCode="General">
                        <c:v>1150</c:v>
                      </c:pt>
                      <c:pt idx="117">
                        <c:v>1239</c:v>
                      </c:pt>
                      <c:pt idx="118">
                        <c:v>926</c:v>
                      </c:pt>
                      <c:pt idx="119">
                        <c:v>928</c:v>
                      </c:pt>
                      <c:pt idx="120">
                        <c:v>846</c:v>
                      </c:pt>
                      <c:pt idx="121">
                        <c:v>781</c:v>
                      </c:pt>
                      <c:pt idx="122">
                        <c:v>837</c:v>
                      </c:pt>
                      <c:pt idx="123">
                        <c:v>939</c:v>
                      </c:pt>
                      <c:pt idx="124">
                        <c:v>801</c:v>
                      </c:pt>
                      <c:pt idx="125">
                        <c:v>778</c:v>
                      </c:pt>
                      <c:pt idx="126">
                        <c:v>1612</c:v>
                      </c:pt>
                      <c:pt idx="127">
                        <c:v>968</c:v>
                      </c:pt>
                      <c:pt idx="128">
                        <c:v>1028</c:v>
                      </c:pt>
                      <c:pt idx="129">
                        <c:v>920</c:v>
                      </c:pt>
                      <c:pt idx="130">
                        <c:v>885</c:v>
                      </c:pt>
                      <c:pt idx="131">
                        <c:v>950</c:v>
                      </c:pt>
                      <c:pt idx="132">
                        <c:v>866</c:v>
                      </c:pt>
                      <c:pt idx="133">
                        <c:v>853</c:v>
                      </c:pt>
                      <c:pt idx="134">
                        <c:v>898</c:v>
                      </c:pt>
                      <c:pt idx="135">
                        <c:v>1073</c:v>
                      </c:pt>
                      <c:pt idx="136">
                        <c:v>931</c:v>
                      </c:pt>
                      <c:pt idx="137">
                        <c:v>941</c:v>
                      </c:pt>
                      <c:pt idx="138">
                        <c:v>1802</c:v>
                      </c:pt>
                      <c:pt idx="139">
                        <c:v>1092</c:v>
                      </c:pt>
                      <c:pt idx="140">
                        <c:v>1158</c:v>
                      </c:pt>
                      <c:pt idx="141">
                        <c:v>1103</c:v>
                      </c:pt>
                      <c:pt idx="142">
                        <c:v>1010</c:v>
                      </c:pt>
                      <c:pt idx="143">
                        <c:v>1007</c:v>
                      </c:pt>
                      <c:pt idx="144" formatCode="_(* #,##0_);_(* \(#,##0\);_(* &quot;-&quot;??_);_(@_)">
                        <c:v>981</c:v>
                      </c:pt>
                      <c:pt idx="145">
                        <c:v>895</c:v>
                      </c:pt>
                      <c:pt idx="146">
                        <c:v>974</c:v>
                      </c:pt>
                      <c:pt idx="147">
                        <c:v>1041</c:v>
                      </c:pt>
                      <c:pt idx="148" formatCode="_(* #,##0_);_(* \(#,##0\);_(* &quot;-&quot;??_);_(@_)">
                        <c:v>1032</c:v>
                      </c:pt>
                      <c:pt idx="149" formatCode="_(* #,##0_);_(* \(#,##0\);_(* &quot;-&quot;??_);_(@_)">
                        <c:v>969</c:v>
                      </c:pt>
                      <c:pt idx="150" formatCode="_(* #,##0_);_(* \(#,##0\);_(* &quot;-&quot;??_);_(@_)">
                        <c:v>2132</c:v>
                      </c:pt>
                      <c:pt idx="151" formatCode="_(* #,##0_);_(* \(#,##0\);_(* &quot;-&quot;??_);_(@_)">
                        <c:v>1183</c:v>
                      </c:pt>
                      <c:pt idx="152" formatCode="_(* #,##0_);_(* \(#,##0\);_(* &quot;-&quot;??_);_(@_)">
                        <c:v>1236</c:v>
                      </c:pt>
                      <c:pt idx="153" formatCode="_(* #,##0_);_(* \(#,##0\);_(* &quot;-&quot;??_);_(@_)">
                        <c:v>803</c:v>
                      </c:pt>
                      <c:pt idx="154" formatCode="_(* #,##0_);_(* \(#,##0\);_(* &quot;-&quot;??_);_(@_)">
                        <c:v>1077</c:v>
                      </c:pt>
                      <c:pt idx="155" formatCode="_(* #,##0_);_(* \(#,##0\);_(* &quot;-&quot;??_);_(@_)">
                        <c:v>1204</c:v>
                      </c:pt>
                      <c:pt idx="156">
                        <c:v>1022</c:v>
                      </c:pt>
                      <c:pt idx="157">
                        <c:v>944</c:v>
                      </c:pt>
                      <c:pt idx="158">
                        <c:v>564</c:v>
                      </c:pt>
                      <c:pt idx="159">
                        <c:v>50</c:v>
                      </c:pt>
                      <c:pt idx="160">
                        <c:v>87</c:v>
                      </c:pt>
                      <c:pt idx="161">
                        <c:v>159</c:v>
                      </c:pt>
                      <c:pt idx="162">
                        <c:v>268</c:v>
                      </c:pt>
                      <c:pt idx="163">
                        <c:v>310</c:v>
                      </c:pt>
                      <c:pt idx="164">
                        <c:v>137</c:v>
                      </c:pt>
                      <c:pt idx="165">
                        <c:v>147</c:v>
                      </c:pt>
                      <c:pt idx="166">
                        <c:v>115</c:v>
                      </c:pt>
                      <c:pt idx="167">
                        <c:v>375</c:v>
                      </c:pt>
                      <c:pt idx="168">
                        <c:v>346</c:v>
                      </c:pt>
                      <c:pt idx="169">
                        <c:v>103</c:v>
                      </c:pt>
                      <c:pt idx="170">
                        <c:v>130</c:v>
                      </c:pt>
                      <c:pt idx="171">
                        <c:v>121</c:v>
                      </c:pt>
                      <c:pt idx="172">
                        <c:v>109</c:v>
                      </c:pt>
                    </c:numCache>
                  </c:numRef>
                </c:val>
                <c:smooth val="0"/>
                <c:extLst xmlns:c15="http://schemas.microsoft.com/office/drawing/2012/chart">
                  <c:ext xmlns:c16="http://schemas.microsoft.com/office/drawing/2014/chart" uri="{C3380CC4-5D6E-409C-BE32-E72D297353CC}">
                    <c16:uniqueId val="{0000000D-8ED6-4044-8E62-D67E03BE4939}"/>
                  </c:ext>
                </c:extLst>
              </c15:ser>
            </c15:filteredLineSeries>
            <c15:filteredLineSeries>
              <c15:ser>
                <c:idx val="13"/>
                <c:order val="13"/>
                <c:tx>
                  <c:strRef>
                    <c:extLst xmlns:c15="http://schemas.microsoft.com/office/drawing/2012/chart">
                      <c:ext xmlns:c15="http://schemas.microsoft.com/office/drawing/2012/chart" uri="{02D57815-91ED-43cb-92C2-25804820EDAC}">
                        <c15:formulaRef>
                          <c15:sqref>'Tendencias nacionalidad'!$C$67</c15:sqref>
                        </c15:formulaRef>
                      </c:ext>
                    </c:extLst>
                    <c:strCache>
                      <c:ptCount val="1"/>
                      <c:pt idx="0">
                        <c:v>China República Popular</c:v>
                      </c:pt>
                    </c:strCache>
                  </c:strRef>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nacionalidad'!$D$67:$GA$67</c15:sqref>
                        </c15:fullRef>
                        <c15:formulaRef>
                          <c15:sqref>'Tendencias nacionalidad'!$D$67:$FT$67</c15:sqref>
                        </c15:formulaRef>
                      </c:ext>
                    </c:extLst>
                    <c:numCache>
                      <c:formatCode>#,##0</c:formatCode>
                      <c:ptCount val="173"/>
                      <c:pt idx="0">
                        <c:v>133</c:v>
                      </c:pt>
                      <c:pt idx="1">
                        <c:v>92</c:v>
                      </c:pt>
                      <c:pt idx="2">
                        <c:v>219</c:v>
                      </c:pt>
                      <c:pt idx="3">
                        <c:v>122</c:v>
                      </c:pt>
                      <c:pt idx="4">
                        <c:v>192</c:v>
                      </c:pt>
                      <c:pt idx="5">
                        <c:v>123</c:v>
                      </c:pt>
                      <c:pt idx="6">
                        <c:v>158</c:v>
                      </c:pt>
                      <c:pt idx="7">
                        <c:v>152</c:v>
                      </c:pt>
                      <c:pt idx="8">
                        <c:v>231</c:v>
                      </c:pt>
                      <c:pt idx="9">
                        <c:v>178</c:v>
                      </c:pt>
                      <c:pt idx="10">
                        <c:v>149</c:v>
                      </c:pt>
                      <c:pt idx="11">
                        <c:v>195</c:v>
                      </c:pt>
                      <c:pt idx="12">
                        <c:v>187</c:v>
                      </c:pt>
                      <c:pt idx="13">
                        <c:v>200</c:v>
                      </c:pt>
                      <c:pt idx="14">
                        <c:v>290</c:v>
                      </c:pt>
                      <c:pt idx="15">
                        <c:v>345</c:v>
                      </c:pt>
                      <c:pt idx="16">
                        <c:v>276</c:v>
                      </c:pt>
                      <c:pt idx="17">
                        <c:v>382</c:v>
                      </c:pt>
                      <c:pt idx="18">
                        <c:v>2179</c:v>
                      </c:pt>
                      <c:pt idx="19">
                        <c:v>1374</c:v>
                      </c:pt>
                      <c:pt idx="20">
                        <c:v>1684</c:v>
                      </c:pt>
                      <c:pt idx="21">
                        <c:v>1102</c:v>
                      </c:pt>
                      <c:pt idx="22">
                        <c:v>766</c:v>
                      </c:pt>
                      <c:pt idx="23">
                        <c:v>229</c:v>
                      </c:pt>
                      <c:pt idx="24">
                        <c:v>215</c:v>
                      </c:pt>
                      <c:pt idx="25">
                        <c:v>310</c:v>
                      </c:pt>
                      <c:pt idx="26">
                        <c:v>284</c:v>
                      </c:pt>
                      <c:pt idx="27">
                        <c:v>259</c:v>
                      </c:pt>
                      <c:pt idx="28">
                        <c:v>282</c:v>
                      </c:pt>
                      <c:pt idx="29">
                        <c:v>305</c:v>
                      </c:pt>
                      <c:pt idx="30">
                        <c:v>334</c:v>
                      </c:pt>
                      <c:pt idx="31">
                        <c:v>413</c:v>
                      </c:pt>
                      <c:pt idx="32">
                        <c:v>465</c:v>
                      </c:pt>
                      <c:pt idx="33">
                        <c:v>391</c:v>
                      </c:pt>
                      <c:pt idx="34">
                        <c:v>626</c:v>
                      </c:pt>
                      <c:pt idx="35">
                        <c:v>354</c:v>
                      </c:pt>
                      <c:pt idx="36">
                        <c:v>309</c:v>
                      </c:pt>
                      <c:pt idx="37">
                        <c:v>310</c:v>
                      </c:pt>
                      <c:pt idx="38">
                        <c:v>261</c:v>
                      </c:pt>
                      <c:pt idx="39">
                        <c:v>201</c:v>
                      </c:pt>
                      <c:pt idx="40">
                        <c:v>223</c:v>
                      </c:pt>
                      <c:pt idx="41">
                        <c:v>264</c:v>
                      </c:pt>
                      <c:pt idx="42">
                        <c:v>253</c:v>
                      </c:pt>
                      <c:pt idx="43">
                        <c:v>336</c:v>
                      </c:pt>
                      <c:pt idx="44">
                        <c:v>245</c:v>
                      </c:pt>
                      <c:pt idx="45">
                        <c:v>111</c:v>
                      </c:pt>
                      <c:pt idx="46">
                        <c:v>335</c:v>
                      </c:pt>
                      <c:pt idx="47">
                        <c:v>418</c:v>
                      </c:pt>
                      <c:pt idx="48">
                        <c:v>275</c:v>
                      </c:pt>
                      <c:pt idx="49">
                        <c:v>351</c:v>
                      </c:pt>
                      <c:pt idx="50">
                        <c:v>351</c:v>
                      </c:pt>
                      <c:pt idx="51">
                        <c:v>297</c:v>
                      </c:pt>
                      <c:pt idx="52">
                        <c:v>296</c:v>
                      </c:pt>
                      <c:pt idx="53">
                        <c:v>312</c:v>
                      </c:pt>
                      <c:pt idx="54">
                        <c:v>299</c:v>
                      </c:pt>
                      <c:pt idx="55">
                        <c:v>450</c:v>
                      </c:pt>
                      <c:pt idx="56">
                        <c:v>428</c:v>
                      </c:pt>
                      <c:pt idx="57">
                        <c:v>477</c:v>
                      </c:pt>
                      <c:pt idx="58">
                        <c:v>485</c:v>
                      </c:pt>
                      <c:pt idx="59">
                        <c:v>438</c:v>
                      </c:pt>
                      <c:pt idx="60">
                        <c:v>198</c:v>
                      </c:pt>
                      <c:pt idx="61">
                        <c:v>557</c:v>
                      </c:pt>
                      <c:pt idx="62">
                        <c:v>561</c:v>
                      </c:pt>
                      <c:pt idx="63">
                        <c:v>523</c:v>
                      </c:pt>
                      <c:pt idx="64">
                        <c:v>701</c:v>
                      </c:pt>
                      <c:pt idx="65">
                        <c:v>470</c:v>
                      </c:pt>
                      <c:pt idx="66">
                        <c:v>598</c:v>
                      </c:pt>
                      <c:pt idx="67">
                        <c:v>647</c:v>
                      </c:pt>
                      <c:pt idx="68">
                        <c:v>674</c:v>
                      </c:pt>
                      <c:pt idx="69">
                        <c:v>826</c:v>
                      </c:pt>
                      <c:pt idx="70">
                        <c:v>646</c:v>
                      </c:pt>
                      <c:pt idx="71">
                        <c:v>532</c:v>
                      </c:pt>
                      <c:pt idx="72">
                        <c:v>83</c:v>
                      </c:pt>
                      <c:pt idx="73">
                        <c:v>440</c:v>
                      </c:pt>
                      <c:pt idx="74">
                        <c:v>582</c:v>
                      </c:pt>
                      <c:pt idx="75">
                        <c:v>655</c:v>
                      </c:pt>
                      <c:pt idx="76">
                        <c:v>704</c:v>
                      </c:pt>
                      <c:pt idx="77">
                        <c:v>612</c:v>
                      </c:pt>
                      <c:pt idx="78">
                        <c:v>427</c:v>
                      </c:pt>
                      <c:pt idx="79">
                        <c:v>751</c:v>
                      </c:pt>
                      <c:pt idx="80">
                        <c:v>724</c:v>
                      </c:pt>
                      <c:pt idx="81">
                        <c:v>697</c:v>
                      </c:pt>
                      <c:pt idx="82">
                        <c:v>655</c:v>
                      </c:pt>
                      <c:pt idx="83">
                        <c:v>657</c:v>
                      </c:pt>
                      <c:pt idx="84">
                        <c:v>636</c:v>
                      </c:pt>
                      <c:pt idx="85">
                        <c:v>674</c:v>
                      </c:pt>
                      <c:pt idx="86">
                        <c:v>840</c:v>
                      </c:pt>
                      <c:pt idx="87">
                        <c:v>702</c:v>
                      </c:pt>
                      <c:pt idx="88">
                        <c:v>659</c:v>
                      </c:pt>
                      <c:pt idx="89">
                        <c:v>639</c:v>
                      </c:pt>
                      <c:pt idx="90">
                        <c:v>825</c:v>
                      </c:pt>
                      <c:pt idx="91">
                        <c:v>721</c:v>
                      </c:pt>
                      <c:pt idx="92">
                        <c:v>869</c:v>
                      </c:pt>
                      <c:pt idx="93">
                        <c:v>817</c:v>
                      </c:pt>
                      <c:pt idx="94">
                        <c:v>785</c:v>
                      </c:pt>
                      <c:pt idx="95">
                        <c:v>701</c:v>
                      </c:pt>
                      <c:pt idx="96">
                        <c:v>740</c:v>
                      </c:pt>
                      <c:pt idx="97">
                        <c:v>531</c:v>
                      </c:pt>
                      <c:pt idx="98">
                        <c:v>1029</c:v>
                      </c:pt>
                      <c:pt idx="99">
                        <c:v>933</c:v>
                      </c:pt>
                      <c:pt idx="100">
                        <c:v>904</c:v>
                      </c:pt>
                      <c:pt idx="101">
                        <c:v>798</c:v>
                      </c:pt>
                      <c:pt idx="102">
                        <c:v>804</c:v>
                      </c:pt>
                      <c:pt idx="103">
                        <c:v>967</c:v>
                      </c:pt>
                      <c:pt idx="104">
                        <c:v>871</c:v>
                      </c:pt>
                      <c:pt idx="105">
                        <c:v>837</c:v>
                      </c:pt>
                      <c:pt idx="106">
                        <c:v>793</c:v>
                      </c:pt>
                      <c:pt idx="107">
                        <c:v>654</c:v>
                      </c:pt>
                      <c:pt idx="108">
                        <c:v>624</c:v>
                      </c:pt>
                      <c:pt idx="109">
                        <c:v>600</c:v>
                      </c:pt>
                      <c:pt idx="110">
                        <c:v>1169</c:v>
                      </c:pt>
                      <c:pt idx="111">
                        <c:v>845</c:v>
                      </c:pt>
                      <c:pt idx="112">
                        <c:v>896</c:v>
                      </c:pt>
                      <c:pt idx="113">
                        <c:v>878</c:v>
                      </c:pt>
                      <c:pt idx="114">
                        <c:v>890</c:v>
                      </c:pt>
                      <c:pt idx="115">
                        <c:v>1046</c:v>
                      </c:pt>
                      <c:pt idx="116" formatCode="General">
                        <c:v>969</c:v>
                      </c:pt>
                      <c:pt idx="117">
                        <c:v>1285</c:v>
                      </c:pt>
                      <c:pt idx="118">
                        <c:v>1577</c:v>
                      </c:pt>
                      <c:pt idx="119">
                        <c:v>1083</c:v>
                      </c:pt>
                      <c:pt idx="120">
                        <c:v>863</c:v>
                      </c:pt>
                      <c:pt idx="121">
                        <c:v>879</c:v>
                      </c:pt>
                      <c:pt idx="122">
                        <c:v>1309</c:v>
                      </c:pt>
                      <c:pt idx="123">
                        <c:v>1057</c:v>
                      </c:pt>
                      <c:pt idx="124">
                        <c:v>1204</c:v>
                      </c:pt>
                      <c:pt idx="125">
                        <c:v>1104</c:v>
                      </c:pt>
                      <c:pt idx="126">
                        <c:v>1164</c:v>
                      </c:pt>
                      <c:pt idx="127">
                        <c:v>1313</c:v>
                      </c:pt>
                      <c:pt idx="128">
                        <c:v>1214</c:v>
                      </c:pt>
                      <c:pt idx="129">
                        <c:v>1036</c:v>
                      </c:pt>
                      <c:pt idx="130">
                        <c:v>1147</c:v>
                      </c:pt>
                      <c:pt idx="131">
                        <c:v>1102</c:v>
                      </c:pt>
                      <c:pt idx="132">
                        <c:v>938</c:v>
                      </c:pt>
                      <c:pt idx="133">
                        <c:v>995</c:v>
                      </c:pt>
                      <c:pt idx="134">
                        <c:v>1373</c:v>
                      </c:pt>
                      <c:pt idx="135">
                        <c:v>866</c:v>
                      </c:pt>
                      <c:pt idx="136">
                        <c:v>931</c:v>
                      </c:pt>
                      <c:pt idx="137">
                        <c:v>952</c:v>
                      </c:pt>
                      <c:pt idx="138">
                        <c:v>1110</c:v>
                      </c:pt>
                      <c:pt idx="139">
                        <c:v>924</c:v>
                      </c:pt>
                      <c:pt idx="140">
                        <c:v>1152</c:v>
                      </c:pt>
                      <c:pt idx="141">
                        <c:v>876</c:v>
                      </c:pt>
                      <c:pt idx="142">
                        <c:v>1153</c:v>
                      </c:pt>
                      <c:pt idx="143">
                        <c:v>969</c:v>
                      </c:pt>
                      <c:pt idx="144" formatCode="_(* #,##0_);_(* \(#,##0\);_(* &quot;-&quot;??_);_(@_)">
                        <c:v>840</c:v>
                      </c:pt>
                      <c:pt idx="145">
                        <c:v>981</c:v>
                      </c:pt>
                      <c:pt idx="146">
                        <c:v>1154</c:v>
                      </c:pt>
                      <c:pt idx="147">
                        <c:v>849</c:v>
                      </c:pt>
                      <c:pt idx="148" formatCode="_(* #,##0_);_(* \(#,##0\);_(* &quot;-&quot;??_);_(@_)">
                        <c:v>1263</c:v>
                      </c:pt>
                      <c:pt idx="149" formatCode="_(* #,##0_);_(* \(#,##0\);_(* &quot;-&quot;??_);_(@_)">
                        <c:v>1087</c:v>
                      </c:pt>
                      <c:pt idx="150" formatCode="_(* #,##0_);_(* \(#,##0\);_(* &quot;-&quot;??_);_(@_)">
                        <c:v>1326</c:v>
                      </c:pt>
                      <c:pt idx="151" formatCode="_(* #,##0_);_(* \(#,##0\);_(* &quot;-&quot;??_);_(@_)">
                        <c:v>1264</c:v>
                      </c:pt>
                      <c:pt idx="152" formatCode="_(* #,##0_);_(* \(#,##0\);_(* &quot;-&quot;??_);_(@_)">
                        <c:v>1156</c:v>
                      </c:pt>
                      <c:pt idx="153" formatCode="_(* #,##0_);_(* \(#,##0\);_(* &quot;-&quot;??_);_(@_)">
                        <c:v>845</c:v>
                      </c:pt>
                      <c:pt idx="154" formatCode="_(* #,##0_);_(* \(#,##0\);_(* &quot;-&quot;??_);_(@_)">
                        <c:v>961</c:v>
                      </c:pt>
                      <c:pt idx="155" formatCode="_(* #,##0_);_(* \(#,##0\);_(* &quot;-&quot;??_);_(@_)">
                        <c:v>979</c:v>
                      </c:pt>
                      <c:pt idx="156">
                        <c:v>895</c:v>
                      </c:pt>
                      <c:pt idx="157">
                        <c:v>578</c:v>
                      </c:pt>
                      <c:pt idx="158">
                        <c:v>220</c:v>
                      </c:pt>
                      <c:pt idx="161">
                        <c:v>2</c:v>
                      </c:pt>
                      <c:pt idx="162">
                        <c:v>70</c:v>
                      </c:pt>
                      <c:pt idx="163">
                        <c:v>91</c:v>
                      </c:pt>
                      <c:pt idx="164">
                        <c:v>153</c:v>
                      </c:pt>
                      <c:pt idx="165">
                        <c:v>172</c:v>
                      </c:pt>
                      <c:pt idx="166">
                        <c:v>167</c:v>
                      </c:pt>
                      <c:pt idx="167">
                        <c:v>211</c:v>
                      </c:pt>
                      <c:pt idx="168">
                        <c:v>166</c:v>
                      </c:pt>
                      <c:pt idx="169">
                        <c:v>194</c:v>
                      </c:pt>
                      <c:pt idx="170">
                        <c:v>301</c:v>
                      </c:pt>
                      <c:pt idx="171">
                        <c:v>270</c:v>
                      </c:pt>
                      <c:pt idx="172">
                        <c:v>275</c:v>
                      </c:pt>
                    </c:numCache>
                  </c:numRef>
                </c:val>
                <c:smooth val="0"/>
                <c:extLst xmlns:c15="http://schemas.microsoft.com/office/drawing/2012/chart">
                  <c:ext xmlns:c16="http://schemas.microsoft.com/office/drawing/2014/chart" uri="{C3380CC4-5D6E-409C-BE32-E72D297353CC}">
                    <c16:uniqueId val="{0000000E-8ED6-4044-8E62-D67E03BE4939}"/>
                  </c:ext>
                </c:extLst>
              </c15:ser>
            </c15:filteredLineSeries>
            <c15:filteredLineSeries>
              <c15:ser>
                <c:idx val="14"/>
                <c:order val="14"/>
                <c:tx>
                  <c:strRef>
                    <c:extLst xmlns:c15="http://schemas.microsoft.com/office/drawing/2012/chart">
                      <c:ext xmlns:c15="http://schemas.microsoft.com/office/drawing/2012/chart" uri="{02D57815-91ED-43cb-92C2-25804820EDAC}">
                        <c15:formulaRef>
                          <c15:sqref>'Tendencias nacionalidad'!$C$68</c15:sqref>
                        </c15:formulaRef>
                      </c:ext>
                    </c:extLst>
                    <c:strCache>
                      <c:ptCount val="1"/>
                      <c:pt idx="0">
                        <c:v>Chile</c:v>
                      </c:pt>
                    </c:strCache>
                  </c:strRef>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nacionalidad'!$D$68:$GA$68</c15:sqref>
                        </c15:fullRef>
                        <c15:formulaRef>
                          <c15:sqref>'Tendencias nacionalidad'!$D$68:$FT$68</c15:sqref>
                        </c15:formulaRef>
                      </c:ext>
                    </c:extLst>
                    <c:numCache>
                      <c:formatCode>#,##0</c:formatCode>
                      <c:ptCount val="173"/>
                      <c:pt idx="0">
                        <c:v>802</c:v>
                      </c:pt>
                      <c:pt idx="1">
                        <c:v>792</c:v>
                      </c:pt>
                      <c:pt idx="2">
                        <c:v>587</c:v>
                      </c:pt>
                      <c:pt idx="3">
                        <c:v>506</c:v>
                      </c:pt>
                      <c:pt idx="4">
                        <c:v>581</c:v>
                      </c:pt>
                      <c:pt idx="5">
                        <c:v>629</c:v>
                      </c:pt>
                      <c:pt idx="6">
                        <c:v>849</c:v>
                      </c:pt>
                      <c:pt idx="7">
                        <c:v>779</c:v>
                      </c:pt>
                      <c:pt idx="8">
                        <c:v>784</c:v>
                      </c:pt>
                      <c:pt idx="9">
                        <c:v>779</c:v>
                      </c:pt>
                      <c:pt idx="10">
                        <c:v>668</c:v>
                      </c:pt>
                      <c:pt idx="11">
                        <c:v>701</c:v>
                      </c:pt>
                      <c:pt idx="12">
                        <c:v>1001</c:v>
                      </c:pt>
                      <c:pt idx="13">
                        <c:v>1416</c:v>
                      </c:pt>
                      <c:pt idx="14">
                        <c:v>639</c:v>
                      </c:pt>
                      <c:pt idx="15">
                        <c:v>628</c:v>
                      </c:pt>
                      <c:pt idx="16">
                        <c:v>690</c:v>
                      </c:pt>
                      <c:pt idx="17">
                        <c:v>720</c:v>
                      </c:pt>
                      <c:pt idx="18">
                        <c:v>888</c:v>
                      </c:pt>
                      <c:pt idx="19">
                        <c:v>967</c:v>
                      </c:pt>
                      <c:pt idx="20">
                        <c:v>909</c:v>
                      </c:pt>
                      <c:pt idx="21">
                        <c:v>1253</c:v>
                      </c:pt>
                      <c:pt idx="22">
                        <c:v>761</c:v>
                      </c:pt>
                      <c:pt idx="23">
                        <c:v>760</c:v>
                      </c:pt>
                      <c:pt idx="24">
                        <c:v>1134</c:v>
                      </c:pt>
                      <c:pt idx="25">
                        <c:v>933</c:v>
                      </c:pt>
                      <c:pt idx="26">
                        <c:v>642</c:v>
                      </c:pt>
                      <c:pt idx="27">
                        <c:v>704</c:v>
                      </c:pt>
                      <c:pt idx="28">
                        <c:v>710.5</c:v>
                      </c:pt>
                      <c:pt idx="29">
                        <c:v>717</c:v>
                      </c:pt>
                      <c:pt idx="30">
                        <c:v>970</c:v>
                      </c:pt>
                      <c:pt idx="31">
                        <c:v>720</c:v>
                      </c:pt>
                      <c:pt idx="32">
                        <c:v>889</c:v>
                      </c:pt>
                      <c:pt idx="33">
                        <c:v>728</c:v>
                      </c:pt>
                      <c:pt idx="34">
                        <c:v>715</c:v>
                      </c:pt>
                      <c:pt idx="35">
                        <c:v>609</c:v>
                      </c:pt>
                      <c:pt idx="36">
                        <c:v>929</c:v>
                      </c:pt>
                      <c:pt idx="37">
                        <c:v>1114</c:v>
                      </c:pt>
                      <c:pt idx="38">
                        <c:v>507</c:v>
                      </c:pt>
                      <c:pt idx="39">
                        <c:v>594</c:v>
                      </c:pt>
                      <c:pt idx="40">
                        <c:v>755</c:v>
                      </c:pt>
                      <c:pt idx="41">
                        <c:v>691</c:v>
                      </c:pt>
                      <c:pt idx="42">
                        <c:v>751</c:v>
                      </c:pt>
                      <c:pt idx="43">
                        <c:v>618</c:v>
                      </c:pt>
                      <c:pt idx="44">
                        <c:v>842</c:v>
                      </c:pt>
                      <c:pt idx="45">
                        <c:v>882</c:v>
                      </c:pt>
                      <c:pt idx="46">
                        <c:v>665</c:v>
                      </c:pt>
                      <c:pt idx="47">
                        <c:v>729</c:v>
                      </c:pt>
                      <c:pt idx="48">
                        <c:v>1099</c:v>
                      </c:pt>
                      <c:pt idx="49">
                        <c:v>1133</c:v>
                      </c:pt>
                      <c:pt idx="50">
                        <c:v>791</c:v>
                      </c:pt>
                      <c:pt idx="51">
                        <c:v>698</c:v>
                      </c:pt>
                      <c:pt idx="52">
                        <c:v>822</c:v>
                      </c:pt>
                      <c:pt idx="53">
                        <c:v>1050</c:v>
                      </c:pt>
                      <c:pt idx="54">
                        <c:v>1309</c:v>
                      </c:pt>
                      <c:pt idx="55">
                        <c:v>1070</c:v>
                      </c:pt>
                      <c:pt idx="56">
                        <c:v>936</c:v>
                      </c:pt>
                      <c:pt idx="57">
                        <c:v>966</c:v>
                      </c:pt>
                      <c:pt idx="58">
                        <c:v>790</c:v>
                      </c:pt>
                      <c:pt idx="59">
                        <c:v>1233</c:v>
                      </c:pt>
                      <c:pt idx="60">
                        <c:v>1072</c:v>
                      </c:pt>
                      <c:pt idx="61">
                        <c:v>1312</c:v>
                      </c:pt>
                      <c:pt idx="62">
                        <c:v>911</c:v>
                      </c:pt>
                      <c:pt idx="63">
                        <c:v>896</c:v>
                      </c:pt>
                      <c:pt idx="64">
                        <c:v>1004</c:v>
                      </c:pt>
                      <c:pt idx="65">
                        <c:v>1107</c:v>
                      </c:pt>
                      <c:pt idx="66">
                        <c:v>1277</c:v>
                      </c:pt>
                      <c:pt idx="67">
                        <c:v>1067</c:v>
                      </c:pt>
                      <c:pt idx="68">
                        <c:v>1066</c:v>
                      </c:pt>
                      <c:pt idx="69">
                        <c:v>2214</c:v>
                      </c:pt>
                      <c:pt idx="70">
                        <c:v>992</c:v>
                      </c:pt>
                      <c:pt idx="71">
                        <c:v>895</c:v>
                      </c:pt>
                      <c:pt idx="72">
                        <c:v>1139</c:v>
                      </c:pt>
                      <c:pt idx="73">
                        <c:v>1193</c:v>
                      </c:pt>
                      <c:pt idx="74">
                        <c:v>722</c:v>
                      </c:pt>
                      <c:pt idx="75">
                        <c:v>797</c:v>
                      </c:pt>
                      <c:pt idx="76">
                        <c:v>886</c:v>
                      </c:pt>
                      <c:pt idx="77">
                        <c:v>854</c:v>
                      </c:pt>
                      <c:pt idx="78">
                        <c:v>1141</c:v>
                      </c:pt>
                      <c:pt idx="79">
                        <c:v>1070</c:v>
                      </c:pt>
                      <c:pt idx="80">
                        <c:v>1090</c:v>
                      </c:pt>
                      <c:pt idx="81">
                        <c:v>1003</c:v>
                      </c:pt>
                      <c:pt idx="82">
                        <c:v>834</c:v>
                      </c:pt>
                      <c:pt idx="83">
                        <c:v>772</c:v>
                      </c:pt>
                      <c:pt idx="84">
                        <c:v>967</c:v>
                      </c:pt>
                      <c:pt idx="85">
                        <c:v>1087</c:v>
                      </c:pt>
                      <c:pt idx="86">
                        <c:v>951</c:v>
                      </c:pt>
                      <c:pt idx="87">
                        <c:v>958</c:v>
                      </c:pt>
                      <c:pt idx="88">
                        <c:v>1130</c:v>
                      </c:pt>
                      <c:pt idx="89">
                        <c:v>879</c:v>
                      </c:pt>
                      <c:pt idx="90">
                        <c:v>1213</c:v>
                      </c:pt>
                      <c:pt idx="91">
                        <c:v>1124</c:v>
                      </c:pt>
                      <c:pt idx="92">
                        <c:v>1100</c:v>
                      </c:pt>
                      <c:pt idx="93">
                        <c:v>1128</c:v>
                      </c:pt>
                      <c:pt idx="94">
                        <c:v>1166</c:v>
                      </c:pt>
                      <c:pt idx="95">
                        <c:v>1185</c:v>
                      </c:pt>
                      <c:pt idx="96">
                        <c:v>1056</c:v>
                      </c:pt>
                      <c:pt idx="97">
                        <c:v>1492</c:v>
                      </c:pt>
                      <c:pt idx="98">
                        <c:v>967</c:v>
                      </c:pt>
                      <c:pt idx="99">
                        <c:v>831</c:v>
                      </c:pt>
                      <c:pt idx="100">
                        <c:v>973</c:v>
                      </c:pt>
                      <c:pt idx="101">
                        <c:v>804</c:v>
                      </c:pt>
                      <c:pt idx="102">
                        <c:v>1001</c:v>
                      </c:pt>
                      <c:pt idx="103">
                        <c:v>697</c:v>
                      </c:pt>
                      <c:pt idx="104">
                        <c:v>700</c:v>
                      </c:pt>
                      <c:pt idx="105">
                        <c:v>837</c:v>
                      </c:pt>
                      <c:pt idx="106">
                        <c:v>824</c:v>
                      </c:pt>
                      <c:pt idx="107">
                        <c:v>804</c:v>
                      </c:pt>
                      <c:pt idx="108">
                        <c:v>874</c:v>
                      </c:pt>
                      <c:pt idx="109">
                        <c:v>931</c:v>
                      </c:pt>
                      <c:pt idx="110">
                        <c:v>634</c:v>
                      </c:pt>
                      <c:pt idx="111">
                        <c:v>630</c:v>
                      </c:pt>
                      <c:pt idx="112">
                        <c:v>593</c:v>
                      </c:pt>
                      <c:pt idx="113">
                        <c:v>783</c:v>
                      </c:pt>
                      <c:pt idx="114">
                        <c:v>933</c:v>
                      </c:pt>
                      <c:pt idx="115">
                        <c:v>646</c:v>
                      </c:pt>
                      <c:pt idx="116" formatCode="General">
                        <c:v>846</c:v>
                      </c:pt>
                      <c:pt idx="117">
                        <c:v>1359</c:v>
                      </c:pt>
                      <c:pt idx="118">
                        <c:v>938</c:v>
                      </c:pt>
                      <c:pt idx="119">
                        <c:v>883</c:v>
                      </c:pt>
                      <c:pt idx="120">
                        <c:v>1275</c:v>
                      </c:pt>
                      <c:pt idx="121">
                        <c:v>1308</c:v>
                      </c:pt>
                      <c:pt idx="122">
                        <c:v>867</c:v>
                      </c:pt>
                      <c:pt idx="123">
                        <c:v>810</c:v>
                      </c:pt>
                      <c:pt idx="124">
                        <c:v>726</c:v>
                      </c:pt>
                      <c:pt idx="125">
                        <c:v>709</c:v>
                      </c:pt>
                      <c:pt idx="126">
                        <c:v>1106</c:v>
                      </c:pt>
                      <c:pt idx="127">
                        <c:v>799</c:v>
                      </c:pt>
                      <c:pt idx="128">
                        <c:v>770</c:v>
                      </c:pt>
                      <c:pt idx="129">
                        <c:v>928</c:v>
                      </c:pt>
                      <c:pt idx="130">
                        <c:v>755</c:v>
                      </c:pt>
                      <c:pt idx="131">
                        <c:v>901</c:v>
                      </c:pt>
                      <c:pt idx="132">
                        <c:v>1141</c:v>
                      </c:pt>
                      <c:pt idx="133">
                        <c:v>1396</c:v>
                      </c:pt>
                      <c:pt idx="134">
                        <c:v>984</c:v>
                      </c:pt>
                      <c:pt idx="135">
                        <c:v>888</c:v>
                      </c:pt>
                      <c:pt idx="136">
                        <c:v>825</c:v>
                      </c:pt>
                      <c:pt idx="137">
                        <c:v>879</c:v>
                      </c:pt>
                      <c:pt idx="138">
                        <c:v>1124</c:v>
                      </c:pt>
                      <c:pt idx="139">
                        <c:v>824</c:v>
                      </c:pt>
                      <c:pt idx="140">
                        <c:v>945</c:v>
                      </c:pt>
                      <c:pt idx="141">
                        <c:v>1036</c:v>
                      </c:pt>
                      <c:pt idx="142">
                        <c:v>853</c:v>
                      </c:pt>
                      <c:pt idx="143">
                        <c:v>802</c:v>
                      </c:pt>
                      <c:pt idx="144" formatCode="_(* #,##0_);_(* \(#,##0\);_(* &quot;-&quot;??_);_(@_)">
                        <c:v>1003</c:v>
                      </c:pt>
                      <c:pt idx="145">
                        <c:v>1204</c:v>
                      </c:pt>
                      <c:pt idx="146">
                        <c:v>853</c:v>
                      </c:pt>
                      <c:pt idx="147">
                        <c:v>1299</c:v>
                      </c:pt>
                      <c:pt idx="148" formatCode="_(* #,##0_);_(* \(#,##0\);_(* &quot;-&quot;??_);_(@_)">
                        <c:v>1321</c:v>
                      </c:pt>
                      <c:pt idx="149" formatCode="_(* #,##0_);_(* \(#,##0\);_(* &quot;-&quot;??_);_(@_)">
                        <c:v>1452</c:v>
                      </c:pt>
                      <c:pt idx="150" formatCode="_(* #,##0_);_(* \(#,##0\);_(* &quot;-&quot;??_);_(@_)">
                        <c:v>1791</c:v>
                      </c:pt>
                      <c:pt idx="151" formatCode="_(* #,##0_);_(* \(#,##0\);_(* &quot;-&quot;??_);_(@_)">
                        <c:v>1495</c:v>
                      </c:pt>
                      <c:pt idx="152" formatCode="_(* #,##0_);_(* \(#,##0\);_(* &quot;-&quot;??_);_(@_)">
                        <c:v>1858</c:v>
                      </c:pt>
                      <c:pt idx="153" formatCode="_(* #,##0_);_(* \(#,##0\);_(* &quot;-&quot;??_);_(@_)">
                        <c:v>1132</c:v>
                      </c:pt>
                      <c:pt idx="154" formatCode="_(* #,##0_);_(* \(#,##0\);_(* &quot;-&quot;??_);_(@_)">
                        <c:v>1226</c:v>
                      </c:pt>
                      <c:pt idx="155" formatCode="_(* #,##0_);_(* \(#,##0\);_(* &quot;-&quot;??_);_(@_)">
                        <c:v>1409</c:v>
                      </c:pt>
                      <c:pt idx="156">
                        <c:v>1782</c:v>
                      </c:pt>
                      <c:pt idx="157">
                        <c:v>1775</c:v>
                      </c:pt>
                      <c:pt idx="158">
                        <c:v>541</c:v>
                      </c:pt>
                      <c:pt idx="159">
                        <c:v>13</c:v>
                      </c:pt>
                      <c:pt idx="160">
                        <c:v>9</c:v>
                      </c:pt>
                      <c:pt idx="161">
                        <c:v>19</c:v>
                      </c:pt>
                      <c:pt idx="162">
                        <c:v>29</c:v>
                      </c:pt>
                      <c:pt idx="163">
                        <c:v>30</c:v>
                      </c:pt>
                      <c:pt idx="164">
                        <c:v>64</c:v>
                      </c:pt>
                      <c:pt idx="165">
                        <c:v>142</c:v>
                      </c:pt>
                      <c:pt idx="166">
                        <c:v>127</c:v>
                      </c:pt>
                      <c:pt idx="167">
                        <c:v>326</c:v>
                      </c:pt>
                      <c:pt idx="168">
                        <c:v>263</c:v>
                      </c:pt>
                      <c:pt idx="169">
                        <c:v>165</c:v>
                      </c:pt>
                      <c:pt idx="170">
                        <c:v>208</c:v>
                      </c:pt>
                      <c:pt idx="171">
                        <c:v>113</c:v>
                      </c:pt>
                      <c:pt idx="172">
                        <c:v>145</c:v>
                      </c:pt>
                    </c:numCache>
                  </c:numRef>
                </c:val>
                <c:smooth val="0"/>
                <c:extLst xmlns:c15="http://schemas.microsoft.com/office/drawing/2012/chart">
                  <c:ext xmlns:c16="http://schemas.microsoft.com/office/drawing/2014/chart" uri="{C3380CC4-5D6E-409C-BE32-E72D297353CC}">
                    <c16:uniqueId val="{00000004-8ED6-4044-8E62-D67E03BE4939}"/>
                  </c:ext>
                </c:extLst>
              </c15:ser>
            </c15:filteredLineSeries>
            <c15:filteredLineSeries>
              <c15:ser>
                <c:idx val="15"/>
                <c:order val="15"/>
                <c:tx>
                  <c:strRef>
                    <c:extLst xmlns:c15="http://schemas.microsoft.com/office/drawing/2012/chart">
                      <c:ext xmlns:c15="http://schemas.microsoft.com/office/drawing/2012/chart" uri="{02D57815-91ED-43cb-92C2-25804820EDAC}">
                        <c15:formulaRef>
                          <c15:sqref>'Tendencias nacionalidad'!$C$69</c15:sqref>
                        </c15:formulaRef>
                      </c:ext>
                    </c:extLst>
                    <c:strCache>
                      <c:ptCount val="1"/>
                      <c:pt idx="0">
                        <c:v>Panamá</c:v>
                      </c:pt>
                    </c:strCache>
                  </c:strRef>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nacionalidad'!$D$69:$GA$69</c15:sqref>
                        </c15:fullRef>
                        <c15:formulaRef>
                          <c15:sqref>'Tendencias nacionalidad'!$D$69:$FT$69</c15:sqref>
                        </c15:formulaRef>
                      </c:ext>
                    </c:extLst>
                    <c:numCache>
                      <c:formatCode>#,##0</c:formatCode>
                      <c:ptCount val="173"/>
                      <c:pt idx="0">
                        <c:v>89</c:v>
                      </c:pt>
                      <c:pt idx="1">
                        <c:v>97</c:v>
                      </c:pt>
                      <c:pt idx="2">
                        <c:v>98</c:v>
                      </c:pt>
                      <c:pt idx="3">
                        <c:v>73</c:v>
                      </c:pt>
                      <c:pt idx="4">
                        <c:v>107</c:v>
                      </c:pt>
                      <c:pt idx="5">
                        <c:v>108</c:v>
                      </c:pt>
                      <c:pt idx="6">
                        <c:v>114</c:v>
                      </c:pt>
                      <c:pt idx="7">
                        <c:v>116</c:v>
                      </c:pt>
                      <c:pt idx="8">
                        <c:v>115</c:v>
                      </c:pt>
                      <c:pt idx="9">
                        <c:v>116</c:v>
                      </c:pt>
                      <c:pt idx="10">
                        <c:v>219</c:v>
                      </c:pt>
                      <c:pt idx="11">
                        <c:v>117</c:v>
                      </c:pt>
                      <c:pt idx="12">
                        <c:v>110</c:v>
                      </c:pt>
                      <c:pt idx="13">
                        <c:v>177</c:v>
                      </c:pt>
                      <c:pt idx="14">
                        <c:v>117</c:v>
                      </c:pt>
                      <c:pt idx="15">
                        <c:v>96</c:v>
                      </c:pt>
                      <c:pt idx="16">
                        <c:v>143</c:v>
                      </c:pt>
                      <c:pt idx="17">
                        <c:v>107</c:v>
                      </c:pt>
                      <c:pt idx="18">
                        <c:v>186</c:v>
                      </c:pt>
                      <c:pt idx="19">
                        <c:v>197</c:v>
                      </c:pt>
                      <c:pt idx="20">
                        <c:v>181</c:v>
                      </c:pt>
                      <c:pt idx="21">
                        <c:v>189</c:v>
                      </c:pt>
                      <c:pt idx="22">
                        <c:v>292</c:v>
                      </c:pt>
                      <c:pt idx="23">
                        <c:v>152</c:v>
                      </c:pt>
                      <c:pt idx="24">
                        <c:v>164</c:v>
                      </c:pt>
                      <c:pt idx="25">
                        <c:v>132</c:v>
                      </c:pt>
                      <c:pt idx="26">
                        <c:v>166</c:v>
                      </c:pt>
                      <c:pt idx="27">
                        <c:v>106</c:v>
                      </c:pt>
                      <c:pt idx="28">
                        <c:v>116.5</c:v>
                      </c:pt>
                      <c:pt idx="29">
                        <c:v>127</c:v>
                      </c:pt>
                      <c:pt idx="30">
                        <c:v>145</c:v>
                      </c:pt>
                      <c:pt idx="31">
                        <c:v>105</c:v>
                      </c:pt>
                      <c:pt idx="32">
                        <c:v>149</c:v>
                      </c:pt>
                      <c:pt idx="33">
                        <c:v>163</c:v>
                      </c:pt>
                      <c:pt idx="34">
                        <c:v>184</c:v>
                      </c:pt>
                      <c:pt idx="35">
                        <c:v>125</c:v>
                      </c:pt>
                      <c:pt idx="36">
                        <c:v>154</c:v>
                      </c:pt>
                      <c:pt idx="37">
                        <c:v>218</c:v>
                      </c:pt>
                      <c:pt idx="38">
                        <c:v>150</c:v>
                      </c:pt>
                      <c:pt idx="39">
                        <c:v>189</c:v>
                      </c:pt>
                      <c:pt idx="40">
                        <c:v>141</c:v>
                      </c:pt>
                      <c:pt idx="41">
                        <c:v>141</c:v>
                      </c:pt>
                      <c:pt idx="42">
                        <c:v>147</c:v>
                      </c:pt>
                      <c:pt idx="43">
                        <c:v>136</c:v>
                      </c:pt>
                      <c:pt idx="44">
                        <c:v>118</c:v>
                      </c:pt>
                      <c:pt idx="45">
                        <c:v>121</c:v>
                      </c:pt>
                      <c:pt idx="46">
                        <c:v>165</c:v>
                      </c:pt>
                      <c:pt idx="47">
                        <c:v>149</c:v>
                      </c:pt>
                      <c:pt idx="48">
                        <c:v>161</c:v>
                      </c:pt>
                      <c:pt idx="49">
                        <c:v>180</c:v>
                      </c:pt>
                      <c:pt idx="50">
                        <c:v>463</c:v>
                      </c:pt>
                      <c:pt idx="51">
                        <c:v>340</c:v>
                      </c:pt>
                      <c:pt idx="52">
                        <c:v>336</c:v>
                      </c:pt>
                      <c:pt idx="53">
                        <c:v>396</c:v>
                      </c:pt>
                      <c:pt idx="54">
                        <c:v>334</c:v>
                      </c:pt>
                      <c:pt idx="55">
                        <c:v>362</c:v>
                      </c:pt>
                      <c:pt idx="56">
                        <c:v>336</c:v>
                      </c:pt>
                      <c:pt idx="57">
                        <c:v>395</c:v>
                      </c:pt>
                      <c:pt idx="58">
                        <c:v>356</c:v>
                      </c:pt>
                      <c:pt idx="59">
                        <c:v>381</c:v>
                      </c:pt>
                      <c:pt idx="60">
                        <c:v>131</c:v>
                      </c:pt>
                      <c:pt idx="61">
                        <c:v>193</c:v>
                      </c:pt>
                      <c:pt idx="62">
                        <c:v>397</c:v>
                      </c:pt>
                      <c:pt idx="63">
                        <c:v>386</c:v>
                      </c:pt>
                      <c:pt idx="64">
                        <c:v>468</c:v>
                      </c:pt>
                      <c:pt idx="65">
                        <c:v>379</c:v>
                      </c:pt>
                      <c:pt idx="66">
                        <c:v>392</c:v>
                      </c:pt>
                      <c:pt idx="67">
                        <c:v>350</c:v>
                      </c:pt>
                      <c:pt idx="68">
                        <c:v>379</c:v>
                      </c:pt>
                      <c:pt idx="69">
                        <c:v>342</c:v>
                      </c:pt>
                      <c:pt idx="70">
                        <c:v>432</c:v>
                      </c:pt>
                      <c:pt idx="71">
                        <c:v>353</c:v>
                      </c:pt>
                      <c:pt idx="72">
                        <c:v>362</c:v>
                      </c:pt>
                      <c:pt idx="73">
                        <c:v>407</c:v>
                      </c:pt>
                      <c:pt idx="74">
                        <c:v>490</c:v>
                      </c:pt>
                      <c:pt idx="75">
                        <c:v>520</c:v>
                      </c:pt>
                      <c:pt idx="76">
                        <c:v>497</c:v>
                      </c:pt>
                      <c:pt idx="77">
                        <c:v>497</c:v>
                      </c:pt>
                      <c:pt idx="78">
                        <c:v>513</c:v>
                      </c:pt>
                      <c:pt idx="79">
                        <c:v>460</c:v>
                      </c:pt>
                      <c:pt idx="80">
                        <c:v>520</c:v>
                      </c:pt>
                      <c:pt idx="81">
                        <c:v>501</c:v>
                      </c:pt>
                      <c:pt idx="82">
                        <c:v>503</c:v>
                      </c:pt>
                      <c:pt idx="83">
                        <c:v>525</c:v>
                      </c:pt>
                      <c:pt idx="84">
                        <c:v>471</c:v>
                      </c:pt>
                      <c:pt idx="85">
                        <c:v>474</c:v>
                      </c:pt>
                      <c:pt idx="86">
                        <c:v>491</c:v>
                      </c:pt>
                      <c:pt idx="87">
                        <c:v>485</c:v>
                      </c:pt>
                      <c:pt idx="88">
                        <c:v>565</c:v>
                      </c:pt>
                      <c:pt idx="89">
                        <c:v>493</c:v>
                      </c:pt>
                      <c:pt idx="90">
                        <c:v>498</c:v>
                      </c:pt>
                      <c:pt idx="91">
                        <c:v>493</c:v>
                      </c:pt>
                      <c:pt idx="92">
                        <c:v>543</c:v>
                      </c:pt>
                      <c:pt idx="93">
                        <c:v>389</c:v>
                      </c:pt>
                      <c:pt idx="94">
                        <c:v>471</c:v>
                      </c:pt>
                      <c:pt idx="95">
                        <c:v>478</c:v>
                      </c:pt>
                      <c:pt idx="96">
                        <c:v>398</c:v>
                      </c:pt>
                      <c:pt idx="97">
                        <c:v>376</c:v>
                      </c:pt>
                      <c:pt idx="98">
                        <c:v>343</c:v>
                      </c:pt>
                      <c:pt idx="99">
                        <c:v>380</c:v>
                      </c:pt>
                      <c:pt idx="100">
                        <c:v>488</c:v>
                      </c:pt>
                      <c:pt idx="101">
                        <c:v>366</c:v>
                      </c:pt>
                      <c:pt idx="102">
                        <c:v>598</c:v>
                      </c:pt>
                      <c:pt idx="103">
                        <c:v>512</c:v>
                      </c:pt>
                      <c:pt idx="104">
                        <c:v>557</c:v>
                      </c:pt>
                      <c:pt idx="105">
                        <c:v>698</c:v>
                      </c:pt>
                      <c:pt idx="106">
                        <c:v>731</c:v>
                      </c:pt>
                      <c:pt idx="107">
                        <c:v>700</c:v>
                      </c:pt>
                      <c:pt idx="108">
                        <c:v>891</c:v>
                      </c:pt>
                      <c:pt idx="109">
                        <c:v>862</c:v>
                      </c:pt>
                      <c:pt idx="110">
                        <c:v>915</c:v>
                      </c:pt>
                      <c:pt idx="111">
                        <c:v>629</c:v>
                      </c:pt>
                      <c:pt idx="112">
                        <c:v>786</c:v>
                      </c:pt>
                      <c:pt idx="113">
                        <c:v>756</c:v>
                      </c:pt>
                      <c:pt idx="114">
                        <c:v>817</c:v>
                      </c:pt>
                      <c:pt idx="115">
                        <c:v>802</c:v>
                      </c:pt>
                      <c:pt idx="116" formatCode="General">
                        <c:v>586</c:v>
                      </c:pt>
                      <c:pt idx="117">
                        <c:v>872</c:v>
                      </c:pt>
                      <c:pt idx="118">
                        <c:v>883</c:v>
                      </c:pt>
                      <c:pt idx="119">
                        <c:v>763</c:v>
                      </c:pt>
                      <c:pt idx="120">
                        <c:v>841</c:v>
                      </c:pt>
                      <c:pt idx="121">
                        <c:v>806</c:v>
                      </c:pt>
                      <c:pt idx="122">
                        <c:v>689</c:v>
                      </c:pt>
                      <c:pt idx="123">
                        <c:v>656</c:v>
                      </c:pt>
                      <c:pt idx="124">
                        <c:v>636</c:v>
                      </c:pt>
                      <c:pt idx="125">
                        <c:v>814</c:v>
                      </c:pt>
                      <c:pt idx="126">
                        <c:v>711</c:v>
                      </c:pt>
                      <c:pt idx="127">
                        <c:v>815</c:v>
                      </c:pt>
                      <c:pt idx="128">
                        <c:v>811</c:v>
                      </c:pt>
                      <c:pt idx="129">
                        <c:v>824</c:v>
                      </c:pt>
                      <c:pt idx="130">
                        <c:v>864</c:v>
                      </c:pt>
                      <c:pt idx="131">
                        <c:v>729</c:v>
                      </c:pt>
                      <c:pt idx="132">
                        <c:v>769</c:v>
                      </c:pt>
                      <c:pt idx="133">
                        <c:v>683</c:v>
                      </c:pt>
                      <c:pt idx="134">
                        <c:v>727</c:v>
                      </c:pt>
                      <c:pt idx="135">
                        <c:v>707</c:v>
                      </c:pt>
                      <c:pt idx="136">
                        <c:v>717</c:v>
                      </c:pt>
                      <c:pt idx="137">
                        <c:v>800</c:v>
                      </c:pt>
                      <c:pt idx="138">
                        <c:v>836</c:v>
                      </c:pt>
                      <c:pt idx="139">
                        <c:v>819</c:v>
                      </c:pt>
                      <c:pt idx="140">
                        <c:v>868</c:v>
                      </c:pt>
                      <c:pt idx="141">
                        <c:v>902</c:v>
                      </c:pt>
                      <c:pt idx="142">
                        <c:v>926</c:v>
                      </c:pt>
                      <c:pt idx="143">
                        <c:v>860</c:v>
                      </c:pt>
                      <c:pt idx="144" formatCode="_(* #,##0_);_(* \(#,##0\);_(* &quot;-&quot;??_);_(@_)">
                        <c:v>840</c:v>
                      </c:pt>
                      <c:pt idx="145">
                        <c:v>828</c:v>
                      </c:pt>
                      <c:pt idx="146">
                        <c:v>1084</c:v>
                      </c:pt>
                      <c:pt idx="147">
                        <c:v>812</c:v>
                      </c:pt>
                      <c:pt idx="148" formatCode="_(* #,##0_);_(* \(#,##0\);_(* &quot;-&quot;??_);_(@_)">
                        <c:v>848</c:v>
                      </c:pt>
                      <c:pt idx="149" formatCode="_(* #,##0_);_(* \(#,##0\);_(* &quot;-&quot;??_);_(@_)">
                        <c:v>1008</c:v>
                      </c:pt>
                      <c:pt idx="150" formatCode="_(* #,##0_);_(* \(#,##0\);_(* &quot;-&quot;??_);_(@_)">
                        <c:v>995</c:v>
                      </c:pt>
                      <c:pt idx="151" formatCode="_(* #,##0_);_(* \(#,##0\);_(* &quot;-&quot;??_);_(@_)">
                        <c:v>1071</c:v>
                      </c:pt>
                      <c:pt idx="152" formatCode="_(* #,##0_);_(* \(#,##0\);_(* &quot;-&quot;??_);_(@_)">
                        <c:v>633</c:v>
                      </c:pt>
                      <c:pt idx="153" formatCode="_(* #,##0_);_(* \(#,##0\);_(* &quot;-&quot;??_);_(@_)">
                        <c:v>594</c:v>
                      </c:pt>
                      <c:pt idx="154" formatCode="_(* #,##0_);_(* \(#,##0\);_(* &quot;-&quot;??_);_(@_)">
                        <c:v>724</c:v>
                      </c:pt>
                      <c:pt idx="155" formatCode="_(* #,##0_);_(* \(#,##0\);_(* &quot;-&quot;??_);_(@_)">
                        <c:v>705</c:v>
                      </c:pt>
                      <c:pt idx="156">
                        <c:v>773</c:v>
                      </c:pt>
                      <c:pt idx="157">
                        <c:v>747</c:v>
                      </c:pt>
                      <c:pt idx="158">
                        <c:v>271</c:v>
                      </c:pt>
                      <c:pt idx="162">
                        <c:v>1</c:v>
                      </c:pt>
                      <c:pt idx="163">
                        <c:v>15</c:v>
                      </c:pt>
                      <c:pt idx="164">
                        <c:v>5</c:v>
                      </c:pt>
                      <c:pt idx="165">
                        <c:v>40</c:v>
                      </c:pt>
                      <c:pt idx="166">
                        <c:v>320</c:v>
                      </c:pt>
                      <c:pt idx="167">
                        <c:v>353</c:v>
                      </c:pt>
                      <c:pt idx="168">
                        <c:v>378</c:v>
                      </c:pt>
                      <c:pt idx="169">
                        <c:v>219</c:v>
                      </c:pt>
                      <c:pt idx="170">
                        <c:v>215</c:v>
                      </c:pt>
                      <c:pt idx="171">
                        <c:v>218</c:v>
                      </c:pt>
                      <c:pt idx="172">
                        <c:v>265</c:v>
                      </c:pt>
                    </c:numCache>
                  </c:numRef>
                </c:val>
                <c:smooth val="0"/>
                <c:extLst xmlns:c15="http://schemas.microsoft.com/office/drawing/2012/chart">
                  <c:ext xmlns:c16="http://schemas.microsoft.com/office/drawing/2014/chart" uri="{C3380CC4-5D6E-409C-BE32-E72D297353CC}">
                    <c16:uniqueId val="{0000000F-8ED6-4044-8E62-D67E03BE4939}"/>
                  </c:ext>
                </c:extLst>
              </c15:ser>
            </c15:filteredLineSeries>
            <c15:filteredLineSeries>
              <c15:ser>
                <c:idx val="16"/>
                <c:order val="16"/>
                <c:tx>
                  <c:strRef>
                    <c:extLst xmlns:c15="http://schemas.microsoft.com/office/drawing/2012/chart">
                      <c:ext xmlns:c15="http://schemas.microsoft.com/office/drawing/2012/chart" uri="{02D57815-91ED-43cb-92C2-25804820EDAC}">
                        <c15:formulaRef>
                          <c15:sqref>'Tendencias nacionalidad'!$C$70</c15:sqref>
                        </c15:formulaRef>
                      </c:ext>
                    </c:extLst>
                    <c:strCache>
                      <c:ptCount val="1"/>
                      <c:pt idx="0">
                        <c:v>Italia</c:v>
                      </c:pt>
                    </c:strCache>
                  </c:strRef>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nacionalidad'!$D$70:$GA$70</c15:sqref>
                        </c15:fullRef>
                        <c15:formulaRef>
                          <c15:sqref>'Tendencias nacionalidad'!$D$70:$FT$70</c15:sqref>
                        </c15:formulaRef>
                      </c:ext>
                    </c:extLst>
                    <c:numCache>
                      <c:formatCode>#,##0</c:formatCode>
                      <c:ptCount val="173"/>
                      <c:pt idx="0">
                        <c:v>549</c:v>
                      </c:pt>
                      <c:pt idx="1">
                        <c:v>378</c:v>
                      </c:pt>
                      <c:pt idx="2">
                        <c:v>399</c:v>
                      </c:pt>
                      <c:pt idx="3">
                        <c:v>391</c:v>
                      </c:pt>
                      <c:pt idx="4">
                        <c:v>397</c:v>
                      </c:pt>
                      <c:pt idx="5">
                        <c:v>487</c:v>
                      </c:pt>
                      <c:pt idx="6">
                        <c:v>844</c:v>
                      </c:pt>
                      <c:pt idx="7">
                        <c:v>1198</c:v>
                      </c:pt>
                      <c:pt idx="8">
                        <c:v>469</c:v>
                      </c:pt>
                      <c:pt idx="9">
                        <c:v>573</c:v>
                      </c:pt>
                      <c:pt idx="10">
                        <c:v>556</c:v>
                      </c:pt>
                      <c:pt idx="11">
                        <c:v>606</c:v>
                      </c:pt>
                      <c:pt idx="12">
                        <c:v>658</c:v>
                      </c:pt>
                      <c:pt idx="13">
                        <c:v>721</c:v>
                      </c:pt>
                      <c:pt idx="14">
                        <c:v>522</c:v>
                      </c:pt>
                      <c:pt idx="15">
                        <c:v>491</c:v>
                      </c:pt>
                      <c:pt idx="16">
                        <c:v>485</c:v>
                      </c:pt>
                      <c:pt idx="17">
                        <c:v>640</c:v>
                      </c:pt>
                      <c:pt idx="18">
                        <c:v>950</c:v>
                      </c:pt>
                      <c:pt idx="19">
                        <c:v>1246</c:v>
                      </c:pt>
                      <c:pt idx="20">
                        <c:v>719</c:v>
                      </c:pt>
                      <c:pt idx="21">
                        <c:v>629</c:v>
                      </c:pt>
                      <c:pt idx="22">
                        <c:v>701</c:v>
                      </c:pt>
                      <c:pt idx="23">
                        <c:v>596</c:v>
                      </c:pt>
                      <c:pt idx="24">
                        <c:v>761</c:v>
                      </c:pt>
                      <c:pt idx="25">
                        <c:v>540</c:v>
                      </c:pt>
                      <c:pt idx="26">
                        <c:v>496</c:v>
                      </c:pt>
                      <c:pt idx="27">
                        <c:v>503</c:v>
                      </c:pt>
                      <c:pt idx="28">
                        <c:v>608</c:v>
                      </c:pt>
                      <c:pt idx="29">
                        <c:v>713</c:v>
                      </c:pt>
                      <c:pt idx="30">
                        <c:v>1022</c:v>
                      </c:pt>
                      <c:pt idx="31">
                        <c:v>1396</c:v>
                      </c:pt>
                      <c:pt idx="32">
                        <c:v>602</c:v>
                      </c:pt>
                      <c:pt idx="33">
                        <c:v>609</c:v>
                      </c:pt>
                      <c:pt idx="34">
                        <c:v>680</c:v>
                      </c:pt>
                      <c:pt idx="35">
                        <c:v>666</c:v>
                      </c:pt>
                      <c:pt idx="36">
                        <c:v>637</c:v>
                      </c:pt>
                      <c:pt idx="37">
                        <c:v>545</c:v>
                      </c:pt>
                      <c:pt idx="38">
                        <c:v>550</c:v>
                      </c:pt>
                      <c:pt idx="39">
                        <c:v>538</c:v>
                      </c:pt>
                      <c:pt idx="40">
                        <c:v>528</c:v>
                      </c:pt>
                      <c:pt idx="41">
                        <c:v>635</c:v>
                      </c:pt>
                      <c:pt idx="42">
                        <c:v>849</c:v>
                      </c:pt>
                      <c:pt idx="43">
                        <c:v>1276</c:v>
                      </c:pt>
                      <c:pt idx="44">
                        <c:v>521</c:v>
                      </c:pt>
                      <c:pt idx="45">
                        <c:v>614</c:v>
                      </c:pt>
                      <c:pt idx="46">
                        <c:v>715</c:v>
                      </c:pt>
                      <c:pt idx="47">
                        <c:v>639</c:v>
                      </c:pt>
                      <c:pt idx="48">
                        <c:v>595</c:v>
                      </c:pt>
                      <c:pt idx="49">
                        <c:v>497</c:v>
                      </c:pt>
                      <c:pt idx="50">
                        <c:v>505</c:v>
                      </c:pt>
                      <c:pt idx="51">
                        <c:v>417</c:v>
                      </c:pt>
                      <c:pt idx="52">
                        <c:v>543</c:v>
                      </c:pt>
                      <c:pt idx="53">
                        <c:v>559</c:v>
                      </c:pt>
                      <c:pt idx="54">
                        <c:v>777</c:v>
                      </c:pt>
                      <c:pt idx="55">
                        <c:v>1289</c:v>
                      </c:pt>
                      <c:pt idx="56">
                        <c:v>535</c:v>
                      </c:pt>
                      <c:pt idx="57">
                        <c:v>653</c:v>
                      </c:pt>
                      <c:pt idx="58">
                        <c:v>682</c:v>
                      </c:pt>
                      <c:pt idx="59">
                        <c:v>664</c:v>
                      </c:pt>
                      <c:pt idx="60">
                        <c:v>551</c:v>
                      </c:pt>
                      <c:pt idx="61">
                        <c:v>522</c:v>
                      </c:pt>
                      <c:pt idx="62">
                        <c:v>534</c:v>
                      </c:pt>
                      <c:pt idx="63">
                        <c:v>525</c:v>
                      </c:pt>
                      <c:pt idx="64">
                        <c:v>544</c:v>
                      </c:pt>
                      <c:pt idx="65">
                        <c:v>656</c:v>
                      </c:pt>
                      <c:pt idx="66">
                        <c:v>836</c:v>
                      </c:pt>
                      <c:pt idx="67">
                        <c:v>1119</c:v>
                      </c:pt>
                      <c:pt idx="68">
                        <c:v>550</c:v>
                      </c:pt>
                      <c:pt idx="69">
                        <c:v>658</c:v>
                      </c:pt>
                      <c:pt idx="70">
                        <c:v>688</c:v>
                      </c:pt>
                      <c:pt idx="71">
                        <c:v>574</c:v>
                      </c:pt>
                      <c:pt idx="72">
                        <c:v>600</c:v>
                      </c:pt>
                      <c:pt idx="73">
                        <c:v>512</c:v>
                      </c:pt>
                      <c:pt idx="74">
                        <c:v>542</c:v>
                      </c:pt>
                      <c:pt idx="75">
                        <c:v>511</c:v>
                      </c:pt>
                      <c:pt idx="76">
                        <c:v>483</c:v>
                      </c:pt>
                      <c:pt idx="77">
                        <c:v>646</c:v>
                      </c:pt>
                      <c:pt idx="78">
                        <c:v>665</c:v>
                      </c:pt>
                      <c:pt idx="79">
                        <c:v>935</c:v>
                      </c:pt>
                      <c:pt idx="80">
                        <c:v>579</c:v>
                      </c:pt>
                      <c:pt idx="81">
                        <c:v>611</c:v>
                      </c:pt>
                      <c:pt idx="82">
                        <c:v>678</c:v>
                      </c:pt>
                      <c:pt idx="83">
                        <c:v>758</c:v>
                      </c:pt>
                      <c:pt idx="84">
                        <c:v>698</c:v>
                      </c:pt>
                      <c:pt idx="85">
                        <c:v>643</c:v>
                      </c:pt>
                      <c:pt idx="86">
                        <c:v>609</c:v>
                      </c:pt>
                      <c:pt idx="87">
                        <c:v>572</c:v>
                      </c:pt>
                      <c:pt idx="88">
                        <c:v>490</c:v>
                      </c:pt>
                      <c:pt idx="89">
                        <c:v>643</c:v>
                      </c:pt>
                      <c:pt idx="90">
                        <c:v>814</c:v>
                      </c:pt>
                      <c:pt idx="91">
                        <c:v>1057</c:v>
                      </c:pt>
                      <c:pt idx="92">
                        <c:v>554</c:v>
                      </c:pt>
                      <c:pt idx="93">
                        <c:v>636</c:v>
                      </c:pt>
                      <c:pt idx="94">
                        <c:v>734</c:v>
                      </c:pt>
                      <c:pt idx="95">
                        <c:v>716</c:v>
                      </c:pt>
                      <c:pt idx="96">
                        <c:v>704</c:v>
                      </c:pt>
                      <c:pt idx="97">
                        <c:v>575</c:v>
                      </c:pt>
                      <c:pt idx="98">
                        <c:v>571</c:v>
                      </c:pt>
                      <c:pt idx="99">
                        <c:v>525</c:v>
                      </c:pt>
                      <c:pt idx="100">
                        <c:v>537</c:v>
                      </c:pt>
                      <c:pt idx="101">
                        <c:v>740</c:v>
                      </c:pt>
                      <c:pt idx="102">
                        <c:v>857</c:v>
                      </c:pt>
                      <c:pt idx="103">
                        <c:v>1052</c:v>
                      </c:pt>
                      <c:pt idx="104">
                        <c:v>643</c:v>
                      </c:pt>
                      <c:pt idx="105">
                        <c:v>549</c:v>
                      </c:pt>
                      <c:pt idx="106">
                        <c:v>656</c:v>
                      </c:pt>
                      <c:pt idx="107">
                        <c:v>699</c:v>
                      </c:pt>
                      <c:pt idx="108">
                        <c:v>630</c:v>
                      </c:pt>
                      <c:pt idx="109">
                        <c:v>567</c:v>
                      </c:pt>
                      <c:pt idx="110">
                        <c:v>515</c:v>
                      </c:pt>
                      <c:pt idx="111">
                        <c:v>517</c:v>
                      </c:pt>
                      <c:pt idx="112">
                        <c:v>530</c:v>
                      </c:pt>
                      <c:pt idx="113">
                        <c:v>594</c:v>
                      </c:pt>
                      <c:pt idx="114">
                        <c:v>797</c:v>
                      </c:pt>
                      <c:pt idx="115">
                        <c:v>968</c:v>
                      </c:pt>
                      <c:pt idx="116" formatCode="General">
                        <c:v>506</c:v>
                      </c:pt>
                      <c:pt idx="117">
                        <c:v>663</c:v>
                      </c:pt>
                      <c:pt idx="118">
                        <c:v>605</c:v>
                      </c:pt>
                      <c:pt idx="119">
                        <c:v>640</c:v>
                      </c:pt>
                      <c:pt idx="120">
                        <c:v>661</c:v>
                      </c:pt>
                      <c:pt idx="121">
                        <c:v>472</c:v>
                      </c:pt>
                      <c:pt idx="122">
                        <c:v>508</c:v>
                      </c:pt>
                      <c:pt idx="123">
                        <c:v>543</c:v>
                      </c:pt>
                      <c:pt idx="124">
                        <c:v>594</c:v>
                      </c:pt>
                      <c:pt idx="125">
                        <c:v>673</c:v>
                      </c:pt>
                      <c:pt idx="126">
                        <c:v>769</c:v>
                      </c:pt>
                      <c:pt idx="127">
                        <c:v>922</c:v>
                      </c:pt>
                      <c:pt idx="128">
                        <c:v>542</c:v>
                      </c:pt>
                      <c:pt idx="129">
                        <c:v>601</c:v>
                      </c:pt>
                      <c:pt idx="130">
                        <c:v>691</c:v>
                      </c:pt>
                      <c:pt idx="131">
                        <c:v>768</c:v>
                      </c:pt>
                      <c:pt idx="132">
                        <c:v>637</c:v>
                      </c:pt>
                      <c:pt idx="133">
                        <c:v>567</c:v>
                      </c:pt>
                      <c:pt idx="134">
                        <c:v>562</c:v>
                      </c:pt>
                      <c:pt idx="135">
                        <c:v>572</c:v>
                      </c:pt>
                      <c:pt idx="136">
                        <c:v>529</c:v>
                      </c:pt>
                      <c:pt idx="137">
                        <c:v>741</c:v>
                      </c:pt>
                      <c:pt idx="138">
                        <c:v>937</c:v>
                      </c:pt>
                      <c:pt idx="139">
                        <c:v>1050</c:v>
                      </c:pt>
                      <c:pt idx="140">
                        <c:v>478</c:v>
                      </c:pt>
                      <c:pt idx="141">
                        <c:v>576</c:v>
                      </c:pt>
                      <c:pt idx="142">
                        <c:v>721</c:v>
                      </c:pt>
                      <c:pt idx="143">
                        <c:v>705</c:v>
                      </c:pt>
                      <c:pt idx="144" formatCode="_(* #,##0_);_(* \(#,##0\);_(* &quot;-&quot;??_);_(@_)">
                        <c:v>645</c:v>
                      </c:pt>
                      <c:pt idx="145">
                        <c:v>546</c:v>
                      </c:pt>
                      <c:pt idx="146">
                        <c:v>565</c:v>
                      </c:pt>
                      <c:pt idx="147">
                        <c:v>674</c:v>
                      </c:pt>
                      <c:pt idx="148" formatCode="_(* #,##0_);_(* \(#,##0\);_(* &quot;-&quot;??_);_(@_)">
                        <c:v>751</c:v>
                      </c:pt>
                      <c:pt idx="149" formatCode="_(* #,##0_);_(* \(#,##0\);_(* &quot;-&quot;??_);_(@_)">
                        <c:v>951</c:v>
                      </c:pt>
                      <c:pt idx="150" formatCode="_(* #,##0_);_(* \(#,##0\);_(* &quot;-&quot;??_);_(@_)">
                        <c:v>1213</c:v>
                      </c:pt>
                      <c:pt idx="151" formatCode="_(* #,##0_);_(* \(#,##0\);_(* &quot;-&quot;??_);_(@_)">
                        <c:v>1585</c:v>
                      </c:pt>
                      <c:pt idx="152" formatCode="_(* #,##0_);_(* \(#,##0\);_(* &quot;-&quot;??_);_(@_)">
                        <c:v>988</c:v>
                      </c:pt>
                      <c:pt idx="153" formatCode="_(* #,##0_);_(* \(#,##0\);_(* &quot;-&quot;??_);_(@_)">
                        <c:v>728</c:v>
                      </c:pt>
                      <c:pt idx="154" formatCode="_(* #,##0_);_(* \(#,##0\);_(* &quot;-&quot;??_);_(@_)">
                        <c:v>1072</c:v>
                      </c:pt>
                      <c:pt idx="155" formatCode="_(* #,##0_);_(* \(#,##0\);_(* &quot;-&quot;??_);_(@_)">
                        <c:v>1209</c:v>
                      </c:pt>
                      <c:pt idx="156">
                        <c:v>1044</c:v>
                      </c:pt>
                      <c:pt idx="157">
                        <c:v>854</c:v>
                      </c:pt>
                      <c:pt idx="158">
                        <c:v>254</c:v>
                      </c:pt>
                      <c:pt idx="159">
                        <c:v>4</c:v>
                      </c:pt>
                      <c:pt idx="160">
                        <c:v>15</c:v>
                      </c:pt>
                      <c:pt idx="161">
                        <c:v>14</c:v>
                      </c:pt>
                      <c:pt idx="162">
                        <c:v>82</c:v>
                      </c:pt>
                      <c:pt idx="163">
                        <c:v>59</c:v>
                      </c:pt>
                      <c:pt idx="164">
                        <c:v>126</c:v>
                      </c:pt>
                      <c:pt idx="165">
                        <c:v>186</c:v>
                      </c:pt>
                      <c:pt idx="166">
                        <c:v>183</c:v>
                      </c:pt>
                      <c:pt idx="167">
                        <c:v>227</c:v>
                      </c:pt>
                      <c:pt idx="168">
                        <c:v>251</c:v>
                      </c:pt>
                      <c:pt idx="169">
                        <c:v>155</c:v>
                      </c:pt>
                      <c:pt idx="170">
                        <c:v>187</c:v>
                      </c:pt>
                      <c:pt idx="171">
                        <c:v>208</c:v>
                      </c:pt>
                      <c:pt idx="172">
                        <c:v>226</c:v>
                      </c:pt>
                    </c:numCache>
                  </c:numRef>
                </c:val>
                <c:smooth val="0"/>
                <c:extLst xmlns:c15="http://schemas.microsoft.com/office/drawing/2012/chart">
                  <c:ext xmlns:c16="http://schemas.microsoft.com/office/drawing/2014/chart" uri="{C3380CC4-5D6E-409C-BE32-E72D297353CC}">
                    <c16:uniqueId val="{00000010-8ED6-4044-8E62-D67E03BE4939}"/>
                  </c:ext>
                </c:extLst>
              </c15:ser>
            </c15:filteredLineSeries>
            <c15:filteredLineSeries>
              <c15:ser>
                <c:idx val="17"/>
                <c:order val="17"/>
                <c:tx>
                  <c:strRef>
                    <c:extLst xmlns:c15="http://schemas.microsoft.com/office/drawing/2012/chart">
                      <c:ext xmlns:c15="http://schemas.microsoft.com/office/drawing/2012/chart" uri="{02D57815-91ED-43cb-92C2-25804820EDAC}">
                        <c15:formulaRef>
                          <c15:sqref>'Tendencias nacionalidad'!$C$71</c15:sqref>
                        </c15:formulaRef>
                      </c:ext>
                    </c:extLst>
                    <c:strCache>
                      <c:ptCount val="1"/>
                      <c:pt idx="0">
                        <c:v>Suiza</c:v>
                      </c:pt>
                    </c:strCache>
                  </c:strRef>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nacionalidad'!$D$71:$GA$71</c15:sqref>
                        </c15:fullRef>
                        <c15:formulaRef>
                          <c15:sqref>'Tendencias nacionalidad'!$D$71:$FT$71</c15:sqref>
                        </c15:formulaRef>
                      </c:ext>
                    </c:extLst>
                    <c:numCache>
                      <c:formatCode>#,##0</c:formatCode>
                      <c:ptCount val="173"/>
                      <c:pt idx="0">
                        <c:v>364</c:v>
                      </c:pt>
                      <c:pt idx="1">
                        <c:v>398</c:v>
                      </c:pt>
                      <c:pt idx="2">
                        <c:v>362</c:v>
                      </c:pt>
                      <c:pt idx="3">
                        <c:v>333</c:v>
                      </c:pt>
                      <c:pt idx="4">
                        <c:v>305</c:v>
                      </c:pt>
                      <c:pt idx="5">
                        <c:v>347</c:v>
                      </c:pt>
                      <c:pt idx="6">
                        <c:v>748</c:v>
                      </c:pt>
                      <c:pt idx="7">
                        <c:v>334</c:v>
                      </c:pt>
                      <c:pt idx="8">
                        <c:v>478</c:v>
                      </c:pt>
                      <c:pt idx="9">
                        <c:v>546</c:v>
                      </c:pt>
                      <c:pt idx="10">
                        <c:v>492</c:v>
                      </c:pt>
                      <c:pt idx="11">
                        <c:v>429</c:v>
                      </c:pt>
                      <c:pt idx="12">
                        <c:v>442</c:v>
                      </c:pt>
                      <c:pt idx="13">
                        <c:v>593</c:v>
                      </c:pt>
                      <c:pt idx="14">
                        <c:v>475</c:v>
                      </c:pt>
                      <c:pt idx="15">
                        <c:v>378</c:v>
                      </c:pt>
                      <c:pt idx="16">
                        <c:v>364</c:v>
                      </c:pt>
                      <c:pt idx="17">
                        <c:v>401</c:v>
                      </c:pt>
                      <c:pt idx="18">
                        <c:v>795</c:v>
                      </c:pt>
                      <c:pt idx="19">
                        <c:v>418</c:v>
                      </c:pt>
                      <c:pt idx="20">
                        <c:v>410</c:v>
                      </c:pt>
                      <c:pt idx="21">
                        <c:v>462</c:v>
                      </c:pt>
                      <c:pt idx="22">
                        <c:v>547</c:v>
                      </c:pt>
                      <c:pt idx="23">
                        <c:v>450</c:v>
                      </c:pt>
                      <c:pt idx="24">
                        <c:v>472</c:v>
                      </c:pt>
                      <c:pt idx="25">
                        <c:v>324</c:v>
                      </c:pt>
                      <c:pt idx="26">
                        <c:v>379</c:v>
                      </c:pt>
                      <c:pt idx="27">
                        <c:v>343</c:v>
                      </c:pt>
                      <c:pt idx="28">
                        <c:v>385.5</c:v>
                      </c:pt>
                      <c:pt idx="29">
                        <c:v>428</c:v>
                      </c:pt>
                      <c:pt idx="30">
                        <c:v>875</c:v>
                      </c:pt>
                      <c:pt idx="31">
                        <c:v>391</c:v>
                      </c:pt>
                      <c:pt idx="32">
                        <c:v>458</c:v>
                      </c:pt>
                      <c:pt idx="33">
                        <c:v>460</c:v>
                      </c:pt>
                      <c:pt idx="34">
                        <c:v>532</c:v>
                      </c:pt>
                      <c:pt idx="35">
                        <c:v>487</c:v>
                      </c:pt>
                      <c:pt idx="36">
                        <c:v>443</c:v>
                      </c:pt>
                      <c:pt idx="37">
                        <c:v>376</c:v>
                      </c:pt>
                      <c:pt idx="38">
                        <c:v>358</c:v>
                      </c:pt>
                      <c:pt idx="39">
                        <c:v>310</c:v>
                      </c:pt>
                      <c:pt idx="40">
                        <c:v>315</c:v>
                      </c:pt>
                      <c:pt idx="41">
                        <c:v>379</c:v>
                      </c:pt>
                      <c:pt idx="42">
                        <c:v>783</c:v>
                      </c:pt>
                      <c:pt idx="43">
                        <c:v>396</c:v>
                      </c:pt>
                      <c:pt idx="44">
                        <c:v>362</c:v>
                      </c:pt>
                      <c:pt idx="45">
                        <c:v>563</c:v>
                      </c:pt>
                      <c:pt idx="46">
                        <c:v>559</c:v>
                      </c:pt>
                      <c:pt idx="47">
                        <c:v>469</c:v>
                      </c:pt>
                      <c:pt idx="48">
                        <c:v>429</c:v>
                      </c:pt>
                      <c:pt idx="49">
                        <c:v>404</c:v>
                      </c:pt>
                      <c:pt idx="50">
                        <c:v>315</c:v>
                      </c:pt>
                      <c:pt idx="51">
                        <c:v>400</c:v>
                      </c:pt>
                      <c:pt idx="52">
                        <c:v>329</c:v>
                      </c:pt>
                      <c:pt idx="53">
                        <c:v>370</c:v>
                      </c:pt>
                      <c:pt idx="54">
                        <c:v>834</c:v>
                      </c:pt>
                      <c:pt idx="55">
                        <c:v>402</c:v>
                      </c:pt>
                      <c:pt idx="56">
                        <c:v>363</c:v>
                      </c:pt>
                      <c:pt idx="57">
                        <c:v>578</c:v>
                      </c:pt>
                      <c:pt idx="58">
                        <c:v>603</c:v>
                      </c:pt>
                      <c:pt idx="59">
                        <c:v>577</c:v>
                      </c:pt>
                      <c:pt idx="60">
                        <c:v>442</c:v>
                      </c:pt>
                      <c:pt idx="61">
                        <c:v>386</c:v>
                      </c:pt>
                      <c:pt idx="62">
                        <c:v>342</c:v>
                      </c:pt>
                      <c:pt idx="63">
                        <c:v>413</c:v>
                      </c:pt>
                      <c:pt idx="64">
                        <c:v>323</c:v>
                      </c:pt>
                      <c:pt idx="65">
                        <c:v>446</c:v>
                      </c:pt>
                      <c:pt idx="66">
                        <c:v>986</c:v>
                      </c:pt>
                      <c:pt idx="67">
                        <c:v>441</c:v>
                      </c:pt>
                      <c:pt idx="68">
                        <c:v>500</c:v>
                      </c:pt>
                      <c:pt idx="69">
                        <c:v>622</c:v>
                      </c:pt>
                      <c:pt idx="70">
                        <c:v>645</c:v>
                      </c:pt>
                      <c:pt idx="71">
                        <c:v>674</c:v>
                      </c:pt>
                      <c:pt idx="72">
                        <c:v>449</c:v>
                      </c:pt>
                      <c:pt idx="73">
                        <c:v>392</c:v>
                      </c:pt>
                      <c:pt idx="74">
                        <c:v>495</c:v>
                      </c:pt>
                      <c:pt idx="75">
                        <c:v>430</c:v>
                      </c:pt>
                      <c:pt idx="76">
                        <c:v>411</c:v>
                      </c:pt>
                      <c:pt idx="77">
                        <c:v>419</c:v>
                      </c:pt>
                      <c:pt idx="78">
                        <c:v>996</c:v>
                      </c:pt>
                      <c:pt idx="79">
                        <c:v>438</c:v>
                      </c:pt>
                      <c:pt idx="80">
                        <c:v>418</c:v>
                      </c:pt>
                      <c:pt idx="81">
                        <c:v>574</c:v>
                      </c:pt>
                      <c:pt idx="82">
                        <c:v>598</c:v>
                      </c:pt>
                      <c:pt idx="83">
                        <c:v>671</c:v>
                      </c:pt>
                      <c:pt idx="84">
                        <c:v>474</c:v>
                      </c:pt>
                      <c:pt idx="85">
                        <c:v>485</c:v>
                      </c:pt>
                      <c:pt idx="86">
                        <c:v>443</c:v>
                      </c:pt>
                      <c:pt idx="87">
                        <c:v>516</c:v>
                      </c:pt>
                      <c:pt idx="88">
                        <c:v>447</c:v>
                      </c:pt>
                      <c:pt idx="89">
                        <c:v>401</c:v>
                      </c:pt>
                      <c:pt idx="90">
                        <c:v>1000</c:v>
                      </c:pt>
                      <c:pt idx="91">
                        <c:v>403</c:v>
                      </c:pt>
                      <c:pt idx="92">
                        <c:v>432</c:v>
                      </c:pt>
                      <c:pt idx="93">
                        <c:v>612</c:v>
                      </c:pt>
                      <c:pt idx="94">
                        <c:v>615</c:v>
                      </c:pt>
                      <c:pt idx="95">
                        <c:v>638</c:v>
                      </c:pt>
                      <c:pt idx="96">
                        <c:v>514</c:v>
                      </c:pt>
                      <c:pt idx="97">
                        <c:v>443</c:v>
                      </c:pt>
                      <c:pt idx="98">
                        <c:v>472</c:v>
                      </c:pt>
                      <c:pt idx="99">
                        <c:v>513</c:v>
                      </c:pt>
                      <c:pt idx="100">
                        <c:v>444</c:v>
                      </c:pt>
                      <c:pt idx="101">
                        <c:v>445</c:v>
                      </c:pt>
                      <c:pt idx="102">
                        <c:v>1074</c:v>
                      </c:pt>
                      <c:pt idx="103">
                        <c:v>403</c:v>
                      </c:pt>
                      <c:pt idx="104">
                        <c:v>441</c:v>
                      </c:pt>
                      <c:pt idx="105">
                        <c:v>599</c:v>
                      </c:pt>
                      <c:pt idx="106">
                        <c:v>582</c:v>
                      </c:pt>
                      <c:pt idx="107">
                        <c:v>596</c:v>
                      </c:pt>
                      <c:pt idx="108">
                        <c:v>566</c:v>
                      </c:pt>
                      <c:pt idx="109">
                        <c:v>575</c:v>
                      </c:pt>
                      <c:pt idx="110">
                        <c:v>533</c:v>
                      </c:pt>
                      <c:pt idx="111">
                        <c:v>489</c:v>
                      </c:pt>
                      <c:pt idx="112">
                        <c:v>387</c:v>
                      </c:pt>
                      <c:pt idx="113">
                        <c:v>383</c:v>
                      </c:pt>
                      <c:pt idx="114">
                        <c:v>1133</c:v>
                      </c:pt>
                      <c:pt idx="115">
                        <c:v>480</c:v>
                      </c:pt>
                      <c:pt idx="116" formatCode="General">
                        <c:v>403</c:v>
                      </c:pt>
                      <c:pt idx="117">
                        <c:v>692</c:v>
                      </c:pt>
                      <c:pt idx="118">
                        <c:v>501</c:v>
                      </c:pt>
                      <c:pt idx="119">
                        <c:v>545</c:v>
                      </c:pt>
                      <c:pt idx="120">
                        <c:v>510</c:v>
                      </c:pt>
                      <c:pt idx="121">
                        <c:v>457</c:v>
                      </c:pt>
                      <c:pt idx="122">
                        <c:v>436</c:v>
                      </c:pt>
                      <c:pt idx="123">
                        <c:v>611</c:v>
                      </c:pt>
                      <c:pt idx="124">
                        <c:v>335</c:v>
                      </c:pt>
                      <c:pt idx="125">
                        <c:v>452</c:v>
                      </c:pt>
                      <c:pt idx="126">
                        <c:v>981</c:v>
                      </c:pt>
                      <c:pt idx="127">
                        <c:v>427</c:v>
                      </c:pt>
                      <c:pt idx="128">
                        <c:v>447</c:v>
                      </c:pt>
                      <c:pt idx="129">
                        <c:v>575</c:v>
                      </c:pt>
                      <c:pt idx="130">
                        <c:v>478</c:v>
                      </c:pt>
                      <c:pt idx="131">
                        <c:v>579</c:v>
                      </c:pt>
                      <c:pt idx="132">
                        <c:v>507</c:v>
                      </c:pt>
                      <c:pt idx="133">
                        <c:v>534</c:v>
                      </c:pt>
                      <c:pt idx="134">
                        <c:v>515</c:v>
                      </c:pt>
                      <c:pt idx="135">
                        <c:v>487</c:v>
                      </c:pt>
                      <c:pt idx="136">
                        <c:v>373</c:v>
                      </c:pt>
                      <c:pt idx="137">
                        <c:v>437</c:v>
                      </c:pt>
                      <c:pt idx="138">
                        <c:v>1093</c:v>
                      </c:pt>
                      <c:pt idx="139">
                        <c:v>415</c:v>
                      </c:pt>
                      <c:pt idx="140">
                        <c:v>526</c:v>
                      </c:pt>
                      <c:pt idx="141">
                        <c:v>655</c:v>
                      </c:pt>
                      <c:pt idx="142">
                        <c:v>579</c:v>
                      </c:pt>
                      <c:pt idx="143">
                        <c:v>714</c:v>
                      </c:pt>
                      <c:pt idx="144" formatCode="_(* #,##0_);_(* \(#,##0\);_(* &quot;-&quot;??_);_(@_)">
                        <c:v>500</c:v>
                      </c:pt>
                      <c:pt idx="145">
                        <c:v>462</c:v>
                      </c:pt>
                      <c:pt idx="146">
                        <c:v>398</c:v>
                      </c:pt>
                      <c:pt idx="147">
                        <c:v>546</c:v>
                      </c:pt>
                      <c:pt idx="148" formatCode="_(* #,##0_);_(* \(#,##0\);_(* &quot;-&quot;??_);_(@_)">
                        <c:v>441</c:v>
                      </c:pt>
                      <c:pt idx="149" formatCode="_(* #,##0_);_(* \(#,##0\);_(* &quot;-&quot;??_);_(@_)">
                        <c:v>503</c:v>
                      </c:pt>
                      <c:pt idx="150" formatCode="_(* #,##0_);_(* \(#,##0\);_(* &quot;-&quot;??_);_(@_)">
                        <c:v>1198</c:v>
                      </c:pt>
                      <c:pt idx="151" formatCode="_(* #,##0_);_(* \(#,##0\);_(* &quot;-&quot;??_);_(@_)">
                        <c:v>550</c:v>
                      </c:pt>
                      <c:pt idx="152" formatCode="_(* #,##0_);_(* \(#,##0\);_(* &quot;-&quot;??_);_(@_)">
                        <c:v>532</c:v>
                      </c:pt>
                      <c:pt idx="153" formatCode="_(* #,##0_);_(* \(#,##0\);_(* &quot;-&quot;??_);_(@_)">
                        <c:v>538</c:v>
                      </c:pt>
                      <c:pt idx="154" formatCode="_(* #,##0_);_(* \(#,##0\);_(* &quot;-&quot;??_);_(@_)">
                        <c:v>589</c:v>
                      </c:pt>
                      <c:pt idx="155" formatCode="_(* #,##0_);_(* \(#,##0\);_(* &quot;-&quot;??_);_(@_)">
                        <c:v>776</c:v>
                      </c:pt>
                      <c:pt idx="156">
                        <c:v>571</c:v>
                      </c:pt>
                      <c:pt idx="157">
                        <c:v>552</c:v>
                      </c:pt>
                      <c:pt idx="158">
                        <c:v>193</c:v>
                      </c:pt>
                      <c:pt idx="159">
                        <c:v>35</c:v>
                      </c:pt>
                      <c:pt idx="160">
                        <c:v>2</c:v>
                      </c:pt>
                      <c:pt idx="161">
                        <c:v>3</c:v>
                      </c:pt>
                      <c:pt idx="162">
                        <c:v>30</c:v>
                      </c:pt>
                      <c:pt idx="163">
                        <c:v>34</c:v>
                      </c:pt>
                      <c:pt idx="164">
                        <c:v>34</c:v>
                      </c:pt>
                      <c:pt idx="165">
                        <c:v>67</c:v>
                      </c:pt>
                      <c:pt idx="166">
                        <c:v>84</c:v>
                      </c:pt>
                      <c:pt idx="167">
                        <c:v>202</c:v>
                      </c:pt>
                      <c:pt idx="168">
                        <c:v>103</c:v>
                      </c:pt>
                      <c:pt idx="169">
                        <c:v>118</c:v>
                      </c:pt>
                      <c:pt idx="170">
                        <c:v>135</c:v>
                      </c:pt>
                      <c:pt idx="171">
                        <c:v>186</c:v>
                      </c:pt>
                      <c:pt idx="172">
                        <c:v>125</c:v>
                      </c:pt>
                    </c:numCache>
                  </c:numRef>
                </c:val>
                <c:smooth val="0"/>
                <c:extLst xmlns:c15="http://schemas.microsoft.com/office/drawing/2012/chart">
                  <c:ext xmlns:c16="http://schemas.microsoft.com/office/drawing/2014/chart" uri="{C3380CC4-5D6E-409C-BE32-E72D297353CC}">
                    <c16:uniqueId val="{00000011-8ED6-4044-8E62-D67E03BE4939}"/>
                  </c:ext>
                </c:extLst>
              </c15:ser>
            </c15:filteredLineSeries>
            <c15:filteredLineSeries>
              <c15:ser>
                <c:idx val="18"/>
                <c:order val="18"/>
                <c:tx>
                  <c:strRef>
                    <c:extLst xmlns:c15="http://schemas.microsoft.com/office/drawing/2012/chart">
                      <c:ext xmlns:c15="http://schemas.microsoft.com/office/drawing/2012/chart" uri="{02D57815-91ED-43cb-92C2-25804820EDAC}">
                        <c15:formulaRef>
                          <c15:sqref>'Tendencias nacionalidad'!$C$72</c15:sqref>
                        </c15:formulaRef>
                      </c:ext>
                    </c:extLst>
                    <c:strCache>
                      <c:ptCount val="1"/>
                      <c:pt idx="0">
                        <c:v>Australia</c:v>
                      </c:pt>
                    </c:strCache>
                  </c:strRef>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nacionalidad'!$D$72:$GA$72</c15:sqref>
                        </c15:fullRef>
                        <c15:formulaRef>
                          <c15:sqref>'Tendencias nacionalidad'!$D$72:$FT$72</c15:sqref>
                        </c15:formulaRef>
                      </c:ext>
                    </c:extLst>
                    <c:numCache>
                      <c:formatCode>#,##0</c:formatCode>
                      <c:ptCount val="173"/>
                      <c:pt idx="0">
                        <c:v>286</c:v>
                      </c:pt>
                      <c:pt idx="1">
                        <c:v>223</c:v>
                      </c:pt>
                      <c:pt idx="2">
                        <c:v>234</c:v>
                      </c:pt>
                      <c:pt idx="3">
                        <c:v>325</c:v>
                      </c:pt>
                      <c:pt idx="4">
                        <c:v>318</c:v>
                      </c:pt>
                      <c:pt idx="5">
                        <c:v>277</c:v>
                      </c:pt>
                      <c:pt idx="6">
                        <c:v>322</c:v>
                      </c:pt>
                      <c:pt idx="7">
                        <c:v>300</c:v>
                      </c:pt>
                      <c:pt idx="8">
                        <c:v>421</c:v>
                      </c:pt>
                      <c:pt idx="9">
                        <c:v>451</c:v>
                      </c:pt>
                      <c:pt idx="10">
                        <c:v>458</c:v>
                      </c:pt>
                      <c:pt idx="11">
                        <c:v>428</c:v>
                      </c:pt>
                      <c:pt idx="12">
                        <c:v>405</c:v>
                      </c:pt>
                      <c:pt idx="13">
                        <c:v>516</c:v>
                      </c:pt>
                      <c:pt idx="14">
                        <c:v>459</c:v>
                      </c:pt>
                      <c:pt idx="15">
                        <c:v>570</c:v>
                      </c:pt>
                      <c:pt idx="16">
                        <c:v>475</c:v>
                      </c:pt>
                      <c:pt idx="17">
                        <c:v>319</c:v>
                      </c:pt>
                      <c:pt idx="18">
                        <c:v>354</c:v>
                      </c:pt>
                      <c:pt idx="19">
                        <c:v>498</c:v>
                      </c:pt>
                      <c:pt idx="20">
                        <c:v>495</c:v>
                      </c:pt>
                      <c:pt idx="21">
                        <c:v>611</c:v>
                      </c:pt>
                      <c:pt idx="22">
                        <c:v>484</c:v>
                      </c:pt>
                      <c:pt idx="23">
                        <c:v>517</c:v>
                      </c:pt>
                      <c:pt idx="24">
                        <c:v>373</c:v>
                      </c:pt>
                      <c:pt idx="25">
                        <c:v>273</c:v>
                      </c:pt>
                      <c:pt idx="26">
                        <c:v>366</c:v>
                      </c:pt>
                      <c:pt idx="27">
                        <c:v>426</c:v>
                      </c:pt>
                      <c:pt idx="28">
                        <c:v>404</c:v>
                      </c:pt>
                      <c:pt idx="29">
                        <c:v>382</c:v>
                      </c:pt>
                      <c:pt idx="30">
                        <c:v>369</c:v>
                      </c:pt>
                      <c:pt idx="31">
                        <c:v>469</c:v>
                      </c:pt>
                      <c:pt idx="32">
                        <c:v>494</c:v>
                      </c:pt>
                      <c:pt idx="33">
                        <c:v>512</c:v>
                      </c:pt>
                      <c:pt idx="34">
                        <c:v>510</c:v>
                      </c:pt>
                      <c:pt idx="35">
                        <c:v>568</c:v>
                      </c:pt>
                      <c:pt idx="36">
                        <c:v>469</c:v>
                      </c:pt>
                      <c:pt idx="37">
                        <c:v>260</c:v>
                      </c:pt>
                      <c:pt idx="38">
                        <c:v>424</c:v>
                      </c:pt>
                      <c:pt idx="39">
                        <c:v>545</c:v>
                      </c:pt>
                      <c:pt idx="40">
                        <c:v>529</c:v>
                      </c:pt>
                      <c:pt idx="41">
                        <c:v>447</c:v>
                      </c:pt>
                      <c:pt idx="42">
                        <c:v>422</c:v>
                      </c:pt>
                      <c:pt idx="43">
                        <c:v>436</c:v>
                      </c:pt>
                      <c:pt idx="44">
                        <c:v>464</c:v>
                      </c:pt>
                      <c:pt idx="45">
                        <c:v>558</c:v>
                      </c:pt>
                      <c:pt idx="46">
                        <c:v>513</c:v>
                      </c:pt>
                      <c:pt idx="47">
                        <c:v>529</c:v>
                      </c:pt>
                      <c:pt idx="48">
                        <c:v>503</c:v>
                      </c:pt>
                      <c:pt idx="49">
                        <c:v>295</c:v>
                      </c:pt>
                      <c:pt idx="50">
                        <c:v>499</c:v>
                      </c:pt>
                      <c:pt idx="51">
                        <c:v>579</c:v>
                      </c:pt>
                      <c:pt idx="52">
                        <c:v>572</c:v>
                      </c:pt>
                      <c:pt idx="53">
                        <c:v>431</c:v>
                      </c:pt>
                      <c:pt idx="54">
                        <c:v>461</c:v>
                      </c:pt>
                      <c:pt idx="55">
                        <c:v>457</c:v>
                      </c:pt>
                      <c:pt idx="56">
                        <c:v>507</c:v>
                      </c:pt>
                      <c:pt idx="57">
                        <c:v>654</c:v>
                      </c:pt>
                      <c:pt idx="58">
                        <c:v>660</c:v>
                      </c:pt>
                      <c:pt idx="59">
                        <c:v>629</c:v>
                      </c:pt>
                      <c:pt idx="60">
                        <c:v>536</c:v>
                      </c:pt>
                      <c:pt idx="61">
                        <c:v>420</c:v>
                      </c:pt>
                      <c:pt idx="62">
                        <c:v>480</c:v>
                      </c:pt>
                      <c:pt idx="63">
                        <c:v>593</c:v>
                      </c:pt>
                      <c:pt idx="64">
                        <c:v>610</c:v>
                      </c:pt>
                      <c:pt idx="65">
                        <c:v>556</c:v>
                      </c:pt>
                      <c:pt idx="66">
                        <c:v>521</c:v>
                      </c:pt>
                      <c:pt idx="67">
                        <c:v>484</c:v>
                      </c:pt>
                      <c:pt idx="68">
                        <c:v>574</c:v>
                      </c:pt>
                      <c:pt idx="69">
                        <c:v>718</c:v>
                      </c:pt>
                      <c:pt idx="70">
                        <c:v>763</c:v>
                      </c:pt>
                      <c:pt idx="71">
                        <c:v>706</c:v>
                      </c:pt>
                      <c:pt idx="72">
                        <c:v>565</c:v>
                      </c:pt>
                      <c:pt idx="73">
                        <c:v>412</c:v>
                      </c:pt>
                      <c:pt idx="74">
                        <c:v>599</c:v>
                      </c:pt>
                      <c:pt idx="75">
                        <c:v>660</c:v>
                      </c:pt>
                      <c:pt idx="76">
                        <c:v>613</c:v>
                      </c:pt>
                      <c:pt idx="77">
                        <c:v>626</c:v>
                      </c:pt>
                      <c:pt idx="78">
                        <c:v>532</c:v>
                      </c:pt>
                      <c:pt idx="79">
                        <c:v>589</c:v>
                      </c:pt>
                      <c:pt idx="80">
                        <c:v>750</c:v>
                      </c:pt>
                      <c:pt idx="81">
                        <c:v>677</c:v>
                      </c:pt>
                      <c:pt idx="82">
                        <c:v>706</c:v>
                      </c:pt>
                      <c:pt idx="83">
                        <c:v>603</c:v>
                      </c:pt>
                      <c:pt idx="84">
                        <c:v>557</c:v>
                      </c:pt>
                      <c:pt idx="85">
                        <c:v>399</c:v>
                      </c:pt>
                      <c:pt idx="86">
                        <c:v>522</c:v>
                      </c:pt>
                      <c:pt idx="87">
                        <c:v>690</c:v>
                      </c:pt>
                      <c:pt idx="88">
                        <c:v>757</c:v>
                      </c:pt>
                      <c:pt idx="89">
                        <c:v>705</c:v>
                      </c:pt>
                      <c:pt idx="90">
                        <c:v>631</c:v>
                      </c:pt>
                      <c:pt idx="91">
                        <c:v>767</c:v>
                      </c:pt>
                      <c:pt idx="92">
                        <c:v>753</c:v>
                      </c:pt>
                      <c:pt idx="93">
                        <c:v>725</c:v>
                      </c:pt>
                      <c:pt idx="94">
                        <c:v>711</c:v>
                      </c:pt>
                      <c:pt idx="95">
                        <c:v>758</c:v>
                      </c:pt>
                      <c:pt idx="96">
                        <c:v>729</c:v>
                      </c:pt>
                      <c:pt idx="97">
                        <c:v>449</c:v>
                      </c:pt>
                      <c:pt idx="98">
                        <c:v>579</c:v>
                      </c:pt>
                      <c:pt idx="99">
                        <c:v>650</c:v>
                      </c:pt>
                      <c:pt idx="100">
                        <c:v>806</c:v>
                      </c:pt>
                      <c:pt idx="101">
                        <c:v>606</c:v>
                      </c:pt>
                      <c:pt idx="102">
                        <c:v>591</c:v>
                      </c:pt>
                      <c:pt idx="103">
                        <c:v>464</c:v>
                      </c:pt>
                      <c:pt idx="104">
                        <c:v>741</c:v>
                      </c:pt>
                      <c:pt idx="105">
                        <c:v>750</c:v>
                      </c:pt>
                      <c:pt idx="106">
                        <c:v>556</c:v>
                      </c:pt>
                      <c:pt idx="107">
                        <c:v>690</c:v>
                      </c:pt>
                      <c:pt idx="108">
                        <c:v>609</c:v>
                      </c:pt>
                      <c:pt idx="109">
                        <c:v>395</c:v>
                      </c:pt>
                      <c:pt idx="110">
                        <c:v>546</c:v>
                      </c:pt>
                      <c:pt idx="111">
                        <c:v>650</c:v>
                      </c:pt>
                      <c:pt idx="112">
                        <c:v>636</c:v>
                      </c:pt>
                      <c:pt idx="113">
                        <c:v>511</c:v>
                      </c:pt>
                      <c:pt idx="114">
                        <c:v>541</c:v>
                      </c:pt>
                      <c:pt idx="115">
                        <c:v>566</c:v>
                      </c:pt>
                      <c:pt idx="116" formatCode="General">
                        <c:v>611</c:v>
                      </c:pt>
                      <c:pt idx="117">
                        <c:v>811</c:v>
                      </c:pt>
                      <c:pt idx="118">
                        <c:v>600</c:v>
                      </c:pt>
                      <c:pt idx="119">
                        <c:v>536</c:v>
                      </c:pt>
                      <c:pt idx="120">
                        <c:v>502</c:v>
                      </c:pt>
                      <c:pt idx="121">
                        <c:v>379</c:v>
                      </c:pt>
                      <c:pt idx="122">
                        <c:v>480</c:v>
                      </c:pt>
                      <c:pt idx="123">
                        <c:v>624</c:v>
                      </c:pt>
                      <c:pt idx="124">
                        <c:v>603</c:v>
                      </c:pt>
                      <c:pt idx="125">
                        <c:v>484</c:v>
                      </c:pt>
                      <c:pt idx="126">
                        <c:v>514</c:v>
                      </c:pt>
                      <c:pt idx="127">
                        <c:v>473</c:v>
                      </c:pt>
                      <c:pt idx="128">
                        <c:v>733</c:v>
                      </c:pt>
                      <c:pt idx="129">
                        <c:v>686</c:v>
                      </c:pt>
                      <c:pt idx="130">
                        <c:v>593</c:v>
                      </c:pt>
                      <c:pt idx="131">
                        <c:v>569</c:v>
                      </c:pt>
                      <c:pt idx="132">
                        <c:v>523</c:v>
                      </c:pt>
                      <c:pt idx="133">
                        <c:v>452</c:v>
                      </c:pt>
                      <c:pt idx="134">
                        <c:v>441</c:v>
                      </c:pt>
                      <c:pt idx="135">
                        <c:v>586</c:v>
                      </c:pt>
                      <c:pt idx="136">
                        <c:v>641</c:v>
                      </c:pt>
                      <c:pt idx="137">
                        <c:v>594</c:v>
                      </c:pt>
                      <c:pt idx="138">
                        <c:v>593</c:v>
                      </c:pt>
                      <c:pt idx="139">
                        <c:v>523</c:v>
                      </c:pt>
                      <c:pt idx="140">
                        <c:v>644</c:v>
                      </c:pt>
                      <c:pt idx="141">
                        <c:v>673</c:v>
                      </c:pt>
                      <c:pt idx="142">
                        <c:v>567</c:v>
                      </c:pt>
                      <c:pt idx="143">
                        <c:v>592</c:v>
                      </c:pt>
                      <c:pt idx="144" formatCode="_(* #,##0_);_(* \(#,##0\);_(* &quot;-&quot;??_);_(@_)">
                        <c:v>571</c:v>
                      </c:pt>
                      <c:pt idx="145">
                        <c:v>364</c:v>
                      </c:pt>
                      <c:pt idx="146">
                        <c:v>471</c:v>
                      </c:pt>
                      <c:pt idx="147">
                        <c:v>623</c:v>
                      </c:pt>
                      <c:pt idx="148" formatCode="_(* #,##0_);_(* \(#,##0\);_(* &quot;-&quot;??_);_(@_)">
                        <c:v>642</c:v>
                      </c:pt>
                      <c:pt idx="149" formatCode="_(* #,##0_);_(* \(#,##0\);_(* &quot;-&quot;??_);_(@_)">
                        <c:v>533</c:v>
                      </c:pt>
                      <c:pt idx="150" formatCode="_(* #,##0_);_(* \(#,##0\);_(* &quot;-&quot;??_);_(@_)">
                        <c:v>547</c:v>
                      </c:pt>
                      <c:pt idx="151" formatCode="_(* #,##0_);_(* \(#,##0\);_(* &quot;-&quot;??_);_(@_)">
                        <c:v>544</c:v>
                      </c:pt>
                      <c:pt idx="152" formatCode="_(* #,##0_);_(* \(#,##0\);_(* &quot;-&quot;??_);_(@_)">
                        <c:v>664</c:v>
                      </c:pt>
                      <c:pt idx="153" formatCode="_(* #,##0_);_(* \(#,##0\);_(* &quot;-&quot;??_);_(@_)">
                        <c:v>547</c:v>
                      </c:pt>
                      <c:pt idx="154" formatCode="_(* #,##0_);_(* \(#,##0\);_(* &quot;-&quot;??_);_(@_)">
                        <c:v>572</c:v>
                      </c:pt>
                      <c:pt idx="155" formatCode="_(* #,##0_);_(* \(#,##0\);_(* &quot;-&quot;??_);_(@_)">
                        <c:v>604</c:v>
                      </c:pt>
                      <c:pt idx="156">
                        <c:v>647</c:v>
                      </c:pt>
                      <c:pt idx="157">
                        <c:v>431</c:v>
                      </c:pt>
                      <c:pt idx="158">
                        <c:v>182</c:v>
                      </c:pt>
                      <c:pt idx="159">
                        <c:v>2</c:v>
                      </c:pt>
                      <c:pt idx="160">
                        <c:v>4</c:v>
                      </c:pt>
                      <c:pt idx="161">
                        <c:v>5</c:v>
                      </c:pt>
                      <c:pt idx="162">
                        <c:v>7</c:v>
                      </c:pt>
                      <c:pt idx="163">
                        <c:v>5</c:v>
                      </c:pt>
                      <c:pt idx="164">
                        <c:v>7</c:v>
                      </c:pt>
                      <c:pt idx="165">
                        <c:v>13</c:v>
                      </c:pt>
                      <c:pt idx="166">
                        <c:v>30</c:v>
                      </c:pt>
                      <c:pt idx="167">
                        <c:v>13</c:v>
                      </c:pt>
                      <c:pt idx="168">
                        <c:v>13</c:v>
                      </c:pt>
                      <c:pt idx="169">
                        <c:v>4</c:v>
                      </c:pt>
                      <c:pt idx="170">
                        <c:v>13</c:v>
                      </c:pt>
                      <c:pt idx="171">
                        <c:v>17</c:v>
                      </c:pt>
                      <c:pt idx="172">
                        <c:v>13</c:v>
                      </c:pt>
                    </c:numCache>
                  </c:numRef>
                </c:val>
                <c:smooth val="0"/>
                <c:extLst xmlns:c15="http://schemas.microsoft.com/office/drawing/2012/chart">
                  <c:ext xmlns:c16="http://schemas.microsoft.com/office/drawing/2014/chart" uri="{C3380CC4-5D6E-409C-BE32-E72D297353CC}">
                    <c16:uniqueId val="{00000012-8ED6-4044-8E62-D67E03BE4939}"/>
                  </c:ext>
                </c:extLst>
              </c15:ser>
            </c15:filteredLineSeries>
            <c15:filteredLineSeries>
              <c15:ser>
                <c:idx val="19"/>
                <c:order val="19"/>
                <c:tx>
                  <c:strRef>
                    <c:extLst xmlns:c15="http://schemas.microsoft.com/office/drawing/2012/chart">
                      <c:ext xmlns:c15="http://schemas.microsoft.com/office/drawing/2012/chart" uri="{02D57815-91ED-43cb-92C2-25804820EDAC}">
                        <c15:formulaRef>
                          <c15:sqref>'Tendencias nacionalidad'!$C$73</c15:sqref>
                        </c15:formulaRef>
                      </c:ext>
                    </c:extLst>
                    <c:strCache>
                      <c:ptCount val="1"/>
                      <c:pt idx="0">
                        <c:v>Costa Rica</c:v>
                      </c:pt>
                    </c:strCache>
                  </c:strRef>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nacionalidad'!$D$73:$GA$73</c15:sqref>
                        </c15:fullRef>
                        <c15:formulaRef>
                          <c15:sqref>'Tendencias nacionalidad'!$D$73:$FT$73</c15:sqref>
                        </c15:formulaRef>
                      </c:ext>
                    </c:extLst>
                    <c:numCache>
                      <c:formatCode>#,##0</c:formatCode>
                      <c:ptCount val="173"/>
                      <c:pt idx="0">
                        <c:v>113</c:v>
                      </c:pt>
                      <c:pt idx="1">
                        <c:v>80</c:v>
                      </c:pt>
                      <c:pt idx="2">
                        <c:v>131</c:v>
                      </c:pt>
                      <c:pt idx="3">
                        <c:v>89</c:v>
                      </c:pt>
                      <c:pt idx="4">
                        <c:v>83</c:v>
                      </c:pt>
                      <c:pt idx="5">
                        <c:v>111</c:v>
                      </c:pt>
                      <c:pt idx="6">
                        <c:v>125</c:v>
                      </c:pt>
                      <c:pt idx="7">
                        <c:v>125</c:v>
                      </c:pt>
                      <c:pt idx="8">
                        <c:v>216</c:v>
                      </c:pt>
                      <c:pt idx="9">
                        <c:v>145</c:v>
                      </c:pt>
                      <c:pt idx="10">
                        <c:v>163</c:v>
                      </c:pt>
                      <c:pt idx="11">
                        <c:v>118</c:v>
                      </c:pt>
                      <c:pt idx="12">
                        <c:v>101</c:v>
                      </c:pt>
                      <c:pt idx="13">
                        <c:v>137</c:v>
                      </c:pt>
                      <c:pt idx="14">
                        <c:v>136</c:v>
                      </c:pt>
                      <c:pt idx="15">
                        <c:v>129</c:v>
                      </c:pt>
                      <c:pt idx="16">
                        <c:v>159</c:v>
                      </c:pt>
                      <c:pt idx="17">
                        <c:v>162</c:v>
                      </c:pt>
                      <c:pt idx="18">
                        <c:v>179</c:v>
                      </c:pt>
                      <c:pt idx="19">
                        <c:v>205</c:v>
                      </c:pt>
                      <c:pt idx="20">
                        <c:v>213</c:v>
                      </c:pt>
                      <c:pt idx="21">
                        <c:v>255</c:v>
                      </c:pt>
                      <c:pt idx="22">
                        <c:v>461</c:v>
                      </c:pt>
                      <c:pt idx="23">
                        <c:v>158</c:v>
                      </c:pt>
                      <c:pt idx="24">
                        <c:v>143</c:v>
                      </c:pt>
                      <c:pt idx="25">
                        <c:v>169</c:v>
                      </c:pt>
                      <c:pt idx="26">
                        <c:v>150</c:v>
                      </c:pt>
                      <c:pt idx="27">
                        <c:v>150</c:v>
                      </c:pt>
                      <c:pt idx="28">
                        <c:v>149</c:v>
                      </c:pt>
                      <c:pt idx="29">
                        <c:v>148</c:v>
                      </c:pt>
                      <c:pt idx="30">
                        <c:v>177</c:v>
                      </c:pt>
                      <c:pt idx="31">
                        <c:v>202</c:v>
                      </c:pt>
                      <c:pt idx="32">
                        <c:v>177</c:v>
                      </c:pt>
                      <c:pt idx="33">
                        <c:v>142</c:v>
                      </c:pt>
                      <c:pt idx="34">
                        <c:v>186</c:v>
                      </c:pt>
                      <c:pt idx="35">
                        <c:v>313</c:v>
                      </c:pt>
                      <c:pt idx="36">
                        <c:v>183</c:v>
                      </c:pt>
                      <c:pt idx="37">
                        <c:v>334</c:v>
                      </c:pt>
                      <c:pt idx="38">
                        <c:v>252</c:v>
                      </c:pt>
                      <c:pt idx="39">
                        <c:v>204</c:v>
                      </c:pt>
                      <c:pt idx="40">
                        <c:v>152</c:v>
                      </c:pt>
                      <c:pt idx="41">
                        <c:v>152</c:v>
                      </c:pt>
                      <c:pt idx="42">
                        <c:v>230</c:v>
                      </c:pt>
                      <c:pt idx="43">
                        <c:v>176</c:v>
                      </c:pt>
                      <c:pt idx="44">
                        <c:v>157</c:v>
                      </c:pt>
                      <c:pt idx="45">
                        <c:v>172</c:v>
                      </c:pt>
                      <c:pt idx="46">
                        <c:v>217</c:v>
                      </c:pt>
                      <c:pt idx="47">
                        <c:v>253</c:v>
                      </c:pt>
                      <c:pt idx="48">
                        <c:v>153</c:v>
                      </c:pt>
                      <c:pt idx="49">
                        <c:v>142</c:v>
                      </c:pt>
                      <c:pt idx="50">
                        <c:v>164</c:v>
                      </c:pt>
                      <c:pt idx="51">
                        <c:v>293</c:v>
                      </c:pt>
                      <c:pt idx="52">
                        <c:v>171</c:v>
                      </c:pt>
                      <c:pt idx="53">
                        <c:v>173</c:v>
                      </c:pt>
                      <c:pt idx="54">
                        <c:v>231</c:v>
                      </c:pt>
                      <c:pt idx="55">
                        <c:v>197</c:v>
                      </c:pt>
                      <c:pt idx="56">
                        <c:v>245</c:v>
                      </c:pt>
                      <c:pt idx="57">
                        <c:v>280</c:v>
                      </c:pt>
                      <c:pt idx="58">
                        <c:v>283</c:v>
                      </c:pt>
                      <c:pt idx="59">
                        <c:v>243</c:v>
                      </c:pt>
                      <c:pt idx="60">
                        <c:v>268</c:v>
                      </c:pt>
                      <c:pt idx="61">
                        <c:v>150</c:v>
                      </c:pt>
                      <c:pt idx="62">
                        <c:v>224</c:v>
                      </c:pt>
                      <c:pt idx="63">
                        <c:v>227</c:v>
                      </c:pt>
                      <c:pt idx="64">
                        <c:v>202</c:v>
                      </c:pt>
                      <c:pt idx="65">
                        <c:v>282</c:v>
                      </c:pt>
                      <c:pt idx="66">
                        <c:v>254</c:v>
                      </c:pt>
                      <c:pt idx="67">
                        <c:v>203</c:v>
                      </c:pt>
                      <c:pt idx="68">
                        <c:v>282</c:v>
                      </c:pt>
                      <c:pt idx="69">
                        <c:v>257</c:v>
                      </c:pt>
                      <c:pt idx="70">
                        <c:v>199</c:v>
                      </c:pt>
                      <c:pt idx="71">
                        <c:v>315</c:v>
                      </c:pt>
                      <c:pt idx="72">
                        <c:v>272</c:v>
                      </c:pt>
                      <c:pt idx="73">
                        <c:v>189</c:v>
                      </c:pt>
                      <c:pt idx="74">
                        <c:v>443</c:v>
                      </c:pt>
                      <c:pt idx="75">
                        <c:v>360</c:v>
                      </c:pt>
                      <c:pt idx="76">
                        <c:v>387</c:v>
                      </c:pt>
                      <c:pt idx="77">
                        <c:v>395</c:v>
                      </c:pt>
                      <c:pt idx="78">
                        <c:v>479</c:v>
                      </c:pt>
                      <c:pt idx="79">
                        <c:v>345</c:v>
                      </c:pt>
                      <c:pt idx="80">
                        <c:v>386</c:v>
                      </c:pt>
                      <c:pt idx="81">
                        <c:v>394</c:v>
                      </c:pt>
                      <c:pt idx="82">
                        <c:v>424</c:v>
                      </c:pt>
                      <c:pt idx="83">
                        <c:v>430</c:v>
                      </c:pt>
                      <c:pt idx="84">
                        <c:v>349</c:v>
                      </c:pt>
                      <c:pt idx="85">
                        <c:v>333</c:v>
                      </c:pt>
                      <c:pt idx="86">
                        <c:v>286</c:v>
                      </c:pt>
                      <c:pt idx="87">
                        <c:v>303</c:v>
                      </c:pt>
                      <c:pt idx="88">
                        <c:v>228</c:v>
                      </c:pt>
                      <c:pt idx="89">
                        <c:v>316</c:v>
                      </c:pt>
                      <c:pt idx="90">
                        <c:v>267</c:v>
                      </c:pt>
                      <c:pt idx="91">
                        <c:v>252</c:v>
                      </c:pt>
                      <c:pt idx="92">
                        <c:v>253</c:v>
                      </c:pt>
                      <c:pt idx="93">
                        <c:v>338</c:v>
                      </c:pt>
                      <c:pt idx="94">
                        <c:v>304</c:v>
                      </c:pt>
                      <c:pt idx="95">
                        <c:v>275</c:v>
                      </c:pt>
                      <c:pt idx="96">
                        <c:v>278</c:v>
                      </c:pt>
                      <c:pt idx="97">
                        <c:v>193</c:v>
                      </c:pt>
                      <c:pt idx="98">
                        <c:v>249</c:v>
                      </c:pt>
                      <c:pt idx="99">
                        <c:v>229</c:v>
                      </c:pt>
                      <c:pt idx="100">
                        <c:v>231</c:v>
                      </c:pt>
                      <c:pt idx="101">
                        <c:v>190</c:v>
                      </c:pt>
                      <c:pt idx="102">
                        <c:v>322</c:v>
                      </c:pt>
                      <c:pt idx="103">
                        <c:v>196</c:v>
                      </c:pt>
                      <c:pt idx="104">
                        <c:v>227</c:v>
                      </c:pt>
                      <c:pt idx="105">
                        <c:v>228</c:v>
                      </c:pt>
                      <c:pt idx="106">
                        <c:v>256</c:v>
                      </c:pt>
                      <c:pt idx="107">
                        <c:v>262</c:v>
                      </c:pt>
                      <c:pt idx="108">
                        <c:v>237</c:v>
                      </c:pt>
                      <c:pt idx="109">
                        <c:v>168</c:v>
                      </c:pt>
                      <c:pt idx="110">
                        <c:v>204</c:v>
                      </c:pt>
                      <c:pt idx="111">
                        <c:v>199</c:v>
                      </c:pt>
                      <c:pt idx="112">
                        <c:v>158</c:v>
                      </c:pt>
                      <c:pt idx="113">
                        <c:v>188</c:v>
                      </c:pt>
                      <c:pt idx="114">
                        <c:v>339</c:v>
                      </c:pt>
                      <c:pt idx="115">
                        <c:v>179</c:v>
                      </c:pt>
                      <c:pt idx="116" formatCode="General">
                        <c:v>191</c:v>
                      </c:pt>
                      <c:pt idx="117">
                        <c:v>315</c:v>
                      </c:pt>
                      <c:pt idx="118">
                        <c:v>275</c:v>
                      </c:pt>
                      <c:pt idx="119">
                        <c:v>226</c:v>
                      </c:pt>
                      <c:pt idx="120">
                        <c:v>390</c:v>
                      </c:pt>
                      <c:pt idx="121">
                        <c:v>471</c:v>
                      </c:pt>
                      <c:pt idx="122">
                        <c:v>444</c:v>
                      </c:pt>
                      <c:pt idx="123">
                        <c:v>759</c:v>
                      </c:pt>
                      <c:pt idx="124">
                        <c:v>521</c:v>
                      </c:pt>
                      <c:pt idx="125">
                        <c:v>439</c:v>
                      </c:pt>
                      <c:pt idx="126">
                        <c:v>488</c:v>
                      </c:pt>
                      <c:pt idx="127">
                        <c:v>356</c:v>
                      </c:pt>
                      <c:pt idx="128">
                        <c:v>426</c:v>
                      </c:pt>
                      <c:pt idx="129">
                        <c:v>447</c:v>
                      </c:pt>
                      <c:pt idx="130">
                        <c:v>495</c:v>
                      </c:pt>
                      <c:pt idx="131">
                        <c:v>605</c:v>
                      </c:pt>
                      <c:pt idx="132">
                        <c:v>506</c:v>
                      </c:pt>
                      <c:pt idx="133">
                        <c:v>426</c:v>
                      </c:pt>
                      <c:pt idx="134">
                        <c:v>456</c:v>
                      </c:pt>
                      <c:pt idx="135">
                        <c:v>390</c:v>
                      </c:pt>
                      <c:pt idx="136">
                        <c:v>427</c:v>
                      </c:pt>
                      <c:pt idx="137">
                        <c:v>471</c:v>
                      </c:pt>
                      <c:pt idx="138">
                        <c:v>587</c:v>
                      </c:pt>
                      <c:pt idx="139">
                        <c:v>397</c:v>
                      </c:pt>
                      <c:pt idx="140">
                        <c:v>461</c:v>
                      </c:pt>
                      <c:pt idx="141">
                        <c:v>502</c:v>
                      </c:pt>
                      <c:pt idx="142">
                        <c:v>499</c:v>
                      </c:pt>
                      <c:pt idx="143">
                        <c:v>531</c:v>
                      </c:pt>
                      <c:pt idx="144" formatCode="_(* #,##0_);_(* \(#,##0\);_(* &quot;-&quot;??_);_(@_)">
                        <c:v>495</c:v>
                      </c:pt>
                      <c:pt idx="145">
                        <c:v>377</c:v>
                      </c:pt>
                      <c:pt idx="146">
                        <c:v>451</c:v>
                      </c:pt>
                      <c:pt idx="147">
                        <c:v>422</c:v>
                      </c:pt>
                      <c:pt idx="148" formatCode="_(* #,##0_);_(* \(#,##0\);_(* &quot;-&quot;??_);_(@_)">
                        <c:v>387</c:v>
                      </c:pt>
                      <c:pt idx="149" formatCode="_(* #,##0_);_(* \(#,##0\);_(* &quot;-&quot;??_);_(@_)">
                        <c:v>474</c:v>
                      </c:pt>
                      <c:pt idx="150" formatCode="_(* #,##0_);_(* \(#,##0\);_(* &quot;-&quot;??_);_(@_)">
                        <c:v>548</c:v>
                      </c:pt>
                      <c:pt idx="151" formatCode="_(* #,##0_);_(* \(#,##0\);_(* &quot;-&quot;??_);_(@_)">
                        <c:v>402</c:v>
                      </c:pt>
                      <c:pt idx="152" formatCode="_(* #,##0_);_(* \(#,##0\);_(* &quot;-&quot;??_);_(@_)">
                        <c:v>511</c:v>
                      </c:pt>
                      <c:pt idx="153" formatCode="_(* #,##0_);_(* \(#,##0\);_(* &quot;-&quot;??_);_(@_)">
                        <c:v>346</c:v>
                      </c:pt>
                      <c:pt idx="154" formatCode="_(* #,##0_);_(* \(#,##0\);_(* &quot;-&quot;??_);_(@_)">
                        <c:v>543</c:v>
                      </c:pt>
                      <c:pt idx="155" formatCode="_(* #,##0_);_(* \(#,##0\);_(* &quot;-&quot;??_);_(@_)">
                        <c:v>517</c:v>
                      </c:pt>
                      <c:pt idx="156">
                        <c:v>505</c:v>
                      </c:pt>
                      <c:pt idx="157">
                        <c:v>402</c:v>
                      </c:pt>
                      <c:pt idx="158">
                        <c:v>207</c:v>
                      </c:pt>
                      <c:pt idx="160">
                        <c:v>1</c:v>
                      </c:pt>
                      <c:pt idx="161">
                        <c:v>2</c:v>
                      </c:pt>
                      <c:pt idx="162">
                        <c:v>1</c:v>
                      </c:pt>
                      <c:pt idx="163">
                        <c:v>5</c:v>
                      </c:pt>
                      <c:pt idx="164">
                        <c:v>3</c:v>
                      </c:pt>
                      <c:pt idx="165">
                        <c:v>9</c:v>
                      </c:pt>
                      <c:pt idx="166">
                        <c:v>56</c:v>
                      </c:pt>
                      <c:pt idx="167">
                        <c:v>61</c:v>
                      </c:pt>
                      <c:pt idx="168">
                        <c:v>44</c:v>
                      </c:pt>
                      <c:pt idx="169">
                        <c:v>33</c:v>
                      </c:pt>
                      <c:pt idx="170">
                        <c:v>81</c:v>
                      </c:pt>
                      <c:pt idx="171">
                        <c:v>34</c:v>
                      </c:pt>
                      <c:pt idx="172">
                        <c:v>41</c:v>
                      </c:pt>
                    </c:numCache>
                  </c:numRef>
                </c:val>
                <c:smooth val="0"/>
                <c:extLst xmlns:c15="http://schemas.microsoft.com/office/drawing/2012/chart">
                  <c:ext xmlns:c16="http://schemas.microsoft.com/office/drawing/2014/chart" uri="{C3380CC4-5D6E-409C-BE32-E72D297353CC}">
                    <c16:uniqueId val="{00000013-8ED6-4044-8E62-D67E03BE4939}"/>
                  </c:ext>
                </c:extLst>
              </c15:ser>
            </c15:filteredLineSeries>
            <c15:filteredLineSeries>
              <c15:ser>
                <c:idx val="20"/>
                <c:order val="20"/>
                <c:tx>
                  <c:strRef>
                    <c:extLst xmlns:c15="http://schemas.microsoft.com/office/drawing/2012/chart">
                      <c:ext xmlns:c15="http://schemas.microsoft.com/office/drawing/2012/chart" uri="{02D57815-91ED-43cb-92C2-25804820EDAC}">
                        <c15:formulaRef>
                          <c15:sqref>'Tendencias nacionalidad'!$C$74</c15:sqref>
                        </c15:formulaRef>
                      </c:ext>
                    </c:extLst>
                    <c:strCache>
                      <c:ptCount val="1"/>
                      <c:pt idx="0">
                        <c:v>Bélgica</c:v>
                      </c:pt>
                    </c:strCache>
                  </c:strRef>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nacionalidad'!$D$74:$GA$74</c15:sqref>
                        </c15:fullRef>
                        <c15:formulaRef>
                          <c15:sqref>'Tendencias nacionalidad'!$D$74:$FT$74</c15:sqref>
                        </c15:formulaRef>
                      </c:ext>
                    </c:extLst>
                    <c:numCache>
                      <c:formatCode>#,##0</c:formatCode>
                      <c:ptCount val="173"/>
                      <c:pt idx="0">
                        <c:v>191</c:v>
                      </c:pt>
                      <c:pt idx="1">
                        <c:v>147</c:v>
                      </c:pt>
                      <c:pt idx="2">
                        <c:v>184</c:v>
                      </c:pt>
                      <c:pt idx="3">
                        <c:v>164</c:v>
                      </c:pt>
                      <c:pt idx="4">
                        <c:v>171</c:v>
                      </c:pt>
                      <c:pt idx="5">
                        <c:v>315</c:v>
                      </c:pt>
                      <c:pt idx="6">
                        <c:v>438</c:v>
                      </c:pt>
                      <c:pt idx="7">
                        <c:v>326</c:v>
                      </c:pt>
                      <c:pt idx="8">
                        <c:v>276</c:v>
                      </c:pt>
                      <c:pt idx="9">
                        <c:v>312</c:v>
                      </c:pt>
                      <c:pt idx="10">
                        <c:v>240</c:v>
                      </c:pt>
                      <c:pt idx="11">
                        <c:v>141</c:v>
                      </c:pt>
                      <c:pt idx="12">
                        <c:v>227</c:v>
                      </c:pt>
                      <c:pt idx="13">
                        <c:v>309</c:v>
                      </c:pt>
                      <c:pt idx="14">
                        <c:v>244</c:v>
                      </c:pt>
                      <c:pt idx="15">
                        <c:v>211</c:v>
                      </c:pt>
                      <c:pt idx="16">
                        <c:v>218</c:v>
                      </c:pt>
                      <c:pt idx="17">
                        <c:v>331</c:v>
                      </c:pt>
                      <c:pt idx="18">
                        <c:v>626</c:v>
                      </c:pt>
                      <c:pt idx="19">
                        <c:v>308</c:v>
                      </c:pt>
                      <c:pt idx="20">
                        <c:v>265</c:v>
                      </c:pt>
                      <c:pt idx="21">
                        <c:v>268</c:v>
                      </c:pt>
                      <c:pt idx="22">
                        <c:v>267</c:v>
                      </c:pt>
                      <c:pt idx="23">
                        <c:v>167</c:v>
                      </c:pt>
                      <c:pt idx="24">
                        <c:v>197</c:v>
                      </c:pt>
                      <c:pt idx="25">
                        <c:v>192</c:v>
                      </c:pt>
                      <c:pt idx="26">
                        <c:v>173</c:v>
                      </c:pt>
                      <c:pt idx="27">
                        <c:v>357</c:v>
                      </c:pt>
                      <c:pt idx="28">
                        <c:v>355</c:v>
                      </c:pt>
                      <c:pt idx="29">
                        <c:v>353</c:v>
                      </c:pt>
                      <c:pt idx="30">
                        <c:v>540</c:v>
                      </c:pt>
                      <c:pt idx="31">
                        <c:v>350</c:v>
                      </c:pt>
                      <c:pt idx="32">
                        <c:v>282</c:v>
                      </c:pt>
                      <c:pt idx="33">
                        <c:v>316</c:v>
                      </c:pt>
                      <c:pt idx="34">
                        <c:v>221</c:v>
                      </c:pt>
                      <c:pt idx="35">
                        <c:v>212</c:v>
                      </c:pt>
                      <c:pt idx="36">
                        <c:v>233</c:v>
                      </c:pt>
                      <c:pt idx="37">
                        <c:v>194</c:v>
                      </c:pt>
                      <c:pt idx="38">
                        <c:v>155</c:v>
                      </c:pt>
                      <c:pt idx="39">
                        <c:v>196</c:v>
                      </c:pt>
                      <c:pt idx="40">
                        <c:v>171</c:v>
                      </c:pt>
                      <c:pt idx="41">
                        <c:v>316</c:v>
                      </c:pt>
                      <c:pt idx="42">
                        <c:v>607</c:v>
                      </c:pt>
                      <c:pt idx="43">
                        <c:v>289</c:v>
                      </c:pt>
                      <c:pt idx="44">
                        <c:v>282</c:v>
                      </c:pt>
                      <c:pt idx="45">
                        <c:v>216</c:v>
                      </c:pt>
                      <c:pt idx="46">
                        <c:v>267</c:v>
                      </c:pt>
                      <c:pt idx="47">
                        <c:v>190</c:v>
                      </c:pt>
                      <c:pt idx="48">
                        <c:v>184</c:v>
                      </c:pt>
                      <c:pt idx="49">
                        <c:v>211</c:v>
                      </c:pt>
                      <c:pt idx="50">
                        <c:v>169</c:v>
                      </c:pt>
                      <c:pt idx="51">
                        <c:v>205</c:v>
                      </c:pt>
                      <c:pt idx="52">
                        <c:v>200</c:v>
                      </c:pt>
                      <c:pt idx="53">
                        <c:v>313</c:v>
                      </c:pt>
                      <c:pt idx="54">
                        <c:v>620</c:v>
                      </c:pt>
                      <c:pt idx="55">
                        <c:v>258</c:v>
                      </c:pt>
                      <c:pt idx="56">
                        <c:v>275</c:v>
                      </c:pt>
                      <c:pt idx="57">
                        <c:v>302</c:v>
                      </c:pt>
                      <c:pt idx="58">
                        <c:v>305</c:v>
                      </c:pt>
                      <c:pt idx="59">
                        <c:v>214</c:v>
                      </c:pt>
                      <c:pt idx="60">
                        <c:v>196</c:v>
                      </c:pt>
                      <c:pt idx="61">
                        <c:v>218</c:v>
                      </c:pt>
                      <c:pt idx="62">
                        <c:v>222</c:v>
                      </c:pt>
                      <c:pt idx="63">
                        <c:v>155</c:v>
                      </c:pt>
                      <c:pt idx="64">
                        <c:v>206</c:v>
                      </c:pt>
                      <c:pt idx="65">
                        <c:v>450</c:v>
                      </c:pt>
                      <c:pt idx="66">
                        <c:v>575</c:v>
                      </c:pt>
                      <c:pt idx="67">
                        <c:v>291</c:v>
                      </c:pt>
                      <c:pt idx="68">
                        <c:v>229</c:v>
                      </c:pt>
                      <c:pt idx="69">
                        <c:v>271</c:v>
                      </c:pt>
                      <c:pt idx="70">
                        <c:v>261</c:v>
                      </c:pt>
                      <c:pt idx="71">
                        <c:v>255</c:v>
                      </c:pt>
                      <c:pt idx="72">
                        <c:v>204</c:v>
                      </c:pt>
                      <c:pt idx="73">
                        <c:v>192</c:v>
                      </c:pt>
                      <c:pt idx="74">
                        <c:v>280</c:v>
                      </c:pt>
                      <c:pt idx="75">
                        <c:v>160</c:v>
                      </c:pt>
                      <c:pt idx="76">
                        <c:v>223</c:v>
                      </c:pt>
                      <c:pt idx="77">
                        <c:v>404</c:v>
                      </c:pt>
                      <c:pt idx="78">
                        <c:v>597</c:v>
                      </c:pt>
                      <c:pt idx="79">
                        <c:v>307</c:v>
                      </c:pt>
                      <c:pt idx="80">
                        <c:v>259</c:v>
                      </c:pt>
                      <c:pt idx="81">
                        <c:v>272</c:v>
                      </c:pt>
                      <c:pt idx="82">
                        <c:v>263</c:v>
                      </c:pt>
                      <c:pt idx="83">
                        <c:v>290</c:v>
                      </c:pt>
                      <c:pt idx="84">
                        <c:v>251</c:v>
                      </c:pt>
                      <c:pt idx="85">
                        <c:v>233</c:v>
                      </c:pt>
                      <c:pt idx="86">
                        <c:v>238</c:v>
                      </c:pt>
                      <c:pt idx="87">
                        <c:v>277</c:v>
                      </c:pt>
                      <c:pt idx="88">
                        <c:v>207</c:v>
                      </c:pt>
                      <c:pt idx="89">
                        <c:v>470</c:v>
                      </c:pt>
                      <c:pt idx="90">
                        <c:v>549</c:v>
                      </c:pt>
                      <c:pt idx="91">
                        <c:v>239</c:v>
                      </c:pt>
                      <c:pt idx="92">
                        <c:v>269</c:v>
                      </c:pt>
                      <c:pt idx="93">
                        <c:v>283</c:v>
                      </c:pt>
                      <c:pt idx="94">
                        <c:v>246</c:v>
                      </c:pt>
                      <c:pt idx="95">
                        <c:v>254</c:v>
                      </c:pt>
                      <c:pt idx="96">
                        <c:v>241</c:v>
                      </c:pt>
                      <c:pt idx="97">
                        <c:v>223</c:v>
                      </c:pt>
                      <c:pt idx="98">
                        <c:v>216</c:v>
                      </c:pt>
                      <c:pt idx="99">
                        <c:v>246</c:v>
                      </c:pt>
                      <c:pt idx="100">
                        <c:v>178</c:v>
                      </c:pt>
                      <c:pt idx="101">
                        <c:v>422</c:v>
                      </c:pt>
                      <c:pt idx="102">
                        <c:v>543</c:v>
                      </c:pt>
                      <c:pt idx="103">
                        <c:v>270</c:v>
                      </c:pt>
                      <c:pt idx="104">
                        <c:v>258</c:v>
                      </c:pt>
                      <c:pt idx="105">
                        <c:v>297</c:v>
                      </c:pt>
                      <c:pt idx="106">
                        <c:v>250</c:v>
                      </c:pt>
                      <c:pt idx="107">
                        <c:v>227</c:v>
                      </c:pt>
                      <c:pt idx="108">
                        <c:v>280</c:v>
                      </c:pt>
                      <c:pt idx="109">
                        <c:v>197</c:v>
                      </c:pt>
                      <c:pt idx="110">
                        <c:v>236</c:v>
                      </c:pt>
                      <c:pt idx="111">
                        <c:v>158</c:v>
                      </c:pt>
                      <c:pt idx="112">
                        <c:v>178</c:v>
                      </c:pt>
                      <c:pt idx="113">
                        <c:v>492</c:v>
                      </c:pt>
                      <c:pt idx="114">
                        <c:v>634</c:v>
                      </c:pt>
                      <c:pt idx="115">
                        <c:v>279</c:v>
                      </c:pt>
                      <c:pt idx="116" formatCode="General">
                        <c:v>280</c:v>
                      </c:pt>
                      <c:pt idx="117">
                        <c:v>301</c:v>
                      </c:pt>
                      <c:pt idx="118">
                        <c:v>213</c:v>
                      </c:pt>
                      <c:pt idx="119">
                        <c:v>198</c:v>
                      </c:pt>
                      <c:pt idx="120">
                        <c:v>219</c:v>
                      </c:pt>
                      <c:pt idx="121">
                        <c:v>171</c:v>
                      </c:pt>
                      <c:pt idx="122">
                        <c:v>217</c:v>
                      </c:pt>
                      <c:pt idx="123">
                        <c:v>219</c:v>
                      </c:pt>
                      <c:pt idx="124">
                        <c:v>146</c:v>
                      </c:pt>
                      <c:pt idx="125">
                        <c:v>398</c:v>
                      </c:pt>
                      <c:pt idx="126">
                        <c:v>590</c:v>
                      </c:pt>
                      <c:pt idx="127">
                        <c:v>340</c:v>
                      </c:pt>
                      <c:pt idx="128">
                        <c:v>296</c:v>
                      </c:pt>
                      <c:pt idx="129">
                        <c:v>261</c:v>
                      </c:pt>
                      <c:pt idx="130">
                        <c:v>257</c:v>
                      </c:pt>
                      <c:pt idx="131">
                        <c:v>209</c:v>
                      </c:pt>
                      <c:pt idx="132">
                        <c:v>187</c:v>
                      </c:pt>
                      <c:pt idx="133">
                        <c:v>221</c:v>
                      </c:pt>
                      <c:pt idx="134">
                        <c:v>298</c:v>
                      </c:pt>
                      <c:pt idx="135">
                        <c:v>220</c:v>
                      </c:pt>
                      <c:pt idx="136">
                        <c:v>271</c:v>
                      </c:pt>
                      <c:pt idx="137">
                        <c:v>384</c:v>
                      </c:pt>
                      <c:pt idx="138">
                        <c:v>705</c:v>
                      </c:pt>
                      <c:pt idx="139">
                        <c:v>361</c:v>
                      </c:pt>
                      <c:pt idx="140">
                        <c:v>355</c:v>
                      </c:pt>
                      <c:pt idx="141">
                        <c:v>351</c:v>
                      </c:pt>
                      <c:pt idx="142">
                        <c:v>305</c:v>
                      </c:pt>
                      <c:pt idx="143">
                        <c:v>277</c:v>
                      </c:pt>
                      <c:pt idx="144" formatCode="_(* #,##0_);_(* \(#,##0\);_(* &quot;-&quot;??_);_(@_)">
                        <c:v>216</c:v>
                      </c:pt>
                      <c:pt idx="145">
                        <c:v>230</c:v>
                      </c:pt>
                      <c:pt idx="146">
                        <c:v>215</c:v>
                      </c:pt>
                      <c:pt idx="147">
                        <c:v>326</c:v>
                      </c:pt>
                      <c:pt idx="148" formatCode="_(* #,##0_);_(* \(#,##0\);_(* &quot;-&quot;??_);_(@_)">
                        <c:v>321</c:v>
                      </c:pt>
                      <c:pt idx="149" formatCode="_(* #,##0_);_(* \(#,##0\);_(* &quot;-&quot;??_);_(@_)">
                        <c:v>638</c:v>
                      </c:pt>
                      <c:pt idx="150" formatCode="_(* #,##0_);_(* \(#,##0\);_(* &quot;-&quot;??_);_(@_)">
                        <c:v>876</c:v>
                      </c:pt>
                      <c:pt idx="151" formatCode="_(* #,##0_);_(* \(#,##0\);_(* &quot;-&quot;??_);_(@_)">
                        <c:v>440</c:v>
                      </c:pt>
                      <c:pt idx="152" formatCode="_(* #,##0_);_(* \(#,##0\);_(* &quot;-&quot;??_);_(@_)">
                        <c:v>523</c:v>
                      </c:pt>
                      <c:pt idx="153" formatCode="_(* #,##0_);_(* \(#,##0\);_(* &quot;-&quot;??_);_(@_)">
                        <c:v>295</c:v>
                      </c:pt>
                      <c:pt idx="154" formatCode="_(* #,##0_);_(* \(#,##0\);_(* &quot;-&quot;??_);_(@_)">
                        <c:v>448</c:v>
                      </c:pt>
                      <c:pt idx="155" formatCode="_(* #,##0_);_(* \(#,##0\);_(* &quot;-&quot;??_);_(@_)">
                        <c:v>423</c:v>
                      </c:pt>
                      <c:pt idx="156">
                        <c:v>342</c:v>
                      </c:pt>
                      <c:pt idx="157">
                        <c:v>340</c:v>
                      </c:pt>
                      <c:pt idx="158">
                        <c:v>151</c:v>
                      </c:pt>
                      <c:pt idx="159">
                        <c:v>4</c:v>
                      </c:pt>
                      <c:pt idx="160">
                        <c:v>5</c:v>
                      </c:pt>
                      <c:pt idx="161">
                        <c:v>9</c:v>
                      </c:pt>
                      <c:pt idx="162">
                        <c:v>33</c:v>
                      </c:pt>
                      <c:pt idx="163">
                        <c:v>28</c:v>
                      </c:pt>
                      <c:pt idx="164">
                        <c:v>23</c:v>
                      </c:pt>
                      <c:pt idx="165">
                        <c:v>33</c:v>
                      </c:pt>
                      <c:pt idx="166">
                        <c:v>34</c:v>
                      </c:pt>
                      <c:pt idx="167">
                        <c:v>93</c:v>
                      </c:pt>
                      <c:pt idx="168">
                        <c:v>62</c:v>
                      </c:pt>
                      <c:pt idx="169">
                        <c:v>42</c:v>
                      </c:pt>
                      <c:pt idx="170">
                        <c:v>56</c:v>
                      </c:pt>
                      <c:pt idx="171">
                        <c:v>68</c:v>
                      </c:pt>
                      <c:pt idx="172">
                        <c:v>55</c:v>
                      </c:pt>
                    </c:numCache>
                  </c:numRef>
                </c:val>
                <c:smooth val="0"/>
                <c:extLst xmlns:c15="http://schemas.microsoft.com/office/drawing/2012/chart">
                  <c:ext xmlns:c16="http://schemas.microsoft.com/office/drawing/2014/chart" uri="{C3380CC4-5D6E-409C-BE32-E72D297353CC}">
                    <c16:uniqueId val="{00000014-8ED6-4044-8E62-D67E03BE4939}"/>
                  </c:ext>
                </c:extLst>
              </c15:ser>
            </c15:filteredLineSeries>
            <c15:filteredLineSeries>
              <c15:ser>
                <c:idx val="21"/>
                <c:order val="21"/>
                <c:tx>
                  <c:strRef>
                    <c:extLst xmlns:c15="http://schemas.microsoft.com/office/drawing/2012/chart">
                      <c:ext xmlns:c15="http://schemas.microsoft.com/office/drawing/2012/chart" uri="{02D57815-91ED-43cb-92C2-25804820EDAC}">
                        <c15:formulaRef>
                          <c15:sqref>'Tendencias nacionalidad'!$C$75</c15:sqref>
                        </c15:formulaRef>
                      </c:ext>
                    </c:extLst>
                    <c:strCache>
                      <c:ptCount val="1"/>
                      <c:pt idx="0">
                        <c:v>Japón</c:v>
                      </c:pt>
                    </c:strCache>
                  </c:strRef>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nacionalidad'!$D$75:$GA$75</c15:sqref>
                        </c15:fullRef>
                        <c15:formulaRef>
                          <c15:sqref>'Tendencias nacionalidad'!$D$75:$FT$75</c15:sqref>
                        </c15:formulaRef>
                      </c:ext>
                    </c:extLst>
                    <c:numCache>
                      <c:formatCode>#,##0</c:formatCode>
                      <c:ptCount val="173"/>
                      <c:pt idx="0">
                        <c:v>164</c:v>
                      </c:pt>
                      <c:pt idx="1">
                        <c:v>248</c:v>
                      </c:pt>
                      <c:pt idx="2">
                        <c:v>234</c:v>
                      </c:pt>
                      <c:pt idx="3">
                        <c:v>208</c:v>
                      </c:pt>
                      <c:pt idx="4">
                        <c:v>139</c:v>
                      </c:pt>
                      <c:pt idx="5">
                        <c:v>167</c:v>
                      </c:pt>
                      <c:pt idx="6">
                        <c:v>217</c:v>
                      </c:pt>
                      <c:pt idx="7">
                        <c:v>310</c:v>
                      </c:pt>
                      <c:pt idx="8">
                        <c:v>201</c:v>
                      </c:pt>
                      <c:pt idx="9">
                        <c:v>197</c:v>
                      </c:pt>
                      <c:pt idx="10">
                        <c:v>288</c:v>
                      </c:pt>
                      <c:pt idx="11">
                        <c:v>260</c:v>
                      </c:pt>
                      <c:pt idx="12">
                        <c:v>271</c:v>
                      </c:pt>
                      <c:pt idx="13">
                        <c:v>459</c:v>
                      </c:pt>
                      <c:pt idx="14">
                        <c:v>298</c:v>
                      </c:pt>
                      <c:pt idx="15">
                        <c:v>187</c:v>
                      </c:pt>
                      <c:pt idx="16">
                        <c:v>206</c:v>
                      </c:pt>
                      <c:pt idx="17">
                        <c:v>261</c:v>
                      </c:pt>
                      <c:pt idx="18">
                        <c:v>251</c:v>
                      </c:pt>
                      <c:pt idx="19">
                        <c:v>413</c:v>
                      </c:pt>
                      <c:pt idx="20">
                        <c:v>500</c:v>
                      </c:pt>
                      <c:pt idx="21">
                        <c:v>268</c:v>
                      </c:pt>
                      <c:pt idx="22">
                        <c:v>279</c:v>
                      </c:pt>
                      <c:pt idx="23">
                        <c:v>284</c:v>
                      </c:pt>
                      <c:pt idx="24">
                        <c:v>231</c:v>
                      </c:pt>
                      <c:pt idx="25">
                        <c:v>272</c:v>
                      </c:pt>
                      <c:pt idx="26">
                        <c:v>309</c:v>
                      </c:pt>
                      <c:pt idx="27">
                        <c:v>217</c:v>
                      </c:pt>
                      <c:pt idx="28">
                        <c:v>201.5</c:v>
                      </c:pt>
                      <c:pt idx="29">
                        <c:v>186</c:v>
                      </c:pt>
                      <c:pt idx="30">
                        <c:v>319</c:v>
                      </c:pt>
                      <c:pt idx="31">
                        <c:v>287</c:v>
                      </c:pt>
                      <c:pt idx="32">
                        <c:v>355</c:v>
                      </c:pt>
                      <c:pt idx="33">
                        <c:v>237</c:v>
                      </c:pt>
                      <c:pt idx="34">
                        <c:v>212</c:v>
                      </c:pt>
                      <c:pt idx="35">
                        <c:v>284</c:v>
                      </c:pt>
                      <c:pt idx="36">
                        <c:v>214</c:v>
                      </c:pt>
                      <c:pt idx="37">
                        <c:v>229</c:v>
                      </c:pt>
                      <c:pt idx="38">
                        <c:v>253</c:v>
                      </c:pt>
                      <c:pt idx="39">
                        <c:v>222</c:v>
                      </c:pt>
                      <c:pt idx="40">
                        <c:v>206</c:v>
                      </c:pt>
                      <c:pt idx="41">
                        <c:v>292</c:v>
                      </c:pt>
                      <c:pt idx="42">
                        <c:v>267</c:v>
                      </c:pt>
                      <c:pt idx="43">
                        <c:v>293</c:v>
                      </c:pt>
                      <c:pt idx="44">
                        <c:v>423</c:v>
                      </c:pt>
                      <c:pt idx="45">
                        <c:v>147</c:v>
                      </c:pt>
                      <c:pt idx="46">
                        <c:v>234</c:v>
                      </c:pt>
                      <c:pt idx="47">
                        <c:v>268</c:v>
                      </c:pt>
                      <c:pt idx="48">
                        <c:v>162</c:v>
                      </c:pt>
                      <c:pt idx="49">
                        <c:v>261</c:v>
                      </c:pt>
                      <c:pt idx="50">
                        <c:v>238</c:v>
                      </c:pt>
                      <c:pt idx="51">
                        <c:v>206</c:v>
                      </c:pt>
                      <c:pt idx="52">
                        <c:v>181</c:v>
                      </c:pt>
                      <c:pt idx="53">
                        <c:v>178</c:v>
                      </c:pt>
                      <c:pt idx="54">
                        <c:v>207</c:v>
                      </c:pt>
                      <c:pt idx="55">
                        <c:v>327</c:v>
                      </c:pt>
                      <c:pt idx="56">
                        <c:v>363</c:v>
                      </c:pt>
                      <c:pt idx="57">
                        <c:v>308</c:v>
                      </c:pt>
                      <c:pt idx="58">
                        <c:v>257</c:v>
                      </c:pt>
                      <c:pt idx="59">
                        <c:v>318</c:v>
                      </c:pt>
                      <c:pt idx="60">
                        <c:v>174</c:v>
                      </c:pt>
                      <c:pt idx="61">
                        <c:v>210</c:v>
                      </c:pt>
                      <c:pt idx="62">
                        <c:v>273</c:v>
                      </c:pt>
                      <c:pt idx="63">
                        <c:v>245</c:v>
                      </c:pt>
                      <c:pt idx="64">
                        <c:v>198</c:v>
                      </c:pt>
                      <c:pt idx="65">
                        <c:v>263</c:v>
                      </c:pt>
                      <c:pt idx="66">
                        <c:v>300</c:v>
                      </c:pt>
                      <c:pt idx="67">
                        <c:v>322</c:v>
                      </c:pt>
                      <c:pt idx="68">
                        <c:v>392</c:v>
                      </c:pt>
                      <c:pt idx="69">
                        <c:v>304</c:v>
                      </c:pt>
                      <c:pt idx="70">
                        <c:v>226</c:v>
                      </c:pt>
                      <c:pt idx="71">
                        <c:v>380</c:v>
                      </c:pt>
                      <c:pt idx="72">
                        <c:v>246</c:v>
                      </c:pt>
                      <c:pt idx="73">
                        <c:v>230</c:v>
                      </c:pt>
                      <c:pt idx="74">
                        <c:v>250</c:v>
                      </c:pt>
                      <c:pt idx="75">
                        <c:v>268</c:v>
                      </c:pt>
                      <c:pt idx="76">
                        <c:v>172</c:v>
                      </c:pt>
                      <c:pt idx="77">
                        <c:v>227</c:v>
                      </c:pt>
                      <c:pt idx="78">
                        <c:v>231</c:v>
                      </c:pt>
                      <c:pt idx="79">
                        <c:v>305</c:v>
                      </c:pt>
                      <c:pt idx="80">
                        <c:v>386</c:v>
                      </c:pt>
                      <c:pt idx="81">
                        <c:v>233</c:v>
                      </c:pt>
                      <c:pt idx="82">
                        <c:v>295</c:v>
                      </c:pt>
                      <c:pt idx="83">
                        <c:v>399</c:v>
                      </c:pt>
                      <c:pt idx="84">
                        <c:v>275</c:v>
                      </c:pt>
                      <c:pt idx="85">
                        <c:v>249</c:v>
                      </c:pt>
                      <c:pt idx="86">
                        <c:v>305</c:v>
                      </c:pt>
                      <c:pt idx="87">
                        <c:v>246</c:v>
                      </c:pt>
                      <c:pt idx="88">
                        <c:v>181</c:v>
                      </c:pt>
                      <c:pt idx="89">
                        <c:v>184</c:v>
                      </c:pt>
                      <c:pt idx="90">
                        <c:v>215</c:v>
                      </c:pt>
                      <c:pt idx="91">
                        <c:v>314</c:v>
                      </c:pt>
                      <c:pt idx="92">
                        <c:v>322</c:v>
                      </c:pt>
                      <c:pt idx="93">
                        <c:v>214</c:v>
                      </c:pt>
                      <c:pt idx="94">
                        <c:v>237</c:v>
                      </c:pt>
                      <c:pt idx="95">
                        <c:v>326</c:v>
                      </c:pt>
                      <c:pt idx="96">
                        <c:v>273</c:v>
                      </c:pt>
                      <c:pt idx="97">
                        <c:v>301</c:v>
                      </c:pt>
                      <c:pt idx="98">
                        <c:v>306</c:v>
                      </c:pt>
                      <c:pt idx="99">
                        <c:v>203</c:v>
                      </c:pt>
                      <c:pt idx="100">
                        <c:v>196</c:v>
                      </c:pt>
                      <c:pt idx="101">
                        <c:v>197</c:v>
                      </c:pt>
                      <c:pt idx="102">
                        <c:v>197</c:v>
                      </c:pt>
                      <c:pt idx="103">
                        <c:v>250</c:v>
                      </c:pt>
                      <c:pt idx="104">
                        <c:v>472</c:v>
                      </c:pt>
                      <c:pt idx="105">
                        <c:v>190</c:v>
                      </c:pt>
                      <c:pt idx="106">
                        <c:v>234</c:v>
                      </c:pt>
                      <c:pt idx="107">
                        <c:v>286</c:v>
                      </c:pt>
                      <c:pt idx="108">
                        <c:v>237</c:v>
                      </c:pt>
                      <c:pt idx="109">
                        <c:v>251</c:v>
                      </c:pt>
                      <c:pt idx="110">
                        <c:v>266</c:v>
                      </c:pt>
                      <c:pt idx="111">
                        <c:v>190</c:v>
                      </c:pt>
                      <c:pt idx="112">
                        <c:v>172</c:v>
                      </c:pt>
                      <c:pt idx="113">
                        <c:v>158</c:v>
                      </c:pt>
                      <c:pt idx="114">
                        <c:v>217</c:v>
                      </c:pt>
                      <c:pt idx="115">
                        <c:v>207</c:v>
                      </c:pt>
                      <c:pt idx="116" formatCode="General">
                        <c:v>258</c:v>
                      </c:pt>
                      <c:pt idx="117">
                        <c:v>294</c:v>
                      </c:pt>
                      <c:pt idx="118">
                        <c:v>242</c:v>
                      </c:pt>
                      <c:pt idx="119">
                        <c:v>290</c:v>
                      </c:pt>
                      <c:pt idx="120">
                        <c:v>219</c:v>
                      </c:pt>
                      <c:pt idx="121">
                        <c:v>224</c:v>
                      </c:pt>
                      <c:pt idx="122">
                        <c:v>359</c:v>
                      </c:pt>
                      <c:pt idx="123">
                        <c:v>236</c:v>
                      </c:pt>
                      <c:pt idx="124">
                        <c:v>164</c:v>
                      </c:pt>
                      <c:pt idx="125">
                        <c:v>225</c:v>
                      </c:pt>
                      <c:pt idx="126">
                        <c:v>222</c:v>
                      </c:pt>
                      <c:pt idx="127">
                        <c:v>330</c:v>
                      </c:pt>
                      <c:pt idx="128">
                        <c:v>234</c:v>
                      </c:pt>
                      <c:pt idx="129">
                        <c:v>240</c:v>
                      </c:pt>
                      <c:pt idx="130">
                        <c:v>328</c:v>
                      </c:pt>
                      <c:pt idx="131">
                        <c:v>327</c:v>
                      </c:pt>
                      <c:pt idx="132">
                        <c:v>253</c:v>
                      </c:pt>
                      <c:pt idx="133">
                        <c:v>276</c:v>
                      </c:pt>
                      <c:pt idx="134">
                        <c:v>394</c:v>
                      </c:pt>
                      <c:pt idx="135">
                        <c:v>291</c:v>
                      </c:pt>
                      <c:pt idx="136">
                        <c:v>230</c:v>
                      </c:pt>
                      <c:pt idx="137">
                        <c:v>294</c:v>
                      </c:pt>
                      <c:pt idx="138">
                        <c:v>286</c:v>
                      </c:pt>
                      <c:pt idx="139">
                        <c:v>421</c:v>
                      </c:pt>
                      <c:pt idx="140">
                        <c:v>364</c:v>
                      </c:pt>
                      <c:pt idx="141">
                        <c:v>252</c:v>
                      </c:pt>
                      <c:pt idx="142">
                        <c:v>303</c:v>
                      </c:pt>
                      <c:pt idx="143">
                        <c:v>333</c:v>
                      </c:pt>
                      <c:pt idx="144" formatCode="_(* #,##0_);_(* \(#,##0\);_(* &quot;-&quot;??_);_(@_)">
                        <c:v>227</c:v>
                      </c:pt>
                      <c:pt idx="145">
                        <c:v>338</c:v>
                      </c:pt>
                      <c:pt idx="146">
                        <c:v>267</c:v>
                      </c:pt>
                      <c:pt idx="147">
                        <c:v>344</c:v>
                      </c:pt>
                      <c:pt idx="148" formatCode="_(* #,##0_);_(* \(#,##0\);_(* &quot;-&quot;??_);_(@_)">
                        <c:v>221</c:v>
                      </c:pt>
                      <c:pt idx="149" formatCode="_(* #,##0_);_(* \(#,##0\);_(* &quot;-&quot;??_);_(@_)">
                        <c:v>258</c:v>
                      </c:pt>
                      <c:pt idx="150" formatCode="_(* #,##0_);_(* \(#,##0\);_(* &quot;-&quot;??_);_(@_)">
                        <c:v>289</c:v>
                      </c:pt>
                      <c:pt idx="151" formatCode="_(* #,##0_);_(* \(#,##0\);_(* &quot;-&quot;??_);_(@_)">
                        <c:v>311</c:v>
                      </c:pt>
                      <c:pt idx="152" formatCode="_(* #,##0_);_(* \(#,##0\);_(* &quot;-&quot;??_);_(@_)">
                        <c:v>403</c:v>
                      </c:pt>
                      <c:pt idx="153" formatCode="_(* #,##0_);_(* \(#,##0\);_(* &quot;-&quot;??_);_(@_)">
                        <c:v>155</c:v>
                      </c:pt>
                      <c:pt idx="154" formatCode="_(* #,##0_);_(* \(#,##0\);_(* &quot;-&quot;??_);_(@_)">
                        <c:v>261</c:v>
                      </c:pt>
                      <c:pt idx="155" formatCode="_(* #,##0_);_(* \(#,##0\);_(* &quot;-&quot;??_);_(@_)">
                        <c:v>324</c:v>
                      </c:pt>
                      <c:pt idx="156">
                        <c:v>334</c:v>
                      </c:pt>
                      <c:pt idx="157">
                        <c:v>327</c:v>
                      </c:pt>
                      <c:pt idx="158">
                        <c:v>121</c:v>
                      </c:pt>
                      <c:pt idx="161">
                        <c:v>4</c:v>
                      </c:pt>
                      <c:pt idx="162">
                        <c:v>4</c:v>
                      </c:pt>
                      <c:pt idx="163">
                        <c:v>5</c:v>
                      </c:pt>
                      <c:pt idx="164">
                        <c:v>7</c:v>
                      </c:pt>
                      <c:pt idx="165">
                        <c:v>15</c:v>
                      </c:pt>
                      <c:pt idx="166">
                        <c:v>16</c:v>
                      </c:pt>
                      <c:pt idx="167">
                        <c:v>29</c:v>
                      </c:pt>
                      <c:pt idx="168">
                        <c:v>21</c:v>
                      </c:pt>
                      <c:pt idx="169">
                        <c:v>12</c:v>
                      </c:pt>
                      <c:pt idx="170">
                        <c:v>11</c:v>
                      </c:pt>
                      <c:pt idx="171">
                        <c:v>15</c:v>
                      </c:pt>
                      <c:pt idx="172">
                        <c:v>9</c:v>
                      </c:pt>
                    </c:numCache>
                  </c:numRef>
                </c:val>
                <c:smooth val="0"/>
                <c:extLst xmlns:c15="http://schemas.microsoft.com/office/drawing/2012/chart">
                  <c:ext xmlns:c16="http://schemas.microsoft.com/office/drawing/2014/chart" uri="{C3380CC4-5D6E-409C-BE32-E72D297353CC}">
                    <c16:uniqueId val="{00000015-8ED6-4044-8E62-D67E03BE4939}"/>
                  </c:ext>
                </c:extLst>
              </c15:ser>
            </c15:filteredLineSeries>
            <c15:filteredLineSeries>
              <c15:ser>
                <c:idx val="22"/>
                <c:order val="22"/>
                <c:tx>
                  <c:strRef>
                    <c:extLst xmlns:c15="http://schemas.microsoft.com/office/drawing/2012/chart">
                      <c:ext xmlns:c15="http://schemas.microsoft.com/office/drawing/2012/chart" uri="{02D57815-91ED-43cb-92C2-25804820EDAC}">
                        <c15:formulaRef>
                          <c15:sqref>'Tendencias nacionalidad'!$C$76</c15:sqref>
                        </c15:formulaRef>
                      </c:ext>
                    </c:extLst>
                    <c:strCache>
                      <c:ptCount val="1"/>
                      <c:pt idx="0">
                        <c:v>Cuba</c:v>
                      </c:pt>
                    </c:strCache>
                  </c:strRef>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nacionalidad'!$D$76:$GA$76</c15:sqref>
                        </c15:fullRef>
                        <c15:formulaRef>
                          <c15:sqref>'Tendencias nacionalidad'!$D$76:$FT$76</c15:sqref>
                        </c15:formulaRef>
                      </c:ext>
                    </c:extLst>
                    <c:numCache>
                      <c:formatCode>#,##0</c:formatCode>
                      <c:ptCount val="173"/>
                      <c:pt idx="0">
                        <c:v>106</c:v>
                      </c:pt>
                      <c:pt idx="1">
                        <c:v>77</c:v>
                      </c:pt>
                      <c:pt idx="2">
                        <c:v>164</c:v>
                      </c:pt>
                      <c:pt idx="3">
                        <c:v>124</c:v>
                      </c:pt>
                      <c:pt idx="4">
                        <c:v>101</c:v>
                      </c:pt>
                      <c:pt idx="5">
                        <c:v>151</c:v>
                      </c:pt>
                      <c:pt idx="6">
                        <c:v>131</c:v>
                      </c:pt>
                      <c:pt idx="7">
                        <c:v>168</c:v>
                      </c:pt>
                      <c:pt idx="8">
                        <c:v>204</c:v>
                      </c:pt>
                      <c:pt idx="9">
                        <c:v>300</c:v>
                      </c:pt>
                      <c:pt idx="10">
                        <c:v>233</c:v>
                      </c:pt>
                      <c:pt idx="11">
                        <c:v>211</c:v>
                      </c:pt>
                      <c:pt idx="12">
                        <c:v>300</c:v>
                      </c:pt>
                      <c:pt idx="13">
                        <c:v>404</c:v>
                      </c:pt>
                      <c:pt idx="14">
                        <c:v>290</c:v>
                      </c:pt>
                      <c:pt idx="15">
                        <c:v>346</c:v>
                      </c:pt>
                      <c:pt idx="16">
                        <c:v>350</c:v>
                      </c:pt>
                      <c:pt idx="17">
                        <c:v>372</c:v>
                      </c:pt>
                      <c:pt idx="18">
                        <c:v>536</c:v>
                      </c:pt>
                      <c:pt idx="19">
                        <c:v>619</c:v>
                      </c:pt>
                      <c:pt idx="20">
                        <c:v>611</c:v>
                      </c:pt>
                      <c:pt idx="21">
                        <c:v>684</c:v>
                      </c:pt>
                      <c:pt idx="22">
                        <c:v>721</c:v>
                      </c:pt>
                      <c:pt idx="23">
                        <c:v>903</c:v>
                      </c:pt>
                      <c:pt idx="24">
                        <c:v>1157</c:v>
                      </c:pt>
                      <c:pt idx="25">
                        <c:v>1112</c:v>
                      </c:pt>
                      <c:pt idx="26">
                        <c:v>1391</c:v>
                      </c:pt>
                      <c:pt idx="27">
                        <c:v>1532</c:v>
                      </c:pt>
                      <c:pt idx="28">
                        <c:v>1541.5</c:v>
                      </c:pt>
                      <c:pt idx="29">
                        <c:v>1551</c:v>
                      </c:pt>
                      <c:pt idx="30">
                        <c:v>1371</c:v>
                      </c:pt>
                      <c:pt idx="31">
                        <c:v>1483</c:v>
                      </c:pt>
                      <c:pt idx="32">
                        <c:v>1483</c:v>
                      </c:pt>
                      <c:pt idx="33">
                        <c:v>1483</c:v>
                      </c:pt>
                      <c:pt idx="34">
                        <c:v>1508</c:v>
                      </c:pt>
                      <c:pt idx="35">
                        <c:v>1112</c:v>
                      </c:pt>
                      <c:pt idx="36">
                        <c:v>1670</c:v>
                      </c:pt>
                      <c:pt idx="37">
                        <c:v>1244</c:v>
                      </c:pt>
                      <c:pt idx="38">
                        <c:v>1508</c:v>
                      </c:pt>
                      <c:pt idx="39">
                        <c:v>1345</c:v>
                      </c:pt>
                      <c:pt idx="40">
                        <c:v>1092</c:v>
                      </c:pt>
                      <c:pt idx="41">
                        <c:v>1109</c:v>
                      </c:pt>
                      <c:pt idx="42">
                        <c:v>891</c:v>
                      </c:pt>
                      <c:pt idx="43">
                        <c:v>1140</c:v>
                      </c:pt>
                      <c:pt idx="44">
                        <c:v>997</c:v>
                      </c:pt>
                      <c:pt idx="45">
                        <c:v>1311</c:v>
                      </c:pt>
                      <c:pt idx="46">
                        <c:v>1203</c:v>
                      </c:pt>
                      <c:pt idx="47">
                        <c:v>960</c:v>
                      </c:pt>
                      <c:pt idx="48">
                        <c:v>992</c:v>
                      </c:pt>
                      <c:pt idx="49">
                        <c:v>732</c:v>
                      </c:pt>
                      <c:pt idx="50">
                        <c:v>978</c:v>
                      </c:pt>
                      <c:pt idx="51">
                        <c:v>817</c:v>
                      </c:pt>
                      <c:pt idx="52">
                        <c:v>838</c:v>
                      </c:pt>
                      <c:pt idx="53">
                        <c:v>887</c:v>
                      </c:pt>
                      <c:pt idx="54">
                        <c:v>692</c:v>
                      </c:pt>
                      <c:pt idx="55">
                        <c:v>892</c:v>
                      </c:pt>
                      <c:pt idx="56">
                        <c:v>731</c:v>
                      </c:pt>
                      <c:pt idx="57">
                        <c:v>750</c:v>
                      </c:pt>
                      <c:pt idx="58">
                        <c:v>871</c:v>
                      </c:pt>
                      <c:pt idx="59">
                        <c:v>710</c:v>
                      </c:pt>
                      <c:pt idx="60">
                        <c:v>499</c:v>
                      </c:pt>
                      <c:pt idx="61">
                        <c:v>499</c:v>
                      </c:pt>
                      <c:pt idx="62">
                        <c:v>547</c:v>
                      </c:pt>
                      <c:pt idx="63">
                        <c:v>895</c:v>
                      </c:pt>
                      <c:pt idx="64">
                        <c:v>771</c:v>
                      </c:pt>
                      <c:pt idx="65">
                        <c:v>1058</c:v>
                      </c:pt>
                      <c:pt idx="66">
                        <c:v>888</c:v>
                      </c:pt>
                      <c:pt idx="67">
                        <c:v>976</c:v>
                      </c:pt>
                      <c:pt idx="68">
                        <c:v>831</c:v>
                      </c:pt>
                      <c:pt idx="69">
                        <c:v>1039</c:v>
                      </c:pt>
                      <c:pt idx="70">
                        <c:v>1026</c:v>
                      </c:pt>
                      <c:pt idx="71">
                        <c:v>1042</c:v>
                      </c:pt>
                      <c:pt idx="72">
                        <c:v>750</c:v>
                      </c:pt>
                      <c:pt idx="73">
                        <c:v>510</c:v>
                      </c:pt>
                      <c:pt idx="74">
                        <c:v>450</c:v>
                      </c:pt>
                      <c:pt idx="75">
                        <c:v>871</c:v>
                      </c:pt>
                      <c:pt idx="76">
                        <c:v>931</c:v>
                      </c:pt>
                      <c:pt idx="77">
                        <c:v>942</c:v>
                      </c:pt>
                      <c:pt idx="78">
                        <c:v>982</c:v>
                      </c:pt>
                      <c:pt idx="79">
                        <c:v>1290</c:v>
                      </c:pt>
                      <c:pt idx="80">
                        <c:v>1267</c:v>
                      </c:pt>
                      <c:pt idx="81">
                        <c:v>1309</c:v>
                      </c:pt>
                      <c:pt idx="82">
                        <c:v>1575</c:v>
                      </c:pt>
                      <c:pt idx="83">
                        <c:v>1856</c:v>
                      </c:pt>
                      <c:pt idx="84">
                        <c:v>893</c:v>
                      </c:pt>
                      <c:pt idx="85">
                        <c:v>801</c:v>
                      </c:pt>
                      <c:pt idx="86">
                        <c:v>871</c:v>
                      </c:pt>
                      <c:pt idx="87">
                        <c:v>1883</c:v>
                      </c:pt>
                      <c:pt idx="88">
                        <c:v>2034</c:v>
                      </c:pt>
                      <c:pt idx="89">
                        <c:v>2126</c:v>
                      </c:pt>
                      <c:pt idx="90">
                        <c:v>2458</c:v>
                      </c:pt>
                      <c:pt idx="91">
                        <c:v>2398</c:v>
                      </c:pt>
                      <c:pt idx="92">
                        <c:v>2644</c:v>
                      </c:pt>
                      <c:pt idx="93">
                        <c:v>3590</c:v>
                      </c:pt>
                      <c:pt idx="94">
                        <c:v>3991</c:v>
                      </c:pt>
                      <c:pt idx="95">
                        <c:v>4790</c:v>
                      </c:pt>
                      <c:pt idx="96">
                        <c:v>3360</c:v>
                      </c:pt>
                      <c:pt idx="97">
                        <c:v>3179</c:v>
                      </c:pt>
                      <c:pt idx="98">
                        <c:v>4515</c:v>
                      </c:pt>
                      <c:pt idx="99">
                        <c:v>4321</c:v>
                      </c:pt>
                      <c:pt idx="100">
                        <c:v>4182</c:v>
                      </c:pt>
                      <c:pt idx="101">
                        <c:v>4631</c:v>
                      </c:pt>
                      <c:pt idx="102">
                        <c:v>4067</c:v>
                      </c:pt>
                      <c:pt idx="103">
                        <c:v>3726</c:v>
                      </c:pt>
                      <c:pt idx="104">
                        <c:v>5741</c:v>
                      </c:pt>
                      <c:pt idx="105">
                        <c:v>5804</c:v>
                      </c:pt>
                      <c:pt idx="106">
                        <c:v>9307</c:v>
                      </c:pt>
                      <c:pt idx="107">
                        <c:v>5009</c:v>
                      </c:pt>
                      <c:pt idx="108">
                        <c:v>1225</c:v>
                      </c:pt>
                      <c:pt idx="109">
                        <c:v>2019</c:v>
                      </c:pt>
                      <c:pt idx="110">
                        <c:v>907</c:v>
                      </c:pt>
                      <c:pt idx="111">
                        <c:v>278</c:v>
                      </c:pt>
                      <c:pt idx="112">
                        <c:v>325</c:v>
                      </c:pt>
                      <c:pt idx="113">
                        <c:v>306</c:v>
                      </c:pt>
                      <c:pt idx="114">
                        <c:v>246</c:v>
                      </c:pt>
                      <c:pt idx="115">
                        <c:v>246</c:v>
                      </c:pt>
                      <c:pt idx="116" formatCode="General">
                        <c:v>765</c:v>
                      </c:pt>
                      <c:pt idx="117">
                        <c:v>506</c:v>
                      </c:pt>
                      <c:pt idx="118">
                        <c:v>429</c:v>
                      </c:pt>
                      <c:pt idx="119">
                        <c:v>379</c:v>
                      </c:pt>
                      <c:pt idx="120">
                        <c:v>338</c:v>
                      </c:pt>
                      <c:pt idx="121">
                        <c:v>315</c:v>
                      </c:pt>
                      <c:pt idx="122">
                        <c:v>296</c:v>
                      </c:pt>
                      <c:pt idx="123">
                        <c:v>264</c:v>
                      </c:pt>
                      <c:pt idx="124">
                        <c:v>350</c:v>
                      </c:pt>
                      <c:pt idx="125">
                        <c:v>296</c:v>
                      </c:pt>
                      <c:pt idx="126">
                        <c:v>339</c:v>
                      </c:pt>
                      <c:pt idx="127">
                        <c:v>273</c:v>
                      </c:pt>
                      <c:pt idx="128">
                        <c:v>322</c:v>
                      </c:pt>
                      <c:pt idx="129">
                        <c:v>328</c:v>
                      </c:pt>
                      <c:pt idx="130">
                        <c:v>362</c:v>
                      </c:pt>
                      <c:pt idx="131">
                        <c:v>330</c:v>
                      </c:pt>
                      <c:pt idx="132">
                        <c:v>267</c:v>
                      </c:pt>
                      <c:pt idx="133">
                        <c:v>279</c:v>
                      </c:pt>
                      <c:pt idx="134">
                        <c:v>283</c:v>
                      </c:pt>
                      <c:pt idx="135">
                        <c:v>288</c:v>
                      </c:pt>
                      <c:pt idx="136">
                        <c:v>317</c:v>
                      </c:pt>
                      <c:pt idx="137">
                        <c:v>290</c:v>
                      </c:pt>
                      <c:pt idx="138">
                        <c:v>325</c:v>
                      </c:pt>
                      <c:pt idx="139">
                        <c:v>300</c:v>
                      </c:pt>
                      <c:pt idx="140">
                        <c:v>287</c:v>
                      </c:pt>
                      <c:pt idx="141">
                        <c:v>320</c:v>
                      </c:pt>
                      <c:pt idx="142">
                        <c:v>345</c:v>
                      </c:pt>
                      <c:pt idx="143">
                        <c:v>273</c:v>
                      </c:pt>
                      <c:pt idx="144" formatCode="_(* #,##0_);_(* \(#,##0\);_(* &quot;-&quot;??_);_(@_)">
                        <c:v>305</c:v>
                      </c:pt>
                      <c:pt idx="145">
                        <c:v>219</c:v>
                      </c:pt>
                      <c:pt idx="146">
                        <c:v>261</c:v>
                      </c:pt>
                      <c:pt idx="147">
                        <c:v>226</c:v>
                      </c:pt>
                      <c:pt idx="148" formatCode="_(* #,##0_);_(* \(#,##0\);_(* &quot;-&quot;??_);_(@_)">
                        <c:v>800</c:v>
                      </c:pt>
                      <c:pt idx="149" formatCode="_(* #,##0_);_(* \(#,##0\);_(* &quot;-&quot;??_);_(@_)">
                        <c:v>686</c:v>
                      </c:pt>
                      <c:pt idx="150" formatCode="_(* #,##0_);_(* \(#,##0\);_(* &quot;-&quot;??_);_(@_)">
                        <c:v>764</c:v>
                      </c:pt>
                      <c:pt idx="151" formatCode="_(* #,##0_);_(* \(#,##0\);_(* &quot;-&quot;??_);_(@_)">
                        <c:v>1134</c:v>
                      </c:pt>
                      <c:pt idx="152" formatCode="_(* #,##0_);_(* \(#,##0\);_(* &quot;-&quot;??_);_(@_)">
                        <c:v>1157</c:v>
                      </c:pt>
                      <c:pt idx="153" formatCode="_(* #,##0_);_(* \(#,##0\);_(* &quot;-&quot;??_);_(@_)">
                        <c:v>725</c:v>
                      </c:pt>
                      <c:pt idx="154" formatCode="_(* #,##0_);_(* \(#,##0\);_(* &quot;-&quot;??_);_(@_)">
                        <c:v>701</c:v>
                      </c:pt>
                      <c:pt idx="155" formatCode="_(* #,##0_);_(* \(#,##0\);_(* &quot;-&quot;??_);_(@_)">
                        <c:v>596</c:v>
                      </c:pt>
                      <c:pt idx="156">
                        <c:v>1012</c:v>
                      </c:pt>
                      <c:pt idx="157">
                        <c:v>617</c:v>
                      </c:pt>
                      <c:pt idx="158">
                        <c:v>416</c:v>
                      </c:pt>
                      <c:pt idx="159">
                        <c:v>2</c:v>
                      </c:pt>
                      <c:pt idx="160">
                        <c:v>97</c:v>
                      </c:pt>
                      <c:pt idx="161">
                        <c:v>140</c:v>
                      </c:pt>
                      <c:pt idx="162">
                        <c:v>9</c:v>
                      </c:pt>
                      <c:pt idx="163">
                        <c:v>130</c:v>
                      </c:pt>
                      <c:pt idx="164">
                        <c:v>66</c:v>
                      </c:pt>
                      <c:pt idx="165">
                        <c:v>16</c:v>
                      </c:pt>
                      <c:pt idx="166">
                        <c:v>126</c:v>
                      </c:pt>
                      <c:pt idx="167">
                        <c:v>371</c:v>
                      </c:pt>
                      <c:pt idx="168">
                        <c:v>452</c:v>
                      </c:pt>
                      <c:pt idx="169">
                        <c:v>133</c:v>
                      </c:pt>
                      <c:pt idx="170">
                        <c:v>87</c:v>
                      </c:pt>
                      <c:pt idx="171">
                        <c:v>231</c:v>
                      </c:pt>
                      <c:pt idx="172">
                        <c:v>86</c:v>
                      </c:pt>
                    </c:numCache>
                  </c:numRef>
                </c:val>
                <c:smooth val="0"/>
                <c:extLst xmlns:c15="http://schemas.microsoft.com/office/drawing/2012/chart">
                  <c:ext xmlns:c16="http://schemas.microsoft.com/office/drawing/2014/chart" uri="{C3380CC4-5D6E-409C-BE32-E72D297353CC}">
                    <c16:uniqueId val="{00000016-8ED6-4044-8E62-D67E03BE4939}"/>
                  </c:ext>
                </c:extLst>
              </c15:ser>
            </c15:filteredLineSeries>
            <c15:filteredLineSeries>
              <c15:ser>
                <c:idx val="23"/>
                <c:order val="23"/>
                <c:tx>
                  <c:strRef>
                    <c:extLst xmlns:c15="http://schemas.microsoft.com/office/drawing/2012/chart">
                      <c:ext xmlns:c15="http://schemas.microsoft.com/office/drawing/2012/chart" uri="{02D57815-91ED-43cb-92C2-25804820EDAC}">
                        <c15:formulaRef>
                          <c15:sqref>'Tendencias nacionalidad'!$C$77</c15:sqref>
                        </c15:formulaRef>
                      </c:ext>
                    </c:extLst>
                    <c:strCache>
                      <c:ptCount val="1"/>
                      <c:pt idx="0">
                        <c:v>Bolivia</c:v>
                      </c:pt>
                    </c:strCache>
                  </c:strRef>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nacionalidad'!$D$77:$GA$77</c15:sqref>
                        </c15:fullRef>
                        <c15:formulaRef>
                          <c15:sqref>'Tendencias nacionalidad'!$D$77:$FT$77</c15:sqref>
                        </c15:formulaRef>
                      </c:ext>
                    </c:extLst>
                    <c:numCache>
                      <c:formatCode>#,##0</c:formatCode>
                      <c:ptCount val="173"/>
                      <c:pt idx="0">
                        <c:v>119</c:v>
                      </c:pt>
                      <c:pt idx="1">
                        <c:v>130</c:v>
                      </c:pt>
                      <c:pt idx="2">
                        <c:v>176</c:v>
                      </c:pt>
                      <c:pt idx="3">
                        <c:v>124</c:v>
                      </c:pt>
                      <c:pt idx="4">
                        <c:v>123</c:v>
                      </c:pt>
                      <c:pt idx="5">
                        <c:v>173</c:v>
                      </c:pt>
                      <c:pt idx="6">
                        <c:v>251</c:v>
                      </c:pt>
                      <c:pt idx="7">
                        <c:v>216</c:v>
                      </c:pt>
                      <c:pt idx="8">
                        <c:v>321</c:v>
                      </c:pt>
                      <c:pt idx="9">
                        <c:v>214</c:v>
                      </c:pt>
                      <c:pt idx="10">
                        <c:v>244</c:v>
                      </c:pt>
                      <c:pt idx="11">
                        <c:v>126</c:v>
                      </c:pt>
                      <c:pt idx="12">
                        <c:v>134</c:v>
                      </c:pt>
                      <c:pt idx="13">
                        <c:v>307</c:v>
                      </c:pt>
                      <c:pt idx="14">
                        <c:v>218</c:v>
                      </c:pt>
                      <c:pt idx="15">
                        <c:v>255</c:v>
                      </c:pt>
                      <c:pt idx="16">
                        <c:v>201</c:v>
                      </c:pt>
                      <c:pt idx="17">
                        <c:v>215</c:v>
                      </c:pt>
                      <c:pt idx="18">
                        <c:v>187</c:v>
                      </c:pt>
                      <c:pt idx="19">
                        <c:v>228</c:v>
                      </c:pt>
                      <c:pt idx="20">
                        <c:v>253</c:v>
                      </c:pt>
                      <c:pt idx="21">
                        <c:v>230</c:v>
                      </c:pt>
                      <c:pt idx="22">
                        <c:v>279</c:v>
                      </c:pt>
                      <c:pt idx="23">
                        <c:v>228</c:v>
                      </c:pt>
                      <c:pt idx="24">
                        <c:v>182</c:v>
                      </c:pt>
                      <c:pt idx="25">
                        <c:v>186</c:v>
                      </c:pt>
                      <c:pt idx="26">
                        <c:v>274</c:v>
                      </c:pt>
                      <c:pt idx="27">
                        <c:v>222</c:v>
                      </c:pt>
                      <c:pt idx="28">
                        <c:v>220.5</c:v>
                      </c:pt>
                      <c:pt idx="29">
                        <c:v>219</c:v>
                      </c:pt>
                      <c:pt idx="30">
                        <c:v>220</c:v>
                      </c:pt>
                      <c:pt idx="31">
                        <c:v>205</c:v>
                      </c:pt>
                      <c:pt idx="32">
                        <c:v>241</c:v>
                      </c:pt>
                      <c:pt idx="33">
                        <c:v>178</c:v>
                      </c:pt>
                      <c:pt idx="34">
                        <c:v>253</c:v>
                      </c:pt>
                      <c:pt idx="35">
                        <c:v>160</c:v>
                      </c:pt>
                      <c:pt idx="36">
                        <c:v>173</c:v>
                      </c:pt>
                      <c:pt idx="37">
                        <c:v>480</c:v>
                      </c:pt>
                      <c:pt idx="38">
                        <c:v>219</c:v>
                      </c:pt>
                      <c:pt idx="39">
                        <c:v>183</c:v>
                      </c:pt>
                      <c:pt idx="40">
                        <c:v>203</c:v>
                      </c:pt>
                      <c:pt idx="41">
                        <c:v>202</c:v>
                      </c:pt>
                      <c:pt idx="42">
                        <c:v>126</c:v>
                      </c:pt>
                      <c:pt idx="43">
                        <c:v>185</c:v>
                      </c:pt>
                      <c:pt idx="44">
                        <c:v>172</c:v>
                      </c:pt>
                      <c:pt idx="45">
                        <c:v>151</c:v>
                      </c:pt>
                      <c:pt idx="46">
                        <c:v>223</c:v>
                      </c:pt>
                      <c:pt idx="47">
                        <c:v>172</c:v>
                      </c:pt>
                      <c:pt idx="48">
                        <c:v>173</c:v>
                      </c:pt>
                      <c:pt idx="49">
                        <c:v>187</c:v>
                      </c:pt>
                      <c:pt idx="50">
                        <c:v>216</c:v>
                      </c:pt>
                      <c:pt idx="51">
                        <c:v>138</c:v>
                      </c:pt>
                      <c:pt idx="52">
                        <c:v>194</c:v>
                      </c:pt>
                      <c:pt idx="53">
                        <c:v>192</c:v>
                      </c:pt>
                      <c:pt idx="54">
                        <c:v>186</c:v>
                      </c:pt>
                      <c:pt idx="55">
                        <c:v>182</c:v>
                      </c:pt>
                      <c:pt idx="56">
                        <c:v>218</c:v>
                      </c:pt>
                      <c:pt idx="57">
                        <c:v>222</c:v>
                      </c:pt>
                      <c:pt idx="58">
                        <c:v>219</c:v>
                      </c:pt>
                      <c:pt idx="59">
                        <c:v>161</c:v>
                      </c:pt>
                      <c:pt idx="60">
                        <c:v>2</c:v>
                      </c:pt>
                      <c:pt idx="61">
                        <c:v>148</c:v>
                      </c:pt>
                      <c:pt idx="62">
                        <c:v>155</c:v>
                      </c:pt>
                      <c:pt idx="63">
                        <c:v>190</c:v>
                      </c:pt>
                      <c:pt idx="64">
                        <c:v>221</c:v>
                      </c:pt>
                      <c:pt idx="65">
                        <c:v>224</c:v>
                      </c:pt>
                      <c:pt idx="66">
                        <c:v>248</c:v>
                      </c:pt>
                      <c:pt idx="67">
                        <c:v>205</c:v>
                      </c:pt>
                      <c:pt idx="68">
                        <c:v>314</c:v>
                      </c:pt>
                      <c:pt idx="69">
                        <c:v>260</c:v>
                      </c:pt>
                      <c:pt idx="70">
                        <c:v>276</c:v>
                      </c:pt>
                      <c:pt idx="71">
                        <c:v>182</c:v>
                      </c:pt>
                      <c:pt idx="72">
                        <c:v>201</c:v>
                      </c:pt>
                      <c:pt idx="73">
                        <c:v>185</c:v>
                      </c:pt>
                      <c:pt idx="74">
                        <c:v>224</c:v>
                      </c:pt>
                      <c:pt idx="75">
                        <c:v>156</c:v>
                      </c:pt>
                      <c:pt idx="76">
                        <c:v>251</c:v>
                      </c:pt>
                      <c:pt idx="77">
                        <c:v>282</c:v>
                      </c:pt>
                      <c:pt idx="78">
                        <c:v>325</c:v>
                      </c:pt>
                      <c:pt idx="79">
                        <c:v>208</c:v>
                      </c:pt>
                      <c:pt idx="80">
                        <c:v>236</c:v>
                      </c:pt>
                      <c:pt idx="81">
                        <c:v>227</c:v>
                      </c:pt>
                      <c:pt idx="82">
                        <c:v>327</c:v>
                      </c:pt>
                      <c:pt idx="83">
                        <c:v>247</c:v>
                      </c:pt>
                      <c:pt idx="84">
                        <c:v>171</c:v>
                      </c:pt>
                      <c:pt idx="85">
                        <c:v>189</c:v>
                      </c:pt>
                      <c:pt idx="86">
                        <c:v>203</c:v>
                      </c:pt>
                      <c:pt idx="87">
                        <c:v>239</c:v>
                      </c:pt>
                      <c:pt idx="88">
                        <c:v>239</c:v>
                      </c:pt>
                      <c:pt idx="89">
                        <c:v>247</c:v>
                      </c:pt>
                      <c:pt idx="90">
                        <c:v>214</c:v>
                      </c:pt>
                      <c:pt idx="91">
                        <c:v>268</c:v>
                      </c:pt>
                      <c:pt idx="92">
                        <c:v>318</c:v>
                      </c:pt>
                      <c:pt idx="93">
                        <c:v>325</c:v>
                      </c:pt>
                      <c:pt idx="94">
                        <c:v>275</c:v>
                      </c:pt>
                      <c:pt idx="95">
                        <c:v>267</c:v>
                      </c:pt>
                      <c:pt idx="96">
                        <c:v>193</c:v>
                      </c:pt>
                      <c:pt idx="97">
                        <c:v>216</c:v>
                      </c:pt>
                      <c:pt idx="98">
                        <c:v>209</c:v>
                      </c:pt>
                      <c:pt idx="99">
                        <c:v>223</c:v>
                      </c:pt>
                      <c:pt idx="100">
                        <c:v>231</c:v>
                      </c:pt>
                      <c:pt idx="101">
                        <c:v>215</c:v>
                      </c:pt>
                      <c:pt idx="102">
                        <c:v>241</c:v>
                      </c:pt>
                      <c:pt idx="103">
                        <c:v>229</c:v>
                      </c:pt>
                      <c:pt idx="104">
                        <c:v>220</c:v>
                      </c:pt>
                      <c:pt idx="105">
                        <c:v>313</c:v>
                      </c:pt>
                      <c:pt idx="106">
                        <c:v>259</c:v>
                      </c:pt>
                      <c:pt idx="107">
                        <c:v>272</c:v>
                      </c:pt>
                      <c:pt idx="108">
                        <c:v>208</c:v>
                      </c:pt>
                      <c:pt idx="109">
                        <c:v>198</c:v>
                      </c:pt>
                      <c:pt idx="110">
                        <c:v>189</c:v>
                      </c:pt>
                      <c:pt idx="111">
                        <c:v>151</c:v>
                      </c:pt>
                      <c:pt idx="112">
                        <c:v>162</c:v>
                      </c:pt>
                      <c:pt idx="113">
                        <c:v>234</c:v>
                      </c:pt>
                      <c:pt idx="114">
                        <c:v>292</c:v>
                      </c:pt>
                      <c:pt idx="115">
                        <c:v>183</c:v>
                      </c:pt>
                      <c:pt idx="116" formatCode="General">
                        <c:v>214</c:v>
                      </c:pt>
                      <c:pt idx="117">
                        <c:v>300</c:v>
                      </c:pt>
                      <c:pt idx="118">
                        <c:v>242</c:v>
                      </c:pt>
                      <c:pt idx="119">
                        <c:v>325</c:v>
                      </c:pt>
                      <c:pt idx="120">
                        <c:v>284</c:v>
                      </c:pt>
                      <c:pt idx="121">
                        <c:v>170</c:v>
                      </c:pt>
                      <c:pt idx="122">
                        <c:v>251</c:v>
                      </c:pt>
                      <c:pt idx="123">
                        <c:v>239</c:v>
                      </c:pt>
                      <c:pt idx="124">
                        <c:v>317</c:v>
                      </c:pt>
                      <c:pt idx="125">
                        <c:v>264</c:v>
                      </c:pt>
                      <c:pt idx="126">
                        <c:v>306</c:v>
                      </c:pt>
                      <c:pt idx="127">
                        <c:v>225</c:v>
                      </c:pt>
                      <c:pt idx="128">
                        <c:v>258</c:v>
                      </c:pt>
                      <c:pt idx="129">
                        <c:v>212</c:v>
                      </c:pt>
                      <c:pt idx="130">
                        <c:v>352</c:v>
                      </c:pt>
                      <c:pt idx="131">
                        <c:v>284</c:v>
                      </c:pt>
                      <c:pt idx="132">
                        <c:v>267</c:v>
                      </c:pt>
                      <c:pt idx="133">
                        <c:v>231</c:v>
                      </c:pt>
                      <c:pt idx="134">
                        <c:v>204</c:v>
                      </c:pt>
                      <c:pt idx="135">
                        <c:v>179</c:v>
                      </c:pt>
                      <c:pt idx="136">
                        <c:v>219</c:v>
                      </c:pt>
                      <c:pt idx="137">
                        <c:v>249</c:v>
                      </c:pt>
                      <c:pt idx="138">
                        <c:v>318</c:v>
                      </c:pt>
                      <c:pt idx="139">
                        <c:v>205</c:v>
                      </c:pt>
                      <c:pt idx="140">
                        <c:v>217</c:v>
                      </c:pt>
                      <c:pt idx="141">
                        <c:v>284</c:v>
                      </c:pt>
                      <c:pt idx="142">
                        <c:v>356</c:v>
                      </c:pt>
                      <c:pt idx="143">
                        <c:v>311</c:v>
                      </c:pt>
                      <c:pt idx="144" formatCode="_(* #,##0_);_(* \(#,##0\);_(* &quot;-&quot;??_);_(@_)">
                        <c:v>204</c:v>
                      </c:pt>
                      <c:pt idx="145">
                        <c:v>244</c:v>
                      </c:pt>
                      <c:pt idx="146">
                        <c:v>216</c:v>
                      </c:pt>
                      <c:pt idx="147">
                        <c:v>192</c:v>
                      </c:pt>
                      <c:pt idx="148" formatCode="_(* #,##0_);_(* \(#,##0\);_(* &quot;-&quot;??_);_(@_)">
                        <c:v>266</c:v>
                      </c:pt>
                      <c:pt idx="149" formatCode="_(* #,##0_);_(* \(#,##0\);_(* &quot;-&quot;??_);_(@_)">
                        <c:v>294</c:v>
                      </c:pt>
                      <c:pt idx="150" formatCode="_(* #,##0_);_(* \(#,##0\);_(* &quot;-&quot;??_);_(@_)">
                        <c:v>299</c:v>
                      </c:pt>
                      <c:pt idx="151" formatCode="_(* #,##0_);_(* \(#,##0\);_(* &quot;-&quot;??_);_(@_)">
                        <c:v>233</c:v>
                      </c:pt>
                      <c:pt idx="152" formatCode="_(* #,##0_);_(* \(#,##0\);_(* &quot;-&quot;??_);_(@_)">
                        <c:v>299</c:v>
                      </c:pt>
                      <c:pt idx="153" formatCode="_(* #,##0_);_(* \(#,##0\);_(* &quot;-&quot;??_);_(@_)">
                        <c:v>341</c:v>
                      </c:pt>
                      <c:pt idx="154" formatCode="_(* #,##0_);_(* \(#,##0\);_(* &quot;-&quot;??_);_(@_)">
                        <c:v>245</c:v>
                      </c:pt>
                      <c:pt idx="155" formatCode="_(* #,##0_);_(* \(#,##0\);_(* &quot;-&quot;??_);_(@_)">
                        <c:v>285</c:v>
                      </c:pt>
                      <c:pt idx="156">
                        <c:v>254</c:v>
                      </c:pt>
                      <c:pt idx="157">
                        <c:v>289</c:v>
                      </c:pt>
                      <c:pt idx="158">
                        <c:v>92</c:v>
                      </c:pt>
                      <c:pt idx="159">
                        <c:v>1</c:v>
                      </c:pt>
                      <c:pt idx="161">
                        <c:v>3</c:v>
                      </c:pt>
                      <c:pt idx="162">
                        <c:v>6</c:v>
                      </c:pt>
                      <c:pt idx="163">
                        <c:v>5</c:v>
                      </c:pt>
                      <c:pt idx="164">
                        <c:v>6</c:v>
                      </c:pt>
                      <c:pt idx="165">
                        <c:v>23</c:v>
                      </c:pt>
                      <c:pt idx="166">
                        <c:v>41</c:v>
                      </c:pt>
                      <c:pt idx="167">
                        <c:v>96</c:v>
                      </c:pt>
                      <c:pt idx="168">
                        <c:v>56</c:v>
                      </c:pt>
                      <c:pt idx="169">
                        <c:v>82</c:v>
                      </c:pt>
                      <c:pt idx="170">
                        <c:v>79</c:v>
                      </c:pt>
                      <c:pt idx="171">
                        <c:v>49</c:v>
                      </c:pt>
                      <c:pt idx="172">
                        <c:v>66</c:v>
                      </c:pt>
                    </c:numCache>
                  </c:numRef>
                </c:val>
                <c:smooth val="0"/>
                <c:extLst xmlns:c15="http://schemas.microsoft.com/office/drawing/2012/chart">
                  <c:ext xmlns:c16="http://schemas.microsoft.com/office/drawing/2014/chart" uri="{C3380CC4-5D6E-409C-BE32-E72D297353CC}">
                    <c16:uniqueId val="{00000017-8ED6-4044-8E62-D67E03BE4939}"/>
                  </c:ext>
                </c:extLst>
              </c15:ser>
            </c15:filteredLineSeries>
            <c15:filteredLineSeries>
              <c15:ser>
                <c:idx val="24"/>
                <c:order val="24"/>
                <c:tx>
                  <c:strRef>
                    <c:extLst xmlns:c15="http://schemas.microsoft.com/office/drawing/2012/chart">
                      <c:ext xmlns:c15="http://schemas.microsoft.com/office/drawing/2012/chart" uri="{02D57815-91ED-43cb-92C2-25804820EDAC}">
                        <c15:formulaRef>
                          <c15:sqref>'Tendencias nacionalidad'!$C$78</c15:sqref>
                        </c15:formulaRef>
                      </c:ext>
                    </c:extLst>
                    <c:strCache>
                      <c:ptCount val="1"/>
                      <c:pt idx="0">
                        <c:v>Dinamarca</c:v>
                      </c:pt>
                    </c:strCache>
                  </c:strRef>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nacionalidad'!$D$78:$GA$78</c15:sqref>
                        </c15:fullRef>
                        <c15:formulaRef>
                          <c15:sqref>'Tendencias nacionalidad'!$D$78:$FT$78</c15:sqref>
                        </c15:formulaRef>
                      </c:ext>
                    </c:extLst>
                    <c:numCache>
                      <c:formatCode>#,##0</c:formatCode>
                      <c:ptCount val="173"/>
                      <c:pt idx="0">
                        <c:v>265</c:v>
                      </c:pt>
                      <c:pt idx="1">
                        <c:v>307</c:v>
                      </c:pt>
                      <c:pt idx="2">
                        <c:v>216</c:v>
                      </c:pt>
                      <c:pt idx="3">
                        <c:v>119</c:v>
                      </c:pt>
                      <c:pt idx="4">
                        <c:v>65</c:v>
                      </c:pt>
                      <c:pt idx="5">
                        <c:v>98</c:v>
                      </c:pt>
                      <c:pt idx="6">
                        <c:v>294</c:v>
                      </c:pt>
                      <c:pt idx="7">
                        <c:v>80</c:v>
                      </c:pt>
                      <c:pt idx="8">
                        <c:v>155</c:v>
                      </c:pt>
                      <c:pt idx="9">
                        <c:v>283</c:v>
                      </c:pt>
                      <c:pt idx="10">
                        <c:v>162</c:v>
                      </c:pt>
                      <c:pt idx="11">
                        <c:v>88</c:v>
                      </c:pt>
                      <c:pt idx="12">
                        <c:v>219</c:v>
                      </c:pt>
                      <c:pt idx="13">
                        <c:v>477</c:v>
                      </c:pt>
                      <c:pt idx="14">
                        <c:v>222</c:v>
                      </c:pt>
                      <c:pt idx="15">
                        <c:v>110</c:v>
                      </c:pt>
                      <c:pt idx="16">
                        <c:v>92</c:v>
                      </c:pt>
                      <c:pt idx="17">
                        <c:v>159</c:v>
                      </c:pt>
                      <c:pt idx="18">
                        <c:v>307</c:v>
                      </c:pt>
                      <c:pt idx="19">
                        <c:v>107</c:v>
                      </c:pt>
                      <c:pt idx="20">
                        <c:v>148</c:v>
                      </c:pt>
                      <c:pt idx="21">
                        <c:v>279</c:v>
                      </c:pt>
                      <c:pt idx="22">
                        <c:v>201</c:v>
                      </c:pt>
                      <c:pt idx="23">
                        <c:v>148</c:v>
                      </c:pt>
                      <c:pt idx="24">
                        <c:v>203</c:v>
                      </c:pt>
                      <c:pt idx="25">
                        <c:v>261</c:v>
                      </c:pt>
                      <c:pt idx="26">
                        <c:v>206</c:v>
                      </c:pt>
                      <c:pt idx="27">
                        <c:v>168</c:v>
                      </c:pt>
                      <c:pt idx="28">
                        <c:v>175.5</c:v>
                      </c:pt>
                      <c:pt idx="29">
                        <c:v>183</c:v>
                      </c:pt>
                      <c:pt idx="30">
                        <c:v>252</c:v>
                      </c:pt>
                      <c:pt idx="31">
                        <c:v>99</c:v>
                      </c:pt>
                      <c:pt idx="32">
                        <c:v>98</c:v>
                      </c:pt>
                      <c:pt idx="33">
                        <c:v>238</c:v>
                      </c:pt>
                      <c:pt idx="34">
                        <c:v>202</c:v>
                      </c:pt>
                      <c:pt idx="35">
                        <c:v>115</c:v>
                      </c:pt>
                      <c:pt idx="36">
                        <c:v>178</c:v>
                      </c:pt>
                      <c:pt idx="37">
                        <c:v>251</c:v>
                      </c:pt>
                      <c:pt idx="38">
                        <c:v>200</c:v>
                      </c:pt>
                      <c:pt idx="39">
                        <c:v>92</c:v>
                      </c:pt>
                      <c:pt idx="40">
                        <c:v>87</c:v>
                      </c:pt>
                      <c:pt idx="41">
                        <c:v>128</c:v>
                      </c:pt>
                      <c:pt idx="42">
                        <c:v>283</c:v>
                      </c:pt>
                      <c:pt idx="43">
                        <c:v>77</c:v>
                      </c:pt>
                      <c:pt idx="44">
                        <c:v>113</c:v>
                      </c:pt>
                      <c:pt idx="45">
                        <c:v>172</c:v>
                      </c:pt>
                      <c:pt idx="46">
                        <c:v>246</c:v>
                      </c:pt>
                      <c:pt idx="47">
                        <c:v>112</c:v>
                      </c:pt>
                      <c:pt idx="48">
                        <c:v>213</c:v>
                      </c:pt>
                      <c:pt idx="49">
                        <c:v>406</c:v>
                      </c:pt>
                      <c:pt idx="50">
                        <c:v>152</c:v>
                      </c:pt>
                      <c:pt idx="51">
                        <c:v>116</c:v>
                      </c:pt>
                      <c:pt idx="52">
                        <c:v>60</c:v>
                      </c:pt>
                      <c:pt idx="53">
                        <c:v>122</c:v>
                      </c:pt>
                      <c:pt idx="54">
                        <c:v>217</c:v>
                      </c:pt>
                      <c:pt idx="55">
                        <c:v>88</c:v>
                      </c:pt>
                      <c:pt idx="56">
                        <c:v>138</c:v>
                      </c:pt>
                      <c:pt idx="57">
                        <c:v>226</c:v>
                      </c:pt>
                      <c:pt idx="58">
                        <c:v>103</c:v>
                      </c:pt>
                      <c:pt idx="59">
                        <c:v>150</c:v>
                      </c:pt>
                      <c:pt idx="60">
                        <c:v>250</c:v>
                      </c:pt>
                      <c:pt idx="61">
                        <c:v>287</c:v>
                      </c:pt>
                      <c:pt idx="62">
                        <c:v>177</c:v>
                      </c:pt>
                      <c:pt idx="63">
                        <c:v>87</c:v>
                      </c:pt>
                      <c:pt idx="64">
                        <c:v>81</c:v>
                      </c:pt>
                      <c:pt idx="65">
                        <c:v>96</c:v>
                      </c:pt>
                      <c:pt idx="66">
                        <c:v>200</c:v>
                      </c:pt>
                      <c:pt idx="67">
                        <c:v>61</c:v>
                      </c:pt>
                      <c:pt idx="68">
                        <c:v>166</c:v>
                      </c:pt>
                      <c:pt idx="69">
                        <c:v>157</c:v>
                      </c:pt>
                      <c:pt idx="70">
                        <c:v>166</c:v>
                      </c:pt>
                      <c:pt idx="71">
                        <c:v>70</c:v>
                      </c:pt>
                      <c:pt idx="72">
                        <c:v>234</c:v>
                      </c:pt>
                      <c:pt idx="73">
                        <c:v>196</c:v>
                      </c:pt>
                      <c:pt idx="74">
                        <c:v>222</c:v>
                      </c:pt>
                      <c:pt idx="75">
                        <c:v>104</c:v>
                      </c:pt>
                      <c:pt idx="76">
                        <c:v>71</c:v>
                      </c:pt>
                      <c:pt idx="77">
                        <c:v>101</c:v>
                      </c:pt>
                      <c:pt idx="78">
                        <c:v>269</c:v>
                      </c:pt>
                      <c:pt idx="79">
                        <c:v>67</c:v>
                      </c:pt>
                      <c:pt idx="80">
                        <c:v>95</c:v>
                      </c:pt>
                      <c:pt idx="81">
                        <c:v>146</c:v>
                      </c:pt>
                      <c:pt idx="82">
                        <c:v>239</c:v>
                      </c:pt>
                      <c:pt idx="83">
                        <c:v>112</c:v>
                      </c:pt>
                      <c:pt idx="84">
                        <c:v>252</c:v>
                      </c:pt>
                      <c:pt idx="85">
                        <c:v>231</c:v>
                      </c:pt>
                      <c:pt idx="86">
                        <c:v>180</c:v>
                      </c:pt>
                      <c:pt idx="87">
                        <c:v>128</c:v>
                      </c:pt>
                      <c:pt idx="88">
                        <c:v>77</c:v>
                      </c:pt>
                      <c:pt idx="89">
                        <c:v>117</c:v>
                      </c:pt>
                      <c:pt idx="90">
                        <c:v>176</c:v>
                      </c:pt>
                      <c:pt idx="91">
                        <c:v>98</c:v>
                      </c:pt>
                      <c:pt idx="92">
                        <c:v>126</c:v>
                      </c:pt>
                      <c:pt idx="93">
                        <c:v>196</c:v>
                      </c:pt>
                      <c:pt idx="94">
                        <c:v>187</c:v>
                      </c:pt>
                      <c:pt idx="95">
                        <c:v>137</c:v>
                      </c:pt>
                      <c:pt idx="96">
                        <c:v>133</c:v>
                      </c:pt>
                      <c:pt idx="97">
                        <c:v>234</c:v>
                      </c:pt>
                      <c:pt idx="98">
                        <c:v>242</c:v>
                      </c:pt>
                      <c:pt idx="99">
                        <c:v>102</c:v>
                      </c:pt>
                      <c:pt idx="100">
                        <c:v>65</c:v>
                      </c:pt>
                      <c:pt idx="101">
                        <c:v>124</c:v>
                      </c:pt>
                      <c:pt idx="102">
                        <c:v>224</c:v>
                      </c:pt>
                      <c:pt idx="103">
                        <c:v>70</c:v>
                      </c:pt>
                      <c:pt idx="104">
                        <c:v>93</c:v>
                      </c:pt>
                      <c:pt idx="105">
                        <c:v>185</c:v>
                      </c:pt>
                      <c:pt idx="106">
                        <c:v>146</c:v>
                      </c:pt>
                      <c:pt idx="107">
                        <c:v>117</c:v>
                      </c:pt>
                      <c:pt idx="108">
                        <c:v>180</c:v>
                      </c:pt>
                      <c:pt idx="109">
                        <c:v>228</c:v>
                      </c:pt>
                      <c:pt idx="110">
                        <c:v>313</c:v>
                      </c:pt>
                      <c:pt idx="111">
                        <c:v>108</c:v>
                      </c:pt>
                      <c:pt idx="112">
                        <c:v>75</c:v>
                      </c:pt>
                      <c:pt idx="113">
                        <c:v>154</c:v>
                      </c:pt>
                      <c:pt idx="114">
                        <c:v>248</c:v>
                      </c:pt>
                      <c:pt idx="115">
                        <c:v>76</c:v>
                      </c:pt>
                      <c:pt idx="116" formatCode="General">
                        <c:v>99</c:v>
                      </c:pt>
                      <c:pt idx="117">
                        <c:v>209</c:v>
                      </c:pt>
                      <c:pt idx="118">
                        <c:v>114</c:v>
                      </c:pt>
                      <c:pt idx="119">
                        <c:v>97</c:v>
                      </c:pt>
                      <c:pt idx="120">
                        <c:v>165</c:v>
                      </c:pt>
                      <c:pt idx="121">
                        <c:v>265</c:v>
                      </c:pt>
                      <c:pt idx="122">
                        <c:v>226</c:v>
                      </c:pt>
                      <c:pt idx="123">
                        <c:v>167</c:v>
                      </c:pt>
                      <c:pt idx="124">
                        <c:v>67</c:v>
                      </c:pt>
                      <c:pt idx="125">
                        <c:v>147</c:v>
                      </c:pt>
                      <c:pt idx="126">
                        <c:v>267</c:v>
                      </c:pt>
                      <c:pt idx="127">
                        <c:v>116</c:v>
                      </c:pt>
                      <c:pt idx="128">
                        <c:v>166</c:v>
                      </c:pt>
                      <c:pt idx="129">
                        <c:v>230</c:v>
                      </c:pt>
                      <c:pt idx="130">
                        <c:v>154</c:v>
                      </c:pt>
                      <c:pt idx="131">
                        <c:v>150</c:v>
                      </c:pt>
                      <c:pt idx="132">
                        <c:v>202</c:v>
                      </c:pt>
                      <c:pt idx="133">
                        <c:v>365</c:v>
                      </c:pt>
                      <c:pt idx="134">
                        <c:v>309</c:v>
                      </c:pt>
                      <c:pt idx="135">
                        <c:v>194</c:v>
                      </c:pt>
                      <c:pt idx="136">
                        <c:v>79</c:v>
                      </c:pt>
                      <c:pt idx="137">
                        <c:v>144</c:v>
                      </c:pt>
                      <c:pt idx="138">
                        <c:v>268</c:v>
                      </c:pt>
                      <c:pt idx="139">
                        <c:v>88</c:v>
                      </c:pt>
                      <c:pt idx="140">
                        <c:v>172</c:v>
                      </c:pt>
                      <c:pt idx="141">
                        <c:v>309</c:v>
                      </c:pt>
                      <c:pt idx="142">
                        <c:v>189</c:v>
                      </c:pt>
                      <c:pt idx="143">
                        <c:v>154</c:v>
                      </c:pt>
                      <c:pt idx="144" formatCode="_(* #,##0_);_(* \(#,##0\);_(* &quot;-&quot;??_);_(@_)">
                        <c:v>229</c:v>
                      </c:pt>
                      <c:pt idx="145">
                        <c:v>408</c:v>
                      </c:pt>
                      <c:pt idx="146">
                        <c:v>247</c:v>
                      </c:pt>
                      <c:pt idx="147">
                        <c:v>255</c:v>
                      </c:pt>
                      <c:pt idx="148" formatCode="_(* #,##0_);_(* \(#,##0\);_(* &quot;-&quot;??_);_(@_)">
                        <c:v>103</c:v>
                      </c:pt>
                      <c:pt idx="149" formatCode="_(* #,##0_);_(* \(#,##0\);_(* &quot;-&quot;??_);_(@_)">
                        <c:v>140</c:v>
                      </c:pt>
                      <c:pt idx="150" formatCode="_(* #,##0_);_(* \(#,##0\);_(* &quot;-&quot;??_);_(@_)">
                        <c:v>343</c:v>
                      </c:pt>
                      <c:pt idx="151" formatCode="_(* #,##0_);_(* \(#,##0\);_(* &quot;-&quot;??_);_(@_)">
                        <c:v>141</c:v>
                      </c:pt>
                      <c:pt idx="152" formatCode="_(* #,##0_);_(* \(#,##0\);_(* &quot;-&quot;??_);_(@_)">
                        <c:v>242</c:v>
                      </c:pt>
                      <c:pt idx="153" formatCode="_(* #,##0_);_(* \(#,##0\);_(* &quot;-&quot;??_);_(@_)">
                        <c:v>175</c:v>
                      </c:pt>
                      <c:pt idx="154" formatCode="_(* #,##0_);_(* \(#,##0\);_(* &quot;-&quot;??_);_(@_)">
                        <c:v>177</c:v>
                      </c:pt>
                      <c:pt idx="155" formatCode="_(* #,##0_);_(* \(#,##0\);_(* &quot;-&quot;??_);_(@_)">
                        <c:v>150</c:v>
                      </c:pt>
                      <c:pt idx="156">
                        <c:v>283</c:v>
                      </c:pt>
                      <c:pt idx="157">
                        <c:v>504</c:v>
                      </c:pt>
                      <c:pt idx="158">
                        <c:v>137</c:v>
                      </c:pt>
                      <c:pt idx="159">
                        <c:v>2</c:v>
                      </c:pt>
                      <c:pt idx="160">
                        <c:v>2</c:v>
                      </c:pt>
                      <c:pt idx="161">
                        <c:v>4</c:v>
                      </c:pt>
                      <c:pt idx="162">
                        <c:v>7</c:v>
                      </c:pt>
                      <c:pt idx="163">
                        <c:v>2</c:v>
                      </c:pt>
                      <c:pt idx="164">
                        <c:v>11</c:v>
                      </c:pt>
                      <c:pt idx="165">
                        <c:v>16</c:v>
                      </c:pt>
                      <c:pt idx="166">
                        <c:v>7</c:v>
                      </c:pt>
                      <c:pt idx="167">
                        <c:v>15</c:v>
                      </c:pt>
                      <c:pt idx="168">
                        <c:v>12</c:v>
                      </c:pt>
                      <c:pt idx="169">
                        <c:v>7</c:v>
                      </c:pt>
                      <c:pt idx="170">
                        <c:v>9</c:v>
                      </c:pt>
                      <c:pt idx="171">
                        <c:v>4</c:v>
                      </c:pt>
                      <c:pt idx="172">
                        <c:v>13</c:v>
                      </c:pt>
                    </c:numCache>
                  </c:numRef>
                </c:val>
                <c:smooth val="0"/>
                <c:extLst xmlns:c15="http://schemas.microsoft.com/office/drawing/2012/chart">
                  <c:ext xmlns:c16="http://schemas.microsoft.com/office/drawing/2014/chart" uri="{C3380CC4-5D6E-409C-BE32-E72D297353CC}">
                    <c16:uniqueId val="{00000018-8ED6-4044-8E62-D67E03BE4939}"/>
                  </c:ext>
                </c:extLst>
              </c15:ser>
            </c15:filteredLineSeries>
            <c15:filteredLineSeries>
              <c15:ser>
                <c:idx val="25"/>
                <c:order val="25"/>
                <c:tx>
                  <c:strRef>
                    <c:extLst xmlns:c15="http://schemas.microsoft.com/office/drawing/2012/chart">
                      <c:ext xmlns:c15="http://schemas.microsoft.com/office/drawing/2012/chart" uri="{02D57815-91ED-43cb-92C2-25804820EDAC}">
                        <c15:formulaRef>
                          <c15:sqref>'Tendencias nacionalidad'!$C$79</c15:sqref>
                        </c15:formulaRef>
                      </c:ext>
                    </c:extLst>
                    <c:strCache>
                      <c:ptCount val="1"/>
                      <c:pt idx="0">
                        <c:v>Israel</c:v>
                      </c:pt>
                    </c:strCache>
                  </c:strRef>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nacionalidad'!$D$79:$GA$79</c15:sqref>
                        </c15:fullRef>
                        <c15:formulaRef>
                          <c15:sqref>'Tendencias nacionalidad'!$D$79:$FT$79</c15:sqref>
                        </c15:formulaRef>
                      </c:ext>
                    </c:extLst>
                    <c:numCache>
                      <c:formatCode>#,##0</c:formatCode>
                      <c:ptCount val="173"/>
                      <c:pt idx="0">
                        <c:v>78</c:v>
                      </c:pt>
                      <c:pt idx="1">
                        <c:v>103</c:v>
                      </c:pt>
                      <c:pt idx="2">
                        <c:v>184</c:v>
                      </c:pt>
                      <c:pt idx="3">
                        <c:v>112</c:v>
                      </c:pt>
                      <c:pt idx="4">
                        <c:v>114</c:v>
                      </c:pt>
                      <c:pt idx="5">
                        <c:v>148</c:v>
                      </c:pt>
                      <c:pt idx="6">
                        <c:v>197</c:v>
                      </c:pt>
                      <c:pt idx="7">
                        <c:v>193</c:v>
                      </c:pt>
                      <c:pt idx="8">
                        <c:v>181</c:v>
                      </c:pt>
                      <c:pt idx="9">
                        <c:v>180</c:v>
                      </c:pt>
                      <c:pt idx="10">
                        <c:v>90</c:v>
                      </c:pt>
                      <c:pt idx="11">
                        <c:v>80</c:v>
                      </c:pt>
                      <c:pt idx="12">
                        <c:v>155</c:v>
                      </c:pt>
                      <c:pt idx="13">
                        <c:v>173</c:v>
                      </c:pt>
                      <c:pt idx="14">
                        <c:v>175</c:v>
                      </c:pt>
                      <c:pt idx="15">
                        <c:v>248</c:v>
                      </c:pt>
                      <c:pt idx="16">
                        <c:v>167</c:v>
                      </c:pt>
                      <c:pt idx="17">
                        <c:v>202</c:v>
                      </c:pt>
                      <c:pt idx="18">
                        <c:v>236</c:v>
                      </c:pt>
                      <c:pt idx="19">
                        <c:v>262</c:v>
                      </c:pt>
                      <c:pt idx="20">
                        <c:v>246</c:v>
                      </c:pt>
                      <c:pt idx="21">
                        <c:v>170</c:v>
                      </c:pt>
                      <c:pt idx="22">
                        <c:v>145</c:v>
                      </c:pt>
                      <c:pt idx="23">
                        <c:v>145</c:v>
                      </c:pt>
                      <c:pt idx="24">
                        <c:v>130</c:v>
                      </c:pt>
                      <c:pt idx="25">
                        <c:v>123</c:v>
                      </c:pt>
                      <c:pt idx="26">
                        <c:v>218</c:v>
                      </c:pt>
                      <c:pt idx="27">
                        <c:v>241</c:v>
                      </c:pt>
                      <c:pt idx="28">
                        <c:v>241</c:v>
                      </c:pt>
                      <c:pt idx="29">
                        <c:v>241</c:v>
                      </c:pt>
                      <c:pt idx="30">
                        <c:v>289</c:v>
                      </c:pt>
                      <c:pt idx="31">
                        <c:v>236</c:v>
                      </c:pt>
                      <c:pt idx="32">
                        <c:v>213</c:v>
                      </c:pt>
                      <c:pt idx="33">
                        <c:v>154</c:v>
                      </c:pt>
                      <c:pt idx="34">
                        <c:v>149</c:v>
                      </c:pt>
                      <c:pt idx="35">
                        <c:v>91</c:v>
                      </c:pt>
                      <c:pt idx="36">
                        <c:v>175</c:v>
                      </c:pt>
                      <c:pt idx="37">
                        <c:v>112</c:v>
                      </c:pt>
                      <c:pt idx="38">
                        <c:v>279</c:v>
                      </c:pt>
                      <c:pt idx="39">
                        <c:v>168</c:v>
                      </c:pt>
                      <c:pt idx="40">
                        <c:v>152</c:v>
                      </c:pt>
                      <c:pt idx="41">
                        <c:v>226</c:v>
                      </c:pt>
                      <c:pt idx="42">
                        <c:v>249</c:v>
                      </c:pt>
                      <c:pt idx="43">
                        <c:v>261</c:v>
                      </c:pt>
                      <c:pt idx="44">
                        <c:v>217</c:v>
                      </c:pt>
                      <c:pt idx="45">
                        <c:v>88</c:v>
                      </c:pt>
                      <c:pt idx="46">
                        <c:v>87</c:v>
                      </c:pt>
                      <c:pt idx="47">
                        <c:v>78</c:v>
                      </c:pt>
                      <c:pt idx="48">
                        <c:v>118</c:v>
                      </c:pt>
                      <c:pt idx="49">
                        <c:v>139</c:v>
                      </c:pt>
                      <c:pt idx="50">
                        <c:v>125</c:v>
                      </c:pt>
                      <c:pt idx="51">
                        <c:v>217</c:v>
                      </c:pt>
                      <c:pt idx="52">
                        <c:v>175</c:v>
                      </c:pt>
                      <c:pt idx="53">
                        <c:v>150</c:v>
                      </c:pt>
                      <c:pt idx="54">
                        <c:v>262</c:v>
                      </c:pt>
                      <c:pt idx="55">
                        <c:v>198</c:v>
                      </c:pt>
                      <c:pt idx="56">
                        <c:v>219</c:v>
                      </c:pt>
                      <c:pt idx="57">
                        <c:v>271</c:v>
                      </c:pt>
                      <c:pt idx="58">
                        <c:v>98</c:v>
                      </c:pt>
                      <c:pt idx="59">
                        <c:v>86</c:v>
                      </c:pt>
                      <c:pt idx="60">
                        <c:v>133</c:v>
                      </c:pt>
                      <c:pt idx="61">
                        <c:v>119</c:v>
                      </c:pt>
                      <c:pt idx="62">
                        <c:v>163</c:v>
                      </c:pt>
                      <c:pt idx="63">
                        <c:v>213</c:v>
                      </c:pt>
                      <c:pt idx="64">
                        <c:v>210</c:v>
                      </c:pt>
                      <c:pt idx="65">
                        <c:v>203</c:v>
                      </c:pt>
                      <c:pt idx="66">
                        <c:v>253</c:v>
                      </c:pt>
                      <c:pt idx="67">
                        <c:v>221</c:v>
                      </c:pt>
                      <c:pt idx="68">
                        <c:v>326</c:v>
                      </c:pt>
                      <c:pt idx="69">
                        <c:v>176</c:v>
                      </c:pt>
                      <c:pt idx="70">
                        <c:v>131</c:v>
                      </c:pt>
                      <c:pt idx="71">
                        <c:v>106</c:v>
                      </c:pt>
                      <c:pt idx="72">
                        <c:v>135</c:v>
                      </c:pt>
                      <c:pt idx="73">
                        <c:v>152</c:v>
                      </c:pt>
                      <c:pt idx="74">
                        <c:v>185</c:v>
                      </c:pt>
                      <c:pt idx="75">
                        <c:v>132</c:v>
                      </c:pt>
                      <c:pt idx="76">
                        <c:v>195</c:v>
                      </c:pt>
                      <c:pt idx="77">
                        <c:v>177</c:v>
                      </c:pt>
                      <c:pt idx="78">
                        <c:v>258</c:v>
                      </c:pt>
                      <c:pt idx="79">
                        <c:v>175</c:v>
                      </c:pt>
                      <c:pt idx="80">
                        <c:v>275</c:v>
                      </c:pt>
                      <c:pt idx="81">
                        <c:v>119</c:v>
                      </c:pt>
                      <c:pt idx="82">
                        <c:v>118</c:v>
                      </c:pt>
                      <c:pt idx="83">
                        <c:v>86</c:v>
                      </c:pt>
                      <c:pt idx="84">
                        <c:v>153</c:v>
                      </c:pt>
                      <c:pt idx="85">
                        <c:v>143</c:v>
                      </c:pt>
                      <c:pt idx="86">
                        <c:v>161</c:v>
                      </c:pt>
                      <c:pt idx="87">
                        <c:v>201</c:v>
                      </c:pt>
                      <c:pt idx="88">
                        <c:v>206</c:v>
                      </c:pt>
                      <c:pt idx="89">
                        <c:v>181</c:v>
                      </c:pt>
                      <c:pt idx="90">
                        <c:v>278</c:v>
                      </c:pt>
                      <c:pt idx="91">
                        <c:v>198</c:v>
                      </c:pt>
                      <c:pt idx="92">
                        <c:v>227</c:v>
                      </c:pt>
                      <c:pt idx="93">
                        <c:v>207</c:v>
                      </c:pt>
                      <c:pt idx="94">
                        <c:v>126</c:v>
                      </c:pt>
                      <c:pt idx="95">
                        <c:v>73</c:v>
                      </c:pt>
                      <c:pt idx="96">
                        <c:v>204</c:v>
                      </c:pt>
                      <c:pt idx="97">
                        <c:v>104</c:v>
                      </c:pt>
                      <c:pt idx="98">
                        <c:v>171</c:v>
                      </c:pt>
                      <c:pt idx="99">
                        <c:v>264</c:v>
                      </c:pt>
                      <c:pt idx="100">
                        <c:v>250</c:v>
                      </c:pt>
                      <c:pt idx="101">
                        <c:v>188</c:v>
                      </c:pt>
                      <c:pt idx="102">
                        <c:v>204</c:v>
                      </c:pt>
                      <c:pt idx="103">
                        <c:v>170</c:v>
                      </c:pt>
                      <c:pt idx="104">
                        <c:v>298</c:v>
                      </c:pt>
                      <c:pt idx="105">
                        <c:v>111</c:v>
                      </c:pt>
                      <c:pt idx="106">
                        <c:v>147</c:v>
                      </c:pt>
                      <c:pt idx="107">
                        <c:v>77</c:v>
                      </c:pt>
                      <c:pt idx="108">
                        <c:v>124</c:v>
                      </c:pt>
                      <c:pt idx="109">
                        <c:v>147</c:v>
                      </c:pt>
                      <c:pt idx="110">
                        <c:v>120</c:v>
                      </c:pt>
                      <c:pt idx="111">
                        <c:v>273</c:v>
                      </c:pt>
                      <c:pt idx="112">
                        <c:v>157</c:v>
                      </c:pt>
                      <c:pt idx="113">
                        <c:v>220</c:v>
                      </c:pt>
                      <c:pt idx="114">
                        <c:v>209</c:v>
                      </c:pt>
                      <c:pt idx="115">
                        <c:v>188</c:v>
                      </c:pt>
                      <c:pt idx="116" formatCode="General">
                        <c:v>175</c:v>
                      </c:pt>
                      <c:pt idx="117">
                        <c:v>245</c:v>
                      </c:pt>
                      <c:pt idx="118">
                        <c:v>107</c:v>
                      </c:pt>
                      <c:pt idx="119">
                        <c:v>136</c:v>
                      </c:pt>
                      <c:pt idx="120">
                        <c:v>102</c:v>
                      </c:pt>
                      <c:pt idx="121">
                        <c:v>109</c:v>
                      </c:pt>
                      <c:pt idx="122">
                        <c:v>146</c:v>
                      </c:pt>
                      <c:pt idx="123">
                        <c:v>271</c:v>
                      </c:pt>
                      <c:pt idx="124">
                        <c:v>156</c:v>
                      </c:pt>
                      <c:pt idx="125">
                        <c:v>142</c:v>
                      </c:pt>
                      <c:pt idx="126">
                        <c:v>179</c:v>
                      </c:pt>
                      <c:pt idx="127">
                        <c:v>186</c:v>
                      </c:pt>
                      <c:pt idx="128">
                        <c:v>144</c:v>
                      </c:pt>
                      <c:pt idx="129">
                        <c:v>117</c:v>
                      </c:pt>
                      <c:pt idx="130">
                        <c:v>104</c:v>
                      </c:pt>
                      <c:pt idx="131">
                        <c:v>119</c:v>
                      </c:pt>
                      <c:pt idx="132">
                        <c:v>145</c:v>
                      </c:pt>
                      <c:pt idx="133">
                        <c:v>134</c:v>
                      </c:pt>
                      <c:pt idx="134">
                        <c:v>200</c:v>
                      </c:pt>
                      <c:pt idx="135">
                        <c:v>232</c:v>
                      </c:pt>
                      <c:pt idx="136">
                        <c:v>249</c:v>
                      </c:pt>
                      <c:pt idx="137">
                        <c:v>206</c:v>
                      </c:pt>
                      <c:pt idx="138">
                        <c:v>241</c:v>
                      </c:pt>
                      <c:pt idx="139">
                        <c:v>250</c:v>
                      </c:pt>
                      <c:pt idx="140">
                        <c:v>307</c:v>
                      </c:pt>
                      <c:pt idx="141">
                        <c:v>141</c:v>
                      </c:pt>
                      <c:pt idx="142">
                        <c:v>72</c:v>
                      </c:pt>
                      <c:pt idx="143">
                        <c:v>230</c:v>
                      </c:pt>
                      <c:pt idx="144" formatCode="_(* #,##0_);_(* \(#,##0\);_(* &quot;-&quot;??_);_(@_)">
                        <c:v>127</c:v>
                      </c:pt>
                      <c:pt idx="145">
                        <c:v>102</c:v>
                      </c:pt>
                      <c:pt idx="146">
                        <c:v>181</c:v>
                      </c:pt>
                      <c:pt idx="147">
                        <c:v>326</c:v>
                      </c:pt>
                      <c:pt idx="148" formatCode="_(* #,##0_);_(* \(#,##0\);_(* &quot;-&quot;??_);_(@_)">
                        <c:v>267</c:v>
                      </c:pt>
                      <c:pt idx="149" formatCode="_(* #,##0_);_(* \(#,##0\);_(* &quot;-&quot;??_);_(@_)">
                        <c:v>227</c:v>
                      </c:pt>
                      <c:pt idx="150" formatCode="_(* #,##0_);_(* \(#,##0\);_(* &quot;-&quot;??_);_(@_)">
                        <c:v>312</c:v>
                      </c:pt>
                      <c:pt idx="151" formatCode="_(* #,##0_);_(* \(#,##0\);_(* &quot;-&quot;??_);_(@_)">
                        <c:v>221</c:v>
                      </c:pt>
                      <c:pt idx="152" formatCode="_(* #,##0_);_(* \(#,##0\);_(* &quot;-&quot;??_);_(@_)">
                        <c:v>232</c:v>
                      </c:pt>
                      <c:pt idx="153" formatCode="_(* #,##0_);_(* \(#,##0\);_(* &quot;-&quot;??_);_(@_)">
                        <c:v>262</c:v>
                      </c:pt>
                      <c:pt idx="154" formatCode="_(* #,##0_);_(* \(#,##0\);_(* &quot;-&quot;??_);_(@_)">
                        <c:v>139</c:v>
                      </c:pt>
                      <c:pt idx="155" formatCode="_(* #,##0_);_(* \(#,##0\);_(* &quot;-&quot;??_);_(@_)">
                        <c:v>165</c:v>
                      </c:pt>
                      <c:pt idx="156">
                        <c:v>173</c:v>
                      </c:pt>
                      <c:pt idx="157">
                        <c:v>113</c:v>
                      </c:pt>
                      <c:pt idx="158">
                        <c:v>75</c:v>
                      </c:pt>
                      <c:pt idx="161">
                        <c:v>1</c:v>
                      </c:pt>
                      <c:pt idx="162">
                        <c:v>5</c:v>
                      </c:pt>
                      <c:pt idx="163">
                        <c:v>12</c:v>
                      </c:pt>
                      <c:pt idx="164">
                        <c:v>7</c:v>
                      </c:pt>
                      <c:pt idx="165">
                        <c:v>12</c:v>
                      </c:pt>
                      <c:pt idx="166">
                        <c:v>24</c:v>
                      </c:pt>
                      <c:pt idx="167">
                        <c:v>21</c:v>
                      </c:pt>
                      <c:pt idx="168">
                        <c:v>29</c:v>
                      </c:pt>
                      <c:pt idx="169">
                        <c:v>7</c:v>
                      </c:pt>
                      <c:pt idx="170">
                        <c:v>24</c:v>
                      </c:pt>
                      <c:pt idx="171">
                        <c:v>46</c:v>
                      </c:pt>
                      <c:pt idx="172">
                        <c:v>42</c:v>
                      </c:pt>
                    </c:numCache>
                  </c:numRef>
                </c:val>
                <c:smooth val="0"/>
                <c:extLst xmlns:c15="http://schemas.microsoft.com/office/drawing/2012/chart">
                  <c:ext xmlns:c16="http://schemas.microsoft.com/office/drawing/2014/chart" uri="{C3380CC4-5D6E-409C-BE32-E72D297353CC}">
                    <c16:uniqueId val="{00000019-8ED6-4044-8E62-D67E03BE4939}"/>
                  </c:ext>
                </c:extLst>
              </c15:ser>
            </c15:filteredLineSeries>
            <c15:filteredLineSeries>
              <c15:ser>
                <c:idx val="26"/>
                <c:order val="26"/>
                <c:tx>
                  <c:strRef>
                    <c:extLst xmlns:c15="http://schemas.microsoft.com/office/drawing/2012/chart">
                      <c:ext xmlns:c15="http://schemas.microsoft.com/office/drawing/2012/chart" uri="{02D57815-91ED-43cb-92C2-25804820EDAC}">
                        <c15:formulaRef>
                          <c15:sqref>'Tendencias nacionalidad'!$C$80</c15:sqref>
                        </c15:formulaRef>
                      </c:ext>
                    </c:extLst>
                    <c:strCache>
                      <c:ptCount val="1"/>
                      <c:pt idx="0">
                        <c:v>Rusia</c:v>
                      </c:pt>
                    </c:strCache>
                  </c:strRef>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nacionalidad'!$D$80:$GA$80</c15:sqref>
                        </c15:fullRef>
                        <c15:formulaRef>
                          <c15:sqref>'Tendencias nacionalidad'!$D$80:$FT$80</c15:sqref>
                        </c15:formulaRef>
                      </c:ext>
                    </c:extLst>
                    <c:numCache>
                      <c:formatCode>#,##0</c:formatCode>
                      <c:ptCount val="173"/>
                      <c:pt idx="0">
                        <c:v>120</c:v>
                      </c:pt>
                      <c:pt idx="1">
                        <c:v>59</c:v>
                      </c:pt>
                      <c:pt idx="2">
                        <c:v>128</c:v>
                      </c:pt>
                      <c:pt idx="3">
                        <c:v>109</c:v>
                      </c:pt>
                      <c:pt idx="4">
                        <c:v>113</c:v>
                      </c:pt>
                      <c:pt idx="5">
                        <c:v>72</c:v>
                      </c:pt>
                      <c:pt idx="6">
                        <c:v>102</c:v>
                      </c:pt>
                      <c:pt idx="7">
                        <c:v>118</c:v>
                      </c:pt>
                      <c:pt idx="8">
                        <c:v>110</c:v>
                      </c:pt>
                      <c:pt idx="9">
                        <c:v>166</c:v>
                      </c:pt>
                      <c:pt idx="10">
                        <c:v>172</c:v>
                      </c:pt>
                      <c:pt idx="11">
                        <c:v>155</c:v>
                      </c:pt>
                      <c:pt idx="12">
                        <c:v>194</c:v>
                      </c:pt>
                      <c:pt idx="13">
                        <c:v>225</c:v>
                      </c:pt>
                      <c:pt idx="14">
                        <c:v>75</c:v>
                      </c:pt>
                      <c:pt idx="15">
                        <c:v>146</c:v>
                      </c:pt>
                      <c:pt idx="16">
                        <c:v>108</c:v>
                      </c:pt>
                      <c:pt idx="17">
                        <c:v>91</c:v>
                      </c:pt>
                      <c:pt idx="18">
                        <c:v>59</c:v>
                      </c:pt>
                      <c:pt idx="19">
                        <c:v>146</c:v>
                      </c:pt>
                      <c:pt idx="20">
                        <c:v>144</c:v>
                      </c:pt>
                      <c:pt idx="21">
                        <c:v>246</c:v>
                      </c:pt>
                      <c:pt idx="22">
                        <c:v>176</c:v>
                      </c:pt>
                      <c:pt idx="23">
                        <c:v>156</c:v>
                      </c:pt>
                      <c:pt idx="24">
                        <c:v>242</c:v>
                      </c:pt>
                      <c:pt idx="25">
                        <c:v>112</c:v>
                      </c:pt>
                      <c:pt idx="26">
                        <c:v>107</c:v>
                      </c:pt>
                      <c:pt idx="27">
                        <c:v>162</c:v>
                      </c:pt>
                      <c:pt idx="28">
                        <c:v>132</c:v>
                      </c:pt>
                      <c:pt idx="29">
                        <c:v>102</c:v>
                      </c:pt>
                      <c:pt idx="30">
                        <c:v>113</c:v>
                      </c:pt>
                      <c:pt idx="31">
                        <c:v>121</c:v>
                      </c:pt>
                      <c:pt idx="32">
                        <c:v>168</c:v>
                      </c:pt>
                      <c:pt idx="33">
                        <c:v>111</c:v>
                      </c:pt>
                      <c:pt idx="34">
                        <c:v>109</c:v>
                      </c:pt>
                      <c:pt idx="35">
                        <c:v>124</c:v>
                      </c:pt>
                      <c:pt idx="36">
                        <c:v>180</c:v>
                      </c:pt>
                      <c:pt idx="37">
                        <c:v>118</c:v>
                      </c:pt>
                      <c:pt idx="38">
                        <c:v>148</c:v>
                      </c:pt>
                      <c:pt idx="39">
                        <c:v>100</c:v>
                      </c:pt>
                      <c:pt idx="40">
                        <c:v>129</c:v>
                      </c:pt>
                      <c:pt idx="41">
                        <c:v>93</c:v>
                      </c:pt>
                      <c:pt idx="42">
                        <c:v>88</c:v>
                      </c:pt>
                      <c:pt idx="43">
                        <c:v>74</c:v>
                      </c:pt>
                      <c:pt idx="44">
                        <c:v>110</c:v>
                      </c:pt>
                      <c:pt idx="45">
                        <c:v>95</c:v>
                      </c:pt>
                      <c:pt idx="46">
                        <c:v>136</c:v>
                      </c:pt>
                      <c:pt idx="47">
                        <c:v>177</c:v>
                      </c:pt>
                      <c:pt idx="48">
                        <c:v>162</c:v>
                      </c:pt>
                      <c:pt idx="49">
                        <c:v>143</c:v>
                      </c:pt>
                      <c:pt idx="50">
                        <c:v>142</c:v>
                      </c:pt>
                      <c:pt idx="51">
                        <c:v>190</c:v>
                      </c:pt>
                      <c:pt idx="52">
                        <c:v>66</c:v>
                      </c:pt>
                      <c:pt idx="53">
                        <c:v>108</c:v>
                      </c:pt>
                      <c:pt idx="54">
                        <c:v>147</c:v>
                      </c:pt>
                      <c:pt idx="55">
                        <c:v>120</c:v>
                      </c:pt>
                      <c:pt idx="56">
                        <c:v>122</c:v>
                      </c:pt>
                      <c:pt idx="57">
                        <c:v>233</c:v>
                      </c:pt>
                      <c:pt idx="58">
                        <c:v>327</c:v>
                      </c:pt>
                      <c:pt idx="59">
                        <c:v>182</c:v>
                      </c:pt>
                      <c:pt idx="60">
                        <c:v>251</c:v>
                      </c:pt>
                      <c:pt idx="61">
                        <c:v>150</c:v>
                      </c:pt>
                      <c:pt idx="62">
                        <c:v>195</c:v>
                      </c:pt>
                      <c:pt idx="63">
                        <c:v>172</c:v>
                      </c:pt>
                      <c:pt idx="64">
                        <c:v>182</c:v>
                      </c:pt>
                      <c:pt idx="65">
                        <c:v>137</c:v>
                      </c:pt>
                      <c:pt idx="66">
                        <c:v>166</c:v>
                      </c:pt>
                      <c:pt idx="67">
                        <c:v>178</c:v>
                      </c:pt>
                      <c:pt idx="68">
                        <c:v>154</c:v>
                      </c:pt>
                      <c:pt idx="69">
                        <c:v>220</c:v>
                      </c:pt>
                      <c:pt idx="70">
                        <c:v>229</c:v>
                      </c:pt>
                      <c:pt idx="71">
                        <c:v>199</c:v>
                      </c:pt>
                      <c:pt idx="72">
                        <c:v>291</c:v>
                      </c:pt>
                      <c:pt idx="73">
                        <c:v>256</c:v>
                      </c:pt>
                      <c:pt idx="74">
                        <c:v>196</c:v>
                      </c:pt>
                      <c:pt idx="75">
                        <c:v>178</c:v>
                      </c:pt>
                      <c:pt idx="76">
                        <c:v>194</c:v>
                      </c:pt>
                      <c:pt idx="77">
                        <c:v>139</c:v>
                      </c:pt>
                      <c:pt idx="78">
                        <c:v>129</c:v>
                      </c:pt>
                      <c:pt idx="79">
                        <c:v>136</c:v>
                      </c:pt>
                      <c:pt idx="80">
                        <c:v>181</c:v>
                      </c:pt>
                      <c:pt idx="81">
                        <c:v>182</c:v>
                      </c:pt>
                      <c:pt idx="82">
                        <c:v>201</c:v>
                      </c:pt>
                      <c:pt idx="83">
                        <c:v>247</c:v>
                      </c:pt>
                      <c:pt idx="84">
                        <c:v>283</c:v>
                      </c:pt>
                      <c:pt idx="85">
                        <c:v>291</c:v>
                      </c:pt>
                      <c:pt idx="86">
                        <c:v>178</c:v>
                      </c:pt>
                      <c:pt idx="87">
                        <c:v>224</c:v>
                      </c:pt>
                      <c:pt idx="88">
                        <c:v>155</c:v>
                      </c:pt>
                      <c:pt idx="89">
                        <c:v>158</c:v>
                      </c:pt>
                      <c:pt idx="90">
                        <c:v>153</c:v>
                      </c:pt>
                      <c:pt idx="91">
                        <c:v>165</c:v>
                      </c:pt>
                      <c:pt idx="92">
                        <c:v>173</c:v>
                      </c:pt>
                      <c:pt idx="93">
                        <c:v>247</c:v>
                      </c:pt>
                      <c:pt idx="94">
                        <c:v>240</c:v>
                      </c:pt>
                      <c:pt idx="95">
                        <c:v>293</c:v>
                      </c:pt>
                      <c:pt idx="96">
                        <c:v>376</c:v>
                      </c:pt>
                      <c:pt idx="97">
                        <c:v>163</c:v>
                      </c:pt>
                      <c:pt idx="98">
                        <c:v>162</c:v>
                      </c:pt>
                      <c:pt idx="99">
                        <c:v>180</c:v>
                      </c:pt>
                      <c:pt idx="100">
                        <c:v>145</c:v>
                      </c:pt>
                      <c:pt idx="101">
                        <c:v>118</c:v>
                      </c:pt>
                      <c:pt idx="102">
                        <c:v>159</c:v>
                      </c:pt>
                      <c:pt idx="103">
                        <c:v>113</c:v>
                      </c:pt>
                      <c:pt idx="104">
                        <c:v>185</c:v>
                      </c:pt>
                      <c:pt idx="105">
                        <c:v>181</c:v>
                      </c:pt>
                      <c:pt idx="106">
                        <c:v>191</c:v>
                      </c:pt>
                      <c:pt idx="107">
                        <c:v>200</c:v>
                      </c:pt>
                      <c:pt idx="108">
                        <c:v>228</c:v>
                      </c:pt>
                      <c:pt idx="109">
                        <c:v>199</c:v>
                      </c:pt>
                      <c:pt idx="110">
                        <c:v>167</c:v>
                      </c:pt>
                      <c:pt idx="111">
                        <c:v>147</c:v>
                      </c:pt>
                      <c:pt idx="112">
                        <c:v>136</c:v>
                      </c:pt>
                      <c:pt idx="113">
                        <c:v>146</c:v>
                      </c:pt>
                      <c:pt idx="114">
                        <c:v>117</c:v>
                      </c:pt>
                      <c:pt idx="115">
                        <c:v>130</c:v>
                      </c:pt>
                      <c:pt idx="116" formatCode="General">
                        <c:v>120</c:v>
                      </c:pt>
                      <c:pt idx="117">
                        <c:v>266</c:v>
                      </c:pt>
                      <c:pt idx="118">
                        <c:v>200</c:v>
                      </c:pt>
                      <c:pt idx="119">
                        <c:v>214</c:v>
                      </c:pt>
                      <c:pt idx="120">
                        <c:v>248</c:v>
                      </c:pt>
                      <c:pt idx="121">
                        <c:v>204</c:v>
                      </c:pt>
                      <c:pt idx="122">
                        <c:v>211</c:v>
                      </c:pt>
                      <c:pt idx="123">
                        <c:v>202</c:v>
                      </c:pt>
                      <c:pt idx="124">
                        <c:v>142</c:v>
                      </c:pt>
                      <c:pt idx="125">
                        <c:v>160</c:v>
                      </c:pt>
                      <c:pt idx="126">
                        <c:v>134</c:v>
                      </c:pt>
                      <c:pt idx="127">
                        <c:v>152</c:v>
                      </c:pt>
                      <c:pt idx="128">
                        <c:v>185</c:v>
                      </c:pt>
                      <c:pt idx="129">
                        <c:v>234</c:v>
                      </c:pt>
                      <c:pt idx="130">
                        <c:v>193</c:v>
                      </c:pt>
                      <c:pt idx="131">
                        <c:v>296</c:v>
                      </c:pt>
                      <c:pt idx="132">
                        <c:v>246</c:v>
                      </c:pt>
                      <c:pt idx="133">
                        <c:v>213</c:v>
                      </c:pt>
                      <c:pt idx="134">
                        <c:v>182</c:v>
                      </c:pt>
                      <c:pt idx="135">
                        <c:v>198</c:v>
                      </c:pt>
                      <c:pt idx="136">
                        <c:v>159</c:v>
                      </c:pt>
                      <c:pt idx="137">
                        <c:v>138</c:v>
                      </c:pt>
                      <c:pt idx="138">
                        <c:v>169</c:v>
                      </c:pt>
                      <c:pt idx="139">
                        <c:v>173</c:v>
                      </c:pt>
                      <c:pt idx="140">
                        <c:v>195</c:v>
                      </c:pt>
                      <c:pt idx="141">
                        <c:v>203</c:v>
                      </c:pt>
                      <c:pt idx="142">
                        <c:v>223</c:v>
                      </c:pt>
                      <c:pt idx="143">
                        <c:v>279</c:v>
                      </c:pt>
                      <c:pt idx="144" formatCode="_(* #,##0_);_(* \(#,##0\);_(* &quot;-&quot;??_);_(@_)">
                        <c:v>262</c:v>
                      </c:pt>
                      <c:pt idx="145">
                        <c:v>212</c:v>
                      </c:pt>
                      <c:pt idx="146">
                        <c:v>207</c:v>
                      </c:pt>
                      <c:pt idx="147">
                        <c:v>218</c:v>
                      </c:pt>
                      <c:pt idx="148" formatCode="_(* #,##0_);_(* \(#,##0\);_(* &quot;-&quot;??_);_(@_)">
                        <c:v>155</c:v>
                      </c:pt>
                      <c:pt idx="149" formatCode="_(* #,##0_);_(* \(#,##0\);_(* &quot;-&quot;??_);_(@_)">
                        <c:v>178</c:v>
                      </c:pt>
                      <c:pt idx="150" formatCode="_(* #,##0_);_(* \(#,##0\);_(* &quot;-&quot;??_);_(@_)">
                        <c:v>194</c:v>
                      </c:pt>
                      <c:pt idx="151" formatCode="_(* #,##0_);_(* \(#,##0\);_(* &quot;-&quot;??_);_(@_)">
                        <c:v>225</c:v>
                      </c:pt>
                      <c:pt idx="152" formatCode="_(* #,##0_);_(* \(#,##0\);_(* &quot;-&quot;??_);_(@_)">
                        <c:v>226</c:v>
                      </c:pt>
                      <c:pt idx="153" formatCode="_(* #,##0_);_(* \(#,##0\);_(* &quot;-&quot;??_);_(@_)">
                        <c:v>205</c:v>
                      </c:pt>
                      <c:pt idx="154" formatCode="_(* #,##0_);_(* \(#,##0\);_(* &quot;-&quot;??_);_(@_)">
                        <c:v>228</c:v>
                      </c:pt>
                      <c:pt idx="155" formatCode="_(* #,##0_);_(* \(#,##0\);_(* &quot;-&quot;??_);_(@_)">
                        <c:v>316</c:v>
                      </c:pt>
                      <c:pt idx="156">
                        <c:v>301</c:v>
                      </c:pt>
                      <c:pt idx="157">
                        <c:v>244</c:v>
                      </c:pt>
                      <c:pt idx="158">
                        <c:v>104</c:v>
                      </c:pt>
                      <c:pt idx="159">
                        <c:v>1</c:v>
                      </c:pt>
                      <c:pt idx="160">
                        <c:v>1</c:v>
                      </c:pt>
                      <c:pt idx="161">
                        <c:v>9</c:v>
                      </c:pt>
                      <c:pt idx="162">
                        <c:v>6</c:v>
                      </c:pt>
                      <c:pt idx="163">
                        <c:v>22</c:v>
                      </c:pt>
                      <c:pt idx="164">
                        <c:v>33</c:v>
                      </c:pt>
                      <c:pt idx="165">
                        <c:v>56</c:v>
                      </c:pt>
                      <c:pt idx="166">
                        <c:v>64</c:v>
                      </c:pt>
                      <c:pt idx="167">
                        <c:v>67</c:v>
                      </c:pt>
                      <c:pt idx="168">
                        <c:v>92</c:v>
                      </c:pt>
                      <c:pt idx="169">
                        <c:v>69</c:v>
                      </c:pt>
                      <c:pt idx="170">
                        <c:v>89</c:v>
                      </c:pt>
                      <c:pt idx="171">
                        <c:v>87</c:v>
                      </c:pt>
                      <c:pt idx="172">
                        <c:v>61</c:v>
                      </c:pt>
                    </c:numCache>
                  </c:numRef>
                </c:val>
                <c:smooth val="0"/>
                <c:extLst xmlns:c15="http://schemas.microsoft.com/office/drawing/2012/chart">
                  <c:ext xmlns:c16="http://schemas.microsoft.com/office/drawing/2014/chart" uri="{C3380CC4-5D6E-409C-BE32-E72D297353CC}">
                    <c16:uniqueId val="{0000001A-8ED6-4044-8E62-D67E03BE4939}"/>
                  </c:ext>
                </c:extLst>
              </c15:ser>
            </c15:filteredLineSeries>
            <c15:filteredLineSeries>
              <c15:ser>
                <c:idx val="27"/>
                <c:order val="27"/>
                <c:tx>
                  <c:strRef>
                    <c:extLst xmlns:c15="http://schemas.microsoft.com/office/drawing/2012/chart">
                      <c:ext xmlns:c15="http://schemas.microsoft.com/office/drawing/2012/chart" uri="{02D57815-91ED-43cb-92C2-25804820EDAC}">
                        <c15:formulaRef>
                          <c15:sqref>'Tendencias nacionalidad'!$C$81</c15:sqref>
                        </c15:formulaRef>
                      </c:ext>
                    </c:extLst>
                    <c:strCache>
                      <c:ptCount val="1"/>
                      <c:pt idx="0">
                        <c:v>Uruguay</c:v>
                      </c:pt>
                    </c:strCache>
                  </c:strRef>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nacionalidad'!$D$81:$GA$81</c15:sqref>
                        </c15:fullRef>
                        <c15:formulaRef>
                          <c15:sqref>'Tendencias nacionalidad'!$D$81:$FT$81</c15:sqref>
                        </c15:formulaRef>
                      </c:ext>
                    </c:extLst>
                    <c:numCache>
                      <c:formatCode>#,##0</c:formatCode>
                      <c:ptCount val="173"/>
                      <c:pt idx="0">
                        <c:v>90</c:v>
                      </c:pt>
                      <c:pt idx="1">
                        <c:v>70</c:v>
                      </c:pt>
                      <c:pt idx="2">
                        <c:v>94</c:v>
                      </c:pt>
                      <c:pt idx="3">
                        <c:v>80</c:v>
                      </c:pt>
                      <c:pt idx="4">
                        <c:v>77</c:v>
                      </c:pt>
                      <c:pt idx="5">
                        <c:v>104</c:v>
                      </c:pt>
                      <c:pt idx="6">
                        <c:v>112</c:v>
                      </c:pt>
                      <c:pt idx="7">
                        <c:v>170</c:v>
                      </c:pt>
                      <c:pt idx="8">
                        <c:v>120</c:v>
                      </c:pt>
                      <c:pt idx="9">
                        <c:v>184</c:v>
                      </c:pt>
                      <c:pt idx="10">
                        <c:v>125</c:v>
                      </c:pt>
                      <c:pt idx="11">
                        <c:v>60</c:v>
                      </c:pt>
                      <c:pt idx="12">
                        <c:v>96</c:v>
                      </c:pt>
                      <c:pt idx="13">
                        <c:v>129</c:v>
                      </c:pt>
                      <c:pt idx="14">
                        <c:v>105</c:v>
                      </c:pt>
                      <c:pt idx="15">
                        <c:v>118</c:v>
                      </c:pt>
                      <c:pt idx="16">
                        <c:v>121</c:v>
                      </c:pt>
                      <c:pt idx="17">
                        <c:v>112</c:v>
                      </c:pt>
                      <c:pt idx="18">
                        <c:v>164</c:v>
                      </c:pt>
                      <c:pt idx="19">
                        <c:v>138</c:v>
                      </c:pt>
                      <c:pt idx="20">
                        <c:v>125</c:v>
                      </c:pt>
                      <c:pt idx="21">
                        <c:v>137</c:v>
                      </c:pt>
                      <c:pt idx="22">
                        <c:v>167</c:v>
                      </c:pt>
                      <c:pt idx="23">
                        <c:v>102</c:v>
                      </c:pt>
                      <c:pt idx="24">
                        <c:v>111</c:v>
                      </c:pt>
                      <c:pt idx="25">
                        <c:v>90</c:v>
                      </c:pt>
                      <c:pt idx="26">
                        <c:v>127</c:v>
                      </c:pt>
                      <c:pt idx="27">
                        <c:v>124</c:v>
                      </c:pt>
                      <c:pt idx="28">
                        <c:v>129.5</c:v>
                      </c:pt>
                      <c:pt idx="29">
                        <c:v>135</c:v>
                      </c:pt>
                      <c:pt idx="30">
                        <c:v>136</c:v>
                      </c:pt>
                      <c:pt idx="31">
                        <c:v>128</c:v>
                      </c:pt>
                      <c:pt idx="32">
                        <c:v>105</c:v>
                      </c:pt>
                      <c:pt idx="33">
                        <c:v>161</c:v>
                      </c:pt>
                      <c:pt idx="34">
                        <c:v>145</c:v>
                      </c:pt>
                      <c:pt idx="35">
                        <c:v>92</c:v>
                      </c:pt>
                      <c:pt idx="36">
                        <c:v>110</c:v>
                      </c:pt>
                      <c:pt idx="37">
                        <c:v>117</c:v>
                      </c:pt>
                      <c:pt idx="38">
                        <c:v>126</c:v>
                      </c:pt>
                      <c:pt idx="39">
                        <c:v>133</c:v>
                      </c:pt>
                      <c:pt idx="40">
                        <c:v>112</c:v>
                      </c:pt>
                      <c:pt idx="41">
                        <c:v>130</c:v>
                      </c:pt>
                      <c:pt idx="42">
                        <c:v>106</c:v>
                      </c:pt>
                      <c:pt idx="43">
                        <c:v>129</c:v>
                      </c:pt>
                      <c:pt idx="44">
                        <c:v>98</c:v>
                      </c:pt>
                      <c:pt idx="45">
                        <c:v>102</c:v>
                      </c:pt>
                      <c:pt idx="46">
                        <c:v>193</c:v>
                      </c:pt>
                      <c:pt idx="47">
                        <c:v>110</c:v>
                      </c:pt>
                      <c:pt idx="48">
                        <c:v>120</c:v>
                      </c:pt>
                      <c:pt idx="49">
                        <c:v>131</c:v>
                      </c:pt>
                      <c:pt idx="50">
                        <c:v>181</c:v>
                      </c:pt>
                      <c:pt idx="51">
                        <c:v>146</c:v>
                      </c:pt>
                      <c:pt idx="52">
                        <c:v>119</c:v>
                      </c:pt>
                      <c:pt idx="53">
                        <c:v>111</c:v>
                      </c:pt>
                      <c:pt idx="54">
                        <c:v>135</c:v>
                      </c:pt>
                      <c:pt idx="55">
                        <c:v>117</c:v>
                      </c:pt>
                      <c:pt idx="56">
                        <c:v>146</c:v>
                      </c:pt>
                      <c:pt idx="57">
                        <c:v>146</c:v>
                      </c:pt>
                      <c:pt idx="58">
                        <c:v>146</c:v>
                      </c:pt>
                      <c:pt idx="59">
                        <c:v>94</c:v>
                      </c:pt>
                      <c:pt idx="60">
                        <c:v>88</c:v>
                      </c:pt>
                      <c:pt idx="61">
                        <c:v>92</c:v>
                      </c:pt>
                      <c:pt idx="62">
                        <c:v>110</c:v>
                      </c:pt>
                      <c:pt idx="63">
                        <c:v>169</c:v>
                      </c:pt>
                      <c:pt idx="64">
                        <c:v>178</c:v>
                      </c:pt>
                      <c:pt idx="65">
                        <c:v>182</c:v>
                      </c:pt>
                      <c:pt idx="66">
                        <c:v>203</c:v>
                      </c:pt>
                      <c:pt idx="67">
                        <c:v>98</c:v>
                      </c:pt>
                      <c:pt idx="68">
                        <c:v>163</c:v>
                      </c:pt>
                      <c:pt idx="69">
                        <c:v>160</c:v>
                      </c:pt>
                      <c:pt idx="70">
                        <c:v>216</c:v>
                      </c:pt>
                      <c:pt idx="71">
                        <c:v>139</c:v>
                      </c:pt>
                      <c:pt idx="72">
                        <c:v>147</c:v>
                      </c:pt>
                      <c:pt idx="73">
                        <c:v>131</c:v>
                      </c:pt>
                      <c:pt idx="74">
                        <c:v>146</c:v>
                      </c:pt>
                      <c:pt idx="75">
                        <c:v>150</c:v>
                      </c:pt>
                      <c:pt idx="76">
                        <c:v>161</c:v>
                      </c:pt>
                      <c:pt idx="77">
                        <c:v>198</c:v>
                      </c:pt>
                      <c:pt idx="78">
                        <c:v>154</c:v>
                      </c:pt>
                      <c:pt idx="79">
                        <c:v>173</c:v>
                      </c:pt>
                      <c:pt idx="80">
                        <c:v>155</c:v>
                      </c:pt>
                      <c:pt idx="81">
                        <c:v>288</c:v>
                      </c:pt>
                      <c:pt idx="82">
                        <c:v>181</c:v>
                      </c:pt>
                      <c:pt idx="83">
                        <c:v>120</c:v>
                      </c:pt>
                      <c:pt idx="84">
                        <c:v>145</c:v>
                      </c:pt>
                      <c:pt idx="85">
                        <c:v>146</c:v>
                      </c:pt>
                      <c:pt idx="86">
                        <c:v>144</c:v>
                      </c:pt>
                      <c:pt idx="87">
                        <c:v>156</c:v>
                      </c:pt>
                      <c:pt idx="88">
                        <c:v>133</c:v>
                      </c:pt>
                      <c:pt idx="89">
                        <c:v>125</c:v>
                      </c:pt>
                      <c:pt idx="90">
                        <c:v>156</c:v>
                      </c:pt>
                      <c:pt idx="91">
                        <c:v>183</c:v>
                      </c:pt>
                      <c:pt idx="92">
                        <c:v>249</c:v>
                      </c:pt>
                      <c:pt idx="93">
                        <c:v>141</c:v>
                      </c:pt>
                      <c:pt idx="94">
                        <c:v>221</c:v>
                      </c:pt>
                      <c:pt idx="95">
                        <c:v>169</c:v>
                      </c:pt>
                      <c:pt idx="96">
                        <c:v>176</c:v>
                      </c:pt>
                      <c:pt idx="97">
                        <c:v>115</c:v>
                      </c:pt>
                      <c:pt idx="98">
                        <c:v>180</c:v>
                      </c:pt>
                      <c:pt idx="99">
                        <c:v>180</c:v>
                      </c:pt>
                      <c:pt idx="100">
                        <c:v>192</c:v>
                      </c:pt>
                      <c:pt idx="101">
                        <c:v>170</c:v>
                      </c:pt>
                      <c:pt idx="102">
                        <c:v>148</c:v>
                      </c:pt>
                      <c:pt idx="103">
                        <c:v>190</c:v>
                      </c:pt>
                      <c:pt idx="104">
                        <c:v>162</c:v>
                      </c:pt>
                      <c:pt idx="105">
                        <c:v>176</c:v>
                      </c:pt>
                      <c:pt idx="106">
                        <c:v>180</c:v>
                      </c:pt>
                      <c:pt idx="107">
                        <c:v>130</c:v>
                      </c:pt>
                      <c:pt idx="108">
                        <c:v>160</c:v>
                      </c:pt>
                      <c:pt idx="109">
                        <c:v>120</c:v>
                      </c:pt>
                      <c:pt idx="110">
                        <c:v>153</c:v>
                      </c:pt>
                      <c:pt idx="111">
                        <c:v>121</c:v>
                      </c:pt>
                      <c:pt idx="112">
                        <c:v>126</c:v>
                      </c:pt>
                      <c:pt idx="113">
                        <c:v>187</c:v>
                      </c:pt>
                      <c:pt idx="114">
                        <c:v>148</c:v>
                      </c:pt>
                      <c:pt idx="115">
                        <c:v>133</c:v>
                      </c:pt>
                      <c:pt idx="116" formatCode="General">
                        <c:v>126</c:v>
                      </c:pt>
                      <c:pt idx="117">
                        <c:v>231</c:v>
                      </c:pt>
                      <c:pt idx="118">
                        <c:v>192</c:v>
                      </c:pt>
                      <c:pt idx="119">
                        <c:v>155</c:v>
                      </c:pt>
                      <c:pt idx="120">
                        <c:v>279</c:v>
                      </c:pt>
                      <c:pt idx="121">
                        <c:v>182</c:v>
                      </c:pt>
                      <c:pt idx="122">
                        <c:v>147</c:v>
                      </c:pt>
                      <c:pt idx="123">
                        <c:v>152</c:v>
                      </c:pt>
                      <c:pt idx="124">
                        <c:v>125</c:v>
                      </c:pt>
                      <c:pt idx="125">
                        <c:v>152</c:v>
                      </c:pt>
                      <c:pt idx="126">
                        <c:v>203</c:v>
                      </c:pt>
                      <c:pt idx="127">
                        <c:v>198</c:v>
                      </c:pt>
                      <c:pt idx="128">
                        <c:v>213</c:v>
                      </c:pt>
                      <c:pt idx="129">
                        <c:v>185</c:v>
                      </c:pt>
                      <c:pt idx="130">
                        <c:v>205</c:v>
                      </c:pt>
                      <c:pt idx="131">
                        <c:v>242</c:v>
                      </c:pt>
                      <c:pt idx="132">
                        <c:v>240</c:v>
                      </c:pt>
                      <c:pt idx="133">
                        <c:v>134</c:v>
                      </c:pt>
                      <c:pt idx="134">
                        <c:v>197</c:v>
                      </c:pt>
                      <c:pt idx="135">
                        <c:v>152</c:v>
                      </c:pt>
                      <c:pt idx="136">
                        <c:v>183</c:v>
                      </c:pt>
                      <c:pt idx="137">
                        <c:v>238</c:v>
                      </c:pt>
                      <c:pt idx="138">
                        <c:v>201</c:v>
                      </c:pt>
                      <c:pt idx="139">
                        <c:v>184</c:v>
                      </c:pt>
                      <c:pt idx="140">
                        <c:v>193</c:v>
                      </c:pt>
                      <c:pt idx="141">
                        <c:v>217</c:v>
                      </c:pt>
                      <c:pt idx="142">
                        <c:v>232</c:v>
                      </c:pt>
                      <c:pt idx="143">
                        <c:v>203</c:v>
                      </c:pt>
                      <c:pt idx="144" formatCode="_(* #,##0_);_(* \(#,##0\);_(* &quot;-&quot;??_);_(@_)">
                        <c:v>191</c:v>
                      </c:pt>
                      <c:pt idx="145">
                        <c:v>196</c:v>
                      </c:pt>
                      <c:pt idx="146">
                        <c:v>245</c:v>
                      </c:pt>
                      <c:pt idx="147">
                        <c:v>262</c:v>
                      </c:pt>
                      <c:pt idx="148" formatCode="_(* #,##0_);_(* \(#,##0\);_(* &quot;-&quot;??_);_(@_)">
                        <c:v>175</c:v>
                      </c:pt>
                      <c:pt idx="149" formatCode="_(* #,##0_);_(* \(#,##0\);_(* &quot;-&quot;??_);_(@_)">
                        <c:v>225</c:v>
                      </c:pt>
                      <c:pt idx="150" formatCode="_(* #,##0_);_(* \(#,##0\);_(* &quot;-&quot;??_);_(@_)">
                        <c:v>197</c:v>
                      </c:pt>
                      <c:pt idx="151" formatCode="_(* #,##0_);_(* \(#,##0\);_(* &quot;-&quot;??_);_(@_)">
                        <c:v>272</c:v>
                      </c:pt>
                      <c:pt idx="152" formatCode="_(* #,##0_);_(* \(#,##0\);_(* &quot;-&quot;??_);_(@_)">
                        <c:v>228</c:v>
                      </c:pt>
                      <c:pt idx="153" formatCode="_(* #,##0_);_(* \(#,##0\);_(* &quot;-&quot;??_);_(@_)">
                        <c:v>183</c:v>
                      </c:pt>
                      <c:pt idx="154" formatCode="_(* #,##0_);_(* \(#,##0\);_(* &quot;-&quot;??_);_(@_)">
                        <c:v>245</c:v>
                      </c:pt>
                      <c:pt idx="155" formatCode="_(* #,##0_);_(* \(#,##0\);_(* &quot;-&quot;??_);_(@_)">
                        <c:v>178</c:v>
                      </c:pt>
                      <c:pt idx="156">
                        <c:v>190</c:v>
                      </c:pt>
                      <c:pt idx="157">
                        <c:v>181</c:v>
                      </c:pt>
                      <c:pt idx="158">
                        <c:v>73</c:v>
                      </c:pt>
                      <c:pt idx="160">
                        <c:v>1</c:v>
                      </c:pt>
                      <c:pt idx="161">
                        <c:v>2</c:v>
                      </c:pt>
                      <c:pt idx="162">
                        <c:v>8</c:v>
                      </c:pt>
                      <c:pt idx="163">
                        <c:v>2</c:v>
                      </c:pt>
                      <c:pt idx="164">
                        <c:v>19</c:v>
                      </c:pt>
                      <c:pt idx="165">
                        <c:v>33</c:v>
                      </c:pt>
                      <c:pt idx="166">
                        <c:v>23</c:v>
                      </c:pt>
                      <c:pt idx="167">
                        <c:v>34</c:v>
                      </c:pt>
                      <c:pt idx="168">
                        <c:v>60</c:v>
                      </c:pt>
                      <c:pt idx="169">
                        <c:v>26</c:v>
                      </c:pt>
                      <c:pt idx="170">
                        <c:v>71</c:v>
                      </c:pt>
                      <c:pt idx="171">
                        <c:v>33</c:v>
                      </c:pt>
                      <c:pt idx="172">
                        <c:v>46</c:v>
                      </c:pt>
                    </c:numCache>
                  </c:numRef>
                </c:val>
                <c:smooth val="0"/>
                <c:extLst xmlns:c15="http://schemas.microsoft.com/office/drawing/2012/chart">
                  <c:ext xmlns:c16="http://schemas.microsoft.com/office/drawing/2014/chart" uri="{C3380CC4-5D6E-409C-BE32-E72D297353CC}">
                    <c16:uniqueId val="{0000001B-8ED6-4044-8E62-D67E03BE4939}"/>
                  </c:ext>
                </c:extLst>
              </c15:ser>
            </c15:filteredLineSeries>
            <c15:filteredLineSeries>
              <c15:ser>
                <c:idx val="28"/>
                <c:order val="28"/>
                <c:tx>
                  <c:strRef>
                    <c:extLst xmlns:c15="http://schemas.microsoft.com/office/drawing/2012/chart">
                      <c:ext xmlns:c15="http://schemas.microsoft.com/office/drawing/2012/chart" uri="{02D57815-91ED-43cb-92C2-25804820EDAC}">
                        <c15:formulaRef>
                          <c15:sqref>'Tendencias nacionalidad'!$C$82</c15:sqref>
                        </c15:formulaRef>
                      </c:ext>
                    </c:extLst>
                    <c:strCache>
                      <c:ptCount val="1"/>
                      <c:pt idx="0">
                        <c:v>Austria</c:v>
                      </c:pt>
                    </c:strCache>
                  </c:strRef>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nacionalidad'!$D$82:$GA$82</c15:sqref>
                        </c15:fullRef>
                        <c15:formulaRef>
                          <c15:sqref>'Tendencias nacionalidad'!$D$82:$FT$82</c15:sqref>
                        </c15:formulaRef>
                      </c:ext>
                    </c:extLst>
                    <c:numCache>
                      <c:formatCode>#,##0</c:formatCode>
                      <c:ptCount val="173"/>
                      <c:pt idx="0">
                        <c:v>138</c:v>
                      </c:pt>
                      <c:pt idx="1">
                        <c:v>149</c:v>
                      </c:pt>
                      <c:pt idx="2">
                        <c:v>93</c:v>
                      </c:pt>
                      <c:pt idx="3">
                        <c:v>71</c:v>
                      </c:pt>
                      <c:pt idx="4">
                        <c:v>66</c:v>
                      </c:pt>
                      <c:pt idx="5">
                        <c:v>73</c:v>
                      </c:pt>
                      <c:pt idx="6">
                        <c:v>273</c:v>
                      </c:pt>
                      <c:pt idx="7">
                        <c:v>222</c:v>
                      </c:pt>
                      <c:pt idx="8">
                        <c:v>113</c:v>
                      </c:pt>
                      <c:pt idx="9">
                        <c:v>166</c:v>
                      </c:pt>
                      <c:pt idx="10">
                        <c:v>134</c:v>
                      </c:pt>
                      <c:pt idx="11">
                        <c:v>162</c:v>
                      </c:pt>
                      <c:pt idx="12">
                        <c:v>167</c:v>
                      </c:pt>
                      <c:pt idx="13">
                        <c:v>188</c:v>
                      </c:pt>
                      <c:pt idx="14">
                        <c:v>94</c:v>
                      </c:pt>
                      <c:pt idx="15">
                        <c:v>113</c:v>
                      </c:pt>
                      <c:pt idx="16">
                        <c:v>105</c:v>
                      </c:pt>
                      <c:pt idx="17">
                        <c:v>120</c:v>
                      </c:pt>
                      <c:pt idx="18">
                        <c:v>255</c:v>
                      </c:pt>
                      <c:pt idx="19">
                        <c:v>170</c:v>
                      </c:pt>
                      <c:pt idx="20">
                        <c:v>131</c:v>
                      </c:pt>
                      <c:pt idx="21">
                        <c:v>185</c:v>
                      </c:pt>
                      <c:pt idx="22">
                        <c:v>164</c:v>
                      </c:pt>
                      <c:pt idx="23">
                        <c:v>159</c:v>
                      </c:pt>
                      <c:pt idx="24">
                        <c:v>134</c:v>
                      </c:pt>
                      <c:pt idx="25">
                        <c:v>96</c:v>
                      </c:pt>
                      <c:pt idx="26">
                        <c:v>90</c:v>
                      </c:pt>
                      <c:pt idx="27">
                        <c:v>110</c:v>
                      </c:pt>
                      <c:pt idx="28">
                        <c:v>119</c:v>
                      </c:pt>
                      <c:pt idx="29">
                        <c:v>128</c:v>
                      </c:pt>
                      <c:pt idx="30">
                        <c:v>272</c:v>
                      </c:pt>
                      <c:pt idx="31">
                        <c:v>165</c:v>
                      </c:pt>
                      <c:pt idx="32">
                        <c:v>119</c:v>
                      </c:pt>
                      <c:pt idx="33">
                        <c:v>146</c:v>
                      </c:pt>
                      <c:pt idx="34">
                        <c:v>215</c:v>
                      </c:pt>
                      <c:pt idx="35">
                        <c:v>170</c:v>
                      </c:pt>
                      <c:pt idx="36">
                        <c:v>177</c:v>
                      </c:pt>
                      <c:pt idx="37">
                        <c:v>92</c:v>
                      </c:pt>
                      <c:pt idx="38">
                        <c:v>146</c:v>
                      </c:pt>
                      <c:pt idx="39">
                        <c:v>95</c:v>
                      </c:pt>
                      <c:pt idx="40">
                        <c:v>91</c:v>
                      </c:pt>
                      <c:pt idx="41">
                        <c:v>100</c:v>
                      </c:pt>
                      <c:pt idx="42">
                        <c:v>236</c:v>
                      </c:pt>
                      <c:pt idx="43">
                        <c:v>185</c:v>
                      </c:pt>
                      <c:pt idx="44">
                        <c:v>102</c:v>
                      </c:pt>
                      <c:pt idx="45">
                        <c:v>65</c:v>
                      </c:pt>
                      <c:pt idx="46">
                        <c:v>181</c:v>
                      </c:pt>
                      <c:pt idx="47">
                        <c:v>133</c:v>
                      </c:pt>
                      <c:pt idx="48">
                        <c:v>124</c:v>
                      </c:pt>
                      <c:pt idx="49">
                        <c:v>128</c:v>
                      </c:pt>
                      <c:pt idx="50">
                        <c:v>97</c:v>
                      </c:pt>
                      <c:pt idx="51">
                        <c:v>97</c:v>
                      </c:pt>
                      <c:pt idx="52">
                        <c:v>73</c:v>
                      </c:pt>
                      <c:pt idx="53">
                        <c:v>87</c:v>
                      </c:pt>
                      <c:pt idx="54">
                        <c:v>232</c:v>
                      </c:pt>
                      <c:pt idx="55">
                        <c:v>210</c:v>
                      </c:pt>
                      <c:pt idx="56">
                        <c:v>131</c:v>
                      </c:pt>
                      <c:pt idx="57">
                        <c:v>157</c:v>
                      </c:pt>
                      <c:pt idx="58">
                        <c:v>200</c:v>
                      </c:pt>
                      <c:pt idx="59">
                        <c:v>130</c:v>
                      </c:pt>
                      <c:pt idx="60">
                        <c:v>157</c:v>
                      </c:pt>
                      <c:pt idx="61">
                        <c:v>139</c:v>
                      </c:pt>
                      <c:pt idx="62">
                        <c:v>112</c:v>
                      </c:pt>
                      <c:pt idx="63">
                        <c:v>105</c:v>
                      </c:pt>
                      <c:pt idx="64">
                        <c:v>107</c:v>
                      </c:pt>
                      <c:pt idx="65">
                        <c:v>110</c:v>
                      </c:pt>
                      <c:pt idx="66">
                        <c:v>321</c:v>
                      </c:pt>
                      <c:pt idx="67">
                        <c:v>252</c:v>
                      </c:pt>
                      <c:pt idx="68">
                        <c:v>119</c:v>
                      </c:pt>
                      <c:pt idx="69">
                        <c:v>185</c:v>
                      </c:pt>
                      <c:pt idx="70">
                        <c:v>180</c:v>
                      </c:pt>
                      <c:pt idx="71">
                        <c:v>215</c:v>
                      </c:pt>
                      <c:pt idx="72">
                        <c:v>188</c:v>
                      </c:pt>
                      <c:pt idx="73">
                        <c:v>155</c:v>
                      </c:pt>
                      <c:pt idx="74">
                        <c:v>124</c:v>
                      </c:pt>
                      <c:pt idx="75">
                        <c:v>85</c:v>
                      </c:pt>
                      <c:pt idx="76">
                        <c:v>98</c:v>
                      </c:pt>
                      <c:pt idx="77">
                        <c:v>116</c:v>
                      </c:pt>
                      <c:pt idx="78">
                        <c:v>334</c:v>
                      </c:pt>
                      <c:pt idx="79">
                        <c:v>184</c:v>
                      </c:pt>
                      <c:pt idx="80">
                        <c:v>116</c:v>
                      </c:pt>
                      <c:pt idx="81">
                        <c:v>188</c:v>
                      </c:pt>
                      <c:pt idx="82">
                        <c:v>217</c:v>
                      </c:pt>
                      <c:pt idx="83">
                        <c:v>213</c:v>
                      </c:pt>
                      <c:pt idx="84">
                        <c:v>154</c:v>
                      </c:pt>
                      <c:pt idx="85">
                        <c:v>218</c:v>
                      </c:pt>
                      <c:pt idx="86">
                        <c:v>150</c:v>
                      </c:pt>
                      <c:pt idx="87">
                        <c:v>102</c:v>
                      </c:pt>
                      <c:pt idx="88">
                        <c:v>127</c:v>
                      </c:pt>
                      <c:pt idx="89">
                        <c:v>148</c:v>
                      </c:pt>
                      <c:pt idx="90">
                        <c:v>356</c:v>
                      </c:pt>
                      <c:pt idx="91">
                        <c:v>244</c:v>
                      </c:pt>
                      <c:pt idx="92">
                        <c:v>139</c:v>
                      </c:pt>
                      <c:pt idx="93">
                        <c:v>182</c:v>
                      </c:pt>
                      <c:pt idx="94">
                        <c:v>216</c:v>
                      </c:pt>
                      <c:pt idx="95">
                        <c:v>174</c:v>
                      </c:pt>
                      <c:pt idx="96">
                        <c:v>141</c:v>
                      </c:pt>
                      <c:pt idx="97">
                        <c:v>235</c:v>
                      </c:pt>
                      <c:pt idx="98">
                        <c:v>158</c:v>
                      </c:pt>
                      <c:pt idx="99">
                        <c:v>101</c:v>
                      </c:pt>
                      <c:pt idx="100">
                        <c:v>126</c:v>
                      </c:pt>
                      <c:pt idx="101">
                        <c:v>105</c:v>
                      </c:pt>
                      <c:pt idx="102">
                        <c:v>297</c:v>
                      </c:pt>
                      <c:pt idx="103">
                        <c:v>231</c:v>
                      </c:pt>
                      <c:pt idx="104">
                        <c:v>140</c:v>
                      </c:pt>
                      <c:pt idx="105">
                        <c:v>165</c:v>
                      </c:pt>
                      <c:pt idx="106">
                        <c:v>213</c:v>
                      </c:pt>
                      <c:pt idx="107">
                        <c:v>154</c:v>
                      </c:pt>
                      <c:pt idx="108">
                        <c:v>151</c:v>
                      </c:pt>
                      <c:pt idx="109">
                        <c:v>183</c:v>
                      </c:pt>
                      <c:pt idx="110">
                        <c:v>129</c:v>
                      </c:pt>
                      <c:pt idx="111">
                        <c:v>112</c:v>
                      </c:pt>
                      <c:pt idx="112">
                        <c:v>87</c:v>
                      </c:pt>
                      <c:pt idx="113">
                        <c:v>103</c:v>
                      </c:pt>
                      <c:pt idx="114">
                        <c:v>117</c:v>
                      </c:pt>
                      <c:pt idx="115">
                        <c:v>153</c:v>
                      </c:pt>
                      <c:pt idx="116" formatCode="General">
                        <c:v>140</c:v>
                      </c:pt>
                      <c:pt idx="117">
                        <c:v>189</c:v>
                      </c:pt>
                      <c:pt idx="118">
                        <c:v>171</c:v>
                      </c:pt>
                      <c:pt idx="119">
                        <c:v>137</c:v>
                      </c:pt>
                      <c:pt idx="120">
                        <c:v>168</c:v>
                      </c:pt>
                      <c:pt idx="121">
                        <c:v>142</c:v>
                      </c:pt>
                      <c:pt idx="122">
                        <c:v>113</c:v>
                      </c:pt>
                      <c:pt idx="123">
                        <c:v>157</c:v>
                      </c:pt>
                      <c:pt idx="124">
                        <c:v>113</c:v>
                      </c:pt>
                      <c:pt idx="125">
                        <c:v>102</c:v>
                      </c:pt>
                      <c:pt idx="126">
                        <c:v>264</c:v>
                      </c:pt>
                      <c:pt idx="127">
                        <c:v>228</c:v>
                      </c:pt>
                      <c:pt idx="128">
                        <c:v>135</c:v>
                      </c:pt>
                      <c:pt idx="129">
                        <c:v>169</c:v>
                      </c:pt>
                      <c:pt idx="130">
                        <c:v>191</c:v>
                      </c:pt>
                      <c:pt idx="131">
                        <c:v>143</c:v>
                      </c:pt>
                      <c:pt idx="132">
                        <c:v>187</c:v>
                      </c:pt>
                      <c:pt idx="133">
                        <c:v>214</c:v>
                      </c:pt>
                      <c:pt idx="134">
                        <c:v>150</c:v>
                      </c:pt>
                      <c:pt idx="135">
                        <c:v>142</c:v>
                      </c:pt>
                      <c:pt idx="136">
                        <c:v>131</c:v>
                      </c:pt>
                      <c:pt idx="137">
                        <c:v>131</c:v>
                      </c:pt>
                      <c:pt idx="138">
                        <c:v>273</c:v>
                      </c:pt>
                      <c:pt idx="139">
                        <c:v>208</c:v>
                      </c:pt>
                      <c:pt idx="140">
                        <c:v>147</c:v>
                      </c:pt>
                      <c:pt idx="141">
                        <c:v>236</c:v>
                      </c:pt>
                      <c:pt idx="142">
                        <c:v>206</c:v>
                      </c:pt>
                      <c:pt idx="143">
                        <c:v>165</c:v>
                      </c:pt>
                      <c:pt idx="144" formatCode="_(* #,##0_);_(* \(#,##0\);_(* &quot;-&quot;??_);_(@_)">
                        <c:v>195</c:v>
                      </c:pt>
                      <c:pt idx="145">
                        <c:v>254</c:v>
                      </c:pt>
                      <c:pt idx="146">
                        <c:v>168</c:v>
                      </c:pt>
                      <c:pt idx="147">
                        <c:v>170</c:v>
                      </c:pt>
                      <c:pt idx="148" formatCode="_(* #,##0_);_(* \(#,##0\);_(* &quot;-&quot;??_);_(@_)">
                        <c:v>155</c:v>
                      </c:pt>
                      <c:pt idx="149" formatCode="_(* #,##0_);_(* \(#,##0\);_(* &quot;-&quot;??_);_(@_)">
                        <c:v>139</c:v>
                      </c:pt>
                      <c:pt idx="150" formatCode="_(* #,##0_);_(* \(#,##0\);_(* &quot;-&quot;??_);_(@_)">
                        <c:v>329</c:v>
                      </c:pt>
                      <c:pt idx="151" formatCode="_(* #,##0_);_(* \(#,##0\);_(* &quot;-&quot;??_);_(@_)">
                        <c:v>278</c:v>
                      </c:pt>
                      <c:pt idx="152" formatCode="_(* #,##0_);_(* \(#,##0\);_(* &quot;-&quot;??_);_(@_)">
                        <c:v>180</c:v>
                      </c:pt>
                      <c:pt idx="153" formatCode="_(* #,##0_);_(* \(#,##0\);_(* &quot;-&quot;??_);_(@_)">
                        <c:v>169</c:v>
                      </c:pt>
                      <c:pt idx="154" formatCode="_(* #,##0_);_(* \(#,##0\);_(* &quot;-&quot;??_);_(@_)">
                        <c:v>181</c:v>
                      </c:pt>
                      <c:pt idx="155" formatCode="_(* #,##0_);_(* \(#,##0\);_(* &quot;-&quot;??_);_(@_)">
                        <c:v>202</c:v>
                      </c:pt>
                      <c:pt idx="156">
                        <c:v>260</c:v>
                      </c:pt>
                      <c:pt idx="157">
                        <c:v>232</c:v>
                      </c:pt>
                      <c:pt idx="158">
                        <c:v>86</c:v>
                      </c:pt>
                      <c:pt idx="160">
                        <c:v>1</c:v>
                      </c:pt>
                      <c:pt idx="161">
                        <c:v>1</c:v>
                      </c:pt>
                      <c:pt idx="162">
                        <c:v>7</c:v>
                      </c:pt>
                      <c:pt idx="163">
                        <c:v>17</c:v>
                      </c:pt>
                      <c:pt idx="164">
                        <c:v>8</c:v>
                      </c:pt>
                      <c:pt idx="165">
                        <c:v>12</c:v>
                      </c:pt>
                      <c:pt idx="166">
                        <c:v>21</c:v>
                      </c:pt>
                      <c:pt idx="167">
                        <c:v>32</c:v>
                      </c:pt>
                      <c:pt idx="168">
                        <c:v>29</c:v>
                      </c:pt>
                      <c:pt idx="169">
                        <c:v>17</c:v>
                      </c:pt>
                      <c:pt idx="170">
                        <c:v>19</c:v>
                      </c:pt>
                      <c:pt idx="171">
                        <c:v>23</c:v>
                      </c:pt>
                      <c:pt idx="172">
                        <c:v>26</c:v>
                      </c:pt>
                    </c:numCache>
                  </c:numRef>
                </c:val>
                <c:smooth val="0"/>
                <c:extLst xmlns:c15="http://schemas.microsoft.com/office/drawing/2012/chart">
                  <c:ext xmlns:c16="http://schemas.microsoft.com/office/drawing/2014/chart" uri="{C3380CC4-5D6E-409C-BE32-E72D297353CC}">
                    <c16:uniqueId val="{0000001C-8ED6-4044-8E62-D67E03BE4939}"/>
                  </c:ext>
                </c:extLst>
              </c15:ser>
            </c15:filteredLineSeries>
            <c15:filteredLineSeries>
              <c15:ser>
                <c:idx val="29"/>
                <c:order val="29"/>
                <c:tx>
                  <c:strRef>
                    <c:extLst xmlns:c15="http://schemas.microsoft.com/office/drawing/2012/chart">
                      <c:ext xmlns:c15="http://schemas.microsoft.com/office/drawing/2012/chart" uri="{02D57815-91ED-43cb-92C2-25804820EDAC}">
                        <c15:formulaRef>
                          <c15:sqref>'Tendencias nacionalidad'!$C$83</c15:sqref>
                        </c15:formulaRef>
                      </c:ext>
                    </c:extLst>
                    <c:strCache>
                      <c:ptCount val="1"/>
                      <c:pt idx="0">
                        <c:v>Suecia</c:v>
                      </c:pt>
                    </c:strCache>
                  </c:strRef>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nacionalidad'!$D$83:$GA$83</c15:sqref>
                        </c15:fullRef>
                        <c15:formulaRef>
                          <c15:sqref>'Tendencias nacionalidad'!$D$83:$FT$83</c15:sqref>
                        </c15:formulaRef>
                      </c:ext>
                    </c:extLst>
                    <c:numCache>
                      <c:formatCode>#,##0</c:formatCode>
                      <c:ptCount val="173"/>
                      <c:pt idx="0">
                        <c:v>339</c:v>
                      </c:pt>
                      <c:pt idx="1">
                        <c:v>210</c:v>
                      </c:pt>
                      <c:pt idx="2">
                        <c:v>197</c:v>
                      </c:pt>
                      <c:pt idx="3">
                        <c:v>159</c:v>
                      </c:pt>
                      <c:pt idx="4">
                        <c:v>91</c:v>
                      </c:pt>
                      <c:pt idx="5">
                        <c:v>219</c:v>
                      </c:pt>
                      <c:pt idx="6">
                        <c:v>149</c:v>
                      </c:pt>
                      <c:pt idx="7">
                        <c:v>85</c:v>
                      </c:pt>
                      <c:pt idx="8">
                        <c:v>129</c:v>
                      </c:pt>
                      <c:pt idx="9">
                        <c:v>258</c:v>
                      </c:pt>
                      <c:pt idx="10">
                        <c:v>319</c:v>
                      </c:pt>
                      <c:pt idx="11">
                        <c:v>367</c:v>
                      </c:pt>
                      <c:pt idx="12">
                        <c:v>226</c:v>
                      </c:pt>
                      <c:pt idx="13">
                        <c:v>386</c:v>
                      </c:pt>
                      <c:pt idx="14">
                        <c:v>264</c:v>
                      </c:pt>
                      <c:pt idx="15">
                        <c:v>123</c:v>
                      </c:pt>
                      <c:pt idx="16">
                        <c:v>132</c:v>
                      </c:pt>
                      <c:pt idx="17">
                        <c:v>204</c:v>
                      </c:pt>
                      <c:pt idx="18">
                        <c:v>173</c:v>
                      </c:pt>
                      <c:pt idx="19">
                        <c:v>77</c:v>
                      </c:pt>
                      <c:pt idx="20">
                        <c:v>137</c:v>
                      </c:pt>
                      <c:pt idx="21">
                        <c:v>325</c:v>
                      </c:pt>
                      <c:pt idx="22">
                        <c:v>450</c:v>
                      </c:pt>
                      <c:pt idx="23">
                        <c:v>328</c:v>
                      </c:pt>
                      <c:pt idx="24">
                        <c:v>333</c:v>
                      </c:pt>
                      <c:pt idx="25">
                        <c:v>256</c:v>
                      </c:pt>
                      <c:pt idx="26">
                        <c:v>147</c:v>
                      </c:pt>
                      <c:pt idx="27">
                        <c:v>149</c:v>
                      </c:pt>
                      <c:pt idx="28">
                        <c:v>162</c:v>
                      </c:pt>
                      <c:pt idx="29">
                        <c:v>175</c:v>
                      </c:pt>
                      <c:pt idx="30">
                        <c:v>174</c:v>
                      </c:pt>
                      <c:pt idx="31">
                        <c:v>70</c:v>
                      </c:pt>
                      <c:pt idx="32">
                        <c:v>125</c:v>
                      </c:pt>
                      <c:pt idx="33">
                        <c:v>265</c:v>
                      </c:pt>
                      <c:pt idx="34">
                        <c:v>391</c:v>
                      </c:pt>
                      <c:pt idx="35">
                        <c:v>315</c:v>
                      </c:pt>
                      <c:pt idx="36">
                        <c:v>395</c:v>
                      </c:pt>
                      <c:pt idx="37">
                        <c:v>294</c:v>
                      </c:pt>
                      <c:pt idx="38">
                        <c:v>272</c:v>
                      </c:pt>
                      <c:pt idx="39">
                        <c:v>88</c:v>
                      </c:pt>
                      <c:pt idx="40">
                        <c:v>79</c:v>
                      </c:pt>
                      <c:pt idx="41">
                        <c:v>166</c:v>
                      </c:pt>
                      <c:pt idx="42">
                        <c:v>142</c:v>
                      </c:pt>
                      <c:pt idx="43">
                        <c:v>83</c:v>
                      </c:pt>
                      <c:pt idx="44">
                        <c:v>98</c:v>
                      </c:pt>
                      <c:pt idx="45">
                        <c:v>145</c:v>
                      </c:pt>
                      <c:pt idx="46">
                        <c:v>286</c:v>
                      </c:pt>
                      <c:pt idx="47">
                        <c:v>256</c:v>
                      </c:pt>
                      <c:pt idx="48">
                        <c:v>277</c:v>
                      </c:pt>
                      <c:pt idx="49">
                        <c:v>260</c:v>
                      </c:pt>
                      <c:pt idx="50">
                        <c:v>183</c:v>
                      </c:pt>
                      <c:pt idx="51">
                        <c:v>123</c:v>
                      </c:pt>
                      <c:pt idx="52">
                        <c:v>86</c:v>
                      </c:pt>
                      <c:pt idx="53">
                        <c:v>219</c:v>
                      </c:pt>
                      <c:pt idx="54">
                        <c:v>105</c:v>
                      </c:pt>
                      <c:pt idx="55">
                        <c:v>112</c:v>
                      </c:pt>
                      <c:pt idx="56">
                        <c:v>111</c:v>
                      </c:pt>
                      <c:pt idx="57">
                        <c:v>254</c:v>
                      </c:pt>
                      <c:pt idx="58">
                        <c:v>359</c:v>
                      </c:pt>
                      <c:pt idx="59">
                        <c:v>276</c:v>
                      </c:pt>
                      <c:pt idx="60">
                        <c:v>262</c:v>
                      </c:pt>
                      <c:pt idx="61">
                        <c:v>289</c:v>
                      </c:pt>
                      <c:pt idx="62">
                        <c:v>213</c:v>
                      </c:pt>
                      <c:pt idx="63">
                        <c:v>112</c:v>
                      </c:pt>
                      <c:pt idx="64">
                        <c:v>95</c:v>
                      </c:pt>
                      <c:pt idx="65">
                        <c:v>248</c:v>
                      </c:pt>
                      <c:pt idx="66">
                        <c:v>156</c:v>
                      </c:pt>
                      <c:pt idx="67">
                        <c:v>88</c:v>
                      </c:pt>
                      <c:pt idx="68">
                        <c:v>131</c:v>
                      </c:pt>
                      <c:pt idx="69">
                        <c:v>245</c:v>
                      </c:pt>
                      <c:pt idx="70">
                        <c:v>457</c:v>
                      </c:pt>
                      <c:pt idx="71">
                        <c:v>390</c:v>
                      </c:pt>
                      <c:pt idx="72">
                        <c:v>285</c:v>
                      </c:pt>
                      <c:pt idx="73">
                        <c:v>221</c:v>
                      </c:pt>
                      <c:pt idx="74">
                        <c:v>246</c:v>
                      </c:pt>
                      <c:pt idx="75">
                        <c:v>101</c:v>
                      </c:pt>
                      <c:pt idx="76">
                        <c:v>77</c:v>
                      </c:pt>
                      <c:pt idx="77">
                        <c:v>202</c:v>
                      </c:pt>
                      <c:pt idx="78">
                        <c:v>190</c:v>
                      </c:pt>
                      <c:pt idx="79">
                        <c:v>55</c:v>
                      </c:pt>
                      <c:pt idx="80">
                        <c:v>100</c:v>
                      </c:pt>
                      <c:pt idx="81">
                        <c:v>284</c:v>
                      </c:pt>
                      <c:pt idx="82">
                        <c:v>378</c:v>
                      </c:pt>
                      <c:pt idx="83">
                        <c:v>396</c:v>
                      </c:pt>
                      <c:pt idx="84">
                        <c:v>313</c:v>
                      </c:pt>
                      <c:pt idx="85">
                        <c:v>295</c:v>
                      </c:pt>
                      <c:pt idx="86">
                        <c:v>198</c:v>
                      </c:pt>
                      <c:pt idx="87">
                        <c:v>114</c:v>
                      </c:pt>
                      <c:pt idx="88">
                        <c:v>95</c:v>
                      </c:pt>
                      <c:pt idx="89">
                        <c:v>180</c:v>
                      </c:pt>
                      <c:pt idx="90">
                        <c:v>145</c:v>
                      </c:pt>
                      <c:pt idx="91">
                        <c:v>101</c:v>
                      </c:pt>
                      <c:pt idx="92">
                        <c:v>88</c:v>
                      </c:pt>
                      <c:pt idx="93">
                        <c:v>305</c:v>
                      </c:pt>
                      <c:pt idx="94">
                        <c:v>368</c:v>
                      </c:pt>
                      <c:pt idx="95">
                        <c:v>385</c:v>
                      </c:pt>
                      <c:pt idx="96">
                        <c:v>271</c:v>
                      </c:pt>
                      <c:pt idx="97">
                        <c:v>281</c:v>
                      </c:pt>
                      <c:pt idx="98">
                        <c:v>204</c:v>
                      </c:pt>
                      <c:pt idx="99">
                        <c:v>122</c:v>
                      </c:pt>
                      <c:pt idx="100">
                        <c:v>83</c:v>
                      </c:pt>
                      <c:pt idx="101">
                        <c:v>245</c:v>
                      </c:pt>
                      <c:pt idx="102">
                        <c:v>168</c:v>
                      </c:pt>
                      <c:pt idx="103">
                        <c:v>86</c:v>
                      </c:pt>
                      <c:pt idx="104">
                        <c:v>149</c:v>
                      </c:pt>
                      <c:pt idx="105">
                        <c:v>327</c:v>
                      </c:pt>
                      <c:pt idx="106">
                        <c:v>370</c:v>
                      </c:pt>
                      <c:pt idx="107">
                        <c:v>393</c:v>
                      </c:pt>
                      <c:pt idx="108">
                        <c:v>261</c:v>
                      </c:pt>
                      <c:pt idx="109">
                        <c:v>243</c:v>
                      </c:pt>
                      <c:pt idx="110">
                        <c:v>222</c:v>
                      </c:pt>
                      <c:pt idx="111">
                        <c:v>135</c:v>
                      </c:pt>
                      <c:pt idx="112">
                        <c:v>89</c:v>
                      </c:pt>
                      <c:pt idx="113">
                        <c:v>230</c:v>
                      </c:pt>
                      <c:pt idx="114">
                        <c:v>147</c:v>
                      </c:pt>
                      <c:pt idx="115">
                        <c:v>63</c:v>
                      </c:pt>
                      <c:pt idx="116" formatCode="General">
                        <c:v>96</c:v>
                      </c:pt>
                      <c:pt idx="117">
                        <c:v>338</c:v>
                      </c:pt>
                      <c:pt idx="118">
                        <c:v>256</c:v>
                      </c:pt>
                      <c:pt idx="119">
                        <c:v>252</c:v>
                      </c:pt>
                      <c:pt idx="120">
                        <c:v>197</c:v>
                      </c:pt>
                      <c:pt idx="121">
                        <c:v>217</c:v>
                      </c:pt>
                      <c:pt idx="122">
                        <c:v>144</c:v>
                      </c:pt>
                      <c:pt idx="123">
                        <c:v>145</c:v>
                      </c:pt>
                      <c:pt idx="124">
                        <c:v>75</c:v>
                      </c:pt>
                      <c:pt idx="125">
                        <c:v>141</c:v>
                      </c:pt>
                      <c:pt idx="126">
                        <c:v>109</c:v>
                      </c:pt>
                      <c:pt idx="127">
                        <c:v>77</c:v>
                      </c:pt>
                      <c:pt idx="128">
                        <c:v>82</c:v>
                      </c:pt>
                      <c:pt idx="129">
                        <c:v>232</c:v>
                      </c:pt>
                      <c:pt idx="130">
                        <c:v>376</c:v>
                      </c:pt>
                      <c:pt idx="131">
                        <c:v>299</c:v>
                      </c:pt>
                      <c:pt idx="132">
                        <c:v>195</c:v>
                      </c:pt>
                      <c:pt idx="133">
                        <c:v>235</c:v>
                      </c:pt>
                      <c:pt idx="134">
                        <c:v>183</c:v>
                      </c:pt>
                      <c:pt idx="135">
                        <c:v>113</c:v>
                      </c:pt>
                      <c:pt idx="136">
                        <c:v>75</c:v>
                      </c:pt>
                      <c:pt idx="137">
                        <c:v>182</c:v>
                      </c:pt>
                      <c:pt idx="138">
                        <c:v>155</c:v>
                      </c:pt>
                      <c:pt idx="139">
                        <c:v>72</c:v>
                      </c:pt>
                      <c:pt idx="140">
                        <c:v>97</c:v>
                      </c:pt>
                      <c:pt idx="141">
                        <c:v>185</c:v>
                      </c:pt>
                      <c:pt idx="142">
                        <c:v>290</c:v>
                      </c:pt>
                      <c:pt idx="143">
                        <c:v>273</c:v>
                      </c:pt>
                      <c:pt idx="144" formatCode="_(* #,##0_);_(* \(#,##0\);_(* &quot;-&quot;??_);_(@_)">
                        <c:v>248</c:v>
                      </c:pt>
                      <c:pt idx="145">
                        <c:v>226</c:v>
                      </c:pt>
                      <c:pt idx="146">
                        <c:v>182</c:v>
                      </c:pt>
                      <c:pt idx="147">
                        <c:v>104</c:v>
                      </c:pt>
                      <c:pt idx="148" formatCode="_(* #,##0_);_(* \(#,##0\);_(* &quot;-&quot;??_);_(@_)">
                        <c:v>93</c:v>
                      </c:pt>
                      <c:pt idx="149" formatCode="_(* #,##0_);_(* \(#,##0\);_(* &quot;-&quot;??_);_(@_)">
                        <c:v>256</c:v>
                      </c:pt>
                      <c:pt idx="150" formatCode="_(* #,##0_);_(* \(#,##0\);_(* &quot;-&quot;??_);_(@_)">
                        <c:v>199</c:v>
                      </c:pt>
                      <c:pt idx="151" formatCode="_(* #,##0_);_(* \(#,##0\);_(* &quot;-&quot;??_);_(@_)">
                        <c:v>90</c:v>
                      </c:pt>
                      <c:pt idx="152" formatCode="_(* #,##0_);_(* \(#,##0\);_(* &quot;-&quot;??_);_(@_)">
                        <c:v>89</c:v>
                      </c:pt>
                      <c:pt idx="153" formatCode="_(* #,##0_);_(* \(#,##0\);_(* &quot;-&quot;??_);_(@_)">
                        <c:v>133</c:v>
                      </c:pt>
                      <c:pt idx="154" formatCode="_(* #,##0_);_(* \(#,##0\);_(* &quot;-&quot;??_);_(@_)">
                        <c:v>278</c:v>
                      </c:pt>
                      <c:pt idx="155" formatCode="_(* #,##0_);_(* \(#,##0\);_(* &quot;-&quot;??_);_(@_)">
                        <c:v>272</c:v>
                      </c:pt>
                      <c:pt idx="156">
                        <c:v>263</c:v>
                      </c:pt>
                      <c:pt idx="157">
                        <c:v>231</c:v>
                      </c:pt>
                      <c:pt idx="158">
                        <c:v>68</c:v>
                      </c:pt>
                      <c:pt idx="160">
                        <c:v>3</c:v>
                      </c:pt>
                      <c:pt idx="161">
                        <c:v>5</c:v>
                      </c:pt>
                      <c:pt idx="162">
                        <c:v>10</c:v>
                      </c:pt>
                      <c:pt idx="163">
                        <c:v>9</c:v>
                      </c:pt>
                      <c:pt idx="164">
                        <c:v>15</c:v>
                      </c:pt>
                      <c:pt idx="165">
                        <c:v>16</c:v>
                      </c:pt>
                      <c:pt idx="166">
                        <c:v>29</c:v>
                      </c:pt>
                      <c:pt idx="167">
                        <c:v>37</c:v>
                      </c:pt>
                      <c:pt idx="168">
                        <c:v>34</c:v>
                      </c:pt>
                      <c:pt idx="169">
                        <c:v>17</c:v>
                      </c:pt>
                      <c:pt idx="170">
                        <c:v>20</c:v>
                      </c:pt>
                      <c:pt idx="171">
                        <c:v>15</c:v>
                      </c:pt>
                      <c:pt idx="172">
                        <c:v>24</c:v>
                      </c:pt>
                    </c:numCache>
                  </c:numRef>
                </c:val>
                <c:smooth val="0"/>
                <c:extLst xmlns:c15="http://schemas.microsoft.com/office/drawing/2012/chart">
                  <c:ext xmlns:c16="http://schemas.microsoft.com/office/drawing/2014/chart" uri="{C3380CC4-5D6E-409C-BE32-E72D297353CC}">
                    <c16:uniqueId val="{0000001D-8ED6-4044-8E62-D67E03BE4939}"/>
                  </c:ext>
                </c:extLst>
              </c15:ser>
            </c15:filteredLineSeries>
            <c15:filteredLineSeries>
              <c15:ser>
                <c:idx val="30"/>
                <c:order val="30"/>
                <c:tx>
                  <c:strRef>
                    <c:extLst xmlns:c15="http://schemas.microsoft.com/office/drawing/2012/chart">
                      <c:ext xmlns:c15="http://schemas.microsoft.com/office/drawing/2012/chart" uri="{02D57815-91ED-43cb-92C2-25804820EDAC}">
                        <c15:formulaRef>
                          <c15:sqref>'Tendencias nacionalidad'!$C$84</c15:sqref>
                        </c15:formulaRef>
                      </c:ext>
                    </c:extLst>
                    <c:strCache>
                      <c:ptCount val="1"/>
                      <c:pt idx="0">
                        <c:v>Portugal</c:v>
                      </c:pt>
                    </c:strCache>
                  </c:strRef>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nacionalidad'!$D$84:$GA$84</c15:sqref>
                        </c15:fullRef>
                        <c15:formulaRef>
                          <c15:sqref>'Tendencias nacionalidad'!$D$84:$FT$84</c15:sqref>
                        </c15:formulaRef>
                      </c:ext>
                    </c:extLst>
                    <c:numCache>
                      <c:formatCode>#,##0</c:formatCode>
                      <c:ptCount val="173"/>
                      <c:pt idx="168">
                        <c:v>45</c:v>
                      </c:pt>
                      <c:pt idx="169">
                        <c:v>30</c:v>
                      </c:pt>
                      <c:pt idx="170">
                        <c:v>25</c:v>
                      </c:pt>
                      <c:pt idx="171">
                        <c:v>34</c:v>
                      </c:pt>
                      <c:pt idx="172">
                        <c:v>25</c:v>
                      </c:pt>
                    </c:numCache>
                  </c:numRef>
                </c:val>
                <c:smooth val="0"/>
                <c:extLst xmlns:c15="http://schemas.microsoft.com/office/drawing/2012/chart">
                  <c:ext xmlns:c16="http://schemas.microsoft.com/office/drawing/2014/chart" uri="{C3380CC4-5D6E-409C-BE32-E72D297353CC}">
                    <c16:uniqueId val="{0000001E-8ED6-4044-8E62-D67E03BE4939}"/>
                  </c:ext>
                </c:extLst>
              </c15:ser>
            </c15:filteredLineSeries>
            <c15:filteredLineSeries>
              <c15:ser>
                <c:idx val="31"/>
                <c:order val="31"/>
                <c:tx>
                  <c:strRef>
                    <c:extLst xmlns:c15="http://schemas.microsoft.com/office/drawing/2012/chart">
                      <c:ext xmlns:c15="http://schemas.microsoft.com/office/drawing/2012/chart" uri="{02D57815-91ED-43cb-92C2-25804820EDAC}">
                        <c15:formulaRef>
                          <c15:sqref>'Tendencias nacionalidad'!$C$85</c15:sqref>
                        </c15:formulaRef>
                      </c:ext>
                    </c:extLst>
                    <c:strCache>
                      <c:ptCount val="1"/>
                      <c:pt idx="0">
                        <c:v>Otros</c:v>
                      </c:pt>
                    </c:strCache>
                  </c:strRef>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nacionalidad'!$D$85:$GA$85</c15:sqref>
                        </c15:fullRef>
                        <c15:formulaRef>
                          <c15:sqref>'Tendencias nacionalidad'!$D$85:$FT$85</c15:sqref>
                        </c15:formulaRef>
                      </c:ext>
                    </c:extLst>
                    <c:numCache>
                      <c:formatCode>#,##0</c:formatCode>
                      <c:ptCount val="173"/>
                      <c:pt idx="0">
                        <c:v>1352</c:v>
                      </c:pt>
                      <c:pt idx="1">
                        <c:v>1073</c:v>
                      </c:pt>
                      <c:pt idx="2">
                        <c:v>1228</c:v>
                      </c:pt>
                      <c:pt idx="3">
                        <c:v>1130</c:v>
                      </c:pt>
                      <c:pt idx="4">
                        <c:v>1032</c:v>
                      </c:pt>
                      <c:pt idx="5">
                        <c:v>1214</c:v>
                      </c:pt>
                      <c:pt idx="6">
                        <c:v>1621</c:v>
                      </c:pt>
                      <c:pt idx="7">
                        <c:v>1503</c:v>
                      </c:pt>
                      <c:pt idx="8">
                        <c:v>1581</c:v>
                      </c:pt>
                      <c:pt idx="9">
                        <c:v>1686</c:v>
                      </c:pt>
                      <c:pt idx="10">
                        <c:v>1465</c:v>
                      </c:pt>
                      <c:pt idx="11">
                        <c:v>1267</c:v>
                      </c:pt>
                      <c:pt idx="12">
                        <c:v>1457</c:v>
                      </c:pt>
                      <c:pt idx="13">
                        <c:v>1912</c:v>
                      </c:pt>
                      <c:pt idx="14">
                        <c:v>1681</c:v>
                      </c:pt>
                      <c:pt idx="15">
                        <c:v>1419</c:v>
                      </c:pt>
                      <c:pt idx="16">
                        <c:v>1507</c:v>
                      </c:pt>
                      <c:pt idx="17">
                        <c:v>1667</c:v>
                      </c:pt>
                      <c:pt idx="18">
                        <c:v>1856</c:v>
                      </c:pt>
                      <c:pt idx="19">
                        <c:v>2105</c:v>
                      </c:pt>
                      <c:pt idx="20">
                        <c:v>1931</c:v>
                      </c:pt>
                      <c:pt idx="21">
                        <c:v>2079</c:v>
                      </c:pt>
                      <c:pt idx="22">
                        <c:v>2062</c:v>
                      </c:pt>
                      <c:pt idx="23">
                        <c:v>1753</c:v>
                      </c:pt>
                      <c:pt idx="24">
                        <c:v>1691</c:v>
                      </c:pt>
                      <c:pt idx="25">
                        <c:v>1564</c:v>
                      </c:pt>
                      <c:pt idx="26">
                        <c:v>1837</c:v>
                      </c:pt>
                      <c:pt idx="27">
                        <c:v>1902</c:v>
                      </c:pt>
                      <c:pt idx="28">
                        <c:v>1950.5</c:v>
                      </c:pt>
                      <c:pt idx="29">
                        <c:v>1999</c:v>
                      </c:pt>
                      <c:pt idx="30">
                        <c:v>2276</c:v>
                      </c:pt>
                      <c:pt idx="31">
                        <c:v>2179</c:v>
                      </c:pt>
                      <c:pt idx="32">
                        <c:v>1873</c:v>
                      </c:pt>
                      <c:pt idx="33">
                        <c:v>2115</c:v>
                      </c:pt>
                      <c:pt idx="34">
                        <c:v>1922</c:v>
                      </c:pt>
                      <c:pt idx="35">
                        <c:v>1842</c:v>
                      </c:pt>
                      <c:pt idx="36">
                        <c:v>2005</c:v>
                      </c:pt>
                      <c:pt idx="37">
                        <c:v>2148</c:v>
                      </c:pt>
                      <c:pt idx="38">
                        <c:v>2032</c:v>
                      </c:pt>
                      <c:pt idx="39">
                        <c:v>1797</c:v>
                      </c:pt>
                      <c:pt idx="40">
                        <c:v>1836</c:v>
                      </c:pt>
                      <c:pt idx="41">
                        <c:v>2056</c:v>
                      </c:pt>
                      <c:pt idx="42">
                        <c:v>2157</c:v>
                      </c:pt>
                      <c:pt idx="43">
                        <c:v>2080</c:v>
                      </c:pt>
                      <c:pt idx="44">
                        <c:v>1869</c:v>
                      </c:pt>
                      <c:pt idx="45">
                        <c:v>3234</c:v>
                      </c:pt>
                      <c:pt idx="46">
                        <c:v>2064</c:v>
                      </c:pt>
                      <c:pt idx="47">
                        <c:v>1947</c:v>
                      </c:pt>
                      <c:pt idx="48">
                        <c:v>2161</c:v>
                      </c:pt>
                      <c:pt idx="49">
                        <c:v>1925</c:v>
                      </c:pt>
                      <c:pt idx="50">
                        <c:v>2397</c:v>
                      </c:pt>
                      <c:pt idx="51">
                        <c:v>2132</c:v>
                      </c:pt>
                      <c:pt idx="52">
                        <c:v>1881</c:v>
                      </c:pt>
                      <c:pt idx="53">
                        <c:v>1933</c:v>
                      </c:pt>
                      <c:pt idx="54">
                        <c:v>1785</c:v>
                      </c:pt>
                      <c:pt idx="55">
                        <c:v>1871</c:v>
                      </c:pt>
                      <c:pt idx="56">
                        <c:v>1793</c:v>
                      </c:pt>
                      <c:pt idx="57">
                        <c:v>1900</c:v>
                      </c:pt>
                      <c:pt idx="58">
                        <c:v>2198</c:v>
                      </c:pt>
                      <c:pt idx="59">
                        <c:v>1731</c:v>
                      </c:pt>
                      <c:pt idx="60">
                        <c:v>2292</c:v>
                      </c:pt>
                      <c:pt idx="61">
                        <c:v>1667</c:v>
                      </c:pt>
                      <c:pt idx="62">
                        <c:v>1785</c:v>
                      </c:pt>
                      <c:pt idx="63">
                        <c:v>1717</c:v>
                      </c:pt>
                      <c:pt idx="64">
                        <c:v>2030</c:v>
                      </c:pt>
                      <c:pt idx="65">
                        <c:v>2417</c:v>
                      </c:pt>
                      <c:pt idx="66">
                        <c:v>2406</c:v>
                      </c:pt>
                      <c:pt idx="67">
                        <c:v>2181</c:v>
                      </c:pt>
                      <c:pt idx="68">
                        <c:v>2263</c:v>
                      </c:pt>
                      <c:pt idx="69">
                        <c:v>2409</c:v>
                      </c:pt>
                      <c:pt idx="70">
                        <c:v>2762</c:v>
                      </c:pt>
                      <c:pt idx="71">
                        <c:v>2408</c:v>
                      </c:pt>
                      <c:pt idx="72">
                        <c:v>2705</c:v>
                      </c:pt>
                      <c:pt idx="73">
                        <c:v>2224</c:v>
                      </c:pt>
                      <c:pt idx="74">
                        <c:v>3674</c:v>
                      </c:pt>
                      <c:pt idx="75">
                        <c:v>2902</c:v>
                      </c:pt>
                      <c:pt idx="76">
                        <c:v>2693</c:v>
                      </c:pt>
                      <c:pt idx="77">
                        <c:v>3260</c:v>
                      </c:pt>
                      <c:pt idx="78">
                        <c:v>2875</c:v>
                      </c:pt>
                      <c:pt idx="79">
                        <c:v>2875</c:v>
                      </c:pt>
                      <c:pt idx="80">
                        <c:v>2838</c:v>
                      </c:pt>
                      <c:pt idx="81">
                        <c:v>3163</c:v>
                      </c:pt>
                      <c:pt idx="82">
                        <c:v>3258</c:v>
                      </c:pt>
                      <c:pt idx="83">
                        <c:v>3987</c:v>
                      </c:pt>
                      <c:pt idx="84">
                        <c:v>1464</c:v>
                      </c:pt>
                      <c:pt idx="85">
                        <c:v>2663</c:v>
                      </c:pt>
                      <c:pt idx="86">
                        <c:v>2765</c:v>
                      </c:pt>
                      <c:pt idx="87">
                        <c:v>2718</c:v>
                      </c:pt>
                      <c:pt idx="88">
                        <c:v>2898</c:v>
                      </c:pt>
                      <c:pt idx="89">
                        <c:v>1850</c:v>
                      </c:pt>
                      <c:pt idx="90">
                        <c:v>3517</c:v>
                      </c:pt>
                      <c:pt idx="91">
                        <c:v>3243</c:v>
                      </c:pt>
                      <c:pt idx="92">
                        <c:v>4230</c:v>
                      </c:pt>
                      <c:pt idx="93">
                        <c:v>4080</c:v>
                      </c:pt>
                      <c:pt idx="94">
                        <c:v>4657</c:v>
                      </c:pt>
                      <c:pt idx="95">
                        <c:v>4249</c:v>
                      </c:pt>
                      <c:pt idx="96">
                        <c:v>4365</c:v>
                      </c:pt>
                      <c:pt idx="97">
                        <c:v>4265</c:v>
                      </c:pt>
                      <c:pt idx="98">
                        <c:v>4529</c:v>
                      </c:pt>
                      <c:pt idx="99">
                        <c:v>4893</c:v>
                      </c:pt>
                      <c:pt idx="100">
                        <c:v>4695</c:v>
                      </c:pt>
                      <c:pt idx="101">
                        <c:v>4155</c:v>
                      </c:pt>
                      <c:pt idx="102">
                        <c:v>4388</c:v>
                      </c:pt>
                      <c:pt idx="103">
                        <c:v>2823</c:v>
                      </c:pt>
                      <c:pt idx="104">
                        <c:v>3036</c:v>
                      </c:pt>
                      <c:pt idx="105">
                        <c:v>2822</c:v>
                      </c:pt>
                      <c:pt idx="106">
                        <c:v>3131</c:v>
                      </c:pt>
                      <c:pt idx="107">
                        <c:v>2609</c:v>
                      </c:pt>
                      <c:pt idx="108">
                        <c:v>2637</c:v>
                      </c:pt>
                      <c:pt idx="109">
                        <c:v>2682</c:v>
                      </c:pt>
                      <c:pt idx="110">
                        <c:v>2560</c:v>
                      </c:pt>
                      <c:pt idx="111">
                        <c:v>2027</c:v>
                      </c:pt>
                      <c:pt idx="112">
                        <c:v>2406</c:v>
                      </c:pt>
                      <c:pt idx="113">
                        <c:v>2378</c:v>
                      </c:pt>
                      <c:pt idx="114">
                        <c:v>2754</c:v>
                      </c:pt>
                      <c:pt idx="115">
                        <c:v>2485</c:v>
                      </c:pt>
                      <c:pt idx="116">
                        <c:v>2655</c:v>
                      </c:pt>
                      <c:pt idx="117">
                        <c:v>5694</c:v>
                      </c:pt>
                      <c:pt idx="118">
                        <c:v>3499</c:v>
                      </c:pt>
                      <c:pt idx="119">
                        <c:v>3813</c:v>
                      </c:pt>
                      <c:pt idx="120">
                        <c:v>3249</c:v>
                      </c:pt>
                      <c:pt idx="121">
                        <c:v>2963</c:v>
                      </c:pt>
                      <c:pt idx="122">
                        <c:v>3245</c:v>
                      </c:pt>
                      <c:pt idx="123">
                        <c:v>3320</c:v>
                      </c:pt>
                      <c:pt idx="124">
                        <c:v>3212</c:v>
                      </c:pt>
                      <c:pt idx="125">
                        <c:v>3871</c:v>
                      </c:pt>
                      <c:pt idx="126">
                        <c:v>4324</c:v>
                      </c:pt>
                      <c:pt idx="127">
                        <c:v>3626</c:v>
                      </c:pt>
                      <c:pt idx="128">
                        <c:v>3420</c:v>
                      </c:pt>
                      <c:pt idx="129">
                        <c:v>3792</c:v>
                      </c:pt>
                      <c:pt idx="130">
                        <c:v>4114</c:v>
                      </c:pt>
                      <c:pt idx="131">
                        <c:v>4059</c:v>
                      </c:pt>
                      <c:pt idx="132">
                        <c:v>3570</c:v>
                      </c:pt>
                      <c:pt idx="133">
                        <c:v>3494</c:v>
                      </c:pt>
                      <c:pt idx="134">
                        <c:v>3839</c:v>
                      </c:pt>
                      <c:pt idx="135">
                        <c:v>3851</c:v>
                      </c:pt>
                      <c:pt idx="136">
                        <c:v>3882</c:v>
                      </c:pt>
                      <c:pt idx="137">
                        <c:v>4239</c:v>
                      </c:pt>
                      <c:pt idx="138">
                        <c:v>4301</c:v>
                      </c:pt>
                      <c:pt idx="139">
                        <c:v>3635</c:v>
                      </c:pt>
                      <c:pt idx="140">
                        <c:v>3911</c:v>
                      </c:pt>
                      <c:pt idx="141">
                        <c:v>4054</c:v>
                      </c:pt>
                      <c:pt idx="142">
                        <c:v>4768</c:v>
                      </c:pt>
                      <c:pt idx="143">
                        <c:v>4485</c:v>
                      </c:pt>
                      <c:pt idx="144" formatCode="_(* #,##0_);_(* \(#,##0\);_(* &quot;-&quot;??_);_(@_)">
                        <c:v>3867</c:v>
                      </c:pt>
                      <c:pt idx="145" formatCode="_(* #,##0_);_(* \(#,##0\);_(* &quot;-&quot;??_);_(@_)">
                        <c:v>3871</c:v>
                      </c:pt>
                      <c:pt idx="146" formatCode="_(* #,##0_);_(* \(#,##0\);_(* &quot;-&quot;??_);_(@_)">
                        <c:v>4529</c:v>
                      </c:pt>
                      <c:pt idx="147" formatCode="_(* #,##0_);_(* \(#,##0\);_(* &quot;-&quot;??_);_(@_)">
                        <c:v>4829</c:v>
                      </c:pt>
                      <c:pt idx="148" formatCode="_(* #,##0_);_(* \(#,##0\);_(* &quot;-&quot;??_);_(@_)">
                        <c:v>3586</c:v>
                      </c:pt>
                      <c:pt idx="149" formatCode="_(* #,##0_);_(* \(#,##0\);_(* &quot;-&quot;??_);_(@_)">
                        <c:v>6971</c:v>
                      </c:pt>
                      <c:pt idx="150" formatCode="_(* #,##0_);_(* \(#,##0\);_(* &quot;-&quot;??_);_(@_)">
                        <c:v>6736</c:v>
                      </c:pt>
                      <c:pt idx="151" formatCode="_(* #,##0_);_(* \(#,##0\);_(* &quot;-&quot;??_);_(@_)">
                        <c:v>1079</c:v>
                      </c:pt>
                      <c:pt idx="152" formatCode="_(* #,##0_);_(* \(#,##0\);_(* &quot;-&quot;??_);_(@_)">
                        <c:v>3112</c:v>
                      </c:pt>
                      <c:pt idx="153" formatCode="_(* #,##0_);_(* \(#,##0\);_(* &quot;-&quot;??_);_(@_)">
                        <c:v>2696</c:v>
                      </c:pt>
                      <c:pt idx="154" formatCode="_(* #,##0_);_(* \(#,##0\);_(* &quot;-&quot;??_);_(@_)">
                        <c:v>3234</c:v>
                      </c:pt>
                      <c:pt idx="155" formatCode="_(* #,##0_);_(* \(#,##0\);_(* &quot;-&quot;??_);_(@_)">
                        <c:v>3088</c:v>
                      </c:pt>
                      <c:pt idx="156" formatCode="_(* #,##0_);_(* \(#,##0\);_(* &quot;-&quot;??_);_(@_)">
                        <c:v>3447</c:v>
                      </c:pt>
                      <c:pt idx="157" formatCode="_(* #,##0_);_(* \(#,##0\);_(* &quot;-&quot;??_);_(@_)">
                        <c:v>2919</c:v>
                      </c:pt>
                      <c:pt idx="158" formatCode="_(* #,##0_);_(* \(#,##0\);_(* &quot;-&quot;??_);_(@_)">
                        <c:v>1120</c:v>
                      </c:pt>
                      <c:pt idx="159" formatCode="_(* #,##0_);_(* \(#,##0\);_(* &quot;-&quot;??_);_(@_)">
                        <c:v>23</c:v>
                      </c:pt>
                      <c:pt idx="160" formatCode="_(* #,##0_);_(* \(#,##0\);_(* &quot;-&quot;??_);_(@_)">
                        <c:v>40</c:v>
                      </c:pt>
                      <c:pt idx="161" formatCode="_(* #,##0_);_(* \(#,##0\);_(* &quot;-&quot;??_);_(@_)">
                        <c:v>81</c:v>
                      </c:pt>
                      <c:pt idx="162" formatCode="_(* #,##0_);_(* \(#,##0\);_(* &quot;-&quot;??_);_(@_)">
                        <c:v>160</c:v>
                      </c:pt>
                      <c:pt idx="163" formatCode="_(* #,##0_);_(* \(#,##0\);_(* &quot;-&quot;??_);_(@_)">
                        <c:v>197</c:v>
                      </c:pt>
                      <c:pt idx="164" formatCode="_(* #,##0_);_(* \(#,##0\);_(* &quot;-&quot;??_);_(@_)">
                        <c:v>256</c:v>
                      </c:pt>
                      <c:pt idx="165" formatCode="_(* #,##0_);_(* \(#,##0\);_(* &quot;-&quot;??_);_(@_)">
                        <c:v>421</c:v>
                      </c:pt>
                      <c:pt idx="166" formatCode="_(* #,##0_);_(* \(#,##0\);_(* &quot;-&quot;??_);_(@_)">
                        <c:v>533</c:v>
                      </c:pt>
                      <c:pt idx="167" formatCode="_(* #,##0_);_(* \(#,##0\);_(* &quot;-&quot;??_);_(@_)">
                        <c:v>796</c:v>
                      </c:pt>
                      <c:pt idx="168" formatCode="_(* #,##0_);_(* \(#,##0\);_(* &quot;-&quot;??_);_(@_)">
                        <c:v>-330</c:v>
                      </c:pt>
                      <c:pt idx="169" formatCode="_(* #,##0_);_(* \(#,##0\);_(* &quot;-&quot;??_);_(@_)">
                        <c:v>535</c:v>
                      </c:pt>
                      <c:pt idx="170" formatCode="_(* #,##0_);_(* \(#,##0\);_(* &quot;-&quot;??_);_(@_)">
                        <c:v>676</c:v>
                      </c:pt>
                      <c:pt idx="171" formatCode="_(* #,##0_);_(* \(#,##0\);_(* &quot;-&quot;??_);_(@_)">
                        <c:v>695</c:v>
                      </c:pt>
                      <c:pt idx="172" formatCode="_(* #,##0_);_(* \(#,##0\);_(* &quot;-&quot;??_);_(@_)">
                        <c:v>698</c:v>
                      </c:pt>
                    </c:numCache>
                  </c:numRef>
                </c:val>
                <c:smooth val="0"/>
                <c:extLst xmlns:c15="http://schemas.microsoft.com/office/drawing/2012/chart">
                  <c:ext xmlns:c16="http://schemas.microsoft.com/office/drawing/2014/chart" uri="{C3380CC4-5D6E-409C-BE32-E72D297353CC}">
                    <c16:uniqueId val="{0000001F-8ED6-4044-8E62-D67E03BE4939}"/>
                  </c:ext>
                </c:extLst>
              </c15:ser>
            </c15:filteredLineSeries>
          </c:ext>
        </c:extLst>
      </c:lineChart>
      <c:dateAx>
        <c:axId val="939981295"/>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EC"/>
          </a:p>
        </c:txPr>
        <c:crossAx val="939983375"/>
        <c:crosses val="autoZero"/>
        <c:auto val="1"/>
        <c:lblOffset val="100"/>
        <c:baseTimeUnit val="months"/>
      </c:dateAx>
      <c:valAx>
        <c:axId val="93998337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39981295"/>
        <c:crosses val="autoZero"/>
        <c:crossBetween val="between"/>
      </c:valAx>
      <c:spPr>
        <a:noFill/>
        <a:ln>
          <a:noFill/>
        </a:ln>
        <a:effectLst/>
      </c:spPr>
    </c:plotArea>
    <c:legend>
      <c:legendPos val="r"/>
      <c:layout>
        <c:manualLayout>
          <c:xMode val="edge"/>
          <c:yMode val="edge"/>
          <c:x val="0.88262453328905666"/>
          <c:y val="0.29099999181088554"/>
          <c:w val="0.11053467081665974"/>
          <c:h val="0.18382657512379369"/>
        </c:manualLayout>
      </c:layout>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Evolución llegadas</a:t>
            </a:r>
            <a:r>
              <a:rPr lang="es-EC" baseline="0"/>
              <a:t> histórico</a:t>
            </a:r>
          </a:p>
          <a:p>
            <a:pPr>
              <a:defRPr/>
            </a:pPr>
            <a:r>
              <a:rPr lang="es-EC" baseline="0"/>
              <a:t>Mercados prioritarios</a:t>
            </a:r>
          </a:p>
          <a:p>
            <a:pPr>
              <a:defRPr/>
            </a:pPr>
            <a:r>
              <a:rPr lang="es-EC" baseline="0"/>
              <a:t>Totales Mensuales</a:t>
            </a:r>
            <a:endParaRPr lang="es-EC"/>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2.9979287385654363E-2"/>
          <c:y val="0.10416637157366893"/>
          <c:w val="0.84543900490699542"/>
          <c:h val="0.80983589413781054"/>
        </c:manualLayout>
      </c:layout>
      <c:lineChart>
        <c:grouping val="standard"/>
        <c:varyColors val="0"/>
        <c:ser>
          <c:idx val="0"/>
          <c:order val="0"/>
          <c:tx>
            <c:strRef>
              <c:f>'Tendencias nacionalidad'!$C$54</c:f>
              <c:strCache>
                <c:ptCount val="1"/>
                <c:pt idx="0">
                  <c:v>Estados Unidos</c:v>
                </c:pt>
              </c:strCache>
              <c:extLst xmlns:c15="http://schemas.microsoft.com/office/drawing/2012/chart"/>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nacionalidad'!$D$54:$GA$54</c15:sqref>
                  </c15:fullRef>
                </c:ext>
              </c:extLst>
              <c:f>'Tendencias nacionalidad'!$D$54:$FT$54</c:f>
              <c:numCache>
                <c:formatCode>#,##0</c:formatCode>
                <c:ptCount val="173"/>
                <c:pt idx="0">
                  <c:v>7760</c:v>
                </c:pt>
                <c:pt idx="1">
                  <c:v>7608</c:v>
                </c:pt>
                <c:pt idx="2">
                  <c:v>9828</c:v>
                </c:pt>
                <c:pt idx="3">
                  <c:v>7137</c:v>
                </c:pt>
                <c:pt idx="4">
                  <c:v>8490</c:v>
                </c:pt>
                <c:pt idx="5">
                  <c:v>14706</c:v>
                </c:pt>
                <c:pt idx="6">
                  <c:v>16146</c:v>
                </c:pt>
                <c:pt idx="7">
                  <c:v>12359</c:v>
                </c:pt>
                <c:pt idx="8">
                  <c:v>6638</c:v>
                </c:pt>
                <c:pt idx="9">
                  <c:v>7413</c:v>
                </c:pt>
                <c:pt idx="10">
                  <c:v>8563</c:v>
                </c:pt>
                <c:pt idx="11">
                  <c:v>11317</c:v>
                </c:pt>
                <c:pt idx="12">
                  <c:v>10075</c:v>
                </c:pt>
                <c:pt idx="13">
                  <c:v>13044</c:v>
                </c:pt>
                <c:pt idx="14">
                  <c:v>11621</c:v>
                </c:pt>
                <c:pt idx="15">
                  <c:v>8418</c:v>
                </c:pt>
                <c:pt idx="16">
                  <c:v>11294</c:v>
                </c:pt>
                <c:pt idx="17">
                  <c:v>18034</c:v>
                </c:pt>
                <c:pt idx="18">
                  <c:v>16699</c:v>
                </c:pt>
                <c:pt idx="19">
                  <c:v>12325</c:v>
                </c:pt>
                <c:pt idx="20">
                  <c:v>7659</c:v>
                </c:pt>
                <c:pt idx="21">
                  <c:v>7702</c:v>
                </c:pt>
                <c:pt idx="22">
                  <c:v>8570</c:v>
                </c:pt>
                <c:pt idx="23">
                  <c:v>11704</c:v>
                </c:pt>
                <c:pt idx="24">
                  <c:v>9962</c:v>
                </c:pt>
                <c:pt idx="25">
                  <c:v>9139</c:v>
                </c:pt>
                <c:pt idx="26">
                  <c:v>10302</c:v>
                </c:pt>
                <c:pt idx="27">
                  <c:v>8924</c:v>
                </c:pt>
                <c:pt idx="28">
                  <c:v>12993</c:v>
                </c:pt>
                <c:pt idx="29">
                  <c:v>17062</c:v>
                </c:pt>
                <c:pt idx="30">
                  <c:v>16655</c:v>
                </c:pt>
                <c:pt idx="31">
                  <c:v>11416</c:v>
                </c:pt>
                <c:pt idx="32">
                  <c:v>6635</c:v>
                </c:pt>
                <c:pt idx="33">
                  <c:v>7211</c:v>
                </c:pt>
                <c:pt idx="34">
                  <c:v>7598</c:v>
                </c:pt>
                <c:pt idx="35">
                  <c:v>11858</c:v>
                </c:pt>
                <c:pt idx="36">
                  <c:v>9232</c:v>
                </c:pt>
                <c:pt idx="37">
                  <c:v>8487</c:v>
                </c:pt>
                <c:pt idx="38">
                  <c:v>10219</c:v>
                </c:pt>
                <c:pt idx="39">
                  <c:v>7810</c:v>
                </c:pt>
                <c:pt idx="40">
                  <c:v>10758</c:v>
                </c:pt>
                <c:pt idx="41">
                  <c:v>15930</c:v>
                </c:pt>
                <c:pt idx="42">
                  <c:v>15799</c:v>
                </c:pt>
                <c:pt idx="43">
                  <c:v>10584</c:v>
                </c:pt>
                <c:pt idx="44">
                  <c:v>6327</c:v>
                </c:pt>
                <c:pt idx="45">
                  <c:v>7725</c:v>
                </c:pt>
                <c:pt idx="46">
                  <c:v>7556</c:v>
                </c:pt>
                <c:pt idx="47">
                  <c:v>11437</c:v>
                </c:pt>
                <c:pt idx="48">
                  <c:v>9093</c:v>
                </c:pt>
                <c:pt idx="49">
                  <c:v>9118</c:v>
                </c:pt>
                <c:pt idx="50">
                  <c:v>11492</c:v>
                </c:pt>
                <c:pt idx="51">
                  <c:v>9029</c:v>
                </c:pt>
                <c:pt idx="52">
                  <c:v>11497</c:v>
                </c:pt>
                <c:pt idx="53">
                  <c:v>16581</c:v>
                </c:pt>
                <c:pt idx="54">
                  <c:v>16087</c:v>
                </c:pt>
                <c:pt idx="55">
                  <c:v>10842</c:v>
                </c:pt>
                <c:pt idx="56">
                  <c:v>6954</c:v>
                </c:pt>
                <c:pt idx="57">
                  <c:v>7874</c:v>
                </c:pt>
                <c:pt idx="58">
                  <c:v>8957</c:v>
                </c:pt>
                <c:pt idx="59">
                  <c:v>12798</c:v>
                </c:pt>
                <c:pt idx="60">
                  <c:v>9054</c:v>
                </c:pt>
                <c:pt idx="61">
                  <c:v>8325</c:v>
                </c:pt>
                <c:pt idx="62">
                  <c:v>11925</c:v>
                </c:pt>
                <c:pt idx="63">
                  <c:v>9068</c:v>
                </c:pt>
                <c:pt idx="64">
                  <c:v>11902</c:v>
                </c:pt>
                <c:pt idx="65">
                  <c:v>18638</c:v>
                </c:pt>
                <c:pt idx="66">
                  <c:v>18162</c:v>
                </c:pt>
                <c:pt idx="67">
                  <c:v>12296</c:v>
                </c:pt>
                <c:pt idx="68">
                  <c:v>8393</c:v>
                </c:pt>
                <c:pt idx="69">
                  <c:v>9607</c:v>
                </c:pt>
                <c:pt idx="70">
                  <c:v>9130</c:v>
                </c:pt>
                <c:pt idx="71">
                  <c:v>14125</c:v>
                </c:pt>
                <c:pt idx="72">
                  <c:v>11222</c:v>
                </c:pt>
                <c:pt idx="73">
                  <c:v>10182</c:v>
                </c:pt>
                <c:pt idx="74">
                  <c:v>12798</c:v>
                </c:pt>
                <c:pt idx="75">
                  <c:v>8722</c:v>
                </c:pt>
                <c:pt idx="76">
                  <c:v>11830</c:v>
                </c:pt>
                <c:pt idx="77">
                  <c:v>18551</c:v>
                </c:pt>
                <c:pt idx="78">
                  <c:v>17188</c:v>
                </c:pt>
                <c:pt idx="79">
                  <c:v>11501</c:v>
                </c:pt>
                <c:pt idx="80">
                  <c:v>8067</c:v>
                </c:pt>
                <c:pt idx="81">
                  <c:v>9168</c:v>
                </c:pt>
                <c:pt idx="82">
                  <c:v>8606</c:v>
                </c:pt>
                <c:pt idx="83">
                  <c:v>13760</c:v>
                </c:pt>
                <c:pt idx="84">
                  <c:v>10287</c:v>
                </c:pt>
                <c:pt idx="85">
                  <c:v>10836</c:v>
                </c:pt>
                <c:pt idx="86">
                  <c:v>12287</c:v>
                </c:pt>
                <c:pt idx="87">
                  <c:v>9534</c:v>
                </c:pt>
                <c:pt idx="88">
                  <c:v>12241</c:v>
                </c:pt>
                <c:pt idx="89">
                  <c:v>19418</c:v>
                </c:pt>
                <c:pt idx="90">
                  <c:v>18361</c:v>
                </c:pt>
                <c:pt idx="91">
                  <c:v>11442</c:v>
                </c:pt>
                <c:pt idx="92">
                  <c:v>7926</c:v>
                </c:pt>
                <c:pt idx="93">
                  <c:v>9349</c:v>
                </c:pt>
                <c:pt idx="94">
                  <c:v>9325</c:v>
                </c:pt>
                <c:pt idx="95">
                  <c:v>16124</c:v>
                </c:pt>
                <c:pt idx="96">
                  <c:v>13066</c:v>
                </c:pt>
                <c:pt idx="97">
                  <c:v>11670</c:v>
                </c:pt>
                <c:pt idx="98">
                  <c:v>13778</c:v>
                </c:pt>
                <c:pt idx="99">
                  <c:v>10311</c:v>
                </c:pt>
                <c:pt idx="100">
                  <c:v>13333</c:v>
                </c:pt>
                <c:pt idx="101">
                  <c:v>20663</c:v>
                </c:pt>
                <c:pt idx="102">
                  <c:v>21177</c:v>
                </c:pt>
                <c:pt idx="103">
                  <c:v>12790</c:v>
                </c:pt>
                <c:pt idx="104">
                  <c:v>8295</c:v>
                </c:pt>
                <c:pt idx="105">
                  <c:v>10454</c:v>
                </c:pt>
                <c:pt idx="106">
                  <c:v>10526</c:v>
                </c:pt>
                <c:pt idx="107">
                  <c:v>17781</c:v>
                </c:pt>
                <c:pt idx="108">
                  <c:v>13010</c:v>
                </c:pt>
                <c:pt idx="109">
                  <c:v>12991</c:v>
                </c:pt>
                <c:pt idx="110">
                  <c:v>16523</c:v>
                </c:pt>
                <c:pt idx="111">
                  <c:v>11438</c:v>
                </c:pt>
                <c:pt idx="112">
                  <c:v>14743</c:v>
                </c:pt>
                <c:pt idx="113">
                  <c:v>22278</c:v>
                </c:pt>
                <c:pt idx="114">
                  <c:v>20718</c:v>
                </c:pt>
                <c:pt idx="115">
                  <c:v>12747</c:v>
                </c:pt>
                <c:pt idx="116" formatCode="General">
                  <c:v>8085</c:v>
                </c:pt>
                <c:pt idx="117">
                  <c:v>8608</c:v>
                </c:pt>
                <c:pt idx="118">
                  <c:v>8458</c:v>
                </c:pt>
                <c:pt idx="119">
                  <c:v>14249</c:v>
                </c:pt>
                <c:pt idx="120">
                  <c:v>10839</c:v>
                </c:pt>
                <c:pt idx="121">
                  <c:v>9438</c:v>
                </c:pt>
                <c:pt idx="122">
                  <c:v>12542</c:v>
                </c:pt>
                <c:pt idx="123">
                  <c:v>10543</c:v>
                </c:pt>
                <c:pt idx="124">
                  <c:v>11258</c:v>
                </c:pt>
                <c:pt idx="125">
                  <c:v>20272</c:v>
                </c:pt>
                <c:pt idx="126">
                  <c:v>17940</c:v>
                </c:pt>
                <c:pt idx="127">
                  <c:v>10624</c:v>
                </c:pt>
                <c:pt idx="128">
                  <c:v>7285</c:v>
                </c:pt>
                <c:pt idx="129">
                  <c:v>7872</c:v>
                </c:pt>
                <c:pt idx="130">
                  <c:v>8957</c:v>
                </c:pt>
                <c:pt idx="131">
                  <c:v>14636</c:v>
                </c:pt>
                <c:pt idx="132">
                  <c:v>11180</c:v>
                </c:pt>
                <c:pt idx="133">
                  <c:v>10692</c:v>
                </c:pt>
                <c:pt idx="134">
                  <c:v>15555</c:v>
                </c:pt>
                <c:pt idx="135">
                  <c:v>9707</c:v>
                </c:pt>
                <c:pt idx="136">
                  <c:v>13514</c:v>
                </c:pt>
                <c:pt idx="137">
                  <c:v>21285</c:v>
                </c:pt>
                <c:pt idx="138">
                  <c:v>17119</c:v>
                </c:pt>
                <c:pt idx="139">
                  <c:v>10772</c:v>
                </c:pt>
                <c:pt idx="140">
                  <c:v>7523</c:v>
                </c:pt>
                <c:pt idx="141">
                  <c:v>8091</c:v>
                </c:pt>
                <c:pt idx="142">
                  <c:v>8887</c:v>
                </c:pt>
                <c:pt idx="143">
                  <c:v>14417</c:v>
                </c:pt>
                <c:pt idx="144" formatCode="_(* #,##0_);_(* \(#,##0\);_(* &quot;-&quot;??_);_(@_)">
                  <c:v>11535</c:v>
                </c:pt>
                <c:pt idx="145">
                  <c:v>10029</c:v>
                </c:pt>
                <c:pt idx="146">
                  <c:v>13852</c:v>
                </c:pt>
                <c:pt idx="147">
                  <c:v>10247</c:v>
                </c:pt>
                <c:pt idx="148" formatCode="_(* #,##0_);_(* \(#,##0\);_(* &quot;-&quot;??_);_(@_)">
                  <c:v>10194</c:v>
                </c:pt>
                <c:pt idx="149" formatCode="_(* #,##0_);_(* \(#,##0\);_(* &quot;-&quot;??_);_(@_)">
                  <c:v>27252</c:v>
                </c:pt>
                <c:pt idx="150" formatCode="_(* #,##0_);_(* \(#,##0\);_(* &quot;-&quot;??_);_(@_)">
                  <c:v>24033</c:v>
                </c:pt>
                <c:pt idx="151" formatCode="_(* #,##0_);_(* \(#,##0\);_(* &quot;-&quot;??_);_(@_)">
                  <c:v>16389</c:v>
                </c:pt>
                <c:pt idx="152" formatCode="_(* #,##0_);_(* \(#,##0\);_(* &quot;-&quot;??_);_(@_)">
                  <c:v>12076</c:v>
                </c:pt>
                <c:pt idx="153" formatCode="_(* #,##0_);_(* \(#,##0\);_(* &quot;-&quot;??_);_(@_)">
                  <c:v>10654</c:v>
                </c:pt>
                <c:pt idx="154" formatCode="_(* #,##0_);_(* \(#,##0\);_(* &quot;-&quot;??_);_(@_)">
                  <c:v>13694</c:v>
                </c:pt>
                <c:pt idx="155" formatCode="_(* #,##0_);_(* \(#,##0\);_(* &quot;-&quot;??_);_(@_)">
                  <c:v>20560</c:v>
                </c:pt>
                <c:pt idx="156">
                  <c:v>15918</c:v>
                </c:pt>
                <c:pt idx="157">
                  <c:v>16475</c:v>
                </c:pt>
                <c:pt idx="158">
                  <c:v>6730</c:v>
                </c:pt>
                <c:pt idx="159">
                  <c:v>88</c:v>
                </c:pt>
                <c:pt idx="160">
                  <c:v>146</c:v>
                </c:pt>
                <c:pt idx="161">
                  <c:v>570</c:v>
                </c:pt>
                <c:pt idx="162">
                  <c:v>1194</c:v>
                </c:pt>
                <c:pt idx="163">
                  <c:v>1377</c:v>
                </c:pt>
                <c:pt idx="164">
                  <c:v>1707</c:v>
                </c:pt>
                <c:pt idx="165">
                  <c:v>2600</c:v>
                </c:pt>
                <c:pt idx="166">
                  <c:v>3904</c:v>
                </c:pt>
                <c:pt idx="167">
                  <c:v>7006</c:v>
                </c:pt>
                <c:pt idx="168">
                  <c:v>4551</c:v>
                </c:pt>
                <c:pt idx="169">
                  <c:v>3828</c:v>
                </c:pt>
                <c:pt idx="170">
                  <c:v>5327</c:v>
                </c:pt>
                <c:pt idx="171">
                  <c:v>5475</c:v>
                </c:pt>
                <c:pt idx="172">
                  <c:v>6558</c:v>
                </c:pt>
              </c:numCache>
            </c:numRef>
          </c:val>
          <c:smooth val="0"/>
          <c:extLst xmlns:c15="http://schemas.microsoft.com/office/drawing/2012/chart">
            <c:ext xmlns:c16="http://schemas.microsoft.com/office/drawing/2014/chart" uri="{C3380CC4-5D6E-409C-BE32-E72D297353CC}">
              <c16:uniqueId val="{00000005-9994-4956-9FBA-2410398E6D0E}"/>
            </c:ext>
          </c:extLst>
        </c:ser>
        <c:ser>
          <c:idx val="2"/>
          <c:order val="2"/>
          <c:tx>
            <c:strRef>
              <c:f>'Tendencias nacionalidad'!$C$56</c:f>
              <c:strCache>
                <c:ptCount val="1"/>
                <c:pt idx="0">
                  <c:v>España</c:v>
                </c:pt>
              </c:strCache>
              <c:extLst xmlns:c15="http://schemas.microsoft.com/office/drawing/2012/chart"/>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nacionalidad'!$D$56:$GA$56</c15:sqref>
                  </c15:fullRef>
                </c:ext>
              </c:extLst>
              <c:f>'Tendencias nacionalidad'!$D$56:$FT$56</c:f>
              <c:numCache>
                <c:formatCode>#,##0</c:formatCode>
                <c:ptCount val="173"/>
                <c:pt idx="0">
                  <c:v>1324</c:v>
                </c:pt>
                <c:pt idx="1">
                  <c:v>1555</c:v>
                </c:pt>
                <c:pt idx="2">
                  <c:v>1410</c:v>
                </c:pt>
                <c:pt idx="3">
                  <c:v>1429</c:v>
                </c:pt>
                <c:pt idx="4">
                  <c:v>1418</c:v>
                </c:pt>
                <c:pt idx="5">
                  <c:v>2607</c:v>
                </c:pt>
                <c:pt idx="6">
                  <c:v>2835</c:v>
                </c:pt>
                <c:pt idx="7">
                  <c:v>2685</c:v>
                </c:pt>
                <c:pt idx="8">
                  <c:v>2112</c:v>
                </c:pt>
                <c:pt idx="9">
                  <c:v>1839</c:v>
                </c:pt>
                <c:pt idx="10">
                  <c:v>2329</c:v>
                </c:pt>
                <c:pt idx="11">
                  <c:v>2088</c:v>
                </c:pt>
                <c:pt idx="12">
                  <c:v>1837</c:v>
                </c:pt>
                <c:pt idx="13">
                  <c:v>2639</c:v>
                </c:pt>
                <c:pt idx="14">
                  <c:v>1865</c:v>
                </c:pt>
                <c:pt idx="15">
                  <c:v>1646</c:v>
                </c:pt>
                <c:pt idx="16">
                  <c:v>2039</c:v>
                </c:pt>
                <c:pt idx="17">
                  <c:v>3303</c:v>
                </c:pt>
                <c:pt idx="18">
                  <c:v>2996</c:v>
                </c:pt>
                <c:pt idx="19">
                  <c:v>3169</c:v>
                </c:pt>
                <c:pt idx="20">
                  <c:v>2100</c:v>
                </c:pt>
                <c:pt idx="21">
                  <c:v>1903</c:v>
                </c:pt>
                <c:pt idx="22">
                  <c:v>2662</c:v>
                </c:pt>
                <c:pt idx="23">
                  <c:v>1902</c:v>
                </c:pt>
                <c:pt idx="24">
                  <c:v>2189</c:v>
                </c:pt>
                <c:pt idx="25">
                  <c:v>2306</c:v>
                </c:pt>
                <c:pt idx="26">
                  <c:v>2100</c:v>
                </c:pt>
                <c:pt idx="27">
                  <c:v>2003</c:v>
                </c:pt>
                <c:pt idx="28">
                  <c:v>3328</c:v>
                </c:pt>
                <c:pt idx="29">
                  <c:v>4653</c:v>
                </c:pt>
                <c:pt idx="30">
                  <c:v>3137</c:v>
                </c:pt>
                <c:pt idx="31">
                  <c:v>3497</c:v>
                </c:pt>
                <c:pt idx="32">
                  <c:v>2351</c:v>
                </c:pt>
                <c:pt idx="33">
                  <c:v>2125</c:v>
                </c:pt>
                <c:pt idx="34">
                  <c:v>2575</c:v>
                </c:pt>
                <c:pt idx="35">
                  <c:v>2250</c:v>
                </c:pt>
                <c:pt idx="36">
                  <c:v>2074</c:v>
                </c:pt>
                <c:pt idx="37">
                  <c:v>2222</c:v>
                </c:pt>
                <c:pt idx="38">
                  <c:v>2157</c:v>
                </c:pt>
                <c:pt idx="39">
                  <c:v>1650</c:v>
                </c:pt>
                <c:pt idx="40">
                  <c:v>2169</c:v>
                </c:pt>
                <c:pt idx="41">
                  <c:v>4211</c:v>
                </c:pt>
                <c:pt idx="42">
                  <c:v>3416</c:v>
                </c:pt>
                <c:pt idx="43">
                  <c:v>3730</c:v>
                </c:pt>
                <c:pt idx="44">
                  <c:v>2638</c:v>
                </c:pt>
                <c:pt idx="45">
                  <c:v>2451</c:v>
                </c:pt>
                <c:pt idx="46">
                  <c:v>2709</c:v>
                </c:pt>
                <c:pt idx="47">
                  <c:v>2407</c:v>
                </c:pt>
                <c:pt idx="48">
                  <c:v>2245</c:v>
                </c:pt>
                <c:pt idx="49">
                  <c:v>2360</c:v>
                </c:pt>
                <c:pt idx="50">
                  <c:v>1994</c:v>
                </c:pt>
                <c:pt idx="51">
                  <c:v>2054</c:v>
                </c:pt>
                <c:pt idx="52">
                  <c:v>1974</c:v>
                </c:pt>
                <c:pt idx="53">
                  <c:v>4580</c:v>
                </c:pt>
                <c:pt idx="54">
                  <c:v>3668</c:v>
                </c:pt>
                <c:pt idx="55">
                  <c:v>3797</c:v>
                </c:pt>
                <c:pt idx="56">
                  <c:v>2808</c:v>
                </c:pt>
                <c:pt idx="57">
                  <c:v>2386</c:v>
                </c:pt>
                <c:pt idx="58">
                  <c:v>2699</c:v>
                </c:pt>
                <c:pt idx="59">
                  <c:v>2363</c:v>
                </c:pt>
                <c:pt idx="60">
                  <c:v>2062</c:v>
                </c:pt>
                <c:pt idx="61">
                  <c:v>2453</c:v>
                </c:pt>
                <c:pt idx="62">
                  <c:v>2219</c:v>
                </c:pt>
                <c:pt idx="63">
                  <c:v>2379</c:v>
                </c:pt>
                <c:pt idx="64">
                  <c:v>2483</c:v>
                </c:pt>
                <c:pt idx="65">
                  <c:v>4629</c:v>
                </c:pt>
                <c:pt idx="66">
                  <c:v>3352</c:v>
                </c:pt>
                <c:pt idx="67">
                  <c:v>3785</c:v>
                </c:pt>
                <c:pt idx="68">
                  <c:v>3170</c:v>
                </c:pt>
                <c:pt idx="69">
                  <c:v>2516</c:v>
                </c:pt>
                <c:pt idx="70">
                  <c:v>2627</c:v>
                </c:pt>
                <c:pt idx="71">
                  <c:v>2343</c:v>
                </c:pt>
                <c:pt idx="72">
                  <c:v>2275</c:v>
                </c:pt>
                <c:pt idx="73">
                  <c:v>2408</c:v>
                </c:pt>
                <c:pt idx="74">
                  <c:v>2259</c:v>
                </c:pt>
                <c:pt idx="75">
                  <c:v>2051</c:v>
                </c:pt>
                <c:pt idx="76">
                  <c:v>2962</c:v>
                </c:pt>
                <c:pt idx="77">
                  <c:v>4633</c:v>
                </c:pt>
                <c:pt idx="78">
                  <c:v>3650</c:v>
                </c:pt>
                <c:pt idx="79">
                  <c:v>3942</c:v>
                </c:pt>
                <c:pt idx="80">
                  <c:v>3578</c:v>
                </c:pt>
                <c:pt idx="81">
                  <c:v>2866</c:v>
                </c:pt>
                <c:pt idx="82">
                  <c:v>3622</c:v>
                </c:pt>
                <c:pt idx="83">
                  <c:v>3262</c:v>
                </c:pt>
                <c:pt idx="84">
                  <c:v>4693</c:v>
                </c:pt>
                <c:pt idx="85">
                  <c:v>3329</c:v>
                </c:pt>
                <c:pt idx="86">
                  <c:v>3172</c:v>
                </c:pt>
                <c:pt idx="87">
                  <c:v>2855</c:v>
                </c:pt>
                <c:pt idx="88">
                  <c:v>3070</c:v>
                </c:pt>
                <c:pt idx="89">
                  <c:v>1437</c:v>
                </c:pt>
                <c:pt idx="90">
                  <c:v>4812</c:v>
                </c:pt>
                <c:pt idx="91">
                  <c:v>4547</c:v>
                </c:pt>
                <c:pt idx="92">
                  <c:v>3616</c:v>
                </c:pt>
                <c:pt idx="93">
                  <c:v>3498</c:v>
                </c:pt>
                <c:pt idx="94">
                  <c:v>3618</c:v>
                </c:pt>
                <c:pt idx="95">
                  <c:v>3484</c:v>
                </c:pt>
                <c:pt idx="96">
                  <c:v>3113</c:v>
                </c:pt>
                <c:pt idx="97">
                  <c:v>3325</c:v>
                </c:pt>
                <c:pt idx="98">
                  <c:v>3195</c:v>
                </c:pt>
                <c:pt idx="99">
                  <c:v>2623</c:v>
                </c:pt>
                <c:pt idx="100">
                  <c:v>3137</c:v>
                </c:pt>
                <c:pt idx="101">
                  <c:v>5235</c:v>
                </c:pt>
                <c:pt idx="102">
                  <c:v>4766</c:v>
                </c:pt>
                <c:pt idx="103">
                  <c:v>4153</c:v>
                </c:pt>
                <c:pt idx="104">
                  <c:v>3633</c:v>
                </c:pt>
                <c:pt idx="105">
                  <c:v>3383</c:v>
                </c:pt>
                <c:pt idx="106">
                  <c:v>3320</c:v>
                </c:pt>
                <c:pt idx="107">
                  <c:v>3878</c:v>
                </c:pt>
                <c:pt idx="108">
                  <c:v>2964</c:v>
                </c:pt>
                <c:pt idx="109">
                  <c:v>3137</c:v>
                </c:pt>
                <c:pt idx="110">
                  <c:v>3077</c:v>
                </c:pt>
                <c:pt idx="111">
                  <c:v>2577</c:v>
                </c:pt>
                <c:pt idx="112">
                  <c:v>2847</c:v>
                </c:pt>
                <c:pt idx="113">
                  <c:v>5765</c:v>
                </c:pt>
                <c:pt idx="114">
                  <c:v>4826</c:v>
                </c:pt>
                <c:pt idx="115">
                  <c:v>4045</c:v>
                </c:pt>
                <c:pt idx="116" formatCode="General">
                  <c:v>2741</c:v>
                </c:pt>
                <c:pt idx="117">
                  <c:v>2404</c:v>
                </c:pt>
                <c:pt idx="118">
                  <c:v>2367</c:v>
                </c:pt>
                <c:pt idx="119">
                  <c:v>2423</c:v>
                </c:pt>
                <c:pt idx="120">
                  <c:v>1937</c:v>
                </c:pt>
                <c:pt idx="121">
                  <c:v>1872</c:v>
                </c:pt>
                <c:pt idx="122">
                  <c:v>1901</c:v>
                </c:pt>
                <c:pt idx="123">
                  <c:v>2061</c:v>
                </c:pt>
                <c:pt idx="124">
                  <c:v>1740</c:v>
                </c:pt>
                <c:pt idx="125">
                  <c:v>3360</c:v>
                </c:pt>
                <c:pt idx="126">
                  <c:v>2960</c:v>
                </c:pt>
                <c:pt idx="127">
                  <c:v>2392</c:v>
                </c:pt>
                <c:pt idx="128">
                  <c:v>2217</c:v>
                </c:pt>
                <c:pt idx="129">
                  <c:v>2173</c:v>
                </c:pt>
                <c:pt idx="130">
                  <c:v>2397</c:v>
                </c:pt>
                <c:pt idx="131">
                  <c:v>2655</c:v>
                </c:pt>
                <c:pt idx="132">
                  <c:v>2327</c:v>
                </c:pt>
                <c:pt idx="133">
                  <c:v>2245</c:v>
                </c:pt>
                <c:pt idx="134">
                  <c:v>2500</c:v>
                </c:pt>
                <c:pt idx="135">
                  <c:v>2062</c:v>
                </c:pt>
                <c:pt idx="136">
                  <c:v>2145</c:v>
                </c:pt>
                <c:pt idx="137">
                  <c:v>3948</c:v>
                </c:pt>
                <c:pt idx="138">
                  <c:v>3670</c:v>
                </c:pt>
                <c:pt idx="139">
                  <c:v>3213</c:v>
                </c:pt>
                <c:pt idx="140">
                  <c:v>2579</c:v>
                </c:pt>
                <c:pt idx="141">
                  <c:v>2489</c:v>
                </c:pt>
                <c:pt idx="142">
                  <c:v>2626</c:v>
                </c:pt>
                <c:pt idx="143">
                  <c:v>2981</c:v>
                </c:pt>
                <c:pt idx="144" formatCode="_(* #,##0_);_(* \(#,##0\);_(* &quot;-&quot;??_);_(@_)">
                  <c:v>1985</c:v>
                </c:pt>
                <c:pt idx="145">
                  <c:v>2280</c:v>
                </c:pt>
                <c:pt idx="146">
                  <c:v>2141</c:v>
                </c:pt>
                <c:pt idx="147">
                  <c:v>2248</c:v>
                </c:pt>
                <c:pt idx="148" formatCode="_(* #,##0_);_(* \(#,##0\);_(* &quot;-&quot;??_);_(@_)">
                  <c:v>4117</c:v>
                </c:pt>
                <c:pt idx="149" formatCode="_(* #,##0_);_(* \(#,##0\);_(* &quot;-&quot;??_);_(@_)">
                  <c:v>7279</c:v>
                </c:pt>
                <c:pt idx="150" formatCode="_(* #,##0_);_(* \(#,##0\);_(* &quot;-&quot;??_);_(@_)">
                  <c:v>8646</c:v>
                </c:pt>
                <c:pt idx="151" formatCode="_(* #,##0_);_(* \(#,##0\);_(* &quot;-&quot;??_);_(@_)">
                  <c:v>7778</c:v>
                </c:pt>
                <c:pt idx="152" formatCode="_(* #,##0_);_(* \(#,##0\);_(* &quot;-&quot;??_);_(@_)">
                  <c:v>6031</c:v>
                </c:pt>
                <c:pt idx="153" formatCode="_(* #,##0_);_(* \(#,##0\);_(* &quot;-&quot;??_);_(@_)">
                  <c:v>4476</c:v>
                </c:pt>
                <c:pt idx="154" formatCode="_(* #,##0_);_(* \(#,##0\);_(* &quot;-&quot;??_);_(@_)">
                  <c:v>5469</c:v>
                </c:pt>
                <c:pt idx="155" formatCode="_(* #,##0_);_(* \(#,##0\);_(* &quot;-&quot;??_);_(@_)">
                  <c:v>7951</c:v>
                </c:pt>
                <c:pt idx="156">
                  <c:v>4895</c:v>
                </c:pt>
                <c:pt idx="157">
                  <c:v>5061</c:v>
                </c:pt>
                <c:pt idx="158">
                  <c:v>1744</c:v>
                </c:pt>
                <c:pt idx="159">
                  <c:v>42</c:v>
                </c:pt>
                <c:pt idx="160">
                  <c:v>49</c:v>
                </c:pt>
                <c:pt idx="161">
                  <c:v>94</c:v>
                </c:pt>
                <c:pt idx="162">
                  <c:v>976</c:v>
                </c:pt>
                <c:pt idx="163">
                  <c:v>912</c:v>
                </c:pt>
                <c:pt idx="164">
                  <c:v>1188</c:v>
                </c:pt>
                <c:pt idx="165">
                  <c:v>1364</c:v>
                </c:pt>
                <c:pt idx="166">
                  <c:v>1646</c:v>
                </c:pt>
                <c:pt idx="167">
                  <c:v>2750</c:v>
                </c:pt>
                <c:pt idx="168">
                  <c:v>2113</c:v>
                </c:pt>
                <c:pt idx="169">
                  <c:v>1570</c:v>
                </c:pt>
                <c:pt idx="170">
                  <c:v>2019</c:v>
                </c:pt>
                <c:pt idx="171">
                  <c:v>1576</c:v>
                </c:pt>
                <c:pt idx="172">
                  <c:v>1610</c:v>
                </c:pt>
              </c:numCache>
            </c:numRef>
          </c:val>
          <c:smooth val="0"/>
          <c:extLst xmlns:c15="http://schemas.microsoft.com/office/drawing/2012/chart">
            <c:ext xmlns:c16="http://schemas.microsoft.com/office/drawing/2014/chart" uri="{C3380CC4-5D6E-409C-BE32-E72D297353CC}">
              <c16:uniqueId val="{00000006-9994-4956-9FBA-2410398E6D0E}"/>
            </c:ext>
          </c:extLst>
        </c:ser>
        <c:ser>
          <c:idx val="3"/>
          <c:order val="3"/>
          <c:tx>
            <c:strRef>
              <c:f>'Tendencias nacionalidad'!$C$57</c:f>
              <c:strCache>
                <c:ptCount val="1"/>
                <c:pt idx="0">
                  <c:v>México</c:v>
                </c:pt>
              </c:strCache>
              <c:extLst xmlns:c15="http://schemas.microsoft.com/office/drawing/2012/chart"/>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nacionalidad'!$D$57:$GA$57</c15:sqref>
                  </c15:fullRef>
                </c:ext>
              </c:extLst>
              <c:f>'Tendencias nacionalidad'!$D$57:$FT$57</c:f>
              <c:numCache>
                <c:formatCode>#,##0</c:formatCode>
                <c:ptCount val="173"/>
                <c:pt idx="0">
                  <c:v>342</c:v>
                </c:pt>
                <c:pt idx="1">
                  <c:v>325</c:v>
                </c:pt>
                <c:pt idx="2">
                  <c:v>440</c:v>
                </c:pt>
                <c:pt idx="3">
                  <c:v>392</c:v>
                </c:pt>
                <c:pt idx="4">
                  <c:v>377</c:v>
                </c:pt>
                <c:pt idx="5">
                  <c:v>432</c:v>
                </c:pt>
                <c:pt idx="6">
                  <c:v>744</c:v>
                </c:pt>
                <c:pt idx="7">
                  <c:v>705</c:v>
                </c:pt>
                <c:pt idx="8">
                  <c:v>586</c:v>
                </c:pt>
                <c:pt idx="9">
                  <c:v>717</c:v>
                </c:pt>
                <c:pt idx="10">
                  <c:v>686</c:v>
                </c:pt>
                <c:pt idx="11">
                  <c:v>372</c:v>
                </c:pt>
                <c:pt idx="12">
                  <c:v>410</c:v>
                </c:pt>
                <c:pt idx="13">
                  <c:v>574</c:v>
                </c:pt>
                <c:pt idx="14">
                  <c:v>487</c:v>
                </c:pt>
                <c:pt idx="15">
                  <c:v>479</c:v>
                </c:pt>
                <c:pt idx="16">
                  <c:v>793</c:v>
                </c:pt>
                <c:pt idx="17">
                  <c:v>734</c:v>
                </c:pt>
                <c:pt idx="18">
                  <c:v>771</c:v>
                </c:pt>
                <c:pt idx="19">
                  <c:v>700</c:v>
                </c:pt>
                <c:pt idx="20">
                  <c:v>748</c:v>
                </c:pt>
                <c:pt idx="21">
                  <c:v>982</c:v>
                </c:pt>
                <c:pt idx="22">
                  <c:v>878</c:v>
                </c:pt>
                <c:pt idx="23">
                  <c:v>637</c:v>
                </c:pt>
                <c:pt idx="24">
                  <c:v>523</c:v>
                </c:pt>
                <c:pt idx="25">
                  <c:v>468</c:v>
                </c:pt>
                <c:pt idx="26">
                  <c:v>576</c:v>
                </c:pt>
                <c:pt idx="27">
                  <c:v>748</c:v>
                </c:pt>
                <c:pt idx="28">
                  <c:v>686.5</c:v>
                </c:pt>
                <c:pt idx="29">
                  <c:v>625</c:v>
                </c:pt>
                <c:pt idx="30">
                  <c:v>812</c:v>
                </c:pt>
                <c:pt idx="31">
                  <c:v>649</c:v>
                </c:pt>
                <c:pt idx="32">
                  <c:v>789</c:v>
                </c:pt>
                <c:pt idx="33">
                  <c:v>775</c:v>
                </c:pt>
                <c:pt idx="34">
                  <c:v>715</c:v>
                </c:pt>
                <c:pt idx="35">
                  <c:v>854</c:v>
                </c:pt>
                <c:pt idx="36">
                  <c:v>597</c:v>
                </c:pt>
                <c:pt idx="37">
                  <c:v>512</c:v>
                </c:pt>
                <c:pt idx="38">
                  <c:v>746</c:v>
                </c:pt>
                <c:pt idx="39">
                  <c:v>803</c:v>
                </c:pt>
                <c:pt idx="40">
                  <c:v>767</c:v>
                </c:pt>
                <c:pt idx="41">
                  <c:v>836</c:v>
                </c:pt>
                <c:pt idx="42">
                  <c:v>966</c:v>
                </c:pt>
                <c:pt idx="43">
                  <c:v>923</c:v>
                </c:pt>
                <c:pt idx="44">
                  <c:v>647</c:v>
                </c:pt>
                <c:pt idx="45">
                  <c:v>940</c:v>
                </c:pt>
                <c:pt idx="46">
                  <c:v>839</c:v>
                </c:pt>
                <c:pt idx="47">
                  <c:v>742</c:v>
                </c:pt>
                <c:pt idx="48">
                  <c:v>640</c:v>
                </c:pt>
                <c:pt idx="49">
                  <c:v>651</c:v>
                </c:pt>
                <c:pt idx="50">
                  <c:v>859</c:v>
                </c:pt>
                <c:pt idx="51">
                  <c:v>1037</c:v>
                </c:pt>
                <c:pt idx="52">
                  <c:v>1051</c:v>
                </c:pt>
                <c:pt idx="53">
                  <c:v>1180</c:v>
                </c:pt>
                <c:pt idx="54">
                  <c:v>1219</c:v>
                </c:pt>
                <c:pt idx="55">
                  <c:v>1102</c:v>
                </c:pt>
                <c:pt idx="56">
                  <c:v>841</c:v>
                </c:pt>
                <c:pt idx="57">
                  <c:v>1028</c:v>
                </c:pt>
                <c:pt idx="58">
                  <c:v>1132</c:v>
                </c:pt>
                <c:pt idx="59">
                  <c:v>930</c:v>
                </c:pt>
                <c:pt idx="60">
                  <c:v>131</c:v>
                </c:pt>
                <c:pt idx="61">
                  <c:v>779</c:v>
                </c:pt>
                <c:pt idx="62">
                  <c:v>894</c:v>
                </c:pt>
                <c:pt idx="63">
                  <c:v>942</c:v>
                </c:pt>
                <c:pt idx="64">
                  <c:v>1059</c:v>
                </c:pt>
                <c:pt idx="65">
                  <c:v>1016</c:v>
                </c:pt>
                <c:pt idx="66">
                  <c:v>1165</c:v>
                </c:pt>
                <c:pt idx="67">
                  <c:v>913</c:v>
                </c:pt>
                <c:pt idx="68">
                  <c:v>955</c:v>
                </c:pt>
                <c:pt idx="69">
                  <c:v>1191</c:v>
                </c:pt>
                <c:pt idx="70">
                  <c:v>1067</c:v>
                </c:pt>
                <c:pt idx="71">
                  <c:v>1084</c:v>
                </c:pt>
                <c:pt idx="72">
                  <c:v>850</c:v>
                </c:pt>
                <c:pt idx="73">
                  <c:v>816</c:v>
                </c:pt>
                <c:pt idx="74">
                  <c:v>1061</c:v>
                </c:pt>
                <c:pt idx="75">
                  <c:v>1104</c:v>
                </c:pt>
                <c:pt idx="76">
                  <c:v>971</c:v>
                </c:pt>
                <c:pt idx="77">
                  <c:v>925</c:v>
                </c:pt>
                <c:pt idx="78">
                  <c:v>1157</c:v>
                </c:pt>
                <c:pt idx="79">
                  <c:v>914</c:v>
                </c:pt>
                <c:pt idx="80">
                  <c:v>977</c:v>
                </c:pt>
                <c:pt idx="81">
                  <c:v>994</c:v>
                </c:pt>
                <c:pt idx="82">
                  <c:v>1010</c:v>
                </c:pt>
                <c:pt idx="83">
                  <c:v>1471</c:v>
                </c:pt>
                <c:pt idx="84">
                  <c:v>1161</c:v>
                </c:pt>
                <c:pt idx="85">
                  <c:v>1292</c:v>
                </c:pt>
                <c:pt idx="86">
                  <c:v>1612</c:v>
                </c:pt>
                <c:pt idx="87">
                  <c:v>1518</c:v>
                </c:pt>
                <c:pt idx="88">
                  <c:v>1350</c:v>
                </c:pt>
                <c:pt idx="89">
                  <c:v>1490</c:v>
                </c:pt>
                <c:pt idx="90">
                  <c:v>1712</c:v>
                </c:pt>
                <c:pt idx="91">
                  <c:v>1328</c:v>
                </c:pt>
                <c:pt idx="92">
                  <c:v>1559</c:v>
                </c:pt>
                <c:pt idx="93">
                  <c:v>1567</c:v>
                </c:pt>
                <c:pt idx="94">
                  <c:v>1967</c:v>
                </c:pt>
                <c:pt idx="95">
                  <c:v>1576</c:v>
                </c:pt>
                <c:pt idx="96">
                  <c:v>1180</c:v>
                </c:pt>
                <c:pt idx="97">
                  <c:v>1207</c:v>
                </c:pt>
                <c:pt idx="98">
                  <c:v>1707</c:v>
                </c:pt>
                <c:pt idx="99">
                  <c:v>1417</c:v>
                </c:pt>
                <c:pt idx="100">
                  <c:v>1426</c:v>
                </c:pt>
                <c:pt idx="101">
                  <c:v>1346</c:v>
                </c:pt>
                <c:pt idx="102">
                  <c:v>1759</c:v>
                </c:pt>
                <c:pt idx="103">
                  <c:v>1362</c:v>
                </c:pt>
                <c:pt idx="104">
                  <c:v>1364</c:v>
                </c:pt>
                <c:pt idx="105">
                  <c:v>1673</c:v>
                </c:pt>
                <c:pt idx="106">
                  <c:v>1398</c:v>
                </c:pt>
                <c:pt idx="107">
                  <c:v>1325</c:v>
                </c:pt>
                <c:pt idx="108">
                  <c:v>1187</c:v>
                </c:pt>
                <c:pt idx="109">
                  <c:v>1174</c:v>
                </c:pt>
                <c:pt idx="110">
                  <c:v>1524</c:v>
                </c:pt>
                <c:pt idx="111">
                  <c:v>1104</c:v>
                </c:pt>
                <c:pt idx="112">
                  <c:v>1264</c:v>
                </c:pt>
                <c:pt idx="113">
                  <c:v>1329</c:v>
                </c:pt>
                <c:pt idx="114">
                  <c:v>1498</c:v>
                </c:pt>
                <c:pt idx="115">
                  <c:v>1248</c:v>
                </c:pt>
                <c:pt idx="116" formatCode="General">
                  <c:v>1308</c:v>
                </c:pt>
                <c:pt idx="117">
                  <c:v>1953</c:v>
                </c:pt>
                <c:pt idx="118">
                  <c:v>1459</c:v>
                </c:pt>
                <c:pt idx="119">
                  <c:v>1279</c:v>
                </c:pt>
                <c:pt idx="120">
                  <c:v>1089</c:v>
                </c:pt>
                <c:pt idx="121">
                  <c:v>1033</c:v>
                </c:pt>
                <c:pt idx="122">
                  <c:v>1340</c:v>
                </c:pt>
                <c:pt idx="123">
                  <c:v>1541</c:v>
                </c:pt>
                <c:pt idx="124">
                  <c:v>1270</c:v>
                </c:pt>
                <c:pt idx="125">
                  <c:v>1466</c:v>
                </c:pt>
                <c:pt idx="126">
                  <c:v>1782</c:v>
                </c:pt>
                <c:pt idx="127">
                  <c:v>1384</c:v>
                </c:pt>
                <c:pt idx="128">
                  <c:v>1310</c:v>
                </c:pt>
                <c:pt idx="129">
                  <c:v>1643</c:v>
                </c:pt>
                <c:pt idx="130">
                  <c:v>1674</c:v>
                </c:pt>
                <c:pt idx="131">
                  <c:v>1625</c:v>
                </c:pt>
                <c:pt idx="132">
                  <c:v>1302</c:v>
                </c:pt>
                <c:pt idx="133">
                  <c:v>1297</c:v>
                </c:pt>
                <c:pt idx="134">
                  <c:v>1472</c:v>
                </c:pt>
                <c:pt idx="135">
                  <c:v>1656</c:v>
                </c:pt>
                <c:pt idx="136">
                  <c:v>1613</c:v>
                </c:pt>
                <c:pt idx="137">
                  <c:v>1730</c:v>
                </c:pt>
                <c:pt idx="138">
                  <c:v>2122</c:v>
                </c:pt>
                <c:pt idx="139">
                  <c:v>1672</c:v>
                </c:pt>
                <c:pt idx="140">
                  <c:v>1935</c:v>
                </c:pt>
                <c:pt idx="141">
                  <c:v>2094</c:v>
                </c:pt>
                <c:pt idx="142">
                  <c:v>1907</c:v>
                </c:pt>
                <c:pt idx="143">
                  <c:v>1793</c:v>
                </c:pt>
                <c:pt idx="144" formatCode="_(* #,##0_);_(* \(#,##0\);_(* &quot;-&quot;??_);_(@_)">
                  <c:v>1454</c:v>
                </c:pt>
                <c:pt idx="145">
                  <c:v>1596</c:v>
                </c:pt>
                <c:pt idx="146">
                  <c:v>1930</c:v>
                </c:pt>
                <c:pt idx="147">
                  <c:v>2053</c:v>
                </c:pt>
                <c:pt idx="148" formatCode="_(* #,##0_);_(* \(#,##0\);_(* &quot;-&quot;??_);_(@_)">
                  <c:v>1644</c:v>
                </c:pt>
                <c:pt idx="149" formatCode="_(* #,##0_);_(* \(#,##0\);_(* &quot;-&quot;??_);_(@_)">
                  <c:v>1820</c:v>
                </c:pt>
                <c:pt idx="150" formatCode="_(* #,##0_);_(* \(#,##0\);_(* &quot;-&quot;??_);_(@_)">
                  <c:v>1932</c:v>
                </c:pt>
                <c:pt idx="151" formatCode="_(* #,##0_);_(* \(#,##0\);_(* &quot;-&quot;??_);_(@_)">
                  <c:v>1590</c:v>
                </c:pt>
                <c:pt idx="152" formatCode="_(* #,##0_);_(* \(#,##0\);_(* &quot;-&quot;??_);_(@_)">
                  <c:v>1672</c:v>
                </c:pt>
                <c:pt idx="153" formatCode="_(* #,##0_);_(* \(#,##0\);_(* &quot;-&quot;??_);_(@_)">
                  <c:v>1400</c:v>
                </c:pt>
                <c:pt idx="154" formatCode="_(* #,##0_);_(* \(#,##0\);_(* &quot;-&quot;??_);_(@_)">
                  <c:v>1836</c:v>
                </c:pt>
                <c:pt idx="155" formatCode="_(* #,##0_);_(* \(#,##0\);_(* &quot;-&quot;??_);_(@_)">
                  <c:v>2108</c:v>
                </c:pt>
                <c:pt idx="156">
                  <c:v>1799</c:v>
                </c:pt>
                <c:pt idx="157">
                  <c:v>1661</c:v>
                </c:pt>
                <c:pt idx="158">
                  <c:v>771</c:v>
                </c:pt>
                <c:pt idx="159">
                  <c:v>15</c:v>
                </c:pt>
                <c:pt idx="160">
                  <c:v>12</c:v>
                </c:pt>
                <c:pt idx="161">
                  <c:v>37</c:v>
                </c:pt>
                <c:pt idx="162">
                  <c:v>43</c:v>
                </c:pt>
                <c:pt idx="163">
                  <c:v>355</c:v>
                </c:pt>
                <c:pt idx="164">
                  <c:v>419</c:v>
                </c:pt>
                <c:pt idx="165">
                  <c:v>477</c:v>
                </c:pt>
                <c:pt idx="166">
                  <c:v>574</c:v>
                </c:pt>
                <c:pt idx="167">
                  <c:v>731</c:v>
                </c:pt>
                <c:pt idx="168">
                  <c:v>699</c:v>
                </c:pt>
                <c:pt idx="169">
                  <c:v>570</c:v>
                </c:pt>
                <c:pt idx="170">
                  <c:v>525</c:v>
                </c:pt>
                <c:pt idx="171">
                  <c:v>407</c:v>
                </c:pt>
                <c:pt idx="172">
                  <c:v>549</c:v>
                </c:pt>
              </c:numCache>
            </c:numRef>
          </c:val>
          <c:smooth val="0"/>
          <c:extLst xmlns:c15="http://schemas.microsoft.com/office/drawing/2012/chart">
            <c:ext xmlns:c16="http://schemas.microsoft.com/office/drawing/2014/chart" uri="{C3380CC4-5D6E-409C-BE32-E72D297353CC}">
              <c16:uniqueId val="{00000007-9994-4956-9FBA-2410398E6D0E}"/>
            </c:ext>
          </c:extLst>
        </c:ser>
        <c:ser>
          <c:idx val="4"/>
          <c:order val="4"/>
          <c:tx>
            <c:strRef>
              <c:f>'Tendencias nacionalidad'!$C$58</c:f>
              <c:strCache>
                <c:ptCount val="1"/>
                <c:pt idx="0">
                  <c:v>Alemania</c:v>
                </c:pt>
              </c:strCache>
              <c:extLst xmlns:c15="http://schemas.microsoft.com/office/drawing/2012/chart"/>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nacionalidad'!$D$58:$GA$58</c15:sqref>
                  </c15:fullRef>
                </c:ext>
              </c:extLst>
              <c:f>'Tendencias nacionalidad'!$D$58:$FT$58</c:f>
              <c:numCache>
                <c:formatCode>#,##0</c:formatCode>
                <c:ptCount val="173"/>
                <c:pt idx="0">
                  <c:v>979</c:v>
                </c:pt>
                <c:pt idx="1">
                  <c:v>1028</c:v>
                </c:pt>
                <c:pt idx="2">
                  <c:v>1191</c:v>
                </c:pt>
                <c:pt idx="3">
                  <c:v>822</c:v>
                </c:pt>
                <c:pt idx="4">
                  <c:v>771</c:v>
                </c:pt>
                <c:pt idx="5">
                  <c:v>743</c:v>
                </c:pt>
                <c:pt idx="6">
                  <c:v>1668</c:v>
                </c:pt>
                <c:pt idx="7">
                  <c:v>1648</c:v>
                </c:pt>
                <c:pt idx="8">
                  <c:v>1293</c:v>
                </c:pt>
                <c:pt idx="9">
                  <c:v>1389</c:v>
                </c:pt>
                <c:pt idx="10">
                  <c:v>1328</c:v>
                </c:pt>
                <c:pt idx="11">
                  <c:v>1045</c:v>
                </c:pt>
                <c:pt idx="12">
                  <c:v>1064</c:v>
                </c:pt>
                <c:pt idx="13">
                  <c:v>1703</c:v>
                </c:pt>
                <c:pt idx="14">
                  <c:v>1525</c:v>
                </c:pt>
                <c:pt idx="15">
                  <c:v>905</c:v>
                </c:pt>
                <c:pt idx="16">
                  <c:v>1008</c:v>
                </c:pt>
                <c:pt idx="17">
                  <c:v>1074</c:v>
                </c:pt>
                <c:pt idx="18">
                  <c:v>1651</c:v>
                </c:pt>
                <c:pt idx="19">
                  <c:v>1896</c:v>
                </c:pt>
                <c:pt idx="20">
                  <c:v>1295</c:v>
                </c:pt>
                <c:pt idx="21">
                  <c:v>1655</c:v>
                </c:pt>
                <c:pt idx="22">
                  <c:v>1637</c:v>
                </c:pt>
                <c:pt idx="23">
                  <c:v>1309</c:v>
                </c:pt>
                <c:pt idx="24">
                  <c:v>1162</c:v>
                </c:pt>
                <c:pt idx="25">
                  <c:v>1372</c:v>
                </c:pt>
                <c:pt idx="26">
                  <c:v>1251</c:v>
                </c:pt>
                <c:pt idx="27">
                  <c:v>1188</c:v>
                </c:pt>
                <c:pt idx="28">
                  <c:v>1125.5</c:v>
                </c:pt>
                <c:pt idx="29">
                  <c:v>1063</c:v>
                </c:pt>
                <c:pt idx="30">
                  <c:v>1694</c:v>
                </c:pt>
                <c:pt idx="31">
                  <c:v>1936</c:v>
                </c:pt>
                <c:pt idx="32">
                  <c:v>1190</c:v>
                </c:pt>
                <c:pt idx="33">
                  <c:v>1628</c:v>
                </c:pt>
                <c:pt idx="34">
                  <c:v>1627</c:v>
                </c:pt>
                <c:pt idx="35">
                  <c:v>1330</c:v>
                </c:pt>
                <c:pt idx="36">
                  <c:v>1167</c:v>
                </c:pt>
                <c:pt idx="37">
                  <c:v>1178</c:v>
                </c:pt>
                <c:pt idx="38">
                  <c:v>1274</c:v>
                </c:pt>
                <c:pt idx="39">
                  <c:v>821</c:v>
                </c:pt>
                <c:pt idx="40">
                  <c:v>976</c:v>
                </c:pt>
                <c:pt idx="41">
                  <c:v>1016</c:v>
                </c:pt>
                <c:pt idx="42">
                  <c:v>1824</c:v>
                </c:pt>
                <c:pt idx="43">
                  <c:v>1850</c:v>
                </c:pt>
                <c:pt idx="44">
                  <c:v>1266</c:v>
                </c:pt>
                <c:pt idx="45">
                  <c:v>1582</c:v>
                </c:pt>
                <c:pt idx="46">
                  <c:v>1470</c:v>
                </c:pt>
                <c:pt idx="47">
                  <c:v>1296</c:v>
                </c:pt>
                <c:pt idx="48">
                  <c:v>1126</c:v>
                </c:pt>
                <c:pt idx="49">
                  <c:v>1446</c:v>
                </c:pt>
                <c:pt idx="50">
                  <c:v>1204</c:v>
                </c:pt>
                <c:pt idx="51">
                  <c:v>1160</c:v>
                </c:pt>
                <c:pt idx="52">
                  <c:v>926</c:v>
                </c:pt>
                <c:pt idx="53">
                  <c:v>1107</c:v>
                </c:pt>
                <c:pt idx="54">
                  <c:v>1753</c:v>
                </c:pt>
                <c:pt idx="55">
                  <c:v>2142</c:v>
                </c:pt>
                <c:pt idx="56">
                  <c:v>1459</c:v>
                </c:pt>
                <c:pt idx="57">
                  <c:v>1726</c:v>
                </c:pt>
                <c:pt idx="58">
                  <c:v>1523</c:v>
                </c:pt>
                <c:pt idx="59">
                  <c:v>1238</c:v>
                </c:pt>
                <c:pt idx="60">
                  <c:v>1222</c:v>
                </c:pt>
                <c:pt idx="61">
                  <c:v>1433</c:v>
                </c:pt>
                <c:pt idx="62">
                  <c:v>1585</c:v>
                </c:pt>
                <c:pt idx="63">
                  <c:v>1043</c:v>
                </c:pt>
                <c:pt idx="64">
                  <c:v>1060</c:v>
                </c:pt>
                <c:pt idx="65">
                  <c:v>1097</c:v>
                </c:pt>
                <c:pt idx="66">
                  <c:v>1975</c:v>
                </c:pt>
                <c:pt idx="67">
                  <c:v>2483</c:v>
                </c:pt>
                <c:pt idx="68">
                  <c:v>1516</c:v>
                </c:pt>
                <c:pt idx="69">
                  <c:v>1776</c:v>
                </c:pt>
                <c:pt idx="70">
                  <c:v>1812</c:v>
                </c:pt>
                <c:pt idx="71">
                  <c:v>1505</c:v>
                </c:pt>
                <c:pt idx="72">
                  <c:v>1259</c:v>
                </c:pt>
                <c:pt idx="73">
                  <c:v>1498</c:v>
                </c:pt>
                <c:pt idx="74">
                  <c:v>1791</c:v>
                </c:pt>
                <c:pt idx="75">
                  <c:v>999</c:v>
                </c:pt>
                <c:pt idx="76">
                  <c:v>1135</c:v>
                </c:pt>
                <c:pt idx="77">
                  <c:v>1094</c:v>
                </c:pt>
                <c:pt idx="78">
                  <c:v>1954</c:v>
                </c:pt>
                <c:pt idx="79">
                  <c:v>2103</c:v>
                </c:pt>
                <c:pt idx="80">
                  <c:v>1514</c:v>
                </c:pt>
                <c:pt idx="81">
                  <c:v>1650</c:v>
                </c:pt>
                <c:pt idx="82">
                  <c:v>1669</c:v>
                </c:pt>
                <c:pt idx="83">
                  <c:v>1507</c:v>
                </c:pt>
                <c:pt idx="84">
                  <c:v>1252</c:v>
                </c:pt>
                <c:pt idx="85">
                  <c:v>1443</c:v>
                </c:pt>
                <c:pt idx="86">
                  <c:v>1447</c:v>
                </c:pt>
                <c:pt idx="87">
                  <c:v>1394</c:v>
                </c:pt>
                <c:pt idx="88">
                  <c:v>1109</c:v>
                </c:pt>
                <c:pt idx="89">
                  <c:v>986</c:v>
                </c:pt>
                <c:pt idx="90">
                  <c:v>2241</c:v>
                </c:pt>
                <c:pt idx="91">
                  <c:v>2458</c:v>
                </c:pt>
                <c:pt idx="92">
                  <c:v>1566</c:v>
                </c:pt>
                <c:pt idx="93">
                  <c:v>1926</c:v>
                </c:pt>
                <c:pt idx="94">
                  <c:v>1800</c:v>
                </c:pt>
                <c:pt idx="95">
                  <c:v>1600</c:v>
                </c:pt>
                <c:pt idx="96">
                  <c:v>1310</c:v>
                </c:pt>
                <c:pt idx="97">
                  <c:v>1458</c:v>
                </c:pt>
                <c:pt idx="98">
                  <c:v>1764</c:v>
                </c:pt>
                <c:pt idx="99">
                  <c:v>1021</c:v>
                </c:pt>
                <c:pt idx="100">
                  <c:v>1209</c:v>
                </c:pt>
                <c:pt idx="101">
                  <c:v>1089</c:v>
                </c:pt>
                <c:pt idx="102">
                  <c:v>1876</c:v>
                </c:pt>
                <c:pt idx="103">
                  <c:v>2424</c:v>
                </c:pt>
                <c:pt idx="104">
                  <c:v>1390</c:v>
                </c:pt>
                <c:pt idx="105">
                  <c:v>1890</c:v>
                </c:pt>
                <c:pt idx="106">
                  <c:v>1595</c:v>
                </c:pt>
                <c:pt idx="107">
                  <c:v>1538</c:v>
                </c:pt>
                <c:pt idx="108">
                  <c:v>1219</c:v>
                </c:pt>
                <c:pt idx="109">
                  <c:v>1461</c:v>
                </c:pt>
                <c:pt idx="110">
                  <c:v>1530</c:v>
                </c:pt>
                <c:pt idx="111">
                  <c:v>984</c:v>
                </c:pt>
                <c:pt idx="112">
                  <c:v>1111</c:v>
                </c:pt>
                <c:pt idx="113">
                  <c:v>1105</c:v>
                </c:pt>
                <c:pt idx="114">
                  <c:v>2133</c:v>
                </c:pt>
                <c:pt idx="115">
                  <c:v>2090</c:v>
                </c:pt>
                <c:pt idx="116" formatCode="General">
                  <c:v>1304</c:v>
                </c:pt>
                <c:pt idx="117">
                  <c:v>1939</c:v>
                </c:pt>
                <c:pt idx="118">
                  <c:v>1447</c:v>
                </c:pt>
                <c:pt idx="119">
                  <c:v>1384</c:v>
                </c:pt>
                <c:pt idx="120">
                  <c:v>1181</c:v>
                </c:pt>
                <c:pt idx="121">
                  <c:v>1257</c:v>
                </c:pt>
                <c:pt idx="122">
                  <c:v>1493</c:v>
                </c:pt>
                <c:pt idx="123">
                  <c:v>1328</c:v>
                </c:pt>
                <c:pt idx="124">
                  <c:v>1017</c:v>
                </c:pt>
                <c:pt idx="125">
                  <c:v>1177</c:v>
                </c:pt>
                <c:pt idx="126">
                  <c:v>1762</c:v>
                </c:pt>
                <c:pt idx="127">
                  <c:v>2116</c:v>
                </c:pt>
                <c:pt idx="128">
                  <c:v>1515</c:v>
                </c:pt>
                <c:pt idx="129">
                  <c:v>2079</c:v>
                </c:pt>
                <c:pt idx="130">
                  <c:v>1709</c:v>
                </c:pt>
                <c:pt idx="131">
                  <c:v>1429</c:v>
                </c:pt>
                <c:pt idx="132">
                  <c:v>1364</c:v>
                </c:pt>
                <c:pt idx="133">
                  <c:v>1772</c:v>
                </c:pt>
                <c:pt idx="134">
                  <c:v>1987</c:v>
                </c:pt>
                <c:pt idx="135">
                  <c:v>1233</c:v>
                </c:pt>
                <c:pt idx="136">
                  <c:v>1437</c:v>
                </c:pt>
                <c:pt idx="137">
                  <c:v>1289</c:v>
                </c:pt>
                <c:pt idx="138">
                  <c:v>2110</c:v>
                </c:pt>
                <c:pt idx="139">
                  <c:v>2013</c:v>
                </c:pt>
                <c:pt idx="140">
                  <c:v>1690</c:v>
                </c:pt>
                <c:pt idx="141">
                  <c:v>1860</c:v>
                </c:pt>
                <c:pt idx="142">
                  <c:v>2026</c:v>
                </c:pt>
                <c:pt idx="143">
                  <c:v>1630</c:v>
                </c:pt>
                <c:pt idx="144" formatCode="_(* #,##0_);_(* \(#,##0\);_(* &quot;-&quot;??_);_(@_)">
                  <c:v>1437</c:v>
                </c:pt>
                <c:pt idx="145">
                  <c:v>1736</c:v>
                </c:pt>
                <c:pt idx="146">
                  <c:v>1752</c:v>
                </c:pt>
                <c:pt idx="147">
                  <c:v>1612</c:v>
                </c:pt>
                <c:pt idx="148" formatCode="_(* #,##0_);_(* \(#,##0\);_(* &quot;-&quot;??_);_(@_)">
                  <c:v>1388</c:v>
                </c:pt>
                <c:pt idx="149" formatCode="_(* #,##0_);_(* \(#,##0\);_(* &quot;-&quot;??_);_(@_)">
                  <c:v>1538</c:v>
                </c:pt>
                <c:pt idx="150" formatCode="_(* #,##0_);_(* \(#,##0\);_(* &quot;-&quot;??_);_(@_)">
                  <c:v>2642</c:v>
                </c:pt>
                <c:pt idx="151" formatCode="_(* #,##0_);_(* \(#,##0\);_(* &quot;-&quot;??_);_(@_)">
                  <c:v>2517</c:v>
                </c:pt>
                <c:pt idx="152" formatCode="_(* #,##0_);_(* \(#,##0\);_(* &quot;-&quot;??_);_(@_)">
                  <c:v>1974</c:v>
                </c:pt>
                <c:pt idx="153" formatCode="_(* #,##0_);_(* \(#,##0\);_(* &quot;-&quot;??_);_(@_)">
                  <c:v>1837</c:v>
                </c:pt>
                <c:pt idx="154" formatCode="_(* #,##0_);_(* \(#,##0\);_(* &quot;-&quot;??_);_(@_)">
                  <c:v>2241</c:v>
                </c:pt>
                <c:pt idx="155" formatCode="_(* #,##0_);_(* \(#,##0\);_(* &quot;-&quot;??_);_(@_)">
                  <c:v>2074</c:v>
                </c:pt>
                <c:pt idx="156">
                  <c:v>1785</c:v>
                </c:pt>
                <c:pt idx="157">
                  <c:v>2078</c:v>
                </c:pt>
                <c:pt idx="158">
                  <c:v>880</c:v>
                </c:pt>
                <c:pt idx="159">
                  <c:v>9</c:v>
                </c:pt>
                <c:pt idx="160">
                  <c:v>12</c:v>
                </c:pt>
                <c:pt idx="161">
                  <c:v>19</c:v>
                </c:pt>
                <c:pt idx="162">
                  <c:v>54</c:v>
                </c:pt>
                <c:pt idx="163">
                  <c:v>137</c:v>
                </c:pt>
                <c:pt idx="164">
                  <c:v>139</c:v>
                </c:pt>
                <c:pt idx="165">
                  <c:v>179</c:v>
                </c:pt>
                <c:pt idx="166">
                  <c:v>145</c:v>
                </c:pt>
                <c:pt idx="167">
                  <c:v>331</c:v>
                </c:pt>
                <c:pt idx="168">
                  <c:v>281</c:v>
                </c:pt>
                <c:pt idx="169">
                  <c:v>166</c:v>
                </c:pt>
                <c:pt idx="170">
                  <c:v>258</c:v>
                </c:pt>
                <c:pt idx="171">
                  <c:v>249</c:v>
                </c:pt>
                <c:pt idx="172">
                  <c:v>270</c:v>
                </c:pt>
              </c:numCache>
            </c:numRef>
          </c:val>
          <c:smooth val="0"/>
          <c:extLst xmlns:c15="http://schemas.microsoft.com/office/drawing/2012/chart">
            <c:ext xmlns:c16="http://schemas.microsoft.com/office/drawing/2014/chart" uri="{C3380CC4-5D6E-409C-BE32-E72D297353CC}">
              <c16:uniqueId val="{00000008-9994-4956-9FBA-2410398E6D0E}"/>
            </c:ext>
          </c:extLst>
        </c:ser>
        <c:ser>
          <c:idx val="5"/>
          <c:order val="5"/>
          <c:tx>
            <c:strRef>
              <c:f>'Tendencias nacionalidad'!$C$59</c:f>
              <c:strCache>
                <c:ptCount val="1"/>
                <c:pt idx="0">
                  <c:v>Canadá</c:v>
                </c:pt>
              </c:strCache>
              <c:extLst xmlns:c15="http://schemas.microsoft.com/office/drawing/2012/chart"/>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nacionalidad'!$D$59:$GA$59</c15:sqref>
                  </c15:fullRef>
                </c:ext>
              </c:extLst>
              <c:f>'Tendencias nacionalidad'!$D$59:$FT$59</c:f>
              <c:numCache>
                <c:formatCode>#,##0</c:formatCode>
                <c:ptCount val="173"/>
                <c:pt idx="0">
                  <c:v>1097</c:v>
                </c:pt>
                <c:pt idx="1">
                  <c:v>1128</c:v>
                </c:pt>
                <c:pt idx="2">
                  <c:v>1588</c:v>
                </c:pt>
                <c:pt idx="3">
                  <c:v>794</c:v>
                </c:pt>
                <c:pt idx="4">
                  <c:v>1013</c:v>
                </c:pt>
                <c:pt idx="5">
                  <c:v>864</c:v>
                </c:pt>
                <c:pt idx="6">
                  <c:v>1335</c:v>
                </c:pt>
                <c:pt idx="7">
                  <c:v>1183</c:v>
                </c:pt>
                <c:pt idx="8">
                  <c:v>675</c:v>
                </c:pt>
                <c:pt idx="9">
                  <c:v>1026</c:v>
                </c:pt>
                <c:pt idx="10">
                  <c:v>1173</c:v>
                </c:pt>
                <c:pt idx="11">
                  <c:v>1378</c:v>
                </c:pt>
                <c:pt idx="12">
                  <c:v>1388</c:v>
                </c:pt>
                <c:pt idx="13">
                  <c:v>2196</c:v>
                </c:pt>
                <c:pt idx="14">
                  <c:v>1673</c:v>
                </c:pt>
                <c:pt idx="15">
                  <c:v>1110</c:v>
                </c:pt>
                <c:pt idx="16">
                  <c:v>1238</c:v>
                </c:pt>
                <c:pt idx="17">
                  <c:v>1120</c:v>
                </c:pt>
                <c:pt idx="18">
                  <c:v>1523</c:v>
                </c:pt>
                <c:pt idx="19">
                  <c:v>1054</c:v>
                </c:pt>
                <c:pt idx="20">
                  <c:v>752</c:v>
                </c:pt>
                <c:pt idx="21">
                  <c:v>1026</c:v>
                </c:pt>
                <c:pt idx="22">
                  <c:v>1336</c:v>
                </c:pt>
                <c:pt idx="23">
                  <c:v>1471</c:v>
                </c:pt>
                <c:pt idx="24">
                  <c:v>1451</c:v>
                </c:pt>
                <c:pt idx="25">
                  <c:v>1549</c:v>
                </c:pt>
                <c:pt idx="26">
                  <c:v>1686</c:v>
                </c:pt>
                <c:pt idx="27">
                  <c:v>1231</c:v>
                </c:pt>
                <c:pt idx="28">
                  <c:v>1258.5</c:v>
                </c:pt>
                <c:pt idx="29">
                  <c:v>1286</c:v>
                </c:pt>
                <c:pt idx="30">
                  <c:v>1497</c:v>
                </c:pt>
                <c:pt idx="31">
                  <c:v>1229</c:v>
                </c:pt>
                <c:pt idx="32">
                  <c:v>696</c:v>
                </c:pt>
                <c:pt idx="33">
                  <c:v>955</c:v>
                </c:pt>
                <c:pt idx="34">
                  <c:v>1183</c:v>
                </c:pt>
                <c:pt idx="35">
                  <c:v>1674</c:v>
                </c:pt>
                <c:pt idx="36">
                  <c:v>1425</c:v>
                </c:pt>
                <c:pt idx="37">
                  <c:v>1645</c:v>
                </c:pt>
                <c:pt idx="38">
                  <c:v>1789</c:v>
                </c:pt>
                <c:pt idx="39">
                  <c:v>1180</c:v>
                </c:pt>
                <c:pt idx="40">
                  <c:v>1399</c:v>
                </c:pt>
                <c:pt idx="41">
                  <c:v>1174</c:v>
                </c:pt>
                <c:pt idx="42">
                  <c:v>1698</c:v>
                </c:pt>
                <c:pt idx="43">
                  <c:v>1224</c:v>
                </c:pt>
                <c:pt idx="44">
                  <c:v>650</c:v>
                </c:pt>
                <c:pt idx="45">
                  <c:v>1101</c:v>
                </c:pt>
                <c:pt idx="46">
                  <c:v>1202</c:v>
                </c:pt>
                <c:pt idx="47">
                  <c:v>1523</c:v>
                </c:pt>
                <c:pt idx="48">
                  <c:v>1487</c:v>
                </c:pt>
                <c:pt idx="49">
                  <c:v>1741</c:v>
                </c:pt>
                <c:pt idx="50">
                  <c:v>1757</c:v>
                </c:pt>
                <c:pt idx="51">
                  <c:v>1161</c:v>
                </c:pt>
                <c:pt idx="52">
                  <c:v>1486</c:v>
                </c:pt>
                <c:pt idx="53">
                  <c:v>1172</c:v>
                </c:pt>
                <c:pt idx="54">
                  <c:v>1748</c:v>
                </c:pt>
                <c:pt idx="55">
                  <c:v>1257</c:v>
                </c:pt>
                <c:pt idx="56">
                  <c:v>770</c:v>
                </c:pt>
                <c:pt idx="57">
                  <c:v>1371</c:v>
                </c:pt>
                <c:pt idx="58">
                  <c:v>1247</c:v>
                </c:pt>
                <c:pt idx="59">
                  <c:v>1717</c:v>
                </c:pt>
                <c:pt idx="60">
                  <c:v>1699</c:v>
                </c:pt>
                <c:pt idx="61">
                  <c:v>1657</c:v>
                </c:pt>
                <c:pt idx="62">
                  <c:v>1895</c:v>
                </c:pt>
                <c:pt idx="63">
                  <c:v>1311</c:v>
                </c:pt>
                <c:pt idx="64">
                  <c:v>1551</c:v>
                </c:pt>
                <c:pt idx="65">
                  <c:v>1339</c:v>
                </c:pt>
                <c:pt idx="66">
                  <c:v>1694</c:v>
                </c:pt>
                <c:pt idx="67">
                  <c:v>1391</c:v>
                </c:pt>
                <c:pt idx="68">
                  <c:v>950</c:v>
                </c:pt>
                <c:pt idx="69">
                  <c:v>1450</c:v>
                </c:pt>
                <c:pt idx="70">
                  <c:v>1542</c:v>
                </c:pt>
                <c:pt idx="71">
                  <c:v>1940</c:v>
                </c:pt>
                <c:pt idx="72">
                  <c:v>1614</c:v>
                </c:pt>
                <c:pt idx="73">
                  <c:v>1762</c:v>
                </c:pt>
                <c:pt idx="74">
                  <c:v>2027</c:v>
                </c:pt>
                <c:pt idx="75">
                  <c:v>1646</c:v>
                </c:pt>
                <c:pt idx="76">
                  <c:v>1560</c:v>
                </c:pt>
                <c:pt idx="77">
                  <c:v>1312</c:v>
                </c:pt>
                <c:pt idx="78">
                  <c:v>1894</c:v>
                </c:pt>
                <c:pt idx="79">
                  <c:v>1246</c:v>
                </c:pt>
                <c:pt idx="80">
                  <c:v>1069</c:v>
                </c:pt>
                <c:pt idx="81">
                  <c:v>1302</c:v>
                </c:pt>
                <c:pt idx="82">
                  <c:v>1849</c:v>
                </c:pt>
                <c:pt idx="83">
                  <c:v>1875</c:v>
                </c:pt>
                <c:pt idx="84">
                  <c:v>1969</c:v>
                </c:pt>
                <c:pt idx="85">
                  <c:v>2078</c:v>
                </c:pt>
                <c:pt idx="86">
                  <c:v>2126</c:v>
                </c:pt>
                <c:pt idx="87">
                  <c:v>1741</c:v>
                </c:pt>
                <c:pt idx="88">
                  <c:v>1834</c:v>
                </c:pt>
                <c:pt idx="89">
                  <c:v>1415</c:v>
                </c:pt>
                <c:pt idx="90">
                  <c:v>1946</c:v>
                </c:pt>
                <c:pt idx="91">
                  <c:v>1377</c:v>
                </c:pt>
                <c:pt idx="92">
                  <c:v>1099</c:v>
                </c:pt>
                <c:pt idx="93">
                  <c:v>1315</c:v>
                </c:pt>
                <c:pt idx="94">
                  <c:v>1764</c:v>
                </c:pt>
                <c:pt idx="95">
                  <c:v>2184</c:v>
                </c:pt>
                <c:pt idx="96">
                  <c:v>2293</c:v>
                </c:pt>
                <c:pt idx="97">
                  <c:v>2373</c:v>
                </c:pt>
                <c:pt idx="98">
                  <c:v>2492</c:v>
                </c:pt>
                <c:pt idx="99">
                  <c:v>1804</c:v>
                </c:pt>
                <c:pt idx="100">
                  <c:v>1766</c:v>
                </c:pt>
                <c:pt idx="101">
                  <c:v>1447</c:v>
                </c:pt>
                <c:pt idx="102">
                  <c:v>1820</c:v>
                </c:pt>
                <c:pt idx="103">
                  <c:v>1470</c:v>
                </c:pt>
                <c:pt idx="104">
                  <c:v>1006</c:v>
                </c:pt>
                <c:pt idx="105">
                  <c:v>1543</c:v>
                </c:pt>
                <c:pt idx="106">
                  <c:v>1675</c:v>
                </c:pt>
                <c:pt idx="107">
                  <c:v>1968</c:v>
                </c:pt>
                <c:pt idx="108">
                  <c:v>2212</c:v>
                </c:pt>
                <c:pt idx="109">
                  <c:v>2279</c:v>
                </c:pt>
                <c:pt idx="110">
                  <c:v>2405</c:v>
                </c:pt>
                <c:pt idx="111">
                  <c:v>1417</c:v>
                </c:pt>
                <c:pt idx="112">
                  <c:v>1492</c:v>
                </c:pt>
                <c:pt idx="113">
                  <c:v>1401</c:v>
                </c:pt>
                <c:pt idx="114">
                  <c:v>1771</c:v>
                </c:pt>
                <c:pt idx="115">
                  <c:v>1274</c:v>
                </c:pt>
                <c:pt idx="116" formatCode="General">
                  <c:v>881</c:v>
                </c:pt>
                <c:pt idx="117">
                  <c:v>1361</c:v>
                </c:pt>
                <c:pt idx="118">
                  <c:v>1421</c:v>
                </c:pt>
                <c:pt idx="119">
                  <c:v>1636</c:v>
                </c:pt>
                <c:pt idx="120">
                  <c:v>1773</c:v>
                </c:pt>
                <c:pt idx="121">
                  <c:v>1831</c:v>
                </c:pt>
                <c:pt idx="122">
                  <c:v>2120</c:v>
                </c:pt>
                <c:pt idx="123">
                  <c:v>1423</c:v>
                </c:pt>
                <c:pt idx="124">
                  <c:v>1427</c:v>
                </c:pt>
                <c:pt idx="125">
                  <c:v>1092</c:v>
                </c:pt>
                <c:pt idx="126">
                  <c:v>1458</c:v>
                </c:pt>
                <c:pt idx="127">
                  <c:v>1343</c:v>
                </c:pt>
                <c:pt idx="128">
                  <c:v>861</c:v>
                </c:pt>
                <c:pt idx="129">
                  <c:v>1355</c:v>
                </c:pt>
                <c:pt idx="130">
                  <c:v>1698</c:v>
                </c:pt>
                <c:pt idx="131">
                  <c:v>1912</c:v>
                </c:pt>
                <c:pt idx="132">
                  <c:v>2025</c:v>
                </c:pt>
                <c:pt idx="133">
                  <c:v>2289</c:v>
                </c:pt>
                <c:pt idx="134">
                  <c:v>2452</c:v>
                </c:pt>
                <c:pt idx="135">
                  <c:v>1346</c:v>
                </c:pt>
                <c:pt idx="136">
                  <c:v>1691</c:v>
                </c:pt>
                <c:pt idx="137">
                  <c:v>1280</c:v>
                </c:pt>
                <c:pt idx="138">
                  <c:v>1777</c:v>
                </c:pt>
                <c:pt idx="139">
                  <c:v>1210</c:v>
                </c:pt>
                <c:pt idx="140">
                  <c:v>1034</c:v>
                </c:pt>
                <c:pt idx="141">
                  <c:v>1386</c:v>
                </c:pt>
                <c:pt idx="142">
                  <c:v>1601</c:v>
                </c:pt>
                <c:pt idx="143">
                  <c:v>1810</c:v>
                </c:pt>
                <c:pt idx="144" formatCode="_(* #,##0_);_(* \(#,##0\);_(* &quot;-&quot;??_);_(@_)">
                  <c:v>2035</c:v>
                </c:pt>
                <c:pt idx="145">
                  <c:v>2191</c:v>
                </c:pt>
                <c:pt idx="146">
                  <c:v>2327</c:v>
                </c:pt>
                <c:pt idx="147">
                  <c:v>1596</c:v>
                </c:pt>
                <c:pt idx="148" formatCode="_(* #,##0_);_(* \(#,##0\);_(* &quot;-&quot;??_);_(@_)">
                  <c:v>2092</c:v>
                </c:pt>
                <c:pt idx="149" formatCode="_(* #,##0_);_(* \(#,##0\);_(* &quot;-&quot;??_);_(@_)">
                  <c:v>1594</c:v>
                </c:pt>
                <c:pt idx="150" formatCode="_(* #,##0_);_(* \(#,##0\);_(* &quot;-&quot;??_);_(@_)">
                  <c:v>2060</c:v>
                </c:pt>
                <c:pt idx="151" formatCode="_(* #,##0_);_(* \(#,##0\);_(* &quot;-&quot;??_);_(@_)">
                  <c:v>1657</c:v>
                </c:pt>
                <c:pt idx="152" formatCode="_(* #,##0_);_(* \(#,##0\);_(* &quot;-&quot;??_);_(@_)">
                  <c:v>1555</c:v>
                </c:pt>
                <c:pt idx="153" formatCode="_(* #,##0_);_(* \(#,##0\);_(* &quot;-&quot;??_);_(@_)">
                  <c:v>1477</c:v>
                </c:pt>
                <c:pt idx="154" formatCode="_(* #,##0_);_(* \(#,##0\);_(* &quot;-&quot;??_);_(@_)">
                  <c:v>2134</c:v>
                </c:pt>
                <c:pt idx="155" formatCode="_(* #,##0_);_(* \(#,##0\);_(* &quot;-&quot;??_);_(@_)">
                  <c:v>3145</c:v>
                </c:pt>
                <c:pt idx="156">
                  <c:v>3444</c:v>
                </c:pt>
                <c:pt idx="157">
                  <c:v>3918</c:v>
                </c:pt>
                <c:pt idx="158">
                  <c:v>1407</c:v>
                </c:pt>
                <c:pt idx="160">
                  <c:v>6</c:v>
                </c:pt>
                <c:pt idx="161">
                  <c:v>27</c:v>
                </c:pt>
                <c:pt idx="162">
                  <c:v>81</c:v>
                </c:pt>
                <c:pt idx="163">
                  <c:v>101</c:v>
                </c:pt>
                <c:pt idx="164">
                  <c:v>100</c:v>
                </c:pt>
                <c:pt idx="165">
                  <c:v>146</c:v>
                </c:pt>
                <c:pt idx="166">
                  <c:v>248</c:v>
                </c:pt>
                <c:pt idx="167">
                  <c:v>319</c:v>
                </c:pt>
                <c:pt idx="168">
                  <c:v>263</c:v>
                </c:pt>
                <c:pt idx="169">
                  <c:v>101</c:v>
                </c:pt>
                <c:pt idx="170">
                  <c:v>134</c:v>
                </c:pt>
                <c:pt idx="171">
                  <c:v>136</c:v>
                </c:pt>
                <c:pt idx="172">
                  <c:v>142</c:v>
                </c:pt>
              </c:numCache>
            </c:numRef>
          </c:val>
          <c:smooth val="0"/>
          <c:extLst xmlns:c15="http://schemas.microsoft.com/office/drawing/2012/chart">
            <c:ext xmlns:c16="http://schemas.microsoft.com/office/drawing/2014/chart" uri="{C3380CC4-5D6E-409C-BE32-E72D297353CC}">
              <c16:uniqueId val="{00000009-9994-4956-9FBA-2410398E6D0E}"/>
            </c:ext>
          </c:extLst>
        </c:ser>
        <c:ser>
          <c:idx val="7"/>
          <c:order val="7"/>
          <c:tx>
            <c:strRef>
              <c:f>'Tendencias nacionalidad'!$C$61</c:f>
              <c:strCache>
                <c:ptCount val="1"/>
                <c:pt idx="0">
                  <c:v>Reino Unido</c:v>
                </c:pt>
              </c:strCache>
              <c:extLst xmlns:c15="http://schemas.microsoft.com/office/drawing/2012/chart"/>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nacionalidad'!$D$61:$GA$61</c15:sqref>
                  </c15:fullRef>
                </c:ext>
              </c:extLst>
              <c:f>'Tendencias nacionalidad'!$D$61:$FT$61</c:f>
              <c:numCache>
                <c:formatCode>#,##0</c:formatCode>
                <c:ptCount val="173"/>
                <c:pt idx="0">
                  <c:v>1260</c:v>
                </c:pt>
                <c:pt idx="1">
                  <c:v>1276</c:v>
                </c:pt>
                <c:pt idx="2">
                  <c:v>1273</c:v>
                </c:pt>
                <c:pt idx="3">
                  <c:v>1609</c:v>
                </c:pt>
                <c:pt idx="4">
                  <c:v>1342</c:v>
                </c:pt>
                <c:pt idx="5">
                  <c:v>1217</c:v>
                </c:pt>
                <c:pt idx="6">
                  <c:v>2417</c:v>
                </c:pt>
                <c:pt idx="7">
                  <c:v>1711</c:v>
                </c:pt>
                <c:pt idx="8">
                  <c:v>1389</c:v>
                </c:pt>
                <c:pt idx="9">
                  <c:v>1689</c:v>
                </c:pt>
                <c:pt idx="10">
                  <c:v>1780</c:v>
                </c:pt>
                <c:pt idx="11">
                  <c:v>1105</c:v>
                </c:pt>
                <c:pt idx="12">
                  <c:v>1501</c:v>
                </c:pt>
                <c:pt idx="13">
                  <c:v>2067</c:v>
                </c:pt>
                <c:pt idx="14">
                  <c:v>1748</c:v>
                </c:pt>
                <c:pt idx="15">
                  <c:v>1878</c:v>
                </c:pt>
                <c:pt idx="16">
                  <c:v>1744</c:v>
                </c:pt>
                <c:pt idx="17">
                  <c:v>1450</c:v>
                </c:pt>
                <c:pt idx="18">
                  <c:v>2185</c:v>
                </c:pt>
                <c:pt idx="19">
                  <c:v>1787</c:v>
                </c:pt>
                <c:pt idx="20">
                  <c:v>1529</c:v>
                </c:pt>
                <c:pt idx="21">
                  <c:v>1653</c:v>
                </c:pt>
                <c:pt idx="22">
                  <c:v>1668</c:v>
                </c:pt>
                <c:pt idx="23">
                  <c:v>1114</c:v>
                </c:pt>
                <c:pt idx="24">
                  <c:v>1499</c:v>
                </c:pt>
                <c:pt idx="25">
                  <c:v>1325</c:v>
                </c:pt>
                <c:pt idx="26">
                  <c:v>1263</c:v>
                </c:pt>
                <c:pt idx="27">
                  <c:v>1502</c:v>
                </c:pt>
                <c:pt idx="28">
                  <c:v>1439.5</c:v>
                </c:pt>
                <c:pt idx="29">
                  <c:v>1377</c:v>
                </c:pt>
                <c:pt idx="30">
                  <c:v>2221</c:v>
                </c:pt>
                <c:pt idx="31">
                  <c:v>1438</c:v>
                </c:pt>
                <c:pt idx="32">
                  <c:v>1140</c:v>
                </c:pt>
                <c:pt idx="33">
                  <c:v>1561</c:v>
                </c:pt>
                <c:pt idx="34">
                  <c:v>1508</c:v>
                </c:pt>
                <c:pt idx="35">
                  <c:v>1164</c:v>
                </c:pt>
                <c:pt idx="36">
                  <c:v>1064</c:v>
                </c:pt>
                <c:pt idx="37">
                  <c:v>994</c:v>
                </c:pt>
                <c:pt idx="38">
                  <c:v>1080</c:v>
                </c:pt>
                <c:pt idx="39">
                  <c:v>1258</c:v>
                </c:pt>
                <c:pt idx="40">
                  <c:v>1059</c:v>
                </c:pt>
                <c:pt idx="41">
                  <c:v>1091</c:v>
                </c:pt>
                <c:pt idx="42">
                  <c:v>2091</c:v>
                </c:pt>
                <c:pt idx="43">
                  <c:v>1225</c:v>
                </c:pt>
                <c:pt idx="44">
                  <c:v>975</c:v>
                </c:pt>
                <c:pt idx="45">
                  <c:v>1230</c:v>
                </c:pt>
                <c:pt idx="46">
                  <c:v>1152</c:v>
                </c:pt>
                <c:pt idx="47">
                  <c:v>925</c:v>
                </c:pt>
                <c:pt idx="48">
                  <c:v>1025</c:v>
                </c:pt>
                <c:pt idx="49">
                  <c:v>900</c:v>
                </c:pt>
                <c:pt idx="50">
                  <c:v>988</c:v>
                </c:pt>
                <c:pt idx="51">
                  <c:v>1272</c:v>
                </c:pt>
                <c:pt idx="52">
                  <c:v>1126</c:v>
                </c:pt>
                <c:pt idx="53">
                  <c:v>1015</c:v>
                </c:pt>
                <c:pt idx="54">
                  <c:v>2074</c:v>
                </c:pt>
                <c:pt idx="55">
                  <c:v>1207</c:v>
                </c:pt>
                <c:pt idx="56">
                  <c:v>944</c:v>
                </c:pt>
                <c:pt idx="57">
                  <c:v>1417</c:v>
                </c:pt>
                <c:pt idx="58">
                  <c:v>1382</c:v>
                </c:pt>
                <c:pt idx="59">
                  <c:v>934</c:v>
                </c:pt>
                <c:pt idx="60">
                  <c:v>898</c:v>
                </c:pt>
                <c:pt idx="61">
                  <c:v>919</c:v>
                </c:pt>
                <c:pt idx="62">
                  <c:v>1062</c:v>
                </c:pt>
                <c:pt idx="63">
                  <c:v>1197</c:v>
                </c:pt>
                <c:pt idx="64">
                  <c:v>1156</c:v>
                </c:pt>
                <c:pt idx="65">
                  <c:v>1051</c:v>
                </c:pt>
                <c:pt idx="66">
                  <c:v>1995</c:v>
                </c:pt>
                <c:pt idx="67">
                  <c:v>1140</c:v>
                </c:pt>
                <c:pt idx="68">
                  <c:v>909</c:v>
                </c:pt>
                <c:pt idx="69">
                  <c:v>1154</c:v>
                </c:pt>
                <c:pt idx="70">
                  <c:v>1295</c:v>
                </c:pt>
                <c:pt idx="71">
                  <c:v>1103</c:v>
                </c:pt>
                <c:pt idx="72">
                  <c:v>1090</c:v>
                </c:pt>
                <c:pt idx="73">
                  <c:v>977</c:v>
                </c:pt>
                <c:pt idx="74">
                  <c:v>1157</c:v>
                </c:pt>
                <c:pt idx="75">
                  <c:v>1135</c:v>
                </c:pt>
                <c:pt idx="76">
                  <c:v>1253</c:v>
                </c:pt>
                <c:pt idx="77">
                  <c:v>1120</c:v>
                </c:pt>
                <c:pt idx="78">
                  <c:v>2381</c:v>
                </c:pt>
                <c:pt idx="79">
                  <c:v>1417</c:v>
                </c:pt>
                <c:pt idx="80">
                  <c:v>1070</c:v>
                </c:pt>
                <c:pt idx="81">
                  <c:v>1403</c:v>
                </c:pt>
                <c:pt idx="82">
                  <c:v>1588</c:v>
                </c:pt>
                <c:pt idx="83">
                  <c:v>935</c:v>
                </c:pt>
                <c:pt idx="84">
                  <c:v>1166</c:v>
                </c:pt>
                <c:pt idx="85">
                  <c:v>1197</c:v>
                </c:pt>
                <c:pt idx="86">
                  <c:v>1218</c:v>
                </c:pt>
                <c:pt idx="87">
                  <c:v>1543</c:v>
                </c:pt>
                <c:pt idx="88">
                  <c:v>1497</c:v>
                </c:pt>
                <c:pt idx="89">
                  <c:v>1386</c:v>
                </c:pt>
                <c:pt idx="90">
                  <c:v>2484</c:v>
                </c:pt>
                <c:pt idx="91">
                  <c:v>1411</c:v>
                </c:pt>
                <c:pt idx="92">
                  <c:v>1179</c:v>
                </c:pt>
                <c:pt idx="93">
                  <c:v>1580</c:v>
                </c:pt>
                <c:pt idx="94">
                  <c:v>1532</c:v>
                </c:pt>
                <c:pt idx="95">
                  <c:v>1130</c:v>
                </c:pt>
                <c:pt idx="96">
                  <c:v>1217</c:v>
                </c:pt>
                <c:pt idx="97">
                  <c:v>1190</c:v>
                </c:pt>
                <c:pt idx="98">
                  <c:v>1225</c:v>
                </c:pt>
                <c:pt idx="99">
                  <c:v>1363</c:v>
                </c:pt>
                <c:pt idx="100">
                  <c:v>1425</c:v>
                </c:pt>
                <c:pt idx="101">
                  <c:v>1441</c:v>
                </c:pt>
                <c:pt idx="102">
                  <c:v>2802</c:v>
                </c:pt>
                <c:pt idx="103">
                  <c:v>1381</c:v>
                </c:pt>
                <c:pt idx="104">
                  <c:v>1092</c:v>
                </c:pt>
                <c:pt idx="105">
                  <c:v>1519</c:v>
                </c:pt>
                <c:pt idx="106">
                  <c:v>1658</c:v>
                </c:pt>
                <c:pt idx="107">
                  <c:v>1266</c:v>
                </c:pt>
                <c:pt idx="108">
                  <c:v>1300</c:v>
                </c:pt>
                <c:pt idx="109">
                  <c:v>1442</c:v>
                </c:pt>
                <c:pt idx="110">
                  <c:v>1528</c:v>
                </c:pt>
                <c:pt idx="111">
                  <c:v>1307</c:v>
                </c:pt>
                <c:pt idx="112">
                  <c:v>1382</c:v>
                </c:pt>
                <c:pt idx="113">
                  <c:v>1465</c:v>
                </c:pt>
                <c:pt idx="114">
                  <c:v>2920</c:v>
                </c:pt>
                <c:pt idx="115">
                  <c:v>1383</c:v>
                </c:pt>
                <c:pt idx="116" formatCode="General">
                  <c:v>1079</c:v>
                </c:pt>
                <c:pt idx="117">
                  <c:v>1606</c:v>
                </c:pt>
                <c:pt idx="118">
                  <c:v>1282</c:v>
                </c:pt>
                <c:pt idx="119">
                  <c:v>964</c:v>
                </c:pt>
                <c:pt idx="120">
                  <c:v>1117</c:v>
                </c:pt>
                <c:pt idx="121">
                  <c:v>1160</c:v>
                </c:pt>
                <c:pt idx="122">
                  <c:v>1175</c:v>
                </c:pt>
                <c:pt idx="123">
                  <c:v>1542</c:v>
                </c:pt>
                <c:pt idx="124">
                  <c:v>1184</c:v>
                </c:pt>
                <c:pt idx="125">
                  <c:v>1335</c:v>
                </c:pt>
                <c:pt idx="126">
                  <c:v>2297</c:v>
                </c:pt>
                <c:pt idx="127">
                  <c:v>1142</c:v>
                </c:pt>
                <c:pt idx="128">
                  <c:v>1058</c:v>
                </c:pt>
                <c:pt idx="129">
                  <c:v>1309</c:v>
                </c:pt>
                <c:pt idx="130">
                  <c:v>1336</c:v>
                </c:pt>
                <c:pt idx="131">
                  <c:v>1167</c:v>
                </c:pt>
                <c:pt idx="132">
                  <c:v>1254</c:v>
                </c:pt>
                <c:pt idx="133">
                  <c:v>1291</c:v>
                </c:pt>
                <c:pt idx="134">
                  <c:v>1485</c:v>
                </c:pt>
                <c:pt idx="135">
                  <c:v>1293</c:v>
                </c:pt>
                <c:pt idx="136">
                  <c:v>1573</c:v>
                </c:pt>
                <c:pt idx="137">
                  <c:v>1297</c:v>
                </c:pt>
                <c:pt idx="138">
                  <c:v>2452</c:v>
                </c:pt>
                <c:pt idx="139">
                  <c:v>1513</c:v>
                </c:pt>
                <c:pt idx="140">
                  <c:v>1089</c:v>
                </c:pt>
                <c:pt idx="141">
                  <c:v>1329</c:v>
                </c:pt>
                <c:pt idx="142">
                  <c:v>1462</c:v>
                </c:pt>
                <c:pt idx="143">
                  <c:v>1313</c:v>
                </c:pt>
                <c:pt idx="144" formatCode="_(* #,##0_);_(* \(#,##0\);_(* &quot;-&quot;??_);_(@_)">
                  <c:v>1244</c:v>
                </c:pt>
                <c:pt idx="145">
                  <c:v>1234</c:v>
                </c:pt>
                <c:pt idx="146">
                  <c:v>1311</c:v>
                </c:pt>
                <c:pt idx="147">
                  <c:v>1662</c:v>
                </c:pt>
                <c:pt idx="148" formatCode="_(* #,##0_);_(* \(#,##0\);_(* &quot;-&quot;??_);_(@_)">
                  <c:v>1707</c:v>
                </c:pt>
                <c:pt idx="149" formatCode="_(* #,##0_);_(* \(#,##0\);_(* &quot;-&quot;??_);_(@_)">
                  <c:v>1425</c:v>
                </c:pt>
                <c:pt idx="150" formatCode="_(* #,##0_);_(* \(#,##0\);_(* &quot;-&quot;??_);_(@_)">
                  <c:v>2786</c:v>
                </c:pt>
                <c:pt idx="151" formatCode="_(* #,##0_);_(* \(#,##0\);_(* &quot;-&quot;??_);_(@_)">
                  <c:v>1489</c:v>
                </c:pt>
                <c:pt idx="152" formatCode="_(* #,##0_);_(* \(#,##0\);_(* &quot;-&quot;??_);_(@_)">
                  <c:v>1465</c:v>
                </c:pt>
                <c:pt idx="153" formatCode="_(* #,##0_);_(* \(#,##0\);_(* &quot;-&quot;??_);_(@_)">
                  <c:v>1380</c:v>
                </c:pt>
                <c:pt idx="154" formatCode="_(* #,##0_);_(* \(#,##0\);_(* &quot;-&quot;??_);_(@_)">
                  <c:v>1705</c:v>
                </c:pt>
                <c:pt idx="155" formatCode="_(* #,##0_);_(* \(#,##0\);_(* &quot;-&quot;??_);_(@_)">
                  <c:v>1455</c:v>
                </c:pt>
                <c:pt idx="156">
                  <c:v>1574</c:v>
                </c:pt>
                <c:pt idx="157">
                  <c:v>1589</c:v>
                </c:pt>
                <c:pt idx="158">
                  <c:v>625</c:v>
                </c:pt>
                <c:pt idx="159">
                  <c:v>10</c:v>
                </c:pt>
                <c:pt idx="160">
                  <c:v>13</c:v>
                </c:pt>
                <c:pt idx="161">
                  <c:v>43</c:v>
                </c:pt>
                <c:pt idx="162">
                  <c:v>111</c:v>
                </c:pt>
                <c:pt idx="163">
                  <c:v>75</c:v>
                </c:pt>
                <c:pt idx="164">
                  <c:v>83</c:v>
                </c:pt>
                <c:pt idx="165">
                  <c:v>144</c:v>
                </c:pt>
                <c:pt idx="166">
                  <c:v>168</c:v>
                </c:pt>
                <c:pt idx="167">
                  <c:v>209</c:v>
                </c:pt>
                <c:pt idx="168">
                  <c:v>127</c:v>
                </c:pt>
                <c:pt idx="169">
                  <c:v>84</c:v>
                </c:pt>
                <c:pt idx="170">
                  <c:v>106</c:v>
                </c:pt>
                <c:pt idx="171">
                  <c:v>88</c:v>
                </c:pt>
                <c:pt idx="172">
                  <c:v>97</c:v>
                </c:pt>
              </c:numCache>
            </c:numRef>
          </c:val>
          <c:smooth val="0"/>
          <c:extLst xmlns:c15="http://schemas.microsoft.com/office/drawing/2012/chart">
            <c:ext xmlns:c16="http://schemas.microsoft.com/office/drawing/2014/chart" uri="{C3380CC4-5D6E-409C-BE32-E72D297353CC}">
              <c16:uniqueId val="{0000000A-9994-4956-9FBA-2410398E6D0E}"/>
            </c:ext>
          </c:extLst>
        </c:ser>
        <c:ser>
          <c:idx val="9"/>
          <c:order val="9"/>
          <c:tx>
            <c:strRef>
              <c:f>'Tendencias nacionalidad'!$C$63</c:f>
              <c:strCache>
                <c:ptCount val="1"/>
                <c:pt idx="0">
                  <c:v>Francia</c:v>
                </c:pt>
              </c:strCache>
              <c:extLst xmlns:c15="http://schemas.microsoft.com/office/drawing/2012/chart"/>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nacionalidad'!$D$63:$GA$63</c15:sqref>
                  </c15:fullRef>
                </c:ext>
              </c:extLst>
              <c:f>'Tendencias nacionalidad'!$D$63:$FT$63</c:f>
              <c:numCache>
                <c:formatCode>#,##0</c:formatCode>
                <c:ptCount val="173"/>
                <c:pt idx="0">
                  <c:v>543</c:v>
                </c:pt>
                <c:pt idx="1">
                  <c:v>685</c:v>
                </c:pt>
                <c:pt idx="2">
                  <c:v>788</c:v>
                </c:pt>
                <c:pt idx="3">
                  <c:v>824</c:v>
                </c:pt>
                <c:pt idx="4">
                  <c:v>704</c:v>
                </c:pt>
                <c:pt idx="5">
                  <c:v>744</c:v>
                </c:pt>
                <c:pt idx="6">
                  <c:v>1339</c:v>
                </c:pt>
                <c:pt idx="7">
                  <c:v>1363</c:v>
                </c:pt>
                <c:pt idx="8">
                  <c:v>964</c:v>
                </c:pt>
                <c:pt idx="9">
                  <c:v>1261</c:v>
                </c:pt>
                <c:pt idx="10">
                  <c:v>1037</c:v>
                </c:pt>
                <c:pt idx="11">
                  <c:v>669</c:v>
                </c:pt>
                <c:pt idx="12">
                  <c:v>824</c:v>
                </c:pt>
                <c:pt idx="13">
                  <c:v>1149</c:v>
                </c:pt>
                <c:pt idx="14">
                  <c:v>823</c:v>
                </c:pt>
                <c:pt idx="15">
                  <c:v>1148</c:v>
                </c:pt>
                <c:pt idx="16">
                  <c:v>934</c:v>
                </c:pt>
                <c:pt idx="17">
                  <c:v>975</c:v>
                </c:pt>
                <c:pt idx="18">
                  <c:v>1638</c:v>
                </c:pt>
                <c:pt idx="19">
                  <c:v>1653</c:v>
                </c:pt>
                <c:pt idx="20">
                  <c:v>1093</c:v>
                </c:pt>
                <c:pt idx="21">
                  <c:v>1377</c:v>
                </c:pt>
                <c:pt idx="22">
                  <c:v>1200</c:v>
                </c:pt>
                <c:pt idx="23">
                  <c:v>673</c:v>
                </c:pt>
                <c:pt idx="24">
                  <c:v>983</c:v>
                </c:pt>
                <c:pt idx="25">
                  <c:v>1015</c:v>
                </c:pt>
                <c:pt idx="26">
                  <c:v>796</c:v>
                </c:pt>
                <c:pt idx="27">
                  <c:v>1016</c:v>
                </c:pt>
                <c:pt idx="28">
                  <c:v>965</c:v>
                </c:pt>
                <c:pt idx="29">
                  <c:v>914</c:v>
                </c:pt>
                <c:pt idx="30">
                  <c:v>1694</c:v>
                </c:pt>
                <c:pt idx="31">
                  <c:v>1736</c:v>
                </c:pt>
                <c:pt idx="32">
                  <c:v>1131</c:v>
                </c:pt>
                <c:pt idx="33">
                  <c:v>1386</c:v>
                </c:pt>
                <c:pt idx="34">
                  <c:v>1175</c:v>
                </c:pt>
                <c:pt idx="35">
                  <c:v>749</c:v>
                </c:pt>
                <c:pt idx="36">
                  <c:v>742</c:v>
                </c:pt>
                <c:pt idx="37">
                  <c:v>833</c:v>
                </c:pt>
                <c:pt idx="38">
                  <c:v>1023</c:v>
                </c:pt>
                <c:pt idx="39">
                  <c:v>740</c:v>
                </c:pt>
                <c:pt idx="40">
                  <c:v>1128</c:v>
                </c:pt>
                <c:pt idx="41">
                  <c:v>840</c:v>
                </c:pt>
                <c:pt idx="42">
                  <c:v>1883</c:v>
                </c:pt>
                <c:pt idx="43">
                  <c:v>1664</c:v>
                </c:pt>
                <c:pt idx="44">
                  <c:v>843</c:v>
                </c:pt>
                <c:pt idx="45">
                  <c:v>1482</c:v>
                </c:pt>
                <c:pt idx="46">
                  <c:v>1372</c:v>
                </c:pt>
                <c:pt idx="47">
                  <c:v>727</c:v>
                </c:pt>
                <c:pt idx="48">
                  <c:v>759</c:v>
                </c:pt>
                <c:pt idx="49">
                  <c:v>756</c:v>
                </c:pt>
                <c:pt idx="50">
                  <c:v>935</c:v>
                </c:pt>
                <c:pt idx="51">
                  <c:v>872</c:v>
                </c:pt>
                <c:pt idx="52">
                  <c:v>1262</c:v>
                </c:pt>
                <c:pt idx="53">
                  <c:v>730</c:v>
                </c:pt>
                <c:pt idx="54">
                  <c:v>1595</c:v>
                </c:pt>
                <c:pt idx="55">
                  <c:v>1453</c:v>
                </c:pt>
                <c:pt idx="56">
                  <c:v>992</c:v>
                </c:pt>
                <c:pt idx="57">
                  <c:v>1427</c:v>
                </c:pt>
                <c:pt idx="58">
                  <c:v>1289</c:v>
                </c:pt>
                <c:pt idx="59">
                  <c:v>680</c:v>
                </c:pt>
                <c:pt idx="60">
                  <c:v>673</c:v>
                </c:pt>
                <c:pt idx="61">
                  <c:v>845</c:v>
                </c:pt>
                <c:pt idx="62">
                  <c:v>756</c:v>
                </c:pt>
                <c:pt idx="63">
                  <c:v>782</c:v>
                </c:pt>
                <c:pt idx="64">
                  <c:v>829</c:v>
                </c:pt>
                <c:pt idx="65">
                  <c:v>701</c:v>
                </c:pt>
                <c:pt idx="66">
                  <c:v>1552</c:v>
                </c:pt>
                <c:pt idx="67">
                  <c:v>1404</c:v>
                </c:pt>
                <c:pt idx="68">
                  <c:v>1214</c:v>
                </c:pt>
                <c:pt idx="69">
                  <c:v>1410</c:v>
                </c:pt>
                <c:pt idx="70">
                  <c:v>1180</c:v>
                </c:pt>
                <c:pt idx="71">
                  <c:v>745</c:v>
                </c:pt>
                <c:pt idx="72">
                  <c:v>880</c:v>
                </c:pt>
                <c:pt idx="73">
                  <c:v>808</c:v>
                </c:pt>
                <c:pt idx="74">
                  <c:v>969</c:v>
                </c:pt>
                <c:pt idx="75">
                  <c:v>844</c:v>
                </c:pt>
                <c:pt idx="76">
                  <c:v>1026</c:v>
                </c:pt>
                <c:pt idx="77">
                  <c:v>860</c:v>
                </c:pt>
                <c:pt idx="78">
                  <c:v>1550</c:v>
                </c:pt>
                <c:pt idx="79">
                  <c:v>1310</c:v>
                </c:pt>
                <c:pt idx="80">
                  <c:v>1292</c:v>
                </c:pt>
                <c:pt idx="81">
                  <c:v>1197</c:v>
                </c:pt>
                <c:pt idx="82">
                  <c:v>1162</c:v>
                </c:pt>
                <c:pt idx="83">
                  <c:v>751</c:v>
                </c:pt>
                <c:pt idx="84">
                  <c:v>877</c:v>
                </c:pt>
                <c:pt idx="85">
                  <c:v>898</c:v>
                </c:pt>
                <c:pt idx="86">
                  <c:v>932</c:v>
                </c:pt>
                <c:pt idx="87">
                  <c:v>964</c:v>
                </c:pt>
                <c:pt idx="88">
                  <c:v>964</c:v>
                </c:pt>
                <c:pt idx="89">
                  <c:v>934</c:v>
                </c:pt>
                <c:pt idx="90">
                  <c:v>1664</c:v>
                </c:pt>
                <c:pt idx="91">
                  <c:v>1228</c:v>
                </c:pt>
                <c:pt idx="92">
                  <c:v>1269</c:v>
                </c:pt>
                <c:pt idx="93">
                  <c:v>1389</c:v>
                </c:pt>
                <c:pt idx="94">
                  <c:v>1581</c:v>
                </c:pt>
                <c:pt idx="95">
                  <c:v>983</c:v>
                </c:pt>
                <c:pt idx="96">
                  <c:v>1065</c:v>
                </c:pt>
                <c:pt idx="97">
                  <c:v>1008</c:v>
                </c:pt>
                <c:pt idx="98">
                  <c:v>802</c:v>
                </c:pt>
                <c:pt idx="99">
                  <c:v>921</c:v>
                </c:pt>
                <c:pt idx="100">
                  <c:v>958</c:v>
                </c:pt>
                <c:pt idx="101">
                  <c:v>965</c:v>
                </c:pt>
                <c:pt idx="102">
                  <c:v>1548</c:v>
                </c:pt>
                <c:pt idx="103">
                  <c:v>1233</c:v>
                </c:pt>
                <c:pt idx="104">
                  <c:v>1512</c:v>
                </c:pt>
                <c:pt idx="105">
                  <c:v>1510</c:v>
                </c:pt>
                <c:pt idx="106">
                  <c:v>1671</c:v>
                </c:pt>
                <c:pt idx="107">
                  <c:v>856</c:v>
                </c:pt>
                <c:pt idx="108">
                  <c:v>953</c:v>
                </c:pt>
                <c:pt idx="109">
                  <c:v>996</c:v>
                </c:pt>
                <c:pt idx="110">
                  <c:v>916</c:v>
                </c:pt>
                <c:pt idx="111">
                  <c:v>945</c:v>
                </c:pt>
                <c:pt idx="112">
                  <c:v>905</c:v>
                </c:pt>
                <c:pt idx="113">
                  <c:v>1030</c:v>
                </c:pt>
                <c:pt idx="114">
                  <c:v>1552</c:v>
                </c:pt>
                <c:pt idx="115">
                  <c:v>1191</c:v>
                </c:pt>
                <c:pt idx="116" formatCode="General">
                  <c:v>950</c:v>
                </c:pt>
                <c:pt idx="117">
                  <c:v>1536</c:v>
                </c:pt>
                <c:pt idx="118">
                  <c:v>1546</c:v>
                </c:pt>
                <c:pt idx="119">
                  <c:v>835</c:v>
                </c:pt>
                <c:pt idx="120">
                  <c:v>933</c:v>
                </c:pt>
                <c:pt idx="121">
                  <c:v>916</c:v>
                </c:pt>
                <c:pt idx="122">
                  <c:v>937</c:v>
                </c:pt>
                <c:pt idx="123">
                  <c:v>939</c:v>
                </c:pt>
                <c:pt idx="124">
                  <c:v>912</c:v>
                </c:pt>
                <c:pt idx="125">
                  <c:v>911</c:v>
                </c:pt>
                <c:pt idx="126">
                  <c:v>1705</c:v>
                </c:pt>
                <c:pt idx="127">
                  <c:v>1227</c:v>
                </c:pt>
                <c:pt idx="128">
                  <c:v>1164</c:v>
                </c:pt>
                <c:pt idx="129">
                  <c:v>1553</c:v>
                </c:pt>
                <c:pt idx="130">
                  <c:v>1734</c:v>
                </c:pt>
                <c:pt idx="131">
                  <c:v>865</c:v>
                </c:pt>
                <c:pt idx="132">
                  <c:v>1076</c:v>
                </c:pt>
                <c:pt idx="133">
                  <c:v>1089</c:v>
                </c:pt>
                <c:pt idx="134">
                  <c:v>834</c:v>
                </c:pt>
                <c:pt idx="135">
                  <c:v>1162</c:v>
                </c:pt>
                <c:pt idx="136">
                  <c:v>1082</c:v>
                </c:pt>
                <c:pt idx="137">
                  <c:v>1183</c:v>
                </c:pt>
                <c:pt idx="138">
                  <c:v>1912</c:v>
                </c:pt>
                <c:pt idx="139">
                  <c:v>1373</c:v>
                </c:pt>
                <c:pt idx="140">
                  <c:v>1332</c:v>
                </c:pt>
                <c:pt idx="141">
                  <c:v>1688</c:v>
                </c:pt>
                <c:pt idx="142">
                  <c:v>1480</c:v>
                </c:pt>
                <c:pt idx="143">
                  <c:v>952</c:v>
                </c:pt>
                <c:pt idx="144" formatCode="_(* #,##0_);_(* \(#,##0\);_(* &quot;-&quot;??_);_(@_)">
                  <c:v>1067</c:v>
                </c:pt>
                <c:pt idx="145">
                  <c:v>1374</c:v>
                </c:pt>
                <c:pt idx="146">
                  <c:v>865</c:v>
                </c:pt>
                <c:pt idx="147">
                  <c:v>1271</c:v>
                </c:pt>
                <c:pt idx="148" formatCode="_(* #,##0_);_(* \(#,##0\);_(* &quot;-&quot;??_);_(@_)">
                  <c:v>1648</c:v>
                </c:pt>
                <c:pt idx="149" formatCode="_(* #,##0_);_(* \(#,##0\);_(* &quot;-&quot;??_);_(@_)">
                  <c:v>1645</c:v>
                </c:pt>
                <c:pt idx="150" formatCode="_(* #,##0_);_(* \(#,##0\);_(* &quot;-&quot;??_);_(@_)">
                  <c:v>2746</c:v>
                </c:pt>
                <c:pt idx="151" formatCode="_(* #,##0_);_(* \(#,##0\);_(* &quot;-&quot;??_);_(@_)">
                  <c:v>2514</c:v>
                </c:pt>
                <c:pt idx="152" formatCode="_(* #,##0_);_(* \(#,##0\);_(* &quot;-&quot;??_);_(@_)">
                  <c:v>2251</c:v>
                </c:pt>
                <c:pt idx="153" formatCode="_(* #,##0_);_(* \(#,##0\);_(* &quot;-&quot;??_);_(@_)">
                  <c:v>1562</c:v>
                </c:pt>
                <c:pt idx="154" formatCode="_(* #,##0_);_(* \(#,##0\);_(* &quot;-&quot;??_);_(@_)">
                  <c:v>1949</c:v>
                </c:pt>
                <c:pt idx="155" formatCode="_(* #,##0_);_(* \(#,##0\);_(* &quot;-&quot;??_);_(@_)">
                  <c:v>1590</c:v>
                </c:pt>
                <c:pt idx="156">
                  <c:v>1717</c:v>
                </c:pt>
                <c:pt idx="157">
                  <c:v>1675</c:v>
                </c:pt>
                <c:pt idx="158">
                  <c:v>661</c:v>
                </c:pt>
                <c:pt idx="159">
                  <c:v>2</c:v>
                </c:pt>
                <c:pt idx="160">
                  <c:v>18</c:v>
                </c:pt>
                <c:pt idx="161">
                  <c:v>11</c:v>
                </c:pt>
                <c:pt idx="162">
                  <c:v>68</c:v>
                </c:pt>
                <c:pt idx="163">
                  <c:v>158</c:v>
                </c:pt>
                <c:pt idx="164">
                  <c:v>152</c:v>
                </c:pt>
                <c:pt idx="165">
                  <c:v>261</c:v>
                </c:pt>
                <c:pt idx="166">
                  <c:v>186</c:v>
                </c:pt>
                <c:pt idx="167">
                  <c:v>413</c:v>
                </c:pt>
                <c:pt idx="168">
                  <c:v>431</c:v>
                </c:pt>
                <c:pt idx="169">
                  <c:v>209</c:v>
                </c:pt>
                <c:pt idx="170">
                  <c:v>211</c:v>
                </c:pt>
                <c:pt idx="171">
                  <c:v>238</c:v>
                </c:pt>
                <c:pt idx="172">
                  <c:v>277</c:v>
                </c:pt>
              </c:numCache>
            </c:numRef>
          </c:val>
          <c:smooth val="0"/>
          <c:extLst xmlns:c15="http://schemas.microsoft.com/office/drawing/2012/chart">
            <c:ext xmlns:c16="http://schemas.microsoft.com/office/drawing/2014/chart" uri="{C3380CC4-5D6E-409C-BE32-E72D297353CC}">
              <c16:uniqueId val="{0000000B-9994-4956-9FBA-2410398E6D0E}"/>
            </c:ext>
          </c:extLst>
        </c:ser>
        <c:ser>
          <c:idx val="11"/>
          <c:order val="11"/>
          <c:tx>
            <c:strRef>
              <c:f>'Tendencias nacionalidad'!$C$65</c:f>
              <c:strCache>
                <c:ptCount val="1"/>
                <c:pt idx="0">
                  <c:v>Brasil</c:v>
                </c:pt>
              </c:strCache>
            </c:strRef>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nacionalidad'!$D$65:$GA$65</c15:sqref>
                  </c15:fullRef>
                </c:ext>
              </c:extLst>
              <c:f>'Tendencias nacionalidad'!$D$65:$FT$65</c:f>
              <c:numCache>
                <c:formatCode>#,##0</c:formatCode>
                <c:ptCount val="173"/>
                <c:pt idx="0">
                  <c:v>601</c:v>
                </c:pt>
                <c:pt idx="1">
                  <c:v>485</c:v>
                </c:pt>
                <c:pt idx="2">
                  <c:v>562</c:v>
                </c:pt>
                <c:pt idx="3">
                  <c:v>458</c:v>
                </c:pt>
                <c:pt idx="4">
                  <c:v>506</c:v>
                </c:pt>
                <c:pt idx="5">
                  <c:v>493</c:v>
                </c:pt>
                <c:pt idx="6">
                  <c:v>640</c:v>
                </c:pt>
                <c:pt idx="7">
                  <c:v>660</c:v>
                </c:pt>
                <c:pt idx="8">
                  <c:v>623</c:v>
                </c:pt>
                <c:pt idx="9">
                  <c:v>809</c:v>
                </c:pt>
                <c:pt idx="10">
                  <c:v>721</c:v>
                </c:pt>
                <c:pt idx="11">
                  <c:v>581</c:v>
                </c:pt>
                <c:pt idx="12">
                  <c:v>742</c:v>
                </c:pt>
                <c:pt idx="13">
                  <c:v>1092</c:v>
                </c:pt>
                <c:pt idx="14">
                  <c:v>815</c:v>
                </c:pt>
                <c:pt idx="15">
                  <c:v>665</c:v>
                </c:pt>
                <c:pt idx="16">
                  <c:v>807</c:v>
                </c:pt>
                <c:pt idx="17">
                  <c:v>1147</c:v>
                </c:pt>
                <c:pt idx="18">
                  <c:v>1017</c:v>
                </c:pt>
                <c:pt idx="19">
                  <c:v>826</c:v>
                </c:pt>
                <c:pt idx="20">
                  <c:v>918</c:v>
                </c:pt>
                <c:pt idx="21">
                  <c:v>792</c:v>
                </c:pt>
                <c:pt idx="22">
                  <c:v>734</c:v>
                </c:pt>
                <c:pt idx="23">
                  <c:v>659</c:v>
                </c:pt>
                <c:pt idx="24">
                  <c:v>705</c:v>
                </c:pt>
                <c:pt idx="25">
                  <c:v>675</c:v>
                </c:pt>
                <c:pt idx="26">
                  <c:v>680</c:v>
                </c:pt>
                <c:pt idx="27">
                  <c:v>672</c:v>
                </c:pt>
                <c:pt idx="28">
                  <c:v>653</c:v>
                </c:pt>
                <c:pt idx="29">
                  <c:v>634</c:v>
                </c:pt>
                <c:pt idx="30">
                  <c:v>832</c:v>
                </c:pt>
                <c:pt idx="31">
                  <c:v>848</c:v>
                </c:pt>
                <c:pt idx="32">
                  <c:v>720</c:v>
                </c:pt>
                <c:pt idx="33">
                  <c:v>789</c:v>
                </c:pt>
                <c:pt idx="34">
                  <c:v>930</c:v>
                </c:pt>
                <c:pt idx="35">
                  <c:v>731</c:v>
                </c:pt>
                <c:pt idx="36">
                  <c:v>924</c:v>
                </c:pt>
                <c:pt idx="37">
                  <c:v>696</c:v>
                </c:pt>
                <c:pt idx="38">
                  <c:v>663</c:v>
                </c:pt>
                <c:pt idx="39">
                  <c:v>716</c:v>
                </c:pt>
                <c:pt idx="40">
                  <c:v>756</c:v>
                </c:pt>
                <c:pt idx="41">
                  <c:v>723</c:v>
                </c:pt>
                <c:pt idx="42">
                  <c:v>894</c:v>
                </c:pt>
                <c:pt idx="43">
                  <c:v>783</c:v>
                </c:pt>
                <c:pt idx="44">
                  <c:v>912</c:v>
                </c:pt>
                <c:pt idx="45">
                  <c:v>829</c:v>
                </c:pt>
                <c:pt idx="46">
                  <c:v>856</c:v>
                </c:pt>
                <c:pt idx="47">
                  <c:v>807</c:v>
                </c:pt>
                <c:pt idx="48">
                  <c:v>932</c:v>
                </c:pt>
                <c:pt idx="49">
                  <c:v>719</c:v>
                </c:pt>
                <c:pt idx="50">
                  <c:v>938</c:v>
                </c:pt>
                <c:pt idx="51">
                  <c:v>769</c:v>
                </c:pt>
                <c:pt idx="52">
                  <c:v>816</c:v>
                </c:pt>
                <c:pt idx="53">
                  <c:v>810</c:v>
                </c:pt>
                <c:pt idx="54">
                  <c:v>970</c:v>
                </c:pt>
                <c:pt idx="55">
                  <c:v>834</c:v>
                </c:pt>
                <c:pt idx="56">
                  <c:v>856</c:v>
                </c:pt>
                <c:pt idx="57">
                  <c:v>924</c:v>
                </c:pt>
                <c:pt idx="58">
                  <c:v>793</c:v>
                </c:pt>
                <c:pt idx="59">
                  <c:v>822</c:v>
                </c:pt>
                <c:pt idx="60">
                  <c:v>834</c:v>
                </c:pt>
                <c:pt idx="61">
                  <c:v>769</c:v>
                </c:pt>
                <c:pt idx="62">
                  <c:v>821</c:v>
                </c:pt>
                <c:pt idx="63">
                  <c:v>842</c:v>
                </c:pt>
                <c:pt idx="64">
                  <c:v>921</c:v>
                </c:pt>
                <c:pt idx="65">
                  <c:v>1131</c:v>
                </c:pt>
                <c:pt idx="66">
                  <c:v>1140</c:v>
                </c:pt>
                <c:pt idx="67">
                  <c:v>979</c:v>
                </c:pt>
                <c:pt idx="68">
                  <c:v>975</c:v>
                </c:pt>
                <c:pt idx="69">
                  <c:v>994</c:v>
                </c:pt>
                <c:pt idx="70">
                  <c:v>1053</c:v>
                </c:pt>
                <c:pt idx="71">
                  <c:v>931</c:v>
                </c:pt>
                <c:pt idx="72">
                  <c:v>941</c:v>
                </c:pt>
                <c:pt idx="73">
                  <c:v>723</c:v>
                </c:pt>
                <c:pt idx="74">
                  <c:v>783</c:v>
                </c:pt>
                <c:pt idx="75">
                  <c:v>862</c:v>
                </c:pt>
                <c:pt idx="76">
                  <c:v>903</c:v>
                </c:pt>
                <c:pt idx="77">
                  <c:v>861</c:v>
                </c:pt>
                <c:pt idx="78">
                  <c:v>932</c:v>
                </c:pt>
                <c:pt idx="79">
                  <c:v>714</c:v>
                </c:pt>
                <c:pt idx="80">
                  <c:v>996</c:v>
                </c:pt>
                <c:pt idx="81">
                  <c:v>940</c:v>
                </c:pt>
                <c:pt idx="82">
                  <c:v>1183</c:v>
                </c:pt>
                <c:pt idx="83">
                  <c:v>1214</c:v>
                </c:pt>
                <c:pt idx="84">
                  <c:v>1206</c:v>
                </c:pt>
                <c:pt idx="85">
                  <c:v>1082</c:v>
                </c:pt>
                <c:pt idx="86">
                  <c:v>958</c:v>
                </c:pt>
                <c:pt idx="87">
                  <c:v>984</c:v>
                </c:pt>
                <c:pt idx="88">
                  <c:v>1190</c:v>
                </c:pt>
                <c:pt idx="89">
                  <c:v>753</c:v>
                </c:pt>
                <c:pt idx="90">
                  <c:v>1072</c:v>
                </c:pt>
                <c:pt idx="91">
                  <c:v>1031</c:v>
                </c:pt>
                <c:pt idx="92">
                  <c:v>1195</c:v>
                </c:pt>
                <c:pt idx="93">
                  <c:v>1257</c:v>
                </c:pt>
                <c:pt idx="94">
                  <c:v>1415</c:v>
                </c:pt>
                <c:pt idx="95">
                  <c:v>1565</c:v>
                </c:pt>
                <c:pt idx="96">
                  <c:v>1621</c:v>
                </c:pt>
                <c:pt idx="97">
                  <c:v>1093</c:v>
                </c:pt>
                <c:pt idx="98">
                  <c:v>918</c:v>
                </c:pt>
                <c:pt idx="99">
                  <c:v>1026</c:v>
                </c:pt>
                <c:pt idx="100">
                  <c:v>1047</c:v>
                </c:pt>
                <c:pt idx="101">
                  <c:v>937</c:v>
                </c:pt>
                <c:pt idx="102">
                  <c:v>1223</c:v>
                </c:pt>
                <c:pt idx="103">
                  <c:v>939</c:v>
                </c:pt>
                <c:pt idx="104">
                  <c:v>863</c:v>
                </c:pt>
                <c:pt idx="105">
                  <c:v>940</c:v>
                </c:pt>
                <c:pt idx="106">
                  <c:v>1003</c:v>
                </c:pt>
                <c:pt idx="107">
                  <c:v>1325</c:v>
                </c:pt>
                <c:pt idx="108">
                  <c:v>965</c:v>
                </c:pt>
                <c:pt idx="109">
                  <c:v>748</c:v>
                </c:pt>
                <c:pt idx="110">
                  <c:v>734</c:v>
                </c:pt>
                <c:pt idx="111">
                  <c:v>736</c:v>
                </c:pt>
                <c:pt idx="112">
                  <c:v>751</c:v>
                </c:pt>
                <c:pt idx="113">
                  <c:v>821</c:v>
                </c:pt>
                <c:pt idx="114">
                  <c:v>874</c:v>
                </c:pt>
                <c:pt idx="115">
                  <c:v>960</c:v>
                </c:pt>
                <c:pt idx="116" formatCode="General">
                  <c:v>826</c:v>
                </c:pt>
                <c:pt idx="117">
                  <c:v>1331</c:v>
                </c:pt>
                <c:pt idx="118">
                  <c:v>981</c:v>
                </c:pt>
                <c:pt idx="119">
                  <c:v>896</c:v>
                </c:pt>
                <c:pt idx="120">
                  <c:v>1060</c:v>
                </c:pt>
                <c:pt idx="121">
                  <c:v>849</c:v>
                </c:pt>
                <c:pt idx="122">
                  <c:v>907</c:v>
                </c:pt>
                <c:pt idx="123">
                  <c:v>1130</c:v>
                </c:pt>
                <c:pt idx="124">
                  <c:v>878</c:v>
                </c:pt>
                <c:pt idx="125">
                  <c:v>938</c:v>
                </c:pt>
                <c:pt idx="126">
                  <c:v>1156</c:v>
                </c:pt>
                <c:pt idx="127">
                  <c:v>925</c:v>
                </c:pt>
                <c:pt idx="128">
                  <c:v>972</c:v>
                </c:pt>
                <c:pt idx="129">
                  <c:v>1125</c:v>
                </c:pt>
                <c:pt idx="130">
                  <c:v>1076</c:v>
                </c:pt>
                <c:pt idx="131">
                  <c:v>960</c:v>
                </c:pt>
                <c:pt idx="132">
                  <c:v>1141</c:v>
                </c:pt>
                <c:pt idx="133">
                  <c:v>1020</c:v>
                </c:pt>
                <c:pt idx="134">
                  <c:v>899</c:v>
                </c:pt>
                <c:pt idx="135">
                  <c:v>1032</c:v>
                </c:pt>
                <c:pt idx="136">
                  <c:v>1005</c:v>
                </c:pt>
                <c:pt idx="137">
                  <c:v>1056</c:v>
                </c:pt>
                <c:pt idx="138">
                  <c:v>1355</c:v>
                </c:pt>
                <c:pt idx="139">
                  <c:v>837</c:v>
                </c:pt>
                <c:pt idx="140">
                  <c:v>1152</c:v>
                </c:pt>
                <c:pt idx="141">
                  <c:v>1381</c:v>
                </c:pt>
                <c:pt idx="142">
                  <c:v>1016</c:v>
                </c:pt>
                <c:pt idx="143">
                  <c:v>1162</c:v>
                </c:pt>
                <c:pt idx="144" formatCode="_(* #,##0_);_(* \(#,##0\);_(* &quot;-&quot;??_);_(@_)">
                  <c:v>2040</c:v>
                </c:pt>
                <c:pt idx="145">
                  <c:v>1025</c:v>
                </c:pt>
                <c:pt idx="146">
                  <c:v>1254</c:v>
                </c:pt>
                <c:pt idx="147">
                  <c:v>1827</c:v>
                </c:pt>
                <c:pt idx="148" formatCode="_(* #,##0_);_(* \(#,##0\);_(* &quot;-&quot;??_);_(@_)">
                  <c:v>1348</c:v>
                </c:pt>
                <c:pt idx="149" formatCode="_(* #,##0_);_(* \(#,##0\);_(* &quot;-&quot;??_);_(@_)">
                  <c:v>1543</c:v>
                </c:pt>
                <c:pt idx="150" formatCode="_(* #,##0_);_(* \(#,##0\);_(* &quot;-&quot;??_);_(@_)">
                  <c:v>1780</c:v>
                </c:pt>
                <c:pt idx="151" formatCode="_(* #,##0_);_(* \(#,##0\);_(* &quot;-&quot;??_);_(@_)">
                  <c:v>1558</c:v>
                </c:pt>
                <c:pt idx="152" formatCode="_(* #,##0_);_(* \(#,##0\);_(* &quot;-&quot;??_);_(@_)">
                  <c:v>1957</c:v>
                </c:pt>
                <c:pt idx="153" formatCode="_(* #,##0_);_(* \(#,##0\);_(* &quot;-&quot;??_);_(@_)">
                  <c:v>972</c:v>
                </c:pt>
                <c:pt idx="154" formatCode="_(* #,##0_);_(* \(#,##0\);_(* &quot;-&quot;??_);_(@_)">
                  <c:v>1447</c:v>
                </c:pt>
                <c:pt idx="155" formatCode="_(* #,##0_);_(* \(#,##0\);_(* &quot;-&quot;??_);_(@_)">
                  <c:v>1594</c:v>
                </c:pt>
                <c:pt idx="156">
                  <c:v>1536</c:v>
                </c:pt>
                <c:pt idx="157">
                  <c:v>1652</c:v>
                </c:pt>
                <c:pt idx="158">
                  <c:v>512</c:v>
                </c:pt>
                <c:pt idx="159">
                  <c:v>12</c:v>
                </c:pt>
                <c:pt idx="160">
                  <c:v>20</c:v>
                </c:pt>
                <c:pt idx="161">
                  <c:v>12</c:v>
                </c:pt>
                <c:pt idx="162">
                  <c:v>48</c:v>
                </c:pt>
                <c:pt idx="163">
                  <c:v>69</c:v>
                </c:pt>
                <c:pt idx="164">
                  <c:v>197</c:v>
                </c:pt>
                <c:pt idx="165">
                  <c:v>136</c:v>
                </c:pt>
                <c:pt idx="166">
                  <c:v>294</c:v>
                </c:pt>
                <c:pt idx="167">
                  <c:v>368</c:v>
                </c:pt>
                <c:pt idx="168">
                  <c:v>324</c:v>
                </c:pt>
                <c:pt idx="169">
                  <c:v>198</c:v>
                </c:pt>
                <c:pt idx="170">
                  <c:v>231</c:v>
                </c:pt>
                <c:pt idx="171">
                  <c:v>238</c:v>
                </c:pt>
                <c:pt idx="172">
                  <c:v>367</c:v>
                </c:pt>
              </c:numCache>
            </c:numRef>
          </c:val>
          <c:smooth val="0"/>
          <c:extLst>
            <c:ext xmlns:c16="http://schemas.microsoft.com/office/drawing/2014/chart" uri="{C3380CC4-5D6E-409C-BE32-E72D297353CC}">
              <c16:uniqueId val="{00000003-9994-4956-9FBA-2410398E6D0E}"/>
            </c:ext>
          </c:extLst>
        </c:ser>
        <c:ser>
          <c:idx val="12"/>
          <c:order val="12"/>
          <c:tx>
            <c:strRef>
              <c:f>'Tendencias nacionalidad'!$C$66</c:f>
              <c:strCache>
                <c:ptCount val="1"/>
                <c:pt idx="0">
                  <c:v>Países Bajo (Holanda)</c:v>
                </c:pt>
              </c:strCache>
              <c:extLst xmlns:c15="http://schemas.microsoft.com/office/drawing/2012/chart"/>
            </c:strRef>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nacionalidad'!$D$66:$GA$66</c15:sqref>
                  </c15:fullRef>
                </c:ext>
              </c:extLst>
              <c:f>'Tendencias nacionalidad'!$D$66:$FT$66</c:f>
              <c:numCache>
                <c:formatCode>#,##0</c:formatCode>
                <c:ptCount val="173"/>
                <c:pt idx="0">
                  <c:v>367</c:v>
                </c:pt>
                <c:pt idx="1">
                  <c:v>335</c:v>
                </c:pt>
                <c:pt idx="2">
                  <c:v>364</c:v>
                </c:pt>
                <c:pt idx="3">
                  <c:v>343</c:v>
                </c:pt>
                <c:pt idx="4">
                  <c:v>321</c:v>
                </c:pt>
                <c:pt idx="5">
                  <c:v>421</c:v>
                </c:pt>
                <c:pt idx="6">
                  <c:v>1328</c:v>
                </c:pt>
                <c:pt idx="7">
                  <c:v>606</c:v>
                </c:pt>
                <c:pt idx="8">
                  <c:v>710</c:v>
                </c:pt>
                <c:pt idx="9">
                  <c:v>637</c:v>
                </c:pt>
                <c:pt idx="10">
                  <c:v>607</c:v>
                </c:pt>
                <c:pt idx="11">
                  <c:v>455</c:v>
                </c:pt>
                <c:pt idx="12">
                  <c:v>449</c:v>
                </c:pt>
                <c:pt idx="13">
                  <c:v>677</c:v>
                </c:pt>
                <c:pt idx="14">
                  <c:v>399</c:v>
                </c:pt>
                <c:pt idx="15">
                  <c:v>431</c:v>
                </c:pt>
                <c:pt idx="16">
                  <c:v>467</c:v>
                </c:pt>
                <c:pt idx="17">
                  <c:v>553</c:v>
                </c:pt>
                <c:pt idx="18">
                  <c:v>1757</c:v>
                </c:pt>
                <c:pt idx="19">
                  <c:v>735</c:v>
                </c:pt>
                <c:pt idx="20">
                  <c:v>835</c:v>
                </c:pt>
                <c:pt idx="21">
                  <c:v>626</c:v>
                </c:pt>
                <c:pt idx="22">
                  <c:v>706</c:v>
                </c:pt>
                <c:pt idx="23">
                  <c:v>541</c:v>
                </c:pt>
                <c:pt idx="24">
                  <c:v>469</c:v>
                </c:pt>
                <c:pt idx="25">
                  <c:v>395</c:v>
                </c:pt>
                <c:pt idx="26">
                  <c:v>369</c:v>
                </c:pt>
                <c:pt idx="27">
                  <c:v>552</c:v>
                </c:pt>
                <c:pt idx="28">
                  <c:v>528.5</c:v>
                </c:pt>
                <c:pt idx="29">
                  <c:v>505</c:v>
                </c:pt>
                <c:pt idx="30">
                  <c:v>1602</c:v>
                </c:pt>
                <c:pt idx="31">
                  <c:v>575</c:v>
                </c:pt>
                <c:pt idx="32">
                  <c:v>499</c:v>
                </c:pt>
                <c:pt idx="33">
                  <c:v>639</c:v>
                </c:pt>
                <c:pt idx="34">
                  <c:v>543</c:v>
                </c:pt>
                <c:pt idx="35">
                  <c:v>581</c:v>
                </c:pt>
                <c:pt idx="36">
                  <c:v>434</c:v>
                </c:pt>
                <c:pt idx="37">
                  <c:v>396</c:v>
                </c:pt>
                <c:pt idx="38">
                  <c:v>432</c:v>
                </c:pt>
                <c:pt idx="39">
                  <c:v>463</c:v>
                </c:pt>
                <c:pt idx="40">
                  <c:v>441</c:v>
                </c:pt>
                <c:pt idx="41">
                  <c:v>377</c:v>
                </c:pt>
                <c:pt idx="42">
                  <c:v>1417</c:v>
                </c:pt>
                <c:pt idx="43">
                  <c:v>511</c:v>
                </c:pt>
                <c:pt idx="44">
                  <c:v>455</c:v>
                </c:pt>
                <c:pt idx="45">
                  <c:v>706</c:v>
                </c:pt>
                <c:pt idx="46">
                  <c:v>468</c:v>
                </c:pt>
                <c:pt idx="47">
                  <c:v>524</c:v>
                </c:pt>
                <c:pt idx="48">
                  <c:v>438</c:v>
                </c:pt>
                <c:pt idx="49">
                  <c:v>331</c:v>
                </c:pt>
                <c:pt idx="50">
                  <c:v>359</c:v>
                </c:pt>
                <c:pt idx="51">
                  <c:v>410</c:v>
                </c:pt>
                <c:pt idx="52">
                  <c:v>374</c:v>
                </c:pt>
                <c:pt idx="53">
                  <c:v>359</c:v>
                </c:pt>
                <c:pt idx="54">
                  <c:v>1243</c:v>
                </c:pt>
                <c:pt idx="55">
                  <c:v>455</c:v>
                </c:pt>
                <c:pt idx="56">
                  <c:v>514</c:v>
                </c:pt>
                <c:pt idx="57">
                  <c:v>723</c:v>
                </c:pt>
                <c:pt idx="58">
                  <c:v>623</c:v>
                </c:pt>
                <c:pt idx="59">
                  <c:v>735</c:v>
                </c:pt>
                <c:pt idx="60">
                  <c:v>332</c:v>
                </c:pt>
                <c:pt idx="61">
                  <c:v>352</c:v>
                </c:pt>
                <c:pt idx="62">
                  <c:v>638</c:v>
                </c:pt>
                <c:pt idx="63">
                  <c:v>642</c:v>
                </c:pt>
                <c:pt idx="64">
                  <c:v>601</c:v>
                </c:pt>
                <c:pt idx="65">
                  <c:v>662</c:v>
                </c:pt>
                <c:pt idx="66">
                  <c:v>1316</c:v>
                </c:pt>
                <c:pt idx="67">
                  <c:v>757</c:v>
                </c:pt>
                <c:pt idx="68">
                  <c:v>771</c:v>
                </c:pt>
                <c:pt idx="69">
                  <c:v>824</c:v>
                </c:pt>
                <c:pt idx="70">
                  <c:v>633</c:v>
                </c:pt>
                <c:pt idx="71">
                  <c:v>769</c:v>
                </c:pt>
                <c:pt idx="72">
                  <c:v>724</c:v>
                </c:pt>
                <c:pt idx="73">
                  <c:v>624</c:v>
                </c:pt>
                <c:pt idx="74">
                  <c:v>698</c:v>
                </c:pt>
                <c:pt idx="75">
                  <c:v>891</c:v>
                </c:pt>
                <c:pt idx="76">
                  <c:v>886</c:v>
                </c:pt>
                <c:pt idx="77">
                  <c:v>710</c:v>
                </c:pt>
                <c:pt idx="78">
                  <c:v>1482</c:v>
                </c:pt>
                <c:pt idx="79">
                  <c:v>838</c:v>
                </c:pt>
                <c:pt idx="80">
                  <c:v>807</c:v>
                </c:pt>
                <c:pt idx="81">
                  <c:v>948</c:v>
                </c:pt>
                <c:pt idx="82">
                  <c:v>938</c:v>
                </c:pt>
                <c:pt idx="83">
                  <c:v>944</c:v>
                </c:pt>
                <c:pt idx="84">
                  <c:v>899</c:v>
                </c:pt>
                <c:pt idx="85">
                  <c:v>843</c:v>
                </c:pt>
                <c:pt idx="86">
                  <c:v>878</c:v>
                </c:pt>
                <c:pt idx="87">
                  <c:v>841</c:v>
                </c:pt>
                <c:pt idx="88">
                  <c:v>842</c:v>
                </c:pt>
                <c:pt idx="89">
                  <c:v>797</c:v>
                </c:pt>
                <c:pt idx="90">
                  <c:v>1571</c:v>
                </c:pt>
                <c:pt idx="91">
                  <c:v>851</c:v>
                </c:pt>
                <c:pt idx="92">
                  <c:v>1035</c:v>
                </c:pt>
                <c:pt idx="93">
                  <c:v>1030</c:v>
                </c:pt>
                <c:pt idx="94">
                  <c:v>948</c:v>
                </c:pt>
                <c:pt idx="95">
                  <c:v>981</c:v>
                </c:pt>
                <c:pt idx="96">
                  <c:v>855</c:v>
                </c:pt>
                <c:pt idx="97">
                  <c:v>841</c:v>
                </c:pt>
                <c:pt idx="98">
                  <c:v>827</c:v>
                </c:pt>
                <c:pt idx="99">
                  <c:v>901</c:v>
                </c:pt>
                <c:pt idx="100">
                  <c:v>901</c:v>
                </c:pt>
                <c:pt idx="101">
                  <c:v>856</c:v>
                </c:pt>
                <c:pt idx="102">
                  <c:v>1787</c:v>
                </c:pt>
                <c:pt idx="103">
                  <c:v>764</c:v>
                </c:pt>
                <c:pt idx="104">
                  <c:v>989</c:v>
                </c:pt>
                <c:pt idx="105">
                  <c:v>1108</c:v>
                </c:pt>
                <c:pt idx="106">
                  <c:v>937</c:v>
                </c:pt>
                <c:pt idx="107">
                  <c:v>924</c:v>
                </c:pt>
                <c:pt idx="108">
                  <c:v>975</c:v>
                </c:pt>
                <c:pt idx="109">
                  <c:v>931</c:v>
                </c:pt>
                <c:pt idx="110">
                  <c:v>933</c:v>
                </c:pt>
                <c:pt idx="111">
                  <c:v>938</c:v>
                </c:pt>
                <c:pt idx="112">
                  <c:v>939</c:v>
                </c:pt>
                <c:pt idx="113">
                  <c:v>948</c:v>
                </c:pt>
                <c:pt idx="114">
                  <c:v>1894</c:v>
                </c:pt>
                <c:pt idx="115">
                  <c:v>1056</c:v>
                </c:pt>
                <c:pt idx="116" formatCode="General">
                  <c:v>1150</c:v>
                </c:pt>
                <c:pt idx="117">
                  <c:v>1239</c:v>
                </c:pt>
                <c:pt idx="118">
                  <c:v>926</c:v>
                </c:pt>
                <c:pt idx="119">
                  <c:v>928</c:v>
                </c:pt>
                <c:pt idx="120">
                  <c:v>846</c:v>
                </c:pt>
                <c:pt idx="121">
                  <c:v>781</c:v>
                </c:pt>
                <c:pt idx="122">
                  <c:v>837</c:v>
                </c:pt>
                <c:pt idx="123">
                  <c:v>939</c:v>
                </c:pt>
                <c:pt idx="124">
                  <c:v>801</c:v>
                </c:pt>
                <c:pt idx="125">
                  <c:v>778</c:v>
                </c:pt>
                <c:pt idx="126">
                  <c:v>1612</c:v>
                </c:pt>
                <c:pt idx="127">
                  <c:v>968</c:v>
                </c:pt>
                <c:pt idx="128">
                  <c:v>1028</c:v>
                </c:pt>
                <c:pt idx="129">
                  <c:v>920</c:v>
                </c:pt>
                <c:pt idx="130">
                  <c:v>885</c:v>
                </c:pt>
                <c:pt idx="131">
                  <c:v>950</c:v>
                </c:pt>
                <c:pt idx="132">
                  <c:v>866</c:v>
                </c:pt>
                <c:pt idx="133">
                  <c:v>853</c:v>
                </c:pt>
                <c:pt idx="134">
                  <c:v>898</c:v>
                </c:pt>
                <c:pt idx="135">
                  <c:v>1073</c:v>
                </c:pt>
                <c:pt idx="136">
                  <c:v>931</c:v>
                </c:pt>
                <c:pt idx="137">
                  <c:v>941</c:v>
                </c:pt>
                <c:pt idx="138">
                  <c:v>1802</c:v>
                </c:pt>
                <c:pt idx="139">
                  <c:v>1092</c:v>
                </c:pt>
                <c:pt idx="140">
                  <c:v>1158</c:v>
                </c:pt>
                <c:pt idx="141">
                  <c:v>1103</c:v>
                </c:pt>
                <c:pt idx="142">
                  <c:v>1010</c:v>
                </c:pt>
                <c:pt idx="143">
                  <c:v>1007</c:v>
                </c:pt>
                <c:pt idx="144" formatCode="_(* #,##0_);_(* \(#,##0\);_(* &quot;-&quot;??_);_(@_)">
                  <c:v>981</c:v>
                </c:pt>
                <c:pt idx="145">
                  <c:v>895</c:v>
                </c:pt>
                <c:pt idx="146">
                  <c:v>974</c:v>
                </c:pt>
                <c:pt idx="147">
                  <c:v>1041</c:v>
                </c:pt>
                <c:pt idx="148" formatCode="_(* #,##0_);_(* \(#,##0\);_(* &quot;-&quot;??_);_(@_)">
                  <c:v>1032</c:v>
                </c:pt>
                <c:pt idx="149" formatCode="_(* #,##0_);_(* \(#,##0\);_(* &quot;-&quot;??_);_(@_)">
                  <c:v>969</c:v>
                </c:pt>
                <c:pt idx="150" formatCode="_(* #,##0_);_(* \(#,##0\);_(* &quot;-&quot;??_);_(@_)">
                  <c:v>2132</c:v>
                </c:pt>
                <c:pt idx="151" formatCode="_(* #,##0_);_(* \(#,##0\);_(* &quot;-&quot;??_);_(@_)">
                  <c:v>1183</c:v>
                </c:pt>
                <c:pt idx="152" formatCode="_(* #,##0_);_(* \(#,##0\);_(* &quot;-&quot;??_);_(@_)">
                  <c:v>1236</c:v>
                </c:pt>
                <c:pt idx="153" formatCode="_(* #,##0_);_(* \(#,##0\);_(* &quot;-&quot;??_);_(@_)">
                  <c:v>803</c:v>
                </c:pt>
                <c:pt idx="154" formatCode="_(* #,##0_);_(* \(#,##0\);_(* &quot;-&quot;??_);_(@_)">
                  <c:v>1077</c:v>
                </c:pt>
                <c:pt idx="155" formatCode="_(* #,##0_);_(* \(#,##0\);_(* &quot;-&quot;??_);_(@_)">
                  <c:v>1204</c:v>
                </c:pt>
                <c:pt idx="156">
                  <c:v>1022</c:v>
                </c:pt>
                <c:pt idx="157">
                  <c:v>944</c:v>
                </c:pt>
                <c:pt idx="158">
                  <c:v>564</c:v>
                </c:pt>
                <c:pt idx="159">
                  <c:v>50</c:v>
                </c:pt>
                <c:pt idx="160">
                  <c:v>87</c:v>
                </c:pt>
                <c:pt idx="161">
                  <c:v>159</c:v>
                </c:pt>
                <c:pt idx="162">
                  <c:v>268</c:v>
                </c:pt>
                <c:pt idx="163">
                  <c:v>310</c:v>
                </c:pt>
                <c:pt idx="164">
                  <c:v>137</c:v>
                </c:pt>
                <c:pt idx="165">
                  <c:v>147</c:v>
                </c:pt>
                <c:pt idx="166">
                  <c:v>115</c:v>
                </c:pt>
                <c:pt idx="167">
                  <c:v>375</c:v>
                </c:pt>
                <c:pt idx="168">
                  <c:v>346</c:v>
                </c:pt>
                <c:pt idx="169">
                  <c:v>103</c:v>
                </c:pt>
                <c:pt idx="170">
                  <c:v>130</c:v>
                </c:pt>
                <c:pt idx="171">
                  <c:v>121</c:v>
                </c:pt>
                <c:pt idx="172">
                  <c:v>109</c:v>
                </c:pt>
              </c:numCache>
            </c:numRef>
          </c:val>
          <c:smooth val="0"/>
          <c:extLst xmlns:c15="http://schemas.microsoft.com/office/drawing/2012/chart">
            <c:ext xmlns:c16="http://schemas.microsoft.com/office/drawing/2014/chart" uri="{C3380CC4-5D6E-409C-BE32-E72D297353CC}">
              <c16:uniqueId val="{0000000D-9994-4956-9FBA-2410398E6D0E}"/>
            </c:ext>
          </c:extLst>
        </c:ser>
        <c:ser>
          <c:idx val="14"/>
          <c:order val="14"/>
          <c:tx>
            <c:strRef>
              <c:f>'Tendencias nacionalidad'!$C$68</c:f>
              <c:strCache>
                <c:ptCount val="1"/>
                <c:pt idx="0">
                  <c:v>Chile</c:v>
                </c:pt>
              </c:strCache>
            </c:strRef>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nacionalidad'!$D$68:$GA$68</c15:sqref>
                  </c15:fullRef>
                </c:ext>
              </c:extLst>
              <c:f>'Tendencias nacionalidad'!$D$68:$FT$68</c:f>
              <c:numCache>
                <c:formatCode>#,##0</c:formatCode>
                <c:ptCount val="173"/>
                <c:pt idx="0">
                  <c:v>802</c:v>
                </c:pt>
                <c:pt idx="1">
                  <c:v>792</c:v>
                </c:pt>
                <c:pt idx="2">
                  <c:v>587</c:v>
                </c:pt>
                <c:pt idx="3">
                  <c:v>506</c:v>
                </c:pt>
                <c:pt idx="4">
                  <c:v>581</c:v>
                </c:pt>
                <c:pt idx="5">
                  <c:v>629</c:v>
                </c:pt>
                <c:pt idx="6">
                  <c:v>849</c:v>
                </c:pt>
                <c:pt idx="7">
                  <c:v>779</c:v>
                </c:pt>
                <c:pt idx="8">
                  <c:v>784</c:v>
                </c:pt>
                <c:pt idx="9">
                  <c:v>779</c:v>
                </c:pt>
                <c:pt idx="10">
                  <c:v>668</c:v>
                </c:pt>
                <c:pt idx="11">
                  <c:v>701</c:v>
                </c:pt>
                <c:pt idx="12">
                  <c:v>1001</c:v>
                </c:pt>
                <c:pt idx="13">
                  <c:v>1416</c:v>
                </c:pt>
                <c:pt idx="14">
                  <c:v>639</c:v>
                </c:pt>
                <c:pt idx="15">
                  <c:v>628</c:v>
                </c:pt>
                <c:pt idx="16">
                  <c:v>690</c:v>
                </c:pt>
                <c:pt idx="17">
                  <c:v>720</c:v>
                </c:pt>
                <c:pt idx="18">
                  <c:v>888</c:v>
                </c:pt>
                <c:pt idx="19">
                  <c:v>967</c:v>
                </c:pt>
                <c:pt idx="20">
                  <c:v>909</c:v>
                </c:pt>
                <c:pt idx="21">
                  <c:v>1253</c:v>
                </c:pt>
                <c:pt idx="22">
                  <c:v>761</c:v>
                </c:pt>
                <c:pt idx="23">
                  <c:v>760</c:v>
                </c:pt>
                <c:pt idx="24">
                  <c:v>1134</c:v>
                </c:pt>
                <c:pt idx="25">
                  <c:v>933</c:v>
                </c:pt>
                <c:pt idx="26">
                  <c:v>642</c:v>
                </c:pt>
                <c:pt idx="27">
                  <c:v>704</c:v>
                </c:pt>
                <c:pt idx="28">
                  <c:v>710.5</c:v>
                </c:pt>
                <c:pt idx="29">
                  <c:v>717</c:v>
                </c:pt>
                <c:pt idx="30">
                  <c:v>970</c:v>
                </c:pt>
                <c:pt idx="31">
                  <c:v>720</c:v>
                </c:pt>
                <c:pt idx="32">
                  <c:v>889</c:v>
                </c:pt>
                <c:pt idx="33">
                  <c:v>728</c:v>
                </c:pt>
                <c:pt idx="34">
                  <c:v>715</c:v>
                </c:pt>
                <c:pt idx="35">
                  <c:v>609</c:v>
                </c:pt>
                <c:pt idx="36">
                  <c:v>929</c:v>
                </c:pt>
                <c:pt idx="37">
                  <c:v>1114</c:v>
                </c:pt>
                <c:pt idx="38">
                  <c:v>507</c:v>
                </c:pt>
                <c:pt idx="39">
                  <c:v>594</c:v>
                </c:pt>
                <c:pt idx="40">
                  <c:v>755</c:v>
                </c:pt>
                <c:pt idx="41">
                  <c:v>691</c:v>
                </c:pt>
                <c:pt idx="42">
                  <c:v>751</c:v>
                </c:pt>
                <c:pt idx="43">
                  <c:v>618</c:v>
                </c:pt>
                <c:pt idx="44">
                  <c:v>842</c:v>
                </c:pt>
                <c:pt idx="45">
                  <c:v>882</c:v>
                </c:pt>
                <c:pt idx="46">
                  <c:v>665</c:v>
                </c:pt>
                <c:pt idx="47">
                  <c:v>729</c:v>
                </c:pt>
                <c:pt idx="48">
                  <c:v>1099</c:v>
                </c:pt>
                <c:pt idx="49">
                  <c:v>1133</c:v>
                </c:pt>
                <c:pt idx="50">
                  <c:v>791</c:v>
                </c:pt>
                <c:pt idx="51">
                  <c:v>698</c:v>
                </c:pt>
                <c:pt idx="52">
                  <c:v>822</c:v>
                </c:pt>
                <c:pt idx="53">
                  <c:v>1050</c:v>
                </c:pt>
                <c:pt idx="54">
                  <c:v>1309</c:v>
                </c:pt>
                <c:pt idx="55">
                  <c:v>1070</c:v>
                </c:pt>
                <c:pt idx="56">
                  <c:v>936</c:v>
                </c:pt>
                <c:pt idx="57">
                  <c:v>966</c:v>
                </c:pt>
                <c:pt idx="58">
                  <c:v>790</c:v>
                </c:pt>
                <c:pt idx="59">
                  <c:v>1233</c:v>
                </c:pt>
                <c:pt idx="60">
                  <c:v>1072</c:v>
                </c:pt>
                <c:pt idx="61">
                  <c:v>1312</c:v>
                </c:pt>
                <c:pt idx="62">
                  <c:v>911</c:v>
                </c:pt>
                <c:pt idx="63">
                  <c:v>896</c:v>
                </c:pt>
                <c:pt idx="64">
                  <c:v>1004</c:v>
                </c:pt>
                <c:pt idx="65">
                  <c:v>1107</c:v>
                </c:pt>
                <c:pt idx="66">
                  <c:v>1277</c:v>
                </c:pt>
                <c:pt idx="67">
                  <c:v>1067</c:v>
                </c:pt>
                <c:pt idx="68">
                  <c:v>1066</c:v>
                </c:pt>
                <c:pt idx="69">
                  <c:v>2214</c:v>
                </c:pt>
                <c:pt idx="70">
                  <c:v>992</c:v>
                </c:pt>
                <c:pt idx="71">
                  <c:v>895</c:v>
                </c:pt>
                <c:pt idx="72">
                  <c:v>1139</c:v>
                </c:pt>
                <c:pt idx="73">
                  <c:v>1193</c:v>
                </c:pt>
                <c:pt idx="74">
                  <c:v>722</c:v>
                </c:pt>
                <c:pt idx="75">
                  <c:v>797</c:v>
                </c:pt>
                <c:pt idx="76">
                  <c:v>886</c:v>
                </c:pt>
                <c:pt idx="77">
                  <c:v>854</c:v>
                </c:pt>
                <c:pt idx="78">
                  <c:v>1141</c:v>
                </c:pt>
                <c:pt idx="79">
                  <c:v>1070</c:v>
                </c:pt>
                <c:pt idx="80">
                  <c:v>1090</c:v>
                </c:pt>
                <c:pt idx="81">
                  <c:v>1003</c:v>
                </c:pt>
                <c:pt idx="82">
                  <c:v>834</c:v>
                </c:pt>
                <c:pt idx="83">
                  <c:v>772</c:v>
                </c:pt>
                <c:pt idx="84">
                  <c:v>967</c:v>
                </c:pt>
                <c:pt idx="85">
                  <c:v>1087</c:v>
                </c:pt>
                <c:pt idx="86">
                  <c:v>951</c:v>
                </c:pt>
                <c:pt idx="87">
                  <c:v>958</c:v>
                </c:pt>
                <c:pt idx="88">
                  <c:v>1130</c:v>
                </c:pt>
                <c:pt idx="89">
                  <c:v>879</c:v>
                </c:pt>
                <c:pt idx="90">
                  <c:v>1213</c:v>
                </c:pt>
                <c:pt idx="91">
                  <c:v>1124</c:v>
                </c:pt>
                <c:pt idx="92">
                  <c:v>1100</c:v>
                </c:pt>
                <c:pt idx="93">
                  <c:v>1128</c:v>
                </c:pt>
                <c:pt idx="94">
                  <c:v>1166</c:v>
                </c:pt>
                <c:pt idx="95">
                  <c:v>1185</c:v>
                </c:pt>
                <c:pt idx="96">
                  <c:v>1056</c:v>
                </c:pt>
                <c:pt idx="97">
                  <c:v>1492</c:v>
                </c:pt>
                <c:pt idx="98">
                  <c:v>967</c:v>
                </c:pt>
                <c:pt idx="99">
                  <c:v>831</c:v>
                </c:pt>
                <c:pt idx="100">
                  <c:v>973</c:v>
                </c:pt>
                <c:pt idx="101">
                  <c:v>804</c:v>
                </c:pt>
                <c:pt idx="102">
                  <c:v>1001</c:v>
                </c:pt>
                <c:pt idx="103">
                  <c:v>697</c:v>
                </c:pt>
                <c:pt idx="104">
                  <c:v>700</c:v>
                </c:pt>
                <c:pt idx="105">
                  <c:v>837</c:v>
                </c:pt>
                <c:pt idx="106">
                  <c:v>824</c:v>
                </c:pt>
                <c:pt idx="107">
                  <c:v>804</c:v>
                </c:pt>
                <c:pt idx="108">
                  <c:v>874</c:v>
                </c:pt>
                <c:pt idx="109">
                  <c:v>931</c:v>
                </c:pt>
                <c:pt idx="110">
                  <c:v>634</c:v>
                </c:pt>
                <c:pt idx="111">
                  <c:v>630</c:v>
                </c:pt>
                <c:pt idx="112">
                  <c:v>593</c:v>
                </c:pt>
                <c:pt idx="113">
                  <c:v>783</c:v>
                </c:pt>
                <c:pt idx="114">
                  <c:v>933</c:v>
                </c:pt>
                <c:pt idx="115">
                  <c:v>646</c:v>
                </c:pt>
                <c:pt idx="116" formatCode="General">
                  <c:v>846</c:v>
                </c:pt>
                <c:pt idx="117">
                  <c:v>1359</c:v>
                </c:pt>
                <c:pt idx="118">
                  <c:v>938</c:v>
                </c:pt>
                <c:pt idx="119">
                  <c:v>883</c:v>
                </c:pt>
                <c:pt idx="120">
                  <c:v>1275</c:v>
                </c:pt>
                <c:pt idx="121">
                  <c:v>1308</c:v>
                </c:pt>
                <c:pt idx="122">
                  <c:v>867</c:v>
                </c:pt>
                <c:pt idx="123">
                  <c:v>810</c:v>
                </c:pt>
                <c:pt idx="124">
                  <c:v>726</c:v>
                </c:pt>
                <c:pt idx="125">
                  <c:v>709</c:v>
                </c:pt>
                <c:pt idx="126">
                  <c:v>1106</c:v>
                </c:pt>
                <c:pt idx="127">
                  <c:v>799</c:v>
                </c:pt>
                <c:pt idx="128">
                  <c:v>770</c:v>
                </c:pt>
                <c:pt idx="129">
                  <c:v>928</c:v>
                </c:pt>
                <c:pt idx="130">
                  <c:v>755</c:v>
                </c:pt>
                <c:pt idx="131">
                  <c:v>901</c:v>
                </c:pt>
                <c:pt idx="132">
                  <c:v>1141</c:v>
                </c:pt>
                <c:pt idx="133">
                  <c:v>1396</c:v>
                </c:pt>
                <c:pt idx="134">
                  <c:v>984</c:v>
                </c:pt>
                <c:pt idx="135">
                  <c:v>888</c:v>
                </c:pt>
                <c:pt idx="136">
                  <c:v>825</c:v>
                </c:pt>
                <c:pt idx="137">
                  <c:v>879</c:v>
                </c:pt>
                <c:pt idx="138">
                  <c:v>1124</c:v>
                </c:pt>
                <c:pt idx="139">
                  <c:v>824</c:v>
                </c:pt>
                <c:pt idx="140">
                  <c:v>945</c:v>
                </c:pt>
                <c:pt idx="141">
                  <c:v>1036</c:v>
                </c:pt>
                <c:pt idx="142">
                  <c:v>853</c:v>
                </c:pt>
                <c:pt idx="143">
                  <c:v>802</c:v>
                </c:pt>
                <c:pt idx="144" formatCode="_(* #,##0_);_(* \(#,##0\);_(* &quot;-&quot;??_);_(@_)">
                  <c:v>1003</c:v>
                </c:pt>
                <c:pt idx="145">
                  <c:v>1204</c:v>
                </c:pt>
                <c:pt idx="146">
                  <c:v>853</c:v>
                </c:pt>
                <c:pt idx="147">
                  <c:v>1299</c:v>
                </c:pt>
                <c:pt idx="148" formatCode="_(* #,##0_);_(* \(#,##0\);_(* &quot;-&quot;??_);_(@_)">
                  <c:v>1321</c:v>
                </c:pt>
                <c:pt idx="149" formatCode="_(* #,##0_);_(* \(#,##0\);_(* &quot;-&quot;??_);_(@_)">
                  <c:v>1452</c:v>
                </c:pt>
                <c:pt idx="150" formatCode="_(* #,##0_);_(* \(#,##0\);_(* &quot;-&quot;??_);_(@_)">
                  <c:v>1791</c:v>
                </c:pt>
                <c:pt idx="151" formatCode="_(* #,##0_);_(* \(#,##0\);_(* &quot;-&quot;??_);_(@_)">
                  <c:v>1495</c:v>
                </c:pt>
                <c:pt idx="152" formatCode="_(* #,##0_);_(* \(#,##0\);_(* &quot;-&quot;??_);_(@_)">
                  <c:v>1858</c:v>
                </c:pt>
                <c:pt idx="153" formatCode="_(* #,##0_);_(* \(#,##0\);_(* &quot;-&quot;??_);_(@_)">
                  <c:v>1132</c:v>
                </c:pt>
                <c:pt idx="154" formatCode="_(* #,##0_);_(* \(#,##0\);_(* &quot;-&quot;??_);_(@_)">
                  <c:v>1226</c:v>
                </c:pt>
                <c:pt idx="155" formatCode="_(* #,##0_);_(* \(#,##0\);_(* &quot;-&quot;??_);_(@_)">
                  <c:v>1409</c:v>
                </c:pt>
                <c:pt idx="156">
                  <c:v>1782</c:v>
                </c:pt>
                <c:pt idx="157">
                  <c:v>1775</c:v>
                </c:pt>
                <c:pt idx="158">
                  <c:v>541</c:v>
                </c:pt>
                <c:pt idx="159">
                  <c:v>13</c:v>
                </c:pt>
                <c:pt idx="160">
                  <c:v>9</c:v>
                </c:pt>
                <c:pt idx="161">
                  <c:v>19</c:v>
                </c:pt>
                <c:pt idx="162">
                  <c:v>29</c:v>
                </c:pt>
                <c:pt idx="163">
                  <c:v>30</c:v>
                </c:pt>
                <c:pt idx="164">
                  <c:v>64</c:v>
                </c:pt>
                <c:pt idx="165">
                  <c:v>142</c:v>
                </c:pt>
                <c:pt idx="166">
                  <c:v>127</c:v>
                </c:pt>
                <c:pt idx="167">
                  <c:v>326</c:v>
                </c:pt>
                <c:pt idx="168">
                  <c:v>263</c:v>
                </c:pt>
                <c:pt idx="169">
                  <c:v>165</c:v>
                </c:pt>
                <c:pt idx="170">
                  <c:v>208</c:v>
                </c:pt>
                <c:pt idx="171">
                  <c:v>113</c:v>
                </c:pt>
                <c:pt idx="172">
                  <c:v>145</c:v>
                </c:pt>
              </c:numCache>
            </c:numRef>
          </c:val>
          <c:smooth val="0"/>
          <c:extLst>
            <c:ext xmlns:c16="http://schemas.microsoft.com/office/drawing/2014/chart" uri="{C3380CC4-5D6E-409C-BE32-E72D297353CC}">
              <c16:uniqueId val="{00000004-9994-4956-9FBA-2410398E6D0E}"/>
            </c:ext>
          </c:extLst>
        </c:ser>
        <c:ser>
          <c:idx val="16"/>
          <c:order val="16"/>
          <c:tx>
            <c:strRef>
              <c:f>'Tendencias nacionalidad'!$C$70</c:f>
              <c:strCache>
                <c:ptCount val="1"/>
                <c:pt idx="0">
                  <c:v>Italia</c:v>
                </c:pt>
              </c:strCache>
              <c:extLst xmlns:c15="http://schemas.microsoft.com/office/drawing/2012/chart"/>
            </c:strRef>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cat>
            <c:numRef>
              <c:extLst>
                <c:ext xmlns:c15="http://schemas.microsoft.com/office/drawing/2012/chart" uri="{02D57815-91ED-43cb-92C2-25804820EDAC}">
                  <c15:fullRef>
                    <c15:sqref>'Tendencias nacionalidad'!$D$52:$GA$52</c15:sqref>
                  </c15:fullRef>
                </c:ext>
              </c:extLst>
              <c:f>'Tendencias nacionalidad'!$D$52:$FT$52</c:f>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nacionalidad'!$D$70:$GA$70</c15:sqref>
                  </c15:fullRef>
                </c:ext>
              </c:extLst>
              <c:f>'Tendencias nacionalidad'!$D$70:$FT$70</c:f>
              <c:numCache>
                <c:formatCode>#,##0</c:formatCode>
                <c:ptCount val="173"/>
                <c:pt idx="0">
                  <c:v>549</c:v>
                </c:pt>
                <c:pt idx="1">
                  <c:v>378</c:v>
                </c:pt>
                <c:pt idx="2">
                  <c:v>399</c:v>
                </c:pt>
                <c:pt idx="3">
                  <c:v>391</c:v>
                </c:pt>
                <c:pt idx="4">
                  <c:v>397</c:v>
                </c:pt>
                <c:pt idx="5">
                  <c:v>487</c:v>
                </c:pt>
                <c:pt idx="6">
                  <c:v>844</c:v>
                </c:pt>
                <c:pt idx="7">
                  <c:v>1198</c:v>
                </c:pt>
                <c:pt idx="8">
                  <c:v>469</c:v>
                </c:pt>
                <c:pt idx="9">
                  <c:v>573</c:v>
                </c:pt>
                <c:pt idx="10">
                  <c:v>556</c:v>
                </c:pt>
                <c:pt idx="11">
                  <c:v>606</c:v>
                </c:pt>
                <c:pt idx="12">
                  <c:v>658</c:v>
                </c:pt>
                <c:pt idx="13">
                  <c:v>721</c:v>
                </c:pt>
                <c:pt idx="14">
                  <c:v>522</c:v>
                </c:pt>
                <c:pt idx="15">
                  <c:v>491</c:v>
                </c:pt>
                <c:pt idx="16">
                  <c:v>485</c:v>
                </c:pt>
                <c:pt idx="17">
                  <c:v>640</c:v>
                </c:pt>
                <c:pt idx="18">
                  <c:v>950</c:v>
                </c:pt>
                <c:pt idx="19">
                  <c:v>1246</c:v>
                </c:pt>
                <c:pt idx="20">
                  <c:v>719</c:v>
                </c:pt>
                <c:pt idx="21">
                  <c:v>629</c:v>
                </c:pt>
                <c:pt idx="22">
                  <c:v>701</c:v>
                </c:pt>
                <c:pt idx="23">
                  <c:v>596</c:v>
                </c:pt>
                <c:pt idx="24">
                  <c:v>761</c:v>
                </c:pt>
                <c:pt idx="25">
                  <c:v>540</c:v>
                </c:pt>
                <c:pt idx="26">
                  <c:v>496</c:v>
                </c:pt>
                <c:pt idx="27">
                  <c:v>503</c:v>
                </c:pt>
                <c:pt idx="28">
                  <c:v>608</c:v>
                </c:pt>
                <c:pt idx="29">
                  <c:v>713</c:v>
                </c:pt>
                <c:pt idx="30">
                  <c:v>1022</c:v>
                </c:pt>
                <c:pt idx="31">
                  <c:v>1396</c:v>
                </c:pt>
                <c:pt idx="32">
                  <c:v>602</c:v>
                </c:pt>
                <c:pt idx="33">
                  <c:v>609</c:v>
                </c:pt>
                <c:pt idx="34">
                  <c:v>680</c:v>
                </c:pt>
                <c:pt idx="35">
                  <c:v>666</c:v>
                </c:pt>
                <c:pt idx="36">
                  <c:v>637</c:v>
                </c:pt>
                <c:pt idx="37">
                  <c:v>545</c:v>
                </c:pt>
                <c:pt idx="38">
                  <c:v>550</c:v>
                </c:pt>
                <c:pt idx="39">
                  <c:v>538</c:v>
                </c:pt>
                <c:pt idx="40">
                  <c:v>528</c:v>
                </c:pt>
                <c:pt idx="41">
                  <c:v>635</c:v>
                </c:pt>
                <c:pt idx="42">
                  <c:v>849</c:v>
                </c:pt>
                <c:pt idx="43">
                  <c:v>1276</c:v>
                </c:pt>
                <c:pt idx="44">
                  <c:v>521</c:v>
                </c:pt>
                <c:pt idx="45">
                  <c:v>614</c:v>
                </c:pt>
                <c:pt idx="46">
                  <c:v>715</c:v>
                </c:pt>
                <c:pt idx="47">
                  <c:v>639</c:v>
                </c:pt>
                <c:pt idx="48">
                  <c:v>595</c:v>
                </c:pt>
                <c:pt idx="49">
                  <c:v>497</c:v>
                </c:pt>
                <c:pt idx="50">
                  <c:v>505</c:v>
                </c:pt>
                <c:pt idx="51">
                  <c:v>417</c:v>
                </c:pt>
                <c:pt idx="52">
                  <c:v>543</c:v>
                </c:pt>
                <c:pt idx="53">
                  <c:v>559</c:v>
                </c:pt>
                <c:pt idx="54">
                  <c:v>777</c:v>
                </c:pt>
                <c:pt idx="55">
                  <c:v>1289</c:v>
                </c:pt>
                <c:pt idx="56">
                  <c:v>535</c:v>
                </c:pt>
                <c:pt idx="57">
                  <c:v>653</c:v>
                </c:pt>
                <c:pt idx="58">
                  <c:v>682</c:v>
                </c:pt>
                <c:pt idx="59">
                  <c:v>664</c:v>
                </c:pt>
                <c:pt idx="60">
                  <c:v>551</c:v>
                </c:pt>
                <c:pt idx="61">
                  <c:v>522</c:v>
                </c:pt>
                <c:pt idx="62">
                  <c:v>534</c:v>
                </c:pt>
                <c:pt idx="63">
                  <c:v>525</c:v>
                </c:pt>
                <c:pt idx="64">
                  <c:v>544</c:v>
                </c:pt>
                <c:pt idx="65">
                  <c:v>656</c:v>
                </c:pt>
                <c:pt idx="66">
                  <c:v>836</c:v>
                </c:pt>
                <c:pt idx="67">
                  <c:v>1119</c:v>
                </c:pt>
                <c:pt idx="68">
                  <c:v>550</c:v>
                </c:pt>
                <c:pt idx="69">
                  <c:v>658</c:v>
                </c:pt>
                <c:pt idx="70">
                  <c:v>688</c:v>
                </c:pt>
                <c:pt idx="71">
                  <c:v>574</c:v>
                </c:pt>
                <c:pt idx="72">
                  <c:v>600</c:v>
                </c:pt>
                <c:pt idx="73">
                  <c:v>512</c:v>
                </c:pt>
                <c:pt idx="74">
                  <c:v>542</c:v>
                </c:pt>
                <c:pt idx="75">
                  <c:v>511</c:v>
                </c:pt>
                <c:pt idx="76">
                  <c:v>483</c:v>
                </c:pt>
                <c:pt idx="77">
                  <c:v>646</c:v>
                </c:pt>
                <c:pt idx="78">
                  <c:v>665</c:v>
                </c:pt>
                <c:pt idx="79">
                  <c:v>935</c:v>
                </c:pt>
                <c:pt idx="80">
                  <c:v>579</c:v>
                </c:pt>
                <c:pt idx="81">
                  <c:v>611</c:v>
                </c:pt>
                <c:pt idx="82">
                  <c:v>678</c:v>
                </c:pt>
                <c:pt idx="83">
                  <c:v>758</c:v>
                </c:pt>
                <c:pt idx="84">
                  <c:v>698</c:v>
                </c:pt>
                <c:pt idx="85">
                  <c:v>643</c:v>
                </c:pt>
                <c:pt idx="86">
                  <c:v>609</c:v>
                </c:pt>
                <c:pt idx="87">
                  <c:v>572</c:v>
                </c:pt>
                <c:pt idx="88">
                  <c:v>490</c:v>
                </c:pt>
                <c:pt idx="89">
                  <c:v>643</c:v>
                </c:pt>
                <c:pt idx="90">
                  <c:v>814</c:v>
                </c:pt>
                <c:pt idx="91">
                  <c:v>1057</c:v>
                </c:pt>
                <c:pt idx="92">
                  <c:v>554</c:v>
                </c:pt>
                <c:pt idx="93">
                  <c:v>636</c:v>
                </c:pt>
                <c:pt idx="94">
                  <c:v>734</c:v>
                </c:pt>
                <c:pt idx="95">
                  <c:v>716</c:v>
                </c:pt>
                <c:pt idx="96">
                  <c:v>704</c:v>
                </c:pt>
                <c:pt idx="97">
                  <c:v>575</c:v>
                </c:pt>
                <c:pt idx="98">
                  <c:v>571</c:v>
                </c:pt>
                <c:pt idx="99">
                  <c:v>525</c:v>
                </c:pt>
                <c:pt idx="100">
                  <c:v>537</c:v>
                </c:pt>
                <c:pt idx="101">
                  <c:v>740</c:v>
                </c:pt>
                <c:pt idx="102">
                  <c:v>857</c:v>
                </c:pt>
                <c:pt idx="103">
                  <c:v>1052</c:v>
                </c:pt>
                <c:pt idx="104">
                  <c:v>643</c:v>
                </c:pt>
                <c:pt idx="105">
                  <c:v>549</c:v>
                </c:pt>
                <c:pt idx="106">
                  <c:v>656</c:v>
                </c:pt>
                <c:pt idx="107">
                  <c:v>699</c:v>
                </c:pt>
                <c:pt idx="108">
                  <c:v>630</c:v>
                </c:pt>
                <c:pt idx="109">
                  <c:v>567</c:v>
                </c:pt>
                <c:pt idx="110">
                  <c:v>515</c:v>
                </c:pt>
                <c:pt idx="111">
                  <c:v>517</c:v>
                </c:pt>
                <c:pt idx="112">
                  <c:v>530</c:v>
                </c:pt>
                <c:pt idx="113">
                  <c:v>594</c:v>
                </c:pt>
                <c:pt idx="114">
                  <c:v>797</c:v>
                </c:pt>
                <c:pt idx="115">
                  <c:v>968</c:v>
                </c:pt>
                <c:pt idx="116" formatCode="General">
                  <c:v>506</c:v>
                </c:pt>
                <c:pt idx="117">
                  <c:v>663</c:v>
                </c:pt>
                <c:pt idx="118">
                  <c:v>605</c:v>
                </c:pt>
                <c:pt idx="119">
                  <c:v>640</c:v>
                </c:pt>
                <c:pt idx="120">
                  <c:v>661</c:v>
                </c:pt>
                <c:pt idx="121">
                  <c:v>472</c:v>
                </c:pt>
                <c:pt idx="122">
                  <c:v>508</c:v>
                </c:pt>
                <c:pt idx="123">
                  <c:v>543</c:v>
                </c:pt>
                <c:pt idx="124">
                  <c:v>594</c:v>
                </c:pt>
                <c:pt idx="125">
                  <c:v>673</c:v>
                </c:pt>
                <c:pt idx="126">
                  <c:v>769</c:v>
                </c:pt>
                <c:pt idx="127">
                  <c:v>922</c:v>
                </c:pt>
                <c:pt idx="128">
                  <c:v>542</c:v>
                </c:pt>
                <c:pt idx="129">
                  <c:v>601</c:v>
                </c:pt>
                <c:pt idx="130">
                  <c:v>691</c:v>
                </c:pt>
                <c:pt idx="131">
                  <c:v>768</c:v>
                </c:pt>
                <c:pt idx="132">
                  <c:v>637</c:v>
                </c:pt>
                <c:pt idx="133">
                  <c:v>567</c:v>
                </c:pt>
                <c:pt idx="134">
                  <c:v>562</c:v>
                </c:pt>
                <c:pt idx="135">
                  <c:v>572</c:v>
                </c:pt>
                <c:pt idx="136">
                  <c:v>529</c:v>
                </c:pt>
                <c:pt idx="137">
                  <c:v>741</c:v>
                </c:pt>
                <c:pt idx="138">
                  <c:v>937</c:v>
                </c:pt>
                <c:pt idx="139">
                  <c:v>1050</c:v>
                </c:pt>
                <c:pt idx="140">
                  <c:v>478</c:v>
                </c:pt>
                <c:pt idx="141">
                  <c:v>576</c:v>
                </c:pt>
                <c:pt idx="142">
                  <c:v>721</c:v>
                </c:pt>
                <c:pt idx="143">
                  <c:v>705</c:v>
                </c:pt>
                <c:pt idx="144" formatCode="_(* #,##0_);_(* \(#,##0\);_(* &quot;-&quot;??_);_(@_)">
                  <c:v>645</c:v>
                </c:pt>
                <c:pt idx="145">
                  <c:v>546</c:v>
                </c:pt>
                <c:pt idx="146">
                  <c:v>565</c:v>
                </c:pt>
                <c:pt idx="147">
                  <c:v>674</c:v>
                </c:pt>
                <c:pt idx="148" formatCode="_(* #,##0_);_(* \(#,##0\);_(* &quot;-&quot;??_);_(@_)">
                  <c:v>751</c:v>
                </c:pt>
                <c:pt idx="149" formatCode="_(* #,##0_);_(* \(#,##0\);_(* &quot;-&quot;??_);_(@_)">
                  <c:v>951</c:v>
                </c:pt>
                <c:pt idx="150" formatCode="_(* #,##0_);_(* \(#,##0\);_(* &quot;-&quot;??_);_(@_)">
                  <c:v>1213</c:v>
                </c:pt>
                <c:pt idx="151" formatCode="_(* #,##0_);_(* \(#,##0\);_(* &quot;-&quot;??_);_(@_)">
                  <c:v>1585</c:v>
                </c:pt>
                <c:pt idx="152" formatCode="_(* #,##0_);_(* \(#,##0\);_(* &quot;-&quot;??_);_(@_)">
                  <c:v>988</c:v>
                </c:pt>
                <c:pt idx="153" formatCode="_(* #,##0_);_(* \(#,##0\);_(* &quot;-&quot;??_);_(@_)">
                  <c:v>728</c:v>
                </c:pt>
                <c:pt idx="154" formatCode="_(* #,##0_);_(* \(#,##0\);_(* &quot;-&quot;??_);_(@_)">
                  <c:v>1072</c:v>
                </c:pt>
                <c:pt idx="155" formatCode="_(* #,##0_);_(* \(#,##0\);_(* &quot;-&quot;??_);_(@_)">
                  <c:v>1209</c:v>
                </c:pt>
                <c:pt idx="156">
                  <c:v>1044</c:v>
                </c:pt>
                <c:pt idx="157">
                  <c:v>854</c:v>
                </c:pt>
                <c:pt idx="158">
                  <c:v>254</c:v>
                </c:pt>
                <c:pt idx="159">
                  <c:v>4</c:v>
                </c:pt>
                <c:pt idx="160">
                  <c:v>15</c:v>
                </c:pt>
                <c:pt idx="161">
                  <c:v>14</c:v>
                </c:pt>
                <c:pt idx="162">
                  <c:v>82</c:v>
                </c:pt>
                <c:pt idx="163">
                  <c:v>59</c:v>
                </c:pt>
                <c:pt idx="164">
                  <c:v>126</c:v>
                </c:pt>
                <c:pt idx="165">
                  <c:v>186</c:v>
                </c:pt>
                <c:pt idx="166">
                  <c:v>183</c:v>
                </c:pt>
                <c:pt idx="167">
                  <c:v>227</c:v>
                </c:pt>
                <c:pt idx="168">
                  <c:v>251</c:v>
                </c:pt>
                <c:pt idx="169">
                  <c:v>155</c:v>
                </c:pt>
                <c:pt idx="170">
                  <c:v>187</c:v>
                </c:pt>
                <c:pt idx="171">
                  <c:v>208</c:v>
                </c:pt>
                <c:pt idx="172">
                  <c:v>226</c:v>
                </c:pt>
              </c:numCache>
            </c:numRef>
          </c:val>
          <c:smooth val="0"/>
          <c:extLst xmlns:c15="http://schemas.microsoft.com/office/drawing/2012/chart">
            <c:ext xmlns:c16="http://schemas.microsoft.com/office/drawing/2014/chart" uri="{C3380CC4-5D6E-409C-BE32-E72D297353CC}">
              <c16:uniqueId val="{00000010-9994-4956-9FBA-2410398E6D0E}"/>
            </c:ext>
          </c:extLst>
        </c:ser>
        <c:dLbls>
          <c:showLegendKey val="0"/>
          <c:showVal val="0"/>
          <c:showCatName val="0"/>
          <c:showSerName val="0"/>
          <c:showPercent val="0"/>
          <c:showBubbleSize val="0"/>
        </c:dLbls>
        <c:marker val="1"/>
        <c:smooth val="0"/>
        <c:axId val="939981295"/>
        <c:axId val="939983375"/>
        <c:extLst>
          <c:ext xmlns:c15="http://schemas.microsoft.com/office/drawing/2012/chart" uri="{02D57815-91ED-43cb-92C2-25804820EDAC}">
            <c15:filteredLineSeries>
              <c15:ser>
                <c:idx val="1"/>
                <c:order val="1"/>
                <c:tx>
                  <c:strRef>
                    <c:extLst>
                      <c:ext uri="{02D57815-91ED-43cb-92C2-25804820EDAC}">
                        <c15:formulaRef>
                          <c15:sqref>'Tendencias nacionalidad'!$C$55</c15:sqref>
                        </c15:formulaRef>
                      </c:ext>
                    </c:extLst>
                    <c:strCache>
                      <c:ptCount val="1"/>
                      <c:pt idx="0">
                        <c:v>Colombia</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extLst>
                      <c:ex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uri="{02D57815-91ED-43cb-92C2-25804820EDAC}">
                        <c15:fullRef>
                          <c15:sqref>'Tendencias nacionalidad'!$D$55:$GA$55</c15:sqref>
                        </c15:fullRef>
                        <c15:formulaRef>
                          <c15:sqref>'Tendencias nacionalidad'!$D$55:$FT$55</c15:sqref>
                        </c15:formulaRef>
                      </c:ext>
                    </c:extLst>
                    <c:numCache>
                      <c:formatCode>#,##0</c:formatCode>
                      <c:ptCount val="173"/>
                      <c:pt idx="0">
                        <c:v>3612</c:v>
                      </c:pt>
                      <c:pt idx="1">
                        <c:v>3116</c:v>
                      </c:pt>
                      <c:pt idx="2">
                        <c:v>3978</c:v>
                      </c:pt>
                      <c:pt idx="3">
                        <c:v>3576</c:v>
                      </c:pt>
                      <c:pt idx="4">
                        <c:v>3473</c:v>
                      </c:pt>
                      <c:pt idx="5">
                        <c:v>4582</c:v>
                      </c:pt>
                      <c:pt idx="6">
                        <c:v>4498</c:v>
                      </c:pt>
                      <c:pt idx="7">
                        <c:v>4352</c:v>
                      </c:pt>
                      <c:pt idx="8">
                        <c:v>3527</c:v>
                      </c:pt>
                      <c:pt idx="9">
                        <c:v>4205</c:v>
                      </c:pt>
                      <c:pt idx="10">
                        <c:v>3971</c:v>
                      </c:pt>
                      <c:pt idx="11">
                        <c:v>4158</c:v>
                      </c:pt>
                      <c:pt idx="12">
                        <c:v>4338</c:v>
                      </c:pt>
                      <c:pt idx="13">
                        <c:v>5058</c:v>
                      </c:pt>
                      <c:pt idx="14">
                        <c:v>3960</c:v>
                      </c:pt>
                      <c:pt idx="15">
                        <c:v>3703</c:v>
                      </c:pt>
                      <c:pt idx="16">
                        <c:v>3953</c:v>
                      </c:pt>
                      <c:pt idx="17">
                        <c:v>4572</c:v>
                      </c:pt>
                      <c:pt idx="18">
                        <c:v>4180</c:v>
                      </c:pt>
                      <c:pt idx="19">
                        <c:v>4336</c:v>
                      </c:pt>
                      <c:pt idx="20">
                        <c:v>4204</c:v>
                      </c:pt>
                      <c:pt idx="21">
                        <c:v>4674</c:v>
                      </c:pt>
                      <c:pt idx="22">
                        <c:v>4854</c:v>
                      </c:pt>
                      <c:pt idx="23">
                        <c:v>4274</c:v>
                      </c:pt>
                      <c:pt idx="24">
                        <c:v>4073</c:v>
                      </c:pt>
                      <c:pt idx="25">
                        <c:v>2886</c:v>
                      </c:pt>
                      <c:pt idx="26">
                        <c:v>3369</c:v>
                      </c:pt>
                      <c:pt idx="27">
                        <c:v>3480</c:v>
                      </c:pt>
                      <c:pt idx="28">
                        <c:v>3860</c:v>
                      </c:pt>
                      <c:pt idx="29">
                        <c:v>4240</c:v>
                      </c:pt>
                      <c:pt idx="30">
                        <c:v>3540</c:v>
                      </c:pt>
                      <c:pt idx="31">
                        <c:v>3377</c:v>
                      </c:pt>
                      <c:pt idx="32">
                        <c:v>3115</c:v>
                      </c:pt>
                      <c:pt idx="33">
                        <c:v>3286</c:v>
                      </c:pt>
                      <c:pt idx="34">
                        <c:v>3811</c:v>
                      </c:pt>
                      <c:pt idx="35">
                        <c:v>4393</c:v>
                      </c:pt>
                      <c:pt idx="36">
                        <c:v>4213</c:v>
                      </c:pt>
                      <c:pt idx="37">
                        <c:v>5082</c:v>
                      </c:pt>
                      <c:pt idx="38">
                        <c:v>4528</c:v>
                      </c:pt>
                      <c:pt idx="39">
                        <c:v>3869</c:v>
                      </c:pt>
                      <c:pt idx="40">
                        <c:v>4155</c:v>
                      </c:pt>
                      <c:pt idx="41">
                        <c:v>4580</c:v>
                      </c:pt>
                      <c:pt idx="42">
                        <c:v>3726</c:v>
                      </c:pt>
                      <c:pt idx="43">
                        <c:v>4284</c:v>
                      </c:pt>
                      <c:pt idx="44">
                        <c:v>4206</c:v>
                      </c:pt>
                      <c:pt idx="45">
                        <c:v>3205</c:v>
                      </c:pt>
                      <c:pt idx="46">
                        <c:v>4265</c:v>
                      </c:pt>
                      <c:pt idx="47">
                        <c:v>5299</c:v>
                      </c:pt>
                      <c:pt idx="48">
                        <c:v>4599</c:v>
                      </c:pt>
                      <c:pt idx="49">
                        <c:v>4035</c:v>
                      </c:pt>
                      <c:pt idx="50">
                        <c:v>4283</c:v>
                      </c:pt>
                      <c:pt idx="51">
                        <c:v>4324</c:v>
                      </c:pt>
                      <c:pt idx="52">
                        <c:v>4000</c:v>
                      </c:pt>
                      <c:pt idx="53">
                        <c:v>4403</c:v>
                      </c:pt>
                      <c:pt idx="54">
                        <c:v>4279</c:v>
                      </c:pt>
                      <c:pt idx="55">
                        <c:v>4167</c:v>
                      </c:pt>
                      <c:pt idx="56">
                        <c:v>3958</c:v>
                      </c:pt>
                      <c:pt idx="57">
                        <c:v>4138</c:v>
                      </c:pt>
                      <c:pt idx="58">
                        <c:v>4519</c:v>
                      </c:pt>
                      <c:pt idx="59">
                        <c:v>5404</c:v>
                      </c:pt>
                      <c:pt idx="60">
                        <c:v>4222</c:v>
                      </c:pt>
                      <c:pt idx="61">
                        <c:v>3651</c:v>
                      </c:pt>
                      <c:pt idx="62">
                        <c:v>5058</c:v>
                      </c:pt>
                      <c:pt idx="63">
                        <c:v>5339</c:v>
                      </c:pt>
                      <c:pt idx="64">
                        <c:v>5273</c:v>
                      </c:pt>
                      <c:pt idx="65">
                        <c:v>7476</c:v>
                      </c:pt>
                      <c:pt idx="66">
                        <c:v>6425</c:v>
                      </c:pt>
                      <c:pt idx="67">
                        <c:v>5246</c:v>
                      </c:pt>
                      <c:pt idx="68">
                        <c:v>5162</c:v>
                      </c:pt>
                      <c:pt idx="69">
                        <c:v>6180</c:v>
                      </c:pt>
                      <c:pt idx="70">
                        <c:v>5649</c:v>
                      </c:pt>
                      <c:pt idx="71">
                        <c:v>7785</c:v>
                      </c:pt>
                      <c:pt idx="72">
                        <c:v>6627</c:v>
                      </c:pt>
                      <c:pt idx="73">
                        <c:v>4735</c:v>
                      </c:pt>
                      <c:pt idx="74">
                        <c:v>6020</c:v>
                      </c:pt>
                      <c:pt idx="75">
                        <c:v>4853</c:v>
                      </c:pt>
                      <c:pt idx="76">
                        <c:v>5241</c:v>
                      </c:pt>
                      <c:pt idx="77">
                        <c:v>6297</c:v>
                      </c:pt>
                      <c:pt idx="78">
                        <c:v>6066</c:v>
                      </c:pt>
                      <c:pt idx="79">
                        <c:v>4747</c:v>
                      </c:pt>
                      <c:pt idx="80">
                        <c:v>5233</c:v>
                      </c:pt>
                      <c:pt idx="81">
                        <c:v>5182</c:v>
                      </c:pt>
                      <c:pt idx="82">
                        <c:v>5169</c:v>
                      </c:pt>
                      <c:pt idx="83">
                        <c:v>7563</c:v>
                      </c:pt>
                      <c:pt idx="84">
                        <c:v>6453</c:v>
                      </c:pt>
                      <c:pt idx="85">
                        <c:v>6126</c:v>
                      </c:pt>
                      <c:pt idx="86">
                        <c:v>4727</c:v>
                      </c:pt>
                      <c:pt idx="87">
                        <c:v>6021</c:v>
                      </c:pt>
                      <c:pt idx="88">
                        <c:v>5531</c:v>
                      </c:pt>
                      <c:pt idx="89">
                        <c:v>6575</c:v>
                      </c:pt>
                      <c:pt idx="90">
                        <c:v>5999</c:v>
                      </c:pt>
                      <c:pt idx="91">
                        <c:v>4680</c:v>
                      </c:pt>
                      <c:pt idx="92">
                        <c:v>5649</c:v>
                      </c:pt>
                      <c:pt idx="93">
                        <c:v>5721</c:v>
                      </c:pt>
                      <c:pt idx="94">
                        <c:v>5569</c:v>
                      </c:pt>
                      <c:pt idx="95">
                        <c:v>8371</c:v>
                      </c:pt>
                      <c:pt idx="96">
                        <c:v>6640</c:v>
                      </c:pt>
                      <c:pt idx="97">
                        <c:v>4736</c:v>
                      </c:pt>
                      <c:pt idx="98">
                        <c:v>5948</c:v>
                      </c:pt>
                      <c:pt idx="99">
                        <c:v>4689</c:v>
                      </c:pt>
                      <c:pt idx="100">
                        <c:v>4319</c:v>
                      </c:pt>
                      <c:pt idx="101">
                        <c:v>4879</c:v>
                      </c:pt>
                      <c:pt idx="102">
                        <c:v>4752</c:v>
                      </c:pt>
                      <c:pt idx="103">
                        <c:v>3500</c:v>
                      </c:pt>
                      <c:pt idx="104">
                        <c:v>4127</c:v>
                      </c:pt>
                      <c:pt idx="105">
                        <c:v>4183</c:v>
                      </c:pt>
                      <c:pt idx="106">
                        <c:v>4285</c:v>
                      </c:pt>
                      <c:pt idx="107">
                        <c:v>4830</c:v>
                      </c:pt>
                      <c:pt idx="108">
                        <c:v>4076</c:v>
                      </c:pt>
                      <c:pt idx="109">
                        <c:v>3914</c:v>
                      </c:pt>
                      <c:pt idx="110">
                        <c:v>4490</c:v>
                      </c:pt>
                      <c:pt idx="111">
                        <c:v>3335</c:v>
                      </c:pt>
                      <c:pt idx="112">
                        <c:v>3996</c:v>
                      </c:pt>
                      <c:pt idx="113">
                        <c:v>4670</c:v>
                      </c:pt>
                      <c:pt idx="114">
                        <c:v>5537</c:v>
                      </c:pt>
                      <c:pt idx="115">
                        <c:v>4018</c:v>
                      </c:pt>
                      <c:pt idx="116" formatCode="General">
                        <c:v>4519</c:v>
                      </c:pt>
                      <c:pt idx="117">
                        <c:v>5595</c:v>
                      </c:pt>
                      <c:pt idx="118">
                        <c:v>4741</c:v>
                      </c:pt>
                      <c:pt idx="119">
                        <c:v>6269</c:v>
                      </c:pt>
                      <c:pt idx="120">
                        <c:v>5134</c:v>
                      </c:pt>
                      <c:pt idx="121">
                        <c:v>3872</c:v>
                      </c:pt>
                      <c:pt idx="122">
                        <c:v>5370</c:v>
                      </c:pt>
                      <c:pt idx="123">
                        <c:v>4990</c:v>
                      </c:pt>
                      <c:pt idx="124">
                        <c:v>3983</c:v>
                      </c:pt>
                      <c:pt idx="125">
                        <c:v>5374</c:v>
                      </c:pt>
                      <c:pt idx="126">
                        <c:v>4853</c:v>
                      </c:pt>
                      <c:pt idx="127">
                        <c:v>3383</c:v>
                      </c:pt>
                      <c:pt idx="128">
                        <c:v>3872</c:v>
                      </c:pt>
                      <c:pt idx="129">
                        <c:v>4508</c:v>
                      </c:pt>
                      <c:pt idx="130">
                        <c:v>4726</c:v>
                      </c:pt>
                      <c:pt idx="131">
                        <c:v>5220</c:v>
                      </c:pt>
                      <c:pt idx="132">
                        <c:v>4683</c:v>
                      </c:pt>
                      <c:pt idx="133">
                        <c:v>3861</c:v>
                      </c:pt>
                      <c:pt idx="134">
                        <c:v>4441</c:v>
                      </c:pt>
                      <c:pt idx="135">
                        <c:v>4400</c:v>
                      </c:pt>
                      <c:pt idx="136">
                        <c:v>4233</c:v>
                      </c:pt>
                      <c:pt idx="137">
                        <c:v>5316</c:v>
                      </c:pt>
                      <c:pt idx="138">
                        <c:v>5022</c:v>
                      </c:pt>
                      <c:pt idx="139">
                        <c:v>3702</c:v>
                      </c:pt>
                      <c:pt idx="140">
                        <c:v>4846</c:v>
                      </c:pt>
                      <c:pt idx="141">
                        <c:v>5051</c:v>
                      </c:pt>
                      <c:pt idx="142">
                        <c:v>4639</c:v>
                      </c:pt>
                      <c:pt idx="143">
                        <c:v>5112</c:v>
                      </c:pt>
                      <c:pt idx="144" formatCode="_(* #,##0_);_(* \(#,##0\);_(* &quot;-&quot;??_);_(@_)">
                        <c:v>4089</c:v>
                      </c:pt>
                      <c:pt idx="145">
                        <c:v>3965</c:v>
                      </c:pt>
                      <c:pt idx="146">
                        <c:v>4027</c:v>
                      </c:pt>
                      <c:pt idx="147">
                        <c:v>4474</c:v>
                      </c:pt>
                      <c:pt idx="148" formatCode="_(* #,##0_);_(* \(#,##0\);_(* &quot;-&quot;??_);_(@_)">
                        <c:v>5071</c:v>
                      </c:pt>
                      <c:pt idx="149" formatCode="_(* #,##0_);_(* \(#,##0\);_(* &quot;-&quot;??_);_(@_)">
                        <c:v>5044</c:v>
                      </c:pt>
                      <c:pt idx="150" formatCode="_(* #,##0_);_(* \(#,##0\);_(* &quot;-&quot;??_);_(@_)">
                        <c:v>5286</c:v>
                      </c:pt>
                      <c:pt idx="151" formatCode="_(* #,##0_);_(* \(#,##0\);_(* &quot;-&quot;??_);_(@_)">
                        <c:v>4513</c:v>
                      </c:pt>
                      <c:pt idx="152" formatCode="_(* #,##0_);_(* \(#,##0\);_(* &quot;-&quot;??_);_(@_)">
                        <c:v>5430</c:v>
                      </c:pt>
                      <c:pt idx="153" formatCode="_(* #,##0_);_(* \(#,##0\);_(* &quot;-&quot;??_);_(@_)">
                        <c:v>4227</c:v>
                      </c:pt>
                      <c:pt idx="154" formatCode="_(* #,##0_);_(* \(#,##0\);_(* &quot;-&quot;??_);_(@_)">
                        <c:v>5428</c:v>
                      </c:pt>
                      <c:pt idx="155" formatCode="_(* #,##0_);_(* \(#,##0\);_(* &quot;-&quot;??_);_(@_)">
                        <c:v>6113</c:v>
                      </c:pt>
                      <c:pt idx="156">
                        <c:v>5961</c:v>
                      </c:pt>
                      <c:pt idx="157">
                        <c:v>4733</c:v>
                      </c:pt>
                      <c:pt idx="158">
                        <c:v>2174</c:v>
                      </c:pt>
                      <c:pt idx="159">
                        <c:v>32</c:v>
                      </c:pt>
                      <c:pt idx="160">
                        <c:v>56</c:v>
                      </c:pt>
                      <c:pt idx="161">
                        <c:v>99</c:v>
                      </c:pt>
                      <c:pt idx="162">
                        <c:v>201</c:v>
                      </c:pt>
                      <c:pt idx="163">
                        <c:v>218</c:v>
                      </c:pt>
                      <c:pt idx="164">
                        <c:v>423</c:v>
                      </c:pt>
                      <c:pt idx="165">
                        <c:v>1349</c:v>
                      </c:pt>
                      <c:pt idx="166">
                        <c:v>1549</c:v>
                      </c:pt>
                      <c:pt idx="167">
                        <c:v>1964</c:v>
                      </c:pt>
                      <c:pt idx="168">
                        <c:v>2113</c:v>
                      </c:pt>
                      <c:pt idx="169">
                        <c:v>1427</c:v>
                      </c:pt>
                      <c:pt idx="170">
                        <c:v>1870</c:v>
                      </c:pt>
                      <c:pt idx="171">
                        <c:v>1489</c:v>
                      </c:pt>
                      <c:pt idx="172">
                        <c:v>1774</c:v>
                      </c:pt>
                    </c:numCache>
                  </c:numRef>
                </c:val>
                <c:smooth val="0"/>
                <c:extLst>
                  <c:ext xmlns:c16="http://schemas.microsoft.com/office/drawing/2014/chart" uri="{C3380CC4-5D6E-409C-BE32-E72D297353CC}">
                    <c16:uniqueId val="{00000000-9994-4956-9FBA-2410398E6D0E}"/>
                  </c:ext>
                </c:extLst>
              </c15:ser>
            </c15:filteredLineSeries>
            <c15:filteredLineSeries>
              <c15:ser>
                <c:idx val="6"/>
                <c:order val="6"/>
                <c:tx>
                  <c:strRef>
                    <c:extLst xmlns:c15="http://schemas.microsoft.com/office/drawing/2012/chart">
                      <c:ext xmlns:c15="http://schemas.microsoft.com/office/drawing/2012/chart" uri="{02D57815-91ED-43cb-92C2-25804820EDAC}">
                        <c15:formulaRef>
                          <c15:sqref>'Tendencias nacionalidad'!$C$60</c15:sqref>
                        </c15:formulaRef>
                      </c:ext>
                    </c:extLst>
                    <c:strCache>
                      <c:ptCount val="1"/>
                      <c:pt idx="0">
                        <c:v>Perú</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nacionalidad'!$D$60:$GA$60</c15:sqref>
                        </c15:fullRef>
                        <c15:formulaRef>
                          <c15:sqref>'Tendencias nacionalidad'!$D$60:$FT$60</c15:sqref>
                        </c15:formulaRef>
                      </c:ext>
                    </c:extLst>
                    <c:numCache>
                      <c:formatCode>#,##0</c:formatCode>
                      <c:ptCount val="173"/>
                      <c:pt idx="0">
                        <c:v>597</c:v>
                      </c:pt>
                      <c:pt idx="1">
                        <c:v>619</c:v>
                      </c:pt>
                      <c:pt idx="2">
                        <c:v>664</c:v>
                      </c:pt>
                      <c:pt idx="3">
                        <c:v>603</c:v>
                      </c:pt>
                      <c:pt idx="4">
                        <c:v>624</c:v>
                      </c:pt>
                      <c:pt idx="5">
                        <c:v>757</c:v>
                      </c:pt>
                      <c:pt idx="6">
                        <c:v>855</c:v>
                      </c:pt>
                      <c:pt idx="7">
                        <c:v>821</c:v>
                      </c:pt>
                      <c:pt idx="8">
                        <c:v>861</c:v>
                      </c:pt>
                      <c:pt idx="9">
                        <c:v>909</c:v>
                      </c:pt>
                      <c:pt idx="10">
                        <c:v>950</c:v>
                      </c:pt>
                      <c:pt idx="11">
                        <c:v>519</c:v>
                      </c:pt>
                      <c:pt idx="12">
                        <c:v>656</c:v>
                      </c:pt>
                      <c:pt idx="13">
                        <c:v>1028</c:v>
                      </c:pt>
                      <c:pt idx="14">
                        <c:v>728</c:v>
                      </c:pt>
                      <c:pt idx="15">
                        <c:v>856</c:v>
                      </c:pt>
                      <c:pt idx="16">
                        <c:v>835</c:v>
                      </c:pt>
                      <c:pt idx="17">
                        <c:v>752</c:v>
                      </c:pt>
                      <c:pt idx="18">
                        <c:v>845</c:v>
                      </c:pt>
                      <c:pt idx="19">
                        <c:v>925</c:v>
                      </c:pt>
                      <c:pt idx="20">
                        <c:v>919</c:v>
                      </c:pt>
                      <c:pt idx="21">
                        <c:v>813</c:v>
                      </c:pt>
                      <c:pt idx="22">
                        <c:v>935</c:v>
                      </c:pt>
                      <c:pt idx="23">
                        <c:v>759</c:v>
                      </c:pt>
                      <c:pt idx="24">
                        <c:v>1199</c:v>
                      </c:pt>
                      <c:pt idx="25">
                        <c:v>857</c:v>
                      </c:pt>
                      <c:pt idx="26">
                        <c:v>1043</c:v>
                      </c:pt>
                      <c:pt idx="27">
                        <c:v>841</c:v>
                      </c:pt>
                      <c:pt idx="28">
                        <c:v>873</c:v>
                      </c:pt>
                      <c:pt idx="29">
                        <c:v>905</c:v>
                      </c:pt>
                      <c:pt idx="30">
                        <c:v>964</c:v>
                      </c:pt>
                      <c:pt idx="31">
                        <c:v>761</c:v>
                      </c:pt>
                      <c:pt idx="32">
                        <c:v>873</c:v>
                      </c:pt>
                      <c:pt idx="33">
                        <c:v>845</c:v>
                      </c:pt>
                      <c:pt idx="34">
                        <c:v>869</c:v>
                      </c:pt>
                      <c:pt idx="35">
                        <c:v>782</c:v>
                      </c:pt>
                      <c:pt idx="36">
                        <c:v>924</c:v>
                      </c:pt>
                      <c:pt idx="37">
                        <c:v>1186</c:v>
                      </c:pt>
                      <c:pt idx="38">
                        <c:v>910</c:v>
                      </c:pt>
                      <c:pt idx="39">
                        <c:v>828</c:v>
                      </c:pt>
                      <c:pt idx="40">
                        <c:v>935</c:v>
                      </c:pt>
                      <c:pt idx="41">
                        <c:v>820</c:v>
                      </c:pt>
                      <c:pt idx="42">
                        <c:v>779</c:v>
                      </c:pt>
                      <c:pt idx="43">
                        <c:v>919</c:v>
                      </c:pt>
                      <c:pt idx="44">
                        <c:v>728</c:v>
                      </c:pt>
                      <c:pt idx="45">
                        <c:v>943</c:v>
                      </c:pt>
                      <c:pt idx="46">
                        <c:v>971</c:v>
                      </c:pt>
                      <c:pt idx="47">
                        <c:v>681</c:v>
                      </c:pt>
                      <c:pt idx="48">
                        <c:v>724</c:v>
                      </c:pt>
                      <c:pt idx="49">
                        <c:v>842</c:v>
                      </c:pt>
                      <c:pt idx="50">
                        <c:v>1005</c:v>
                      </c:pt>
                      <c:pt idx="51">
                        <c:v>954</c:v>
                      </c:pt>
                      <c:pt idx="52">
                        <c:v>999</c:v>
                      </c:pt>
                      <c:pt idx="53">
                        <c:v>933</c:v>
                      </c:pt>
                      <c:pt idx="54">
                        <c:v>1055</c:v>
                      </c:pt>
                      <c:pt idx="55">
                        <c:v>987</c:v>
                      </c:pt>
                      <c:pt idx="56">
                        <c:v>933</c:v>
                      </c:pt>
                      <c:pt idx="57">
                        <c:v>1124</c:v>
                      </c:pt>
                      <c:pt idx="58">
                        <c:v>1562</c:v>
                      </c:pt>
                      <c:pt idx="59">
                        <c:v>831</c:v>
                      </c:pt>
                      <c:pt idx="60">
                        <c:v>932</c:v>
                      </c:pt>
                      <c:pt idx="61">
                        <c:v>818</c:v>
                      </c:pt>
                      <c:pt idx="62">
                        <c:v>1172</c:v>
                      </c:pt>
                      <c:pt idx="63">
                        <c:v>1112</c:v>
                      </c:pt>
                      <c:pt idx="64">
                        <c:v>1238</c:v>
                      </c:pt>
                      <c:pt idx="65">
                        <c:v>1179</c:v>
                      </c:pt>
                      <c:pt idx="66">
                        <c:v>1336</c:v>
                      </c:pt>
                      <c:pt idx="67">
                        <c:v>1297</c:v>
                      </c:pt>
                      <c:pt idx="68">
                        <c:v>1381</c:v>
                      </c:pt>
                      <c:pt idx="69">
                        <c:v>1530</c:v>
                      </c:pt>
                      <c:pt idx="70">
                        <c:v>1372</c:v>
                      </c:pt>
                      <c:pt idx="71">
                        <c:v>931</c:v>
                      </c:pt>
                      <c:pt idx="72">
                        <c:v>1248</c:v>
                      </c:pt>
                      <c:pt idx="73">
                        <c:v>1342</c:v>
                      </c:pt>
                      <c:pt idx="74">
                        <c:v>1370</c:v>
                      </c:pt>
                      <c:pt idx="75">
                        <c:v>1459</c:v>
                      </c:pt>
                      <c:pt idx="76">
                        <c:v>1709</c:v>
                      </c:pt>
                      <c:pt idx="77">
                        <c:v>1759</c:v>
                      </c:pt>
                      <c:pt idx="78">
                        <c:v>1941</c:v>
                      </c:pt>
                      <c:pt idx="79">
                        <c:v>1512</c:v>
                      </c:pt>
                      <c:pt idx="80">
                        <c:v>1510</c:v>
                      </c:pt>
                      <c:pt idx="81">
                        <c:v>1280</c:v>
                      </c:pt>
                      <c:pt idx="82">
                        <c:v>1258</c:v>
                      </c:pt>
                      <c:pt idx="83">
                        <c:v>1183</c:v>
                      </c:pt>
                      <c:pt idx="84">
                        <c:v>1359</c:v>
                      </c:pt>
                      <c:pt idx="85">
                        <c:v>2651</c:v>
                      </c:pt>
                      <c:pt idx="86">
                        <c:v>1597</c:v>
                      </c:pt>
                      <c:pt idx="87">
                        <c:v>1563</c:v>
                      </c:pt>
                      <c:pt idx="88">
                        <c:v>1626</c:v>
                      </c:pt>
                      <c:pt idx="89">
                        <c:v>1960</c:v>
                      </c:pt>
                      <c:pt idx="90">
                        <c:v>1511</c:v>
                      </c:pt>
                      <c:pt idx="91">
                        <c:v>1434</c:v>
                      </c:pt>
                      <c:pt idx="92">
                        <c:v>1571</c:v>
                      </c:pt>
                      <c:pt idx="93">
                        <c:v>1512</c:v>
                      </c:pt>
                      <c:pt idx="94">
                        <c:v>1614</c:v>
                      </c:pt>
                      <c:pt idx="95">
                        <c:v>1304</c:v>
                      </c:pt>
                      <c:pt idx="96">
                        <c:v>1201</c:v>
                      </c:pt>
                      <c:pt idx="97">
                        <c:v>1299</c:v>
                      </c:pt>
                      <c:pt idx="98">
                        <c:v>1352</c:v>
                      </c:pt>
                      <c:pt idx="99">
                        <c:v>1279</c:v>
                      </c:pt>
                      <c:pt idx="100">
                        <c:v>1332</c:v>
                      </c:pt>
                      <c:pt idx="101">
                        <c:v>1003</c:v>
                      </c:pt>
                      <c:pt idx="102">
                        <c:v>1305</c:v>
                      </c:pt>
                      <c:pt idx="103">
                        <c:v>1008</c:v>
                      </c:pt>
                      <c:pt idx="104">
                        <c:v>1166</c:v>
                      </c:pt>
                      <c:pt idx="105">
                        <c:v>1289</c:v>
                      </c:pt>
                      <c:pt idx="106">
                        <c:v>1225</c:v>
                      </c:pt>
                      <c:pt idx="107">
                        <c:v>1000</c:v>
                      </c:pt>
                      <c:pt idx="108">
                        <c:v>1181</c:v>
                      </c:pt>
                      <c:pt idx="109">
                        <c:v>1107</c:v>
                      </c:pt>
                      <c:pt idx="110">
                        <c:v>1047</c:v>
                      </c:pt>
                      <c:pt idx="111">
                        <c:v>865</c:v>
                      </c:pt>
                      <c:pt idx="112">
                        <c:v>996</c:v>
                      </c:pt>
                      <c:pt idx="113">
                        <c:v>1029</c:v>
                      </c:pt>
                      <c:pt idx="114">
                        <c:v>1026</c:v>
                      </c:pt>
                      <c:pt idx="115">
                        <c:v>985</c:v>
                      </c:pt>
                      <c:pt idx="116" formatCode="General">
                        <c:v>1164</c:v>
                      </c:pt>
                      <c:pt idx="117">
                        <c:v>1353</c:v>
                      </c:pt>
                      <c:pt idx="118">
                        <c:v>1188</c:v>
                      </c:pt>
                      <c:pt idx="119">
                        <c:v>896</c:v>
                      </c:pt>
                      <c:pt idx="120">
                        <c:v>1029</c:v>
                      </c:pt>
                      <c:pt idx="121">
                        <c:v>798</c:v>
                      </c:pt>
                      <c:pt idx="122">
                        <c:v>1288</c:v>
                      </c:pt>
                      <c:pt idx="123">
                        <c:v>1344</c:v>
                      </c:pt>
                      <c:pt idx="124">
                        <c:v>1295</c:v>
                      </c:pt>
                      <c:pt idx="125">
                        <c:v>1374</c:v>
                      </c:pt>
                      <c:pt idx="126">
                        <c:v>1410</c:v>
                      </c:pt>
                      <c:pt idx="127">
                        <c:v>1173</c:v>
                      </c:pt>
                      <c:pt idx="128">
                        <c:v>1723</c:v>
                      </c:pt>
                      <c:pt idx="129">
                        <c:v>1669</c:v>
                      </c:pt>
                      <c:pt idx="130">
                        <c:v>1302</c:v>
                      </c:pt>
                      <c:pt idx="131">
                        <c:v>1261</c:v>
                      </c:pt>
                      <c:pt idx="132">
                        <c:v>1555</c:v>
                      </c:pt>
                      <c:pt idx="133">
                        <c:v>1225</c:v>
                      </c:pt>
                      <c:pt idx="134">
                        <c:v>1478</c:v>
                      </c:pt>
                      <c:pt idx="135">
                        <c:v>1463</c:v>
                      </c:pt>
                      <c:pt idx="136">
                        <c:v>1596</c:v>
                      </c:pt>
                      <c:pt idx="137">
                        <c:v>1775</c:v>
                      </c:pt>
                      <c:pt idx="138">
                        <c:v>1486</c:v>
                      </c:pt>
                      <c:pt idx="139">
                        <c:v>1271</c:v>
                      </c:pt>
                      <c:pt idx="140">
                        <c:v>1312</c:v>
                      </c:pt>
                      <c:pt idx="141">
                        <c:v>1756</c:v>
                      </c:pt>
                      <c:pt idx="142">
                        <c:v>1294</c:v>
                      </c:pt>
                      <c:pt idx="143">
                        <c:v>1227</c:v>
                      </c:pt>
                      <c:pt idx="144" formatCode="_(* #,##0_);_(* \(#,##0\);_(* &quot;-&quot;??_);_(@_)">
                        <c:v>1128</c:v>
                      </c:pt>
                      <c:pt idx="145">
                        <c:v>1306</c:v>
                      </c:pt>
                      <c:pt idx="146">
                        <c:v>1156</c:v>
                      </c:pt>
                      <c:pt idx="147">
                        <c:v>1277</c:v>
                      </c:pt>
                      <c:pt idx="148" formatCode="_(* #,##0_);_(* \(#,##0\);_(* &quot;-&quot;??_);_(@_)">
                        <c:v>1495</c:v>
                      </c:pt>
                      <c:pt idx="149" formatCode="_(* #,##0_);_(* \(#,##0\);_(* &quot;-&quot;??_);_(@_)">
                        <c:v>2157</c:v>
                      </c:pt>
                      <c:pt idx="150" formatCode="_(* #,##0_);_(* \(#,##0\);_(* &quot;-&quot;??_);_(@_)">
                        <c:v>1553</c:v>
                      </c:pt>
                      <c:pt idx="151" formatCode="_(* #,##0_);_(* \(#,##0\);_(* &quot;-&quot;??_);_(@_)">
                        <c:v>1363</c:v>
                      </c:pt>
                      <c:pt idx="152" formatCode="_(* #,##0_);_(* \(#,##0\);_(* &quot;-&quot;??_);_(@_)">
                        <c:v>1780</c:v>
                      </c:pt>
                      <c:pt idx="153" formatCode="_(* #,##0_);_(* \(#,##0\);_(* &quot;-&quot;??_);_(@_)">
                        <c:v>1568</c:v>
                      </c:pt>
                      <c:pt idx="154" formatCode="_(* #,##0_);_(* \(#,##0\);_(* &quot;-&quot;??_);_(@_)">
                        <c:v>1727</c:v>
                      </c:pt>
                      <c:pt idx="155" formatCode="_(* #,##0_);_(* \(#,##0\);_(* &quot;-&quot;??_);_(@_)">
                        <c:v>1580</c:v>
                      </c:pt>
                      <c:pt idx="156">
                        <c:v>1581</c:v>
                      </c:pt>
                      <c:pt idx="157">
                        <c:v>1552</c:v>
                      </c:pt>
                      <c:pt idx="158">
                        <c:v>622</c:v>
                      </c:pt>
                      <c:pt idx="159">
                        <c:v>9</c:v>
                      </c:pt>
                      <c:pt idx="160">
                        <c:v>9</c:v>
                      </c:pt>
                      <c:pt idx="161">
                        <c:v>10</c:v>
                      </c:pt>
                      <c:pt idx="162">
                        <c:v>37</c:v>
                      </c:pt>
                      <c:pt idx="163">
                        <c:v>81</c:v>
                      </c:pt>
                      <c:pt idx="164">
                        <c:v>96</c:v>
                      </c:pt>
                      <c:pt idx="165">
                        <c:v>728</c:v>
                      </c:pt>
                      <c:pt idx="166">
                        <c:v>365</c:v>
                      </c:pt>
                      <c:pt idx="167">
                        <c:v>501</c:v>
                      </c:pt>
                      <c:pt idx="168">
                        <c:v>409</c:v>
                      </c:pt>
                      <c:pt idx="169">
                        <c:v>230</c:v>
                      </c:pt>
                      <c:pt idx="170">
                        <c:v>254</c:v>
                      </c:pt>
                      <c:pt idx="171">
                        <c:v>310</c:v>
                      </c:pt>
                      <c:pt idx="172">
                        <c:v>595</c:v>
                      </c:pt>
                    </c:numCache>
                  </c:numRef>
                </c:val>
                <c:smooth val="0"/>
                <c:extLst xmlns:c15="http://schemas.microsoft.com/office/drawing/2012/chart">
                  <c:ext xmlns:c16="http://schemas.microsoft.com/office/drawing/2014/chart" uri="{C3380CC4-5D6E-409C-BE32-E72D297353CC}">
                    <c16:uniqueId val="{00000001-9994-4956-9FBA-2410398E6D0E}"/>
                  </c:ext>
                </c:extLst>
              </c15:ser>
            </c15:filteredLineSeries>
            <c15:filteredLineSeries>
              <c15:ser>
                <c:idx val="8"/>
                <c:order val="8"/>
                <c:tx>
                  <c:strRef>
                    <c:extLst xmlns:c15="http://schemas.microsoft.com/office/drawing/2012/chart">
                      <c:ext xmlns:c15="http://schemas.microsoft.com/office/drawing/2012/chart" uri="{02D57815-91ED-43cb-92C2-25804820EDAC}">
                        <c15:formulaRef>
                          <c15:sqref>'Tendencias nacionalidad'!$C$62</c15:sqref>
                        </c15:formulaRef>
                      </c:ext>
                    </c:extLst>
                    <c:strCache>
                      <c:ptCount val="1"/>
                      <c:pt idx="0">
                        <c:v>Argentina</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nacionalidad'!$D$62:$GA$62</c15:sqref>
                        </c15:fullRef>
                        <c15:formulaRef>
                          <c15:sqref>'Tendencias nacionalidad'!$D$62:$FT$62</c15:sqref>
                        </c15:formulaRef>
                      </c:ext>
                    </c:extLst>
                    <c:numCache>
                      <c:formatCode>#,##0</c:formatCode>
                      <c:ptCount val="173"/>
                      <c:pt idx="0">
                        <c:v>789</c:v>
                      </c:pt>
                      <c:pt idx="1">
                        <c:v>633</c:v>
                      </c:pt>
                      <c:pt idx="2">
                        <c:v>790</c:v>
                      </c:pt>
                      <c:pt idx="3">
                        <c:v>531</c:v>
                      </c:pt>
                      <c:pt idx="4">
                        <c:v>677</c:v>
                      </c:pt>
                      <c:pt idx="5">
                        <c:v>720</c:v>
                      </c:pt>
                      <c:pt idx="6">
                        <c:v>840</c:v>
                      </c:pt>
                      <c:pt idx="7">
                        <c:v>638</c:v>
                      </c:pt>
                      <c:pt idx="8">
                        <c:v>799</c:v>
                      </c:pt>
                      <c:pt idx="9">
                        <c:v>895</c:v>
                      </c:pt>
                      <c:pt idx="10">
                        <c:v>815</c:v>
                      </c:pt>
                      <c:pt idx="11">
                        <c:v>556</c:v>
                      </c:pt>
                      <c:pt idx="12">
                        <c:v>877</c:v>
                      </c:pt>
                      <c:pt idx="13">
                        <c:v>1083</c:v>
                      </c:pt>
                      <c:pt idx="14">
                        <c:v>783</c:v>
                      </c:pt>
                      <c:pt idx="15">
                        <c:v>893</c:v>
                      </c:pt>
                      <c:pt idx="16">
                        <c:v>1008</c:v>
                      </c:pt>
                      <c:pt idx="17">
                        <c:v>891</c:v>
                      </c:pt>
                      <c:pt idx="18">
                        <c:v>1034</c:v>
                      </c:pt>
                      <c:pt idx="19">
                        <c:v>977</c:v>
                      </c:pt>
                      <c:pt idx="20">
                        <c:v>828</c:v>
                      </c:pt>
                      <c:pt idx="21">
                        <c:v>1198</c:v>
                      </c:pt>
                      <c:pt idx="22">
                        <c:v>1047</c:v>
                      </c:pt>
                      <c:pt idx="23">
                        <c:v>774</c:v>
                      </c:pt>
                      <c:pt idx="24">
                        <c:v>1114</c:v>
                      </c:pt>
                      <c:pt idx="25">
                        <c:v>722</c:v>
                      </c:pt>
                      <c:pt idx="26">
                        <c:v>846</c:v>
                      </c:pt>
                      <c:pt idx="27">
                        <c:v>796</c:v>
                      </c:pt>
                      <c:pt idx="28">
                        <c:v>856</c:v>
                      </c:pt>
                      <c:pt idx="29">
                        <c:v>916</c:v>
                      </c:pt>
                      <c:pt idx="30">
                        <c:v>901</c:v>
                      </c:pt>
                      <c:pt idx="31">
                        <c:v>883</c:v>
                      </c:pt>
                      <c:pt idx="32">
                        <c:v>875</c:v>
                      </c:pt>
                      <c:pt idx="33">
                        <c:v>977</c:v>
                      </c:pt>
                      <c:pt idx="34">
                        <c:v>967</c:v>
                      </c:pt>
                      <c:pt idx="35">
                        <c:v>772</c:v>
                      </c:pt>
                      <c:pt idx="36">
                        <c:v>1396</c:v>
                      </c:pt>
                      <c:pt idx="37">
                        <c:v>1205</c:v>
                      </c:pt>
                      <c:pt idx="38">
                        <c:v>912</c:v>
                      </c:pt>
                      <c:pt idx="39">
                        <c:v>908</c:v>
                      </c:pt>
                      <c:pt idx="40">
                        <c:v>967</c:v>
                      </c:pt>
                      <c:pt idx="41">
                        <c:v>882</c:v>
                      </c:pt>
                      <c:pt idx="42">
                        <c:v>1056</c:v>
                      </c:pt>
                      <c:pt idx="43">
                        <c:v>1101</c:v>
                      </c:pt>
                      <c:pt idx="44">
                        <c:v>976</c:v>
                      </c:pt>
                      <c:pt idx="45">
                        <c:v>1462</c:v>
                      </c:pt>
                      <c:pt idx="46">
                        <c:v>1545</c:v>
                      </c:pt>
                      <c:pt idx="47">
                        <c:v>986</c:v>
                      </c:pt>
                      <c:pt idx="48">
                        <c:v>1718</c:v>
                      </c:pt>
                      <c:pt idx="49">
                        <c:v>934</c:v>
                      </c:pt>
                      <c:pt idx="50">
                        <c:v>1091</c:v>
                      </c:pt>
                      <c:pt idx="51">
                        <c:v>1046</c:v>
                      </c:pt>
                      <c:pt idx="52">
                        <c:v>1461</c:v>
                      </c:pt>
                      <c:pt idx="53">
                        <c:v>1069</c:v>
                      </c:pt>
                      <c:pt idx="54">
                        <c:v>1551</c:v>
                      </c:pt>
                      <c:pt idx="55">
                        <c:v>1104</c:v>
                      </c:pt>
                      <c:pt idx="56">
                        <c:v>1190</c:v>
                      </c:pt>
                      <c:pt idx="57">
                        <c:v>1136</c:v>
                      </c:pt>
                      <c:pt idx="58">
                        <c:v>1275</c:v>
                      </c:pt>
                      <c:pt idx="59">
                        <c:v>1310</c:v>
                      </c:pt>
                      <c:pt idx="60">
                        <c:v>1784</c:v>
                      </c:pt>
                      <c:pt idx="61">
                        <c:v>1322</c:v>
                      </c:pt>
                      <c:pt idx="62">
                        <c:v>1395</c:v>
                      </c:pt>
                      <c:pt idx="63">
                        <c:v>1235</c:v>
                      </c:pt>
                      <c:pt idx="64">
                        <c:v>1315</c:v>
                      </c:pt>
                      <c:pt idx="65">
                        <c:v>1332</c:v>
                      </c:pt>
                      <c:pt idx="66">
                        <c:v>1518</c:v>
                      </c:pt>
                      <c:pt idx="67">
                        <c:v>1259</c:v>
                      </c:pt>
                      <c:pt idx="68">
                        <c:v>1472</c:v>
                      </c:pt>
                      <c:pt idx="69">
                        <c:v>1367</c:v>
                      </c:pt>
                      <c:pt idx="70">
                        <c:v>1601</c:v>
                      </c:pt>
                      <c:pt idx="71">
                        <c:v>1254</c:v>
                      </c:pt>
                      <c:pt idx="72">
                        <c:v>1879</c:v>
                      </c:pt>
                      <c:pt idx="73">
                        <c:v>1503</c:v>
                      </c:pt>
                      <c:pt idx="74">
                        <c:v>1512</c:v>
                      </c:pt>
                      <c:pt idx="75">
                        <c:v>1260</c:v>
                      </c:pt>
                      <c:pt idx="76">
                        <c:v>1274</c:v>
                      </c:pt>
                      <c:pt idx="77">
                        <c:v>1581</c:v>
                      </c:pt>
                      <c:pt idx="78">
                        <c:v>1834</c:v>
                      </c:pt>
                      <c:pt idx="79">
                        <c:v>1236</c:v>
                      </c:pt>
                      <c:pt idx="80">
                        <c:v>1466</c:v>
                      </c:pt>
                      <c:pt idx="81">
                        <c:v>1369</c:v>
                      </c:pt>
                      <c:pt idx="82">
                        <c:v>1577</c:v>
                      </c:pt>
                      <c:pt idx="83">
                        <c:v>2187</c:v>
                      </c:pt>
                      <c:pt idx="84">
                        <c:v>3220</c:v>
                      </c:pt>
                      <c:pt idx="85">
                        <c:v>2071</c:v>
                      </c:pt>
                      <c:pt idx="86">
                        <c:v>1743</c:v>
                      </c:pt>
                      <c:pt idx="87">
                        <c:v>1363</c:v>
                      </c:pt>
                      <c:pt idx="88">
                        <c:v>1349</c:v>
                      </c:pt>
                      <c:pt idx="89">
                        <c:v>1063</c:v>
                      </c:pt>
                      <c:pt idx="90">
                        <c:v>1787</c:v>
                      </c:pt>
                      <c:pt idx="91">
                        <c:v>1326</c:v>
                      </c:pt>
                      <c:pt idx="92">
                        <c:v>1425</c:v>
                      </c:pt>
                      <c:pt idx="93">
                        <c:v>1500</c:v>
                      </c:pt>
                      <c:pt idx="94">
                        <c:v>1769</c:v>
                      </c:pt>
                      <c:pt idx="95">
                        <c:v>2090</c:v>
                      </c:pt>
                      <c:pt idx="96">
                        <c:v>3295</c:v>
                      </c:pt>
                      <c:pt idx="97">
                        <c:v>2310</c:v>
                      </c:pt>
                      <c:pt idx="98">
                        <c:v>2105</c:v>
                      </c:pt>
                      <c:pt idx="99">
                        <c:v>1992</c:v>
                      </c:pt>
                      <c:pt idx="100">
                        <c:v>1818</c:v>
                      </c:pt>
                      <c:pt idx="101">
                        <c:v>1519</c:v>
                      </c:pt>
                      <c:pt idx="102">
                        <c:v>2089</c:v>
                      </c:pt>
                      <c:pt idx="103">
                        <c:v>1660</c:v>
                      </c:pt>
                      <c:pt idx="104">
                        <c:v>1946</c:v>
                      </c:pt>
                      <c:pt idx="105">
                        <c:v>1568</c:v>
                      </c:pt>
                      <c:pt idx="106">
                        <c:v>1851</c:v>
                      </c:pt>
                      <c:pt idx="107">
                        <c:v>2065</c:v>
                      </c:pt>
                      <c:pt idx="108">
                        <c:v>3139</c:v>
                      </c:pt>
                      <c:pt idx="109">
                        <c:v>2105</c:v>
                      </c:pt>
                      <c:pt idx="110">
                        <c:v>1755</c:v>
                      </c:pt>
                      <c:pt idx="111">
                        <c:v>1363</c:v>
                      </c:pt>
                      <c:pt idx="112">
                        <c:v>1165</c:v>
                      </c:pt>
                      <c:pt idx="113">
                        <c:v>1203</c:v>
                      </c:pt>
                      <c:pt idx="114">
                        <c:v>1589</c:v>
                      </c:pt>
                      <c:pt idx="115">
                        <c:v>910</c:v>
                      </c:pt>
                      <c:pt idx="116" formatCode="General">
                        <c:v>1071</c:v>
                      </c:pt>
                      <c:pt idx="117">
                        <c:v>1410</c:v>
                      </c:pt>
                      <c:pt idx="118">
                        <c:v>1145</c:v>
                      </c:pt>
                      <c:pt idx="119">
                        <c:v>1173</c:v>
                      </c:pt>
                      <c:pt idx="120">
                        <c:v>2221</c:v>
                      </c:pt>
                      <c:pt idx="121">
                        <c:v>1653</c:v>
                      </c:pt>
                      <c:pt idx="122">
                        <c:v>1131</c:v>
                      </c:pt>
                      <c:pt idx="123">
                        <c:v>1119</c:v>
                      </c:pt>
                      <c:pt idx="124">
                        <c:v>1057</c:v>
                      </c:pt>
                      <c:pt idx="125">
                        <c:v>1011</c:v>
                      </c:pt>
                      <c:pt idx="126">
                        <c:v>1532</c:v>
                      </c:pt>
                      <c:pt idx="127">
                        <c:v>1043</c:v>
                      </c:pt>
                      <c:pt idx="128">
                        <c:v>1075</c:v>
                      </c:pt>
                      <c:pt idx="129">
                        <c:v>1444</c:v>
                      </c:pt>
                      <c:pt idx="130">
                        <c:v>1289</c:v>
                      </c:pt>
                      <c:pt idx="131">
                        <c:v>1447</c:v>
                      </c:pt>
                      <c:pt idx="132">
                        <c:v>1936</c:v>
                      </c:pt>
                      <c:pt idx="133">
                        <c:v>1243</c:v>
                      </c:pt>
                      <c:pt idx="134">
                        <c:v>1312</c:v>
                      </c:pt>
                      <c:pt idx="135">
                        <c:v>1222</c:v>
                      </c:pt>
                      <c:pt idx="136">
                        <c:v>1260</c:v>
                      </c:pt>
                      <c:pt idx="137">
                        <c:v>1287</c:v>
                      </c:pt>
                      <c:pt idx="138">
                        <c:v>1555</c:v>
                      </c:pt>
                      <c:pt idx="139">
                        <c:v>855</c:v>
                      </c:pt>
                      <c:pt idx="140">
                        <c:v>1160</c:v>
                      </c:pt>
                      <c:pt idx="141">
                        <c:v>1155</c:v>
                      </c:pt>
                      <c:pt idx="142">
                        <c:v>1121</c:v>
                      </c:pt>
                      <c:pt idx="143">
                        <c:v>1093</c:v>
                      </c:pt>
                      <c:pt idx="144" formatCode="_(* #,##0_);_(* \(#,##0\);_(* &quot;-&quot;??_);_(@_)">
                        <c:v>1355</c:v>
                      </c:pt>
                      <c:pt idx="145">
                        <c:v>948</c:v>
                      </c:pt>
                      <c:pt idx="146">
                        <c:v>998</c:v>
                      </c:pt>
                      <c:pt idx="147">
                        <c:v>1768</c:v>
                      </c:pt>
                      <c:pt idx="148" formatCode="_(* #,##0_);_(* \(#,##0\);_(* &quot;-&quot;??_);_(@_)">
                        <c:v>1123</c:v>
                      </c:pt>
                      <c:pt idx="149" formatCode="_(* #,##0_);_(* \(#,##0\);_(* &quot;-&quot;??_);_(@_)">
                        <c:v>1251</c:v>
                      </c:pt>
                      <c:pt idx="150" formatCode="_(* #,##0_);_(* \(#,##0\);_(* &quot;-&quot;??_);_(@_)">
                        <c:v>1375</c:v>
                      </c:pt>
                      <c:pt idx="151" formatCode="_(* #,##0_);_(* \(#,##0\);_(* &quot;-&quot;??_);_(@_)">
                        <c:v>1547</c:v>
                      </c:pt>
                      <c:pt idx="152" formatCode="_(* #,##0_);_(* \(#,##0\);_(* &quot;-&quot;??_);_(@_)">
                        <c:v>1387</c:v>
                      </c:pt>
                      <c:pt idx="153" formatCode="_(* #,##0_);_(* \(#,##0\);_(* &quot;-&quot;??_);_(@_)">
                        <c:v>1045</c:v>
                      </c:pt>
                      <c:pt idx="154" formatCode="_(* #,##0_);_(* \(#,##0\);_(* &quot;-&quot;??_);_(@_)">
                        <c:v>1297</c:v>
                      </c:pt>
                      <c:pt idx="155" formatCode="_(* #,##0_);_(* \(#,##0\);_(* &quot;-&quot;??_);_(@_)">
                        <c:v>1336</c:v>
                      </c:pt>
                      <c:pt idx="156">
                        <c:v>1535</c:v>
                      </c:pt>
                      <c:pt idx="157">
                        <c:v>1245</c:v>
                      </c:pt>
                      <c:pt idx="158">
                        <c:v>601</c:v>
                      </c:pt>
                      <c:pt idx="159">
                        <c:v>8</c:v>
                      </c:pt>
                      <c:pt idx="160">
                        <c:v>13</c:v>
                      </c:pt>
                      <c:pt idx="161">
                        <c:v>16</c:v>
                      </c:pt>
                      <c:pt idx="162">
                        <c:v>20</c:v>
                      </c:pt>
                      <c:pt idx="163">
                        <c:v>18</c:v>
                      </c:pt>
                      <c:pt idx="164">
                        <c:v>66</c:v>
                      </c:pt>
                      <c:pt idx="165">
                        <c:v>114</c:v>
                      </c:pt>
                      <c:pt idx="166">
                        <c:v>147</c:v>
                      </c:pt>
                      <c:pt idx="167">
                        <c:v>285</c:v>
                      </c:pt>
                      <c:pt idx="168">
                        <c:v>391</c:v>
                      </c:pt>
                      <c:pt idx="169">
                        <c:v>262</c:v>
                      </c:pt>
                      <c:pt idx="170">
                        <c:v>281</c:v>
                      </c:pt>
                      <c:pt idx="171">
                        <c:v>217</c:v>
                      </c:pt>
                      <c:pt idx="172">
                        <c:v>229</c:v>
                      </c:pt>
                    </c:numCache>
                  </c:numRef>
                </c:val>
                <c:smooth val="0"/>
                <c:extLst xmlns:c15="http://schemas.microsoft.com/office/drawing/2012/chart">
                  <c:ext xmlns:c16="http://schemas.microsoft.com/office/drawing/2014/chart" uri="{C3380CC4-5D6E-409C-BE32-E72D297353CC}">
                    <c16:uniqueId val="{00000002-9994-4956-9FBA-2410398E6D0E}"/>
                  </c:ext>
                </c:extLst>
              </c15:ser>
            </c15:filteredLineSeries>
            <c15:filteredLineSeries>
              <c15:ser>
                <c:idx val="10"/>
                <c:order val="10"/>
                <c:tx>
                  <c:strRef>
                    <c:extLst xmlns:c15="http://schemas.microsoft.com/office/drawing/2012/chart">
                      <c:ext xmlns:c15="http://schemas.microsoft.com/office/drawing/2012/chart" uri="{02D57815-91ED-43cb-92C2-25804820EDAC}">
                        <c15:formulaRef>
                          <c15:sqref>'Tendencias nacionalidad'!$C$64</c15:sqref>
                        </c15:formulaRef>
                      </c:ext>
                    </c:extLst>
                    <c:strCache>
                      <c:ptCount val="1"/>
                      <c:pt idx="0">
                        <c:v>Venezuela</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nacionalidad'!$D$64:$GA$64</c15:sqref>
                        </c15:fullRef>
                        <c15:formulaRef>
                          <c15:sqref>'Tendencias nacionalidad'!$D$64:$FT$64</c15:sqref>
                        </c15:formulaRef>
                      </c:ext>
                    </c:extLst>
                    <c:numCache>
                      <c:formatCode>#,##0</c:formatCode>
                      <c:ptCount val="173"/>
                      <c:pt idx="0">
                        <c:v>753</c:v>
                      </c:pt>
                      <c:pt idx="1">
                        <c:v>714</c:v>
                      </c:pt>
                      <c:pt idx="2">
                        <c:v>737</c:v>
                      </c:pt>
                      <c:pt idx="3">
                        <c:v>613</c:v>
                      </c:pt>
                      <c:pt idx="4">
                        <c:v>651</c:v>
                      </c:pt>
                      <c:pt idx="5">
                        <c:v>747</c:v>
                      </c:pt>
                      <c:pt idx="6">
                        <c:v>827</c:v>
                      </c:pt>
                      <c:pt idx="7">
                        <c:v>1300</c:v>
                      </c:pt>
                      <c:pt idx="8">
                        <c:v>952</c:v>
                      </c:pt>
                      <c:pt idx="9">
                        <c:v>1111</c:v>
                      </c:pt>
                      <c:pt idx="10">
                        <c:v>1099</c:v>
                      </c:pt>
                      <c:pt idx="11">
                        <c:v>1314</c:v>
                      </c:pt>
                      <c:pt idx="12">
                        <c:v>827</c:v>
                      </c:pt>
                      <c:pt idx="13">
                        <c:v>1276</c:v>
                      </c:pt>
                      <c:pt idx="14">
                        <c:v>1217</c:v>
                      </c:pt>
                      <c:pt idx="15">
                        <c:v>1118</c:v>
                      </c:pt>
                      <c:pt idx="16">
                        <c:v>1255</c:v>
                      </c:pt>
                      <c:pt idx="17">
                        <c:v>1036</c:v>
                      </c:pt>
                      <c:pt idx="18">
                        <c:v>1195</c:v>
                      </c:pt>
                      <c:pt idx="19">
                        <c:v>1641</c:v>
                      </c:pt>
                      <c:pt idx="20">
                        <c:v>1154</c:v>
                      </c:pt>
                      <c:pt idx="21">
                        <c:v>1777</c:v>
                      </c:pt>
                      <c:pt idx="22">
                        <c:v>1428</c:v>
                      </c:pt>
                      <c:pt idx="23">
                        <c:v>2225</c:v>
                      </c:pt>
                      <c:pt idx="24">
                        <c:v>1083</c:v>
                      </c:pt>
                      <c:pt idx="25">
                        <c:v>1249</c:v>
                      </c:pt>
                      <c:pt idx="26">
                        <c:v>1024</c:v>
                      </c:pt>
                      <c:pt idx="27">
                        <c:v>1356</c:v>
                      </c:pt>
                      <c:pt idx="28">
                        <c:v>1292</c:v>
                      </c:pt>
                      <c:pt idx="29">
                        <c:v>1228</c:v>
                      </c:pt>
                      <c:pt idx="30">
                        <c:v>1508</c:v>
                      </c:pt>
                      <c:pt idx="31">
                        <c:v>2113</c:v>
                      </c:pt>
                      <c:pt idx="32">
                        <c:v>1520</c:v>
                      </c:pt>
                      <c:pt idx="33">
                        <c:v>1841</c:v>
                      </c:pt>
                      <c:pt idx="34">
                        <c:v>2046</c:v>
                      </c:pt>
                      <c:pt idx="35">
                        <c:v>3228</c:v>
                      </c:pt>
                      <c:pt idx="36">
                        <c:v>1651</c:v>
                      </c:pt>
                      <c:pt idx="37">
                        <c:v>2875</c:v>
                      </c:pt>
                      <c:pt idx="38">
                        <c:v>1387</c:v>
                      </c:pt>
                      <c:pt idx="39">
                        <c:v>1111</c:v>
                      </c:pt>
                      <c:pt idx="40">
                        <c:v>1191</c:v>
                      </c:pt>
                      <c:pt idx="41">
                        <c:v>1113</c:v>
                      </c:pt>
                      <c:pt idx="42">
                        <c:v>1335</c:v>
                      </c:pt>
                      <c:pt idx="43">
                        <c:v>1591</c:v>
                      </c:pt>
                      <c:pt idx="44">
                        <c:v>1306</c:v>
                      </c:pt>
                      <c:pt idx="45">
                        <c:v>1534</c:v>
                      </c:pt>
                      <c:pt idx="46">
                        <c:v>1720</c:v>
                      </c:pt>
                      <c:pt idx="47">
                        <c:v>1968</c:v>
                      </c:pt>
                      <c:pt idx="48">
                        <c:v>1032</c:v>
                      </c:pt>
                      <c:pt idx="49">
                        <c:v>1376</c:v>
                      </c:pt>
                      <c:pt idx="50">
                        <c:v>1492</c:v>
                      </c:pt>
                      <c:pt idx="51">
                        <c:v>1632</c:v>
                      </c:pt>
                      <c:pt idx="52">
                        <c:v>1480</c:v>
                      </c:pt>
                      <c:pt idx="53">
                        <c:v>1340</c:v>
                      </c:pt>
                      <c:pt idx="54">
                        <c:v>1534</c:v>
                      </c:pt>
                      <c:pt idx="55">
                        <c:v>1989</c:v>
                      </c:pt>
                      <c:pt idx="56">
                        <c:v>2317</c:v>
                      </c:pt>
                      <c:pt idx="57">
                        <c:v>2313</c:v>
                      </c:pt>
                      <c:pt idx="58">
                        <c:v>2294</c:v>
                      </c:pt>
                      <c:pt idx="59">
                        <c:v>2927</c:v>
                      </c:pt>
                      <c:pt idx="60">
                        <c:v>1103</c:v>
                      </c:pt>
                      <c:pt idx="61">
                        <c:v>1731</c:v>
                      </c:pt>
                      <c:pt idx="62">
                        <c:v>1529</c:v>
                      </c:pt>
                      <c:pt idx="63">
                        <c:v>1459</c:v>
                      </c:pt>
                      <c:pt idx="64">
                        <c:v>1418</c:v>
                      </c:pt>
                      <c:pt idx="65">
                        <c:v>1675</c:v>
                      </c:pt>
                      <c:pt idx="66">
                        <c:v>1770</c:v>
                      </c:pt>
                      <c:pt idx="67">
                        <c:v>2101</c:v>
                      </c:pt>
                      <c:pt idx="68">
                        <c:v>2091</c:v>
                      </c:pt>
                      <c:pt idx="69">
                        <c:v>2502</c:v>
                      </c:pt>
                      <c:pt idx="70">
                        <c:v>4173</c:v>
                      </c:pt>
                      <c:pt idx="71">
                        <c:v>4955</c:v>
                      </c:pt>
                      <c:pt idx="72">
                        <c:v>3054</c:v>
                      </c:pt>
                      <c:pt idx="73">
                        <c:v>4459</c:v>
                      </c:pt>
                      <c:pt idx="74">
                        <c:v>4045</c:v>
                      </c:pt>
                      <c:pt idx="75">
                        <c:v>4332</c:v>
                      </c:pt>
                      <c:pt idx="76">
                        <c:v>4937</c:v>
                      </c:pt>
                      <c:pt idx="77">
                        <c:v>5647</c:v>
                      </c:pt>
                      <c:pt idx="78">
                        <c:v>7092</c:v>
                      </c:pt>
                      <c:pt idx="79">
                        <c:v>7074</c:v>
                      </c:pt>
                      <c:pt idx="80">
                        <c:v>7620</c:v>
                      </c:pt>
                      <c:pt idx="81">
                        <c:v>10699</c:v>
                      </c:pt>
                      <c:pt idx="82">
                        <c:v>11241</c:v>
                      </c:pt>
                      <c:pt idx="83">
                        <c:v>7989</c:v>
                      </c:pt>
                      <c:pt idx="84">
                        <c:v>4693</c:v>
                      </c:pt>
                      <c:pt idx="85">
                        <c:v>5741</c:v>
                      </c:pt>
                      <c:pt idx="86">
                        <c:v>5725</c:v>
                      </c:pt>
                      <c:pt idx="87">
                        <c:v>5619</c:v>
                      </c:pt>
                      <c:pt idx="88">
                        <c:v>5346</c:v>
                      </c:pt>
                      <c:pt idx="89">
                        <c:v>6807</c:v>
                      </c:pt>
                      <c:pt idx="90">
                        <c:v>6926</c:v>
                      </c:pt>
                      <c:pt idx="91">
                        <c:v>8583</c:v>
                      </c:pt>
                      <c:pt idx="92">
                        <c:v>9992</c:v>
                      </c:pt>
                      <c:pt idx="93">
                        <c:v>9297</c:v>
                      </c:pt>
                      <c:pt idx="94">
                        <c:v>10296</c:v>
                      </c:pt>
                      <c:pt idx="95">
                        <c:v>11157</c:v>
                      </c:pt>
                      <c:pt idx="96">
                        <c:v>2358</c:v>
                      </c:pt>
                      <c:pt idx="97">
                        <c:v>2290</c:v>
                      </c:pt>
                      <c:pt idx="98">
                        <c:v>4142</c:v>
                      </c:pt>
                      <c:pt idx="99">
                        <c:v>6065</c:v>
                      </c:pt>
                      <c:pt idx="100">
                        <c:v>5121</c:v>
                      </c:pt>
                      <c:pt idx="101">
                        <c:v>3749</c:v>
                      </c:pt>
                      <c:pt idx="102">
                        <c:v>2801</c:v>
                      </c:pt>
                      <c:pt idx="103">
                        <c:v>3138</c:v>
                      </c:pt>
                      <c:pt idx="104">
                        <c:v>4863</c:v>
                      </c:pt>
                      <c:pt idx="105">
                        <c:v>5562</c:v>
                      </c:pt>
                      <c:pt idx="106">
                        <c:v>6086</c:v>
                      </c:pt>
                      <c:pt idx="107">
                        <c:v>5218</c:v>
                      </c:pt>
                      <c:pt idx="108">
                        <c:v>3766</c:v>
                      </c:pt>
                      <c:pt idx="109">
                        <c:v>3119</c:v>
                      </c:pt>
                      <c:pt idx="110">
                        <c:v>3278</c:v>
                      </c:pt>
                      <c:pt idx="111">
                        <c:v>2499</c:v>
                      </c:pt>
                      <c:pt idx="112">
                        <c:v>2287</c:v>
                      </c:pt>
                      <c:pt idx="113">
                        <c:v>1861</c:v>
                      </c:pt>
                      <c:pt idx="114">
                        <c:v>1997</c:v>
                      </c:pt>
                      <c:pt idx="115">
                        <c:v>1859</c:v>
                      </c:pt>
                      <c:pt idx="116" formatCode="General">
                        <c:v>1632</c:v>
                      </c:pt>
                      <c:pt idx="117">
                        <c:v>1802</c:v>
                      </c:pt>
                      <c:pt idx="118">
                        <c:v>2234</c:v>
                      </c:pt>
                      <c:pt idx="119">
                        <c:v>2275</c:v>
                      </c:pt>
                      <c:pt idx="120">
                        <c:v>2611</c:v>
                      </c:pt>
                      <c:pt idx="121">
                        <c:v>2623</c:v>
                      </c:pt>
                      <c:pt idx="122">
                        <c:v>3077</c:v>
                      </c:pt>
                      <c:pt idx="123">
                        <c:v>1899</c:v>
                      </c:pt>
                      <c:pt idx="124">
                        <c:v>1788</c:v>
                      </c:pt>
                      <c:pt idx="125">
                        <c:v>1844</c:v>
                      </c:pt>
                      <c:pt idx="126">
                        <c:v>2187</c:v>
                      </c:pt>
                      <c:pt idx="127">
                        <c:v>1627</c:v>
                      </c:pt>
                      <c:pt idx="128">
                        <c:v>1459</c:v>
                      </c:pt>
                      <c:pt idx="129">
                        <c:v>1321</c:v>
                      </c:pt>
                      <c:pt idx="130">
                        <c:v>1420</c:v>
                      </c:pt>
                      <c:pt idx="131">
                        <c:v>1417</c:v>
                      </c:pt>
                      <c:pt idx="132">
                        <c:v>1226</c:v>
                      </c:pt>
                      <c:pt idx="133">
                        <c:v>1186</c:v>
                      </c:pt>
                      <c:pt idx="134">
                        <c:v>1106</c:v>
                      </c:pt>
                      <c:pt idx="135">
                        <c:v>1006</c:v>
                      </c:pt>
                      <c:pt idx="136">
                        <c:v>1115</c:v>
                      </c:pt>
                      <c:pt idx="137">
                        <c:v>1223</c:v>
                      </c:pt>
                      <c:pt idx="138">
                        <c:v>1373</c:v>
                      </c:pt>
                      <c:pt idx="139">
                        <c:v>1180</c:v>
                      </c:pt>
                      <c:pt idx="140">
                        <c:v>1316</c:v>
                      </c:pt>
                      <c:pt idx="141">
                        <c:v>1366</c:v>
                      </c:pt>
                      <c:pt idx="142">
                        <c:v>1417</c:v>
                      </c:pt>
                      <c:pt idx="143">
                        <c:v>1480</c:v>
                      </c:pt>
                      <c:pt idx="144" formatCode="_(* #,##0_);_(* \(#,##0\);_(* &quot;-&quot;??_);_(@_)">
                        <c:v>839</c:v>
                      </c:pt>
                      <c:pt idx="145">
                        <c:v>615</c:v>
                      </c:pt>
                      <c:pt idx="146">
                        <c:v>713</c:v>
                      </c:pt>
                      <c:pt idx="147">
                        <c:v>970</c:v>
                      </c:pt>
                      <c:pt idx="148" formatCode="_(* #,##0_);_(* \(#,##0\);_(* &quot;-&quot;??_);_(@_)">
                        <c:v>1338</c:v>
                      </c:pt>
                      <c:pt idx="149" formatCode="_(* #,##0_);_(* \(#,##0\);_(* &quot;-&quot;??_);_(@_)">
                        <c:v>1196</c:v>
                      </c:pt>
                      <c:pt idx="150" formatCode="_(* #,##0_);_(* \(#,##0\);_(* &quot;-&quot;??_);_(@_)">
                        <c:v>1791</c:v>
                      </c:pt>
                      <c:pt idx="151" formatCode="_(* #,##0_);_(* \(#,##0\);_(* &quot;-&quot;??_);_(@_)">
                        <c:v>1978</c:v>
                      </c:pt>
                      <c:pt idx="152" formatCode="_(* #,##0_);_(* \(#,##0\);_(* &quot;-&quot;??_);_(@_)">
                        <c:v>959</c:v>
                      </c:pt>
                      <c:pt idx="153" formatCode="_(* #,##0_);_(* \(#,##0\);_(* &quot;-&quot;??_);_(@_)">
                        <c:v>956</c:v>
                      </c:pt>
                      <c:pt idx="154" formatCode="_(* #,##0_);_(* \(#,##0\);_(* &quot;-&quot;??_);_(@_)">
                        <c:v>1165</c:v>
                      </c:pt>
                      <c:pt idx="155" formatCode="_(* #,##0_);_(* \(#,##0\);_(* &quot;-&quot;??_);_(@_)">
                        <c:v>1300</c:v>
                      </c:pt>
                      <c:pt idx="156">
                        <c:v>1957</c:v>
                      </c:pt>
                      <c:pt idx="157">
                        <c:v>980</c:v>
                      </c:pt>
                      <c:pt idx="158">
                        <c:v>604</c:v>
                      </c:pt>
                      <c:pt idx="159">
                        <c:v>15</c:v>
                      </c:pt>
                      <c:pt idx="160">
                        <c:v>28</c:v>
                      </c:pt>
                      <c:pt idx="161">
                        <c:v>30</c:v>
                      </c:pt>
                      <c:pt idx="162">
                        <c:v>79</c:v>
                      </c:pt>
                      <c:pt idx="163">
                        <c:v>74</c:v>
                      </c:pt>
                      <c:pt idx="164">
                        <c:v>158</c:v>
                      </c:pt>
                      <c:pt idx="165">
                        <c:v>136</c:v>
                      </c:pt>
                      <c:pt idx="166">
                        <c:v>327</c:v>
                      </c:pt>
                      <c:pt idx="167">
                        <c:v>284</c:v>
                      </c:pt>
                      <c:pt idx="168">
                        <c:v>409</c:v>
                      </c:pt>
                      <c:pt idx="169">
                        <c:v>282</c:v>
                      </c:pt>
                      <c:pt idx="170">
                        <c:v>283</c:v>
                      </c:pt>
                      <c:pt idx="171">
                        <c:v>342</c:v>
                      </c:pt>
                      <c:pt idx="172">
                        <c:v>477</c:v>
                      </c:pt>
                    </c:numCache>
                  </c:numRef>
                </c:val>
                <c:smooth val="0"/>
                <c:extLst xmlns:c15="http://schemas.microsoft.com/office/drawing/2012/chart">
                  <c:ext xmlns:c16="http://schemas.microsoft.com/office/drawing/2014/chart" uri="{C3380CC4-5D6E-409C-BE32-E72D297353CC}">
                    <c16:uniqueId val="{0000000C-9994-4956-9FBA-2410398E6D0E}"/>
                  </c:ext>
                </c:extLst>
              </c15:ser>
            </c15:filteredLineSeries>
            <c15:filteredLineSeries>
              <c15:ser>
                <c:idx val="13"/>
                <c:order val="13"/>
                <c:tx>
                  <c:strRef>
                    <c:extLst xmlns:c15="http://schemas.microsoft.com/office/drawing/2012/chart">
                      <c:ext xmlns:c15="http://schemas.microsoft.com/office/drawing/2012/chart" uri="{02D57815-91ED-43cb-92C2-25804820EDAC}">
                        <c15:formulaRef>
                          <c15:sqref>'Tendencias nacionalidad'!$C$67</c15:sqref>
                        </c15:formulaRef>
                      </c:ext>
                    </c:extLst>
                    <c:strCache>
                      <c:ptCount val="1"/>
                      <c:pt idx="0">
                        <c:v>China República Popular</c:v>
                      </c:pt>
                    </c:strCache>
                  </c:strRef>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nacionalidad'!$D$67:$GA$67</c15:sqref>
                        </c15:fullRef>
                        <c15:formulaRef>
                          <c15:sqref>'Tendencias nacionalidad'!$D$67:$FT$67</c15:sqref>
                        </c15:formulaRef>
                      </c:ext>
                    </c:extLst>
                    <c:numCache>
                      <c:formatCode>#,##0</c:formatCode>
                      <c:ptCount val="173"/>
                      <c:pt idx="0">
                        <c:v>133</c:v>
                      </c:pt>
                      <c:pt idx="1">
                        <c:v>92</c:v>
                      </c:pt>
                      <c:pt idx="2">
                        <c:v>219</c:v>
                      </c:pt>
                      <c:pt idx="3">
                        <c:v>122</c:v>
                      </c:pt>
                      <c:pt idx="4">
                        <c:v>192</c:v>
                      </c:pt>
                      <c:pt idx="5">
                        <c:v>123</c:v>
                      </c:pt>
                      <c:pt idx="6">
                        <c:v>158</c:v>
                      </c:pt>
                      <c:pt idx="7">
                        <c:v>152</c:v>
                      </c:pt>
                      <c:pt idx="8">
                        <c:v>231</c:v>
                      </c:pt>
                      <c:pt idx="9">
                        <c:v>178</c:v>
                      </c:pt>
                      <c:pt idx="10">
                        <c:v>149</c:v>
                      </c:pt>
                      <c:pt idx="11">
                        <c:v>195</c:v>
                      </c:pt>
                      <c:pt idx="12">
                        <c:v>187</c:v>
                      </c:pt>
                      <c:pt idx="13">
                        <c:v>200</c:v>
                      </c:pt>
                      <c:pt idx="14">
                        <c:v>290</c:v>
                      </c:pt>
                      <c:pt idx="15">
                        <c:v>345</c:v>
                      </c:pt>
                      <c:pt idx="16">
                        <c:v>276</c:v>
                      </c:pt>
                      <c:pt idx="17">
                        <c:v>382</c:v>
                      </c:pt>
                      <c:pt idx="18">
                        <c:v>2179</c:v>
                      </c:pt>
                      <c:pt idx="19">
                        <c:v>1374</c:v>
                      </c:pt>
                      <c:pt idx="20">
                        <c:v>1684</c:v>
                      </c:pt>
                      <c:pt idx="21">
                        <c:v>1102</c:v>
                      </c:pt>
                      <c:pt idx="22">
                        <c:v>766</c:v>
                      </c:pt>
                      <c:pt idx="23">
                        <c:v>229</c:v>
                      </c:pt>
                      <c:pt idx="24">
                        <c:v>215</c:v>
                      </c:pt>
                      <c:pt idx="25">
                        <c:v>310</c:v>
                      </c:pt>
                      <c:pt idx="26">
                        <c:v>284</c:v>
                      </c:pt>
                      <c:pt idx="27">
                        <c:v>259</c:v>
                      </c:pt>
                      <c:pt idx="28">
                        <c:v>282</c:v>
                      </c:pt>
                      <c:pt idx="29">
                        <c:v>305</c:v>
                      </c:pt>
                      <c:pt idx="30">
                        <c:v>334</c:v>
                      </c:pt>
                      <c:pt idx="31">
                        <c:v>413</c:v>
                      </c:pt>
                      <c:pt idx="32">
                        <c:v>465</c:v>
                      </c:pt>
                      <c:pt idx="33">
                        <c:v>391</c:v>
                      </c:pt>
                      <c:pt idx="34">
                        <c:v>626</c:v>
                      </c:pt>
                      <c:pt idx="35">
                        <c:v>354</c:v>
                      </c:pt>
                      <c:pt idx="36">
                        <c:v>309</c:v>
                      </c:pt>
                      <c:pt idx="37">
                        <c:v>310</c:v>
                      </c:pt>
                      <c:pt idx="38">
                        <c:v>261</c:v>
                      </c:pt>
                      <c:pt idx="39">
                        <c:v>201</c:v>
                      </c:pt>
                      <c:pt idx="40">
                        <c:v>223</c:v>
                      </c:pt>
                      <c:pt idx="41">
                        <c:v>264</c:v>
                      </c:pt>
                      <c:pt idx="42">
                        <c:v>253</c:v>
                      </c:pt>
                      <c:pt idx="43">
                        <c:v>336</c:v>
                      </c:pt>
                      <c:pt idx="44">
                        <c:v>245</c:v>
                      </c:pt>
                      <c:pt idx="45">
                        <c:v>111</c:v>
                      </c:pt>
                      <c:pt idx="46">
                        <c:v>335</c:v>
                      </c:pt>
                      <c:pt idx="47">
                        <c:v>418</c:v>
                      </c:pt>
                      <c:pt idx="48">
                        <c:v>275</c:v>
                      </c:pt>
                      <c:pt idx="49">
                        <c:v>351</c:v>
                      </c:pt>
                      <c:pt idx="50">
                        <c:v>351</c:v>
                      </c:pt>
                      <c:pt idx="51">
                        <c:v>297</c:v>
                      </c:pt>
                      <c:pt idx="52">
                        <c:v>296</c:v>
                      </c:pt>
                      <c:pt idx="53">
                        <c:v>312</c:v>
                      </c:pt>
                      <c:pt idx="54">
                        <c:v>299</c:v>
                      </c:pt>
                      <c:pt idx="55">
                        <c:v>450</c:v>
                      </c:pt>
                      <c:pt idx="56">
                        <c:v>428</c:v>
                      </c:pt>
                      <c:pt idx="57">
                        <c:v>477</c:v>
                      </c:pt>
                      <c:pt idx="58">
                        <c:v>485</c:v>
                      </c:pt>
                      <c:pt idx="59">
                        <c:v>438</c:v>
                      </c:pt>
                      <c:pt idx="60">
                        <c:v>198</c:v>
                      </c:pt>
                      <c:pt idx="61">
                        <c:v>557</c:v>
                      </c:pt>
                      <c:pt idx="62">
                        <c:v>561</c:v>
                      </c:pt>
                      <c:pt idx="63">
                        <c:v>523</c:v>
                      </c:pt>
                      <c:pt idx="64">
                        <c:v>701</c:v>
                      </c:pt>
                      <c:pt idx="65">
                        <c:v>470</c:v>
                      </c:pt>
                      <c:pt idx="66">
                        <c:v>598</c:v>
                      </c:pt>
                      <c:pt idx="67">
                        <c:v>647</c:v>
                      </c:pt>
                      <c:pt idx="68">
                        <c:v>674</c:v>
                      </c:pt>
                      <c:pt idx="69">
                        <c:v>826</c:v>
                      </c:pt>
                      <c:pt idx="70">
                        <c:v>646</c:v>
                      </c:pt>
                      <c:pt idx="71">
                        <c:v>532</c:v>
                      </c:pt>
                      <c:pt idx="72">
                        <c:v>83</c:v>
                      </c:pt>
                      <c:pt idx="73">
                        <c:v>440</c:v>
                      </c:pt>
                      <c:pt idx="74">
                        <c:v>582</c:v>
                      </c:pt>
                      <c:pt idx="75">
                        <c:v>655</c:v>
                      </c:pt>
                      <c:pt idx="76">
                        <c:v>704</c:v>
                      </c:pt>
                      <c:pt idx="77">
                        <c:v>612</c:v>
                      </c:pt>
                      <c:pt idx="78">
                        <c:v>427</c:v>
                      </c:pt>
                      <c:pt idx="79">
                        <c:v>751</c:v>
                      </c:pt>
                      <c:pt idx="80">
                        <c:v>724</c:v>
                      </c:pt>
                      <c:pt idx="81">
                        <c:v>697</c:v>
                      </c:pt>
                      <c:pt idx="82">
                        <c:v>655</c:v>
                      </c:pt>
                      <c:pt idx="83">
                        <c:v>657</c:v>
                      </c:pt>
                      <c:pt idx="84">
                        <c:v>636</c:v>
                      </c:pt>
                      <c:pt idx="85">
                        <c:v>674</c:v>
                      </c:pt>
                      <c:pt idx="86">
                        <c:v>840</c:v>
                      </c:pt>
                      <c:pt idx="87">
                        <c:v>702</c:v>
                      </c:pt>
                      <c:pt idx="88">
                        <c:v>659</c:v>
                      </c:pt>
                      <c:pt idx="89">
                        <c:v>639</c:v>
                      </c:pt>
                      <c:pt idx="90">
                        <c:v>825</c:v>
                      </c:pt>
                      <c:pt idx="91">
                        <c:v>721</c:v>
                      </c:pt>
                      <c:pt idx="92">
                        <c:v>869</c:v>
                      </c:pt>
                      <c:pt idx="93">
                        <c:v>817</c:v>
                      </c:pt>
                      <c:pt idx="94">
                        <c:v>785</c:v>
                      </c:pt>
                      <c:pt idx="95">
                        <c:v>701</c:v>
                      </c:pt>
                      <c:pt idx="96">
                        <c:v>740</c:v>
                      </c:pt>
                      <c:pt idx="97">
                        <c:v>531</c:v>
                      </c:pt>
                      <c:pt idx="98">
                        <c:v>1029</c:v>
                      </c:pt>
                      <c:pt idx="99">
                        <c:v>933</c:v>
                      </c:pt>
                      <c:pt idx="100">
                        <c:v>904</c:v>
                      </c:pt>
                      <c:pt idx="101">
                        <c:v>798</c:v>
                      </c:pt>
                      <c:pt idx="102">
                        <c:v>804</c:v>
                      </c:pt>
                      <c:pt idx="103">
                        <c:v>967</c:v>
                      </c:pt>
                      <c:pt idx="104">
                        <c:v>871</c:v>
                      </c:pt>
                      <c:pt idx="105">
                        <c:v>837</c:v>
                      </c:pt>
                      <c:pt idx="106">
                        <c:v>793</c:v>
                      </c:pt>
                      <c:pt idx="107">
                        <c:v>654</c:v>
                      </c:pt>
                      <c:pt idx="108">
                        <c:v>624</c:v>
                      </c:pt>
                      <c:pt idx="109">
                        <c:v>600</c:v>
                      </c:pt>
                      <c:pt idx="110">
                        <c:v>1169</c:v>
                      </c:pt>
                      <c:pt idx="111">
                        <c:v>845</c:v>
                      </c:pt>
                      <c:pt idx="112">
                        <c:v>896</c:v>
                      </c:pt>
                      <c:pt idx="113">
                        <c:v>878</c:v>
                      </c:pt>
                      <c:pt idx="114">
                        <c:v>890</c:v>
                      </c:pt>
                      <c:pt idx="115">
                        <c:v>1046</c:v>
                      </c:pt>
                      <c:pt idx="116" formatCode="General">
                        <c:v>969</c:v>
                      </c:pt>
                      <c:pt idx="117">
                        <c:v>1285</c:v>
                      </c:pt>
                      <c:pt idx="118">
                        <c:v>1577</c:v>
                      </c:pt>
                      <c:pt idx="119">
                        <c:v>1083</c:v>
                      </c:pt>
                      <c:pt idx="120">
                        <c:v>863</c:v>
                      </c:pt>
                      <c:pt idx="121">
                        <c:v>879</c:v>
                      </c:pt>
                      <c:pt idx="122">
                        <c:v>1309</c:v>
                      </c:pt>
                      <c:pt idx="123">
                        <c:v>1057</c:v>
                      </c:pt>
                      <c:pt idx="124">
                        <c:v>1204</c:v>
                      </c:pt>
                      <c:pt idx="125">
                        <c:v>1104</c:v>
                      </c:pt>
                      <c:pt idx="126">
                        <c:v>1164</c:v>
                      </c:pt>
                      <c:pt idx="127">
                        <c:v>1313</c:v>
                      </c:pt>
                      <c:pt idx="128">
                        <c:v>1214</c:v>
                      </c:pt>
                      <c:pt idx="129">
                        <c:v>1036</c:v>
                      </c:pt>
                      <c:pt idx="130">
                        <c:v>1147</c:v>
                      </c:pt>
                      <c:pt idx="131">
                        <c:v>1102</c:v>
                      </c:pt>
                      <c:pt idx="132">
                        <c:v>938</c:v>
                      </c:pt>
                      <c:pt idx="133">
                        <c:v>995</c:v>
                      </c:pt>
                      <c:pt idx="134">
                        <c:v>1373</c:v>
                      </c:pt>
                      <c:pt idx="135">
                        <c:v>866</c:v>
                      </c:pt>
                      <c:pt idx="136">
                        <c:v>931</c:v>
                      </c:pt>
                      <c:pt idx="137">
                        <c:v>952</c:v>
                      </c:pt>
                      <c:pt idx="138">
                        <c:v>1110</c:v>
                      </c:pt>
                      <c:pt idx="139">
                        <c:v>924</c:v>
                      </c:pt>
                      <c:pt idx="140">
                        <c:v>1152</c:v>
                      </c:pt>
                      <c:pt idx="141">
                        <c:v>876</c:v>
                      </c:pt>
                      <c:pt idx="142">
                        <c:v>1153</c:v>
                      </c:pt>
                      <c:pt idx="143">
                        <c:v>969</c:v>
                      </c:pt>
                      <c:pt idx="144" formatCode="_(* #,##0_);_(* \(#,##0\);_(* &quot;-&quot;??_);_(@_)">
                        <c:v>840</c:v>
                      </c:pt>
                      <c:pt idx="145">
                        <c:v>981</c:v>
                      </c:pt>
                      <c:pt idx="146">
                        <c:v>1154</c:v>
                      </c:pt>
                      <c:pt idx="147">
                        <c:v>849</c:v>
                      </c:pt>
                      <c:pt idx="148" formatCode="_(* #,##0_);_(* \(#,##0\);_(* &quot;-&quot;??_);_(@_)">
                        <c:v>1263</c:v>
                      </c:pt>
                      <c:pt idx="149" formatCode="_(* #,##0_);_(* \(#,##0\);_(* &quot;-&quot;??_);_(@_)">
                        <c:v>1087</c:v>
                      </c:pt>
                      <c:pt idx="150" formatCode="_(* #,##0_);_(* \(#,##0\);_(* &quot;-&quot;??_);_(@_)">
                        <c:v>1326</c:v>
                      </c:pt>
                      <c:pt idx="151" formatCode="_(* #,##0_);_(* \(#,##0\);_(* &quot;-&quot;??_);_(@_)">
                        <c:v>1264</c:v>
                      </c:pt>
                      <c:pt idx="152" formatCode="_(* #,##0_);_(* \(#,##0\);_(* &quot;-&quot;??_);_(@_)">
                        <c:v>1156</c:v>
                      </c:pt>
                      <c:pt idx="153" formatCode="_(* #,##0_);_(* \(#,##0\);_(* &quot;-&quot;??_);_(@_)">
                        <c:v>845</c:v>
                      </c:pt>
                      <c:pt idx="154" formatCode="_(* #,##0_);_(* \(#,##0\);_(* &quot;-&quot;??_);_(@_)">
                        <c:v>961</c:v>
                      </c:pt>
                      <c:pt idx="155" formatCode="_(* #,##0_);_(* \(#,##0\);_(* &quot;-&quot;??_);_(@_)">
                        <c:v>979</c:v>
                      </c:pt>
                      <c:pt idx="156">
                        <c:v>895</c:v>
                      </c:pt>
                      <c:pt idx="157">
                        <c:v>578</c:v>
                      </c:pt>
                      <c:pt idx="158">
                        <c:v>220</c:v>
                      </c:pt>
                      <c:pt idx="161">
                        <c:v>2</c:v>
                      </c:pt>
                      <c:pt idx="162">
                        <c:v>70</c:v>
                      </c:pt>
                      <c:pt idx="163">
                        <c:v>91</c:v>
                      </c:pt>
                      <c:pt idx="164">
                        <c:v>153</c:v>
                      </c:pt>
                      <c:pt idx="165">
                        <c:v>172</c:v>
                      </c:pt>
                      <c:pt idx="166">
                        <c:v>167</c:v>
                      </c:pt>
                      <c:pt idx="167">
                        <c:v>211</c:v>
                      </c:pt>
                      <c:pt idx="168">
                        <c:v>166</c:v>
                      </c:pt>
                      <c:pt idx="169">
                        <c:v>194</c:v>
                      </c:pt>
                      <c:pt idx="170">
                        <c:v>301</c:v>
                      </c:pt>
                      <c:pt idx="171">
                        <c:v>270</c:v>
                      </c:pt>
                      <c:pt idx="172">
                        <c:v>275</c:v>
                      </c:pt>
                    </c:numCache>
                  </c:numRef>
                </c:val>
                <c:smooth val="0"/>
                <c:extLst xmlns:c15="http://schemas.microsoft.com/office/drawing/2012/chart">
                  <c:ext xmlns:c16="http://schemas.microsoft.com/office/drawing/2014/chart" uri="{C3380CC4-5D6E-409C-BE32-E72D297353CC}">
                    <c16:uniqueId val="{0000000E-9994-4956-9FBA-2410398E6D0E}"/>
                  </c:ext>
                </c:extLst>
              </c15:ser>
            </c15:filteredLineSeries>
            <c15:filteredLineSeries>
              <c15:ser>
                <c:idx val="15"/>
                <c:order val="15"/>
                <c:tx>
                  <c:strRef>
                    <c:extLst xmlns:c15="http://schemas.microsoft.com/office/drawing/2012/chart">
                      <c:ext xmlns:c15="http://schemas.microsoft.com/office/drawing/2012/chart" uri="{02D57815-91ED-43cb-92C2-25804820EDAC}">
                        <c15:formulaRef>
                          <c15:sqref>'Tendencias nacionalidad'!$C$69</c15:sqref>
                        </c15:formulaRef>
                      </c:ext>
                    </c:extLst>
                    <c:strCache>
                      <c:ptCount val="1"/>
                      <c:pt idx="0">
                        <c:v>Panamá</c:v>
                      </c:pt>
                    </c:strCache>
                  </c:strRef>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nacionalidad'!$D$69:$GA$69</c15:sqref>
                        </c15:fullRef>
                        <c15:formulaRef>
                          <c15:sqref>'Tendencias nacionalidad'!$D$69:$FT$69</c15:sqref>
                        </c15:formulaRef>
                      </c:ext>
                    </c:extLst>
                    <c:numCache>
                      <c:formatCode>#,##0</c:formatCode>
                      <c:ptCount val="173"/>
                      <c:pt idx="0">
                        <c:v>89</c:v>
                      </c:pt>
                      <c:pt idx="1">
                        <c:v>97</c:v>
                      </c:pt>
                      <c:pt idx="2">
                        <c:v>98</c:v>
                      </c:pt>
                      <c:pt idx="3">
                        <c:v>73</c:v>
                      </c:pt>
                      <c:pt idx="4">
                        <c:v>107</c:v>
                      </c:pt>
                      <c:pt idx="5">
                        <c:v>108</c:v>
                      </c:pt>
                      <c:pt idx="6">
                        <c:v>114</c:v>
                      </c:pt>
                      <c:pt idx="7">
                        <c:v>116</c:v>
                      </c:pt>
                      <c:pt idx="8">
                        <c:v>115</c:v>
                      </c:pt>
                      <c:pt idx="9">
                        <c:v>116</c:v>
                      </c:pt>
                      <c:pt idx="10">
                        <c:v>219</c:v>
                      </c:pt>
                      <c:pt idx="11">
                        <c:v>117</c:v>
                      </c:pt>
                      <c:pt idx="12">
                        <c:v>110</c:v>
                      </c:pt>
                      <c:pt idx="13">
                        <c:v>177</c:v>
                      </c:pt>
                      <c:pt idx="14">
                        <c:v>117</c:v>
                      </c:pt>
                      <c:pt idx="15">
                        <c:v>96</c:v>
                      </c:pt>
                      <c:pt idx="16">
                        <c:v>143</c:v>
                      </c:pt>
                      <c:pt idx="17">
                        <c:v>107</c:v>
                      </c:pt>
                      <c:pt idx="18">
                        <c:v>186</c:v>
                      </c:pt>
                      <c:pt idx="19">
                        <c:v>197</c:v>
                      </c:pt>
                      <c:pt idx="20">
                        <c:v>181</c:v>
                      </c:pt>
                      <c:pt idx="21">
                        <c:v>189</c:v>
                      </c:pt>
                      <c:pt idx="22">
                        <c:v>292</c:v>
                      </c:pt>
                      <c:pt idx="23">
                        <c:v>152</c:v>
                      </c:pt>
                      <c:pt idx="24">
                        <c:v>164</c:v>
                      </c:pt>
                      <c:pt idx="25">
                        <c:v>132</c:v>
                      </c:pt>
                      <c:pt idx="26">
                        <c:v>166</c:v>
                      </c:pt>
                      <c:pt idx="27">
                        <c:v>106</c:v>
                      </c:pt>
                      <c:pt idx="28">
                        <c:v>116.5</c:v>
                      </c:pt>
                      <c:pt idx="29">
                        <c:v>127</c:v>
                      </c:pt>
                      <c:pt idx="30">
                        <c:v>145</c:v>
                      </c:pt>
                      <c:pt idx="31">
                        <c:v>105</c:v>
                      </c:pt>
                      <c:pt idx="32">
                        <c:v>149</c:v>
                      </c:pt>
                      <c:pt idx="33">
                        <c:v>163</c:v>
                      </c:pt>
                      <c:pt idx="34">
                        <c:v>184</c:v>
                      </c:pt>
                      <c:pt idx="35">
                        <c:v>125</c:v>
                      </c:pt>
                      <c:pt idx="36">
                        <c:v>154</c:v>
                      </c:pt>
                      <c:pt idx="37">
                        <c:v>218</c:v>
                      </c:pt>
                      <c:pt idx="38">
                        <c:v>150</c:v>
                      </c:pt>
                      <c:pt idx="39">
                        <c:v>189</c:v>
                      </c:pt>
                      <c:pt idx="40">
                        <c:v>141</c:v>
                      </c:pt>
                      <c:pt idx="41">
                        <c:v>141</c:v>
                      </c:pt>
                      <c:pt idx="42">
                        <c:v>147</c:v>
                      </c:pt>
                      <c:pt idx="43">
                        <c:v>136</c:v>
                      </c:pt>
                      <c:pt idx="44">
                        <c:v>118</c:v>
                      </c:pt>
                      <c:pt idx="45">
                        <c:v>121</c:v>
                      </c:pt>
                      <c:pt idx="46">
                        <c:v>165</c:v>
                      </c:pt>
                      <c:pt idx="47">
                        <c:v>149</c:v>
                      </c:pt>
                      <c:pt idx="48">
                        <c:v>161</c:v>
                      </c:pt>
                      <c:pt idx="49">
                        <c:v>180</c:v>
                      </c:pt>
                      <c:pt idx="50">
                        <c:v>463</c:v>
                      </c:pt>
                      <c:pt idx="51">
                        <c:v>340</c:v>
                      </c:pt>
                      <c:pt idx="52">
                        <c:v>336</c:v>
                      </c:pt>
                      <c:pt idx="53">
                        <c:v>396</c:v>
                      </c:pt>
                      <c:pt idx="54">
                        <c:v>334</c:v>
                      </c:pt>
                      <c:pt idx="55">
                        <c:v>362</c:v>
                      </c:pt>
                      <c:pt idx="56">
                        <c:v>336</c:v>
                      </c:pt>
                      <c:pt idx="57">
                        <c:v>395</c:v>
                      </c:pt>
                      <c:pt idx="58">
                        <c:v>356</c:v>
                      </c:pt>
                      <c:pt idx="59">
                        <c:v>381</c:v>
                      </c:pt>
                      <c:pt idx="60">
                        <c:v>131</c:v>
                      </c:pt>
                      <c:pt idx="61">
                        <c:v>193</c:v>
                      </c:pt>
                      <c:pt idx="62">
                        <c:v>397</c:v>
                      </c:pt>
                      <c:pt idx="63">
                        <c:v>386</c:v>
                      </c:pt>
                      <c:pt idx="64">
                        <c:v>468</c:v>
                      </c:pt>
                      <c:pt idx="65">
                        <c:v>379</c:v>
                      </c:pt>
                      <c:pt idx="66">
                        <c:v>392</c:v>
                      </c:pt>
                      <c:pt idx="67">
                        <c:v>350</c:v>
                      </c:pt>
                      <c:pt idx="68">
                        <c:v>379</c:v>
                      </c:pt>
                      <c:pt idx="69">
                        <c:v>342</c:v>
                      </c:pt>
                      <c:pt idx="70">
                        <c:v>432</c:v>
                      </c:pt>
                      <c:pt idx="71">
                        <c:v>353</c:v>
                      </c:pt>
                      <c:pt idx="72">
                        <c:v>362</c:v>
                      </c:pt>
                      <c:pt idx="73">
                        <c:v>407</c:v>
                      </c:pt>
                      <c:pt idx="74">
                        <c:v>490</c:v>
                      </c:pt>
                      <c:pt idx="75">
                        <c:v>520</c:v>
                      </c:pt>
                      <c:pt idx="76">
                        <c:v>497</c:v>
                      </c:pt>
                      <c:pt idx="77">
                        <c:v>497</c:v>
                      </c:pt>
                      <c:pt idx="78">
                        <c:v>513</c:v>
                      </c:pt>
                      <c:pt idx="79">
                        <c:v>460</c:v>
                      </c:pt>
                      <c:pt idx="80">
                        <c:v>520</c:v>
                      </c:pt>
                      <c:pt idx="81">
                        <c:v>501</c:v>
                      </c:pt>
                      <c:pt idx="82">
                        <c:v>503</c:v>
                      </c:pt>
                      <c:pt idx="83">
                        <c:v>525</c:v>
                      </c:pt>
                      <c:pt idx="84">
                        <c:v>471</c:v>
                      </c:pt>
                      <c:pt idx="85">
                        <c:v>474</c:v>
                      </c:pt>
                      <c:pt idx="86">
                        <c:v>491</c:v>
                      </c:pt>
                      <c:pt idx="87">
                        <c:v>485</c:v>
                      </c:pt>
                      <c:pt idx="88">
                        <c:v>565</c:v>
                      </c:pt>
                      <c:pt idx="89">
                        <c:v>493</c:v>
                      </c:pt>
                      <c:pt idx="90">
                        <c:v>498</c:v>
                      </c:pt>
                      <c:pt idx="91">
                        <c:v>493</c:v>
                      </c:pt>
                      <c:pt idx="92">
                        <c:v>543</c:v>
                      </c:pt>
                      <c:pt idx="93">
                        <c:v>389</c:v>
                      </c:pt>
                      <c:pt idx="94">
                        <c:v>471</c:v>
                      </c:pt>
                      <c:pt idx="95">
                        <c:v>478</c:v>
                      </c:pt>
                      <c:pt idx="96">
                        <c:v>398</c:v>
                      </c:pt>
                      <c:pt idx="97">
                        <c:v>376</c:v>
                      </c:pt>
                      <c:pt idx="98">
                        <c:v>343</c:v>
                      </c:pt>
                      <c:pt idx="99">
                        <c:v>380</c:v>
                      </c:pt>
                      <c:pt idx="100">
                        <c:v>488</c:v>
                      </c:pt>
                      <c:pt idx="101">
                        <c:v>366</c:v>
                      </c:pt>
                      <c:pt idx="102">
                        <c:v>598</c:v>
                      </c:pt>
                      <c:pt idx="103">
                        <c:v>512</c:v>
                      </c:pt>
                      <c:pt idx="104">
                        <c:v>557</c:v>
                      </c:pt>
                      <c:pt idx="105">
                        <c:v>698</c:v>
                      </c:pt>
                      <c:pt idx="106">
                        <c:v>731</c:v>
                      </c:pt>
                      <c:pt idx="107">
                        <c:v>700</c:v>
                      </c:pt>
                      <c:pt idx="108">
                        <c:v>891</c:v>
                      </c:pt>
                      <c:pt idx="109">
                        <c:v>862</c:v>
                      </c:pt>
                      <c:pt idx="110">
                        <c:v>915</c:v>
                      </c:pt>
                      <c:pt idx="111">
                        <c:v>629</c:v>
                      </c:pt>
                      <c:pt idx="112">
                        <c:v>786</c:v>
                      </c:pt>
                      <c:pt idx="113">
                        <c:v>756</c:v>
                      </c:pt>
                      <c:pt idx="114">
                        <c:v>817</c:v>
                      </c:pt>
                      <c:pt idx="115">
                        <c:v>802</c:v>
                      </c:pt>
                      <c:pt idx="116" formatCode="General">
                        <c:v>586</c:v>
                      </c:pt>
                      <c:pt idx="117">
                        <c:v>872</c:v>
                      </c:pt>
                      <c:pt idx="118">
                        <c:v>883</c:v>
                      </c:pt>
                      <c:pt idx="119">
                        <c:v>763</c:v>
                      </c:pt>
                      <c:pt idx="120">
                        <c:v>841</c:v>
                      </c:pt>
                      <c:pt idx="121">
                        <c:v>806</c:v>
                      </c:pt>
                      <c:pt idx="122">
                        <c:v>689</c:v>
                      </c:pt>
                      <c:pt idx="123">
                        <c:v>656</c:v>
                      </c:pt>
                      <c:pt idx="124">
                        <c:v>636</c:v>
                      </c:pt>
                      <c:pt idx="125">
                        <c:v>814</c:v>
                      </c:pt>
                      <c:pt idx="126">
                        <c:v>711</c:v>
                      </c:pt>
                      <c:pt idx="127">
                        <c:v>815</c:v>
                      </c:pt>
                      <c:pt idx="128">
                        <c:v>811</c:v>
                      </c:pt>
                      <c:pt idx="129">
                        <c:v>824</c:v>
                      </c:pt>
                      <c:pt idx="130">
                        <c:v>864</c:v>
                      </c:pt>
                      <c:pt idx="131">
                        <c:v>729</c:v>
                      </c:pt>
                      <c:pt idx="132">
                        <c:v>769</c:v>
                      </c:pt>
                      <c:pt idx="133">
                        <c:v>683</c:v>
                      </c:pt>
                      <c:pt idx="134">
                        <c:v>727</c:v>
                      </c:pt>
                      <c:pt idx="135">
                        <c:v>707</c:v>
                      </c:pt>
                      <c:pt idx="136">
                        <c:v>717</c:v>
                      </c:pt>
                      <c:pt idx="137">
                        <c:v>800</c:v>
                      </c:pt>
                      <c:pt idx="138">
                        <c:v>836</c:v>
                      </c:pt>
                      <c:pt idx="139">
                        <c:v>819</c:v>
                      </c:pt>
                      <c:pt idx="140">
                        <c:v>868</c:v>
                      </c:pt>
                      <c:pt idx="141">
                        <c:v>902</c:v>
                      </c:pt>
                      <c:pt idx="142">
                        <c:v>926</c:v>
                      </c:pt>
                      <c:pt idx="143">
                        <c:v>860</c:v>
                      </c:pt>
                      <c:pt idx="144" formatCode="_(* #,##0_);_(* \(#,##0\);_(* &quot;-&quot;??_);_(@_)">
                        <c:v>840</c:v>
                      </c:pt>
                      <c:pt idx="145">
                        <c:v>828</c:v>
                      </c:pt>
                      <c:pt idx="146">
                        <c:v>1084</c:v>
                      </c:pt>
                      <c:pt idx="147">
                        <c:v>812</c:v>
                      </c:pt>
                      <c:pt idx="148" formatCode="_(* #,##0_);_(* \(#,##0\);_(* &quot;-&quot;??_);_(@_)">
                        <c:v>848</c:v>
                      </c:pt>
                      <c:pt idx="149" formatCode="_(* #,##0_);_(* \(#,##0\);_(* &quot;-&quot;??_);_(@_)">
                        <c:v>1008</c:v>
                      </c:pt>
                      <c:pt idx="150" formatCode="_(* #,##0_);_(* \(#,##0\);_(* &quot;-&quot;??_);_(@_)">
                        <c:v>995</c:v>
                      </c:pt>
                      <c:pt idx="151" formatCode="_(* #,##0_);_(* \(#,##0\);_(* &quot;-&quot;??_);_(@_)">
                        <c:v>1071</c:v>
                      </c:pt>
                      <c:pt idx="152" formatCode="_(* #,##0_);_(* \(#,##0\);_(* &quot;-&quot;??_);_(@_)">
                        <c:v>633</c:v>
                      </c:pt>
                      <c:pt idx="153" formatCode="_(* #,##0_);_(* \(#,##0\);_(* &quot;-&quot;??_);_(@_)">
                        <c:v>594</c:v>
                      </c:pt>
                      <c:pt idx="154" formatCode="_(* #,##0_);_(* \(#,##0\);_(* &quot;-&quot;??_);_(@_)">
                        <c:v>724</c:v>
                      </c:pt>
                      <c:pt idx="155" formatCode="_(* #,##0_);_(* \(#,##0\);_(* &quot;-&quot;??_);_(@_)">
                        <c:v>705</c:v>
                      </c:pt>
                      <c:pt idx="156">
                        <c:v>773</c:v>
                      </c:pt>
                      <c:pt idx="157">
                        <c:v>747</c:v>
                      </c:pt>
                      <c:pt idx="158">
                        <c:v>271</c:v>
                      </c:pt>
                      <c:pt idx="162">
                        <c:v>1</c:v>
                      </c:pt>
                      <c:pt idx="163">
                        <c:v>15</c:v>
                      </c:pt>
                      <c:pt idx="164">
                        <c:v>5</c:v>
                      </c:pt>
                      <c:pt idx="165">
                        <c:v>40</c:v>
                      </c:pt>
                      <c:pt idx="166">
                        <c:v>320</c:v>
                      </c:pt>
                      <c:pt idx="167">
                        <c:v>353</c:v>
                      </c:pt>
                      <c:pt idx="168">
                        <c:v>378</c:v>
                      </c:pt>
                      <c:pt idx="169">
                        <c:v>219</c:v>
                      </c:pt>
                      <c:pt idx="170">
                        <c:v>215</c:v>
                      </c:pt>
                      <c:pt idx="171">
                        <c:v>218</c:v>
                      </c:pt>
                      <c:pt idx="172">
                        <c:v>265</c:v>
                      </c:pt>
                    </c:numCache>
                  </c:numRef>
                </c:val>
                <c:smooth val="0"/>
                <c:extLst xmlns:c15="http://schemas.microsoft.com/office/drawing/2012/chart">
                  <c:ext xmlns:c16="http://schemas.microsoft.com/office/drawing/2014/chart" uri="{C3380CC4-5D6E-409C-BE32-E72D297353CC}">
                    <c16:uniqueId val="{0000000F-9994-4956-9FBA-2410398E6D0E}"/>
                  </c:ext>
                </c:extLst>
              </c15:ser>
            </c15:filteredLineSeries>
            <c15:filteredLineSeries>
              <c15:ser>
                <c:idx val="17"/>
                <c:order val="17"/>
                <c:tx>
                  <c:strRef>
                    <c:extLst xmlns:c15="http://schemas.microsoft.com/office/drawing/2012/chart">
                      <c:ext xmlns:c15="http://schemas.microsoft.com/office/drawing/2012/chart" uri="{02D57815-91ED-43cb-92C2-25804820EDAC}">
                        <c15:formulaRef>
                          <c15:sqref>'Tendencias nacionalidad'!$C$71</c15:sqref>
                        </c15:formulaRef>
                      </c:ext>
                    </c:extLst>
                    <c:strCache>
                      <c:ptCount val="1"/>
                      <c:pt idx="0">
                        <c:v>Suiza</c:v>
                      </c:pt>
                    </c:strCache>
                  </c:strRef>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nacionalidad'!$D$71:$GA$71</c15:sqref>
                        </c15:fullRef>
                        <c15:formulaRef>
                          <c15:sqref>'Tendencias nacionalidad'!$D$71:$FT$71</c15:sqref>
                        </c15:formulaRef>
                      </c:ext>
                    </c:extLst>
                    <c:numCache>
                      <c:formatCode>#,##0</c:formatCode>
                      <c:ptCount val="173"/>
                      <c:pt idx="0">
                        <c:v>364</c:v>
                      </c:pt>
                      <c:pt idx="1">
                        <c:v>398</c:v>
                      </c:pt>
                      <c:pt idx="2">
                        <c:v>362</c:v>
                      </c:pt>
                      <c:pt idx="3">
                        <c:v>333</c:v>
                      </c:pt>
                      <c:pt idx="4">
                        <c:v>305</c:v>
                      </c:pt>
                      <c:pt idx="5">
                        <c:v>347</c:v>
                      </c:pt>
                      <c:pt idx="6">
                        <c:v>748</c:v>
                      </c:pt>
                      <c:pt idx="7">
                        <c:v>334</c:v>
                      </c:pt>
                      <c:pt idx="8">
                        <c:v>478</c:v>
                      </c:pt>
                      <c:pt idx="9">
                        <c:v>546</c:v>
                      </c:pt>
                      <c:pt idx="10">
                        <c:v>492</c:v>
                      </c:pt>
                      <c:pt idx="11">
                        <c:v>429</c:v>
                      </c:pt>
                      <c:pt idx="12">
                        <c:v>442</c:v>
                      </c:pt>
                      <c:pt idx="13">
                        <c:v>593</c:v>
                      </c:pt>
                      <c:pt idx="14">
                        <c:v>475</c:v>
                      </c:pt>
                      <c:pt idx="15">
                        <c:v>378</c:v>
                      </c:pt>
                      <c:pt idx="16">
                        <c:v>364</c:v>
                      </c:pt>
                      <c:pt idx="17">
                        <c:v>401</c:v>
                      </c:pt>
                      <c:pt idx="18">
                        <c:v>795</c:v>
                      </c:pt>
                      <c:pt idx="19">
                        <c:v>418</c:v>
                      </c:pt>
                      <c:pt idx="20">
                        <c:v>410</c:v>
                      </c:pt>
                      <c:pt idx="21">
                        <c:v>462</c:v>
                      </c:pt>
                      <c:pt idx="22">
                        <c:v>547</c:v>
                      </c:pt>
                      <c:pt idx="23">
                        <c:v>450</c:v>
                      </c:pt>
                      <c:pt idx="24">
                        <c:v>472</c:v>
                      </c:pt>
                      <c:pt idx="25">
                        <c:v>324</c:v>
                      </c:pt>
                      <c:pt idx="26">
                        <c:v>379</c:v>
                      </c:pt>
                      <c:pt idx="27">
                        <c:v>343</c:v>
                      </c:pt>
                      <c:pt idx="28">
                        <c:v>385.5</c:v>
                      </c:pt>
                      <c:pt idx="29">
                        <c:v>428</c:v>
                      </c:pt>
                      <c:pt idx="30">
                        <c:v>875</c:v>
                      </c:pt>
                      <c:pt idx="31">
                        <c:v>391</c:v>
                      </c:pt>
                      <c:pt idx="32">
                        <c:v>458</c:v>
                      </c:pt>
                      <c:pt idx="33">
                        <c:v>460</c:v>
                      </c:pt>
                      <c:pt idx="34">
                        <c:v>532</c:v>
                      </c:pt>
                      <c:pt idx="35">
                        <c:v>487</c:v>
                      </c:pt>
                      <c:pt idx="36">
                        <c:v>443</c:v>
                      </c:pt>
                      <c:pt idx="37">
                        <c:v>376</c:v>
                      </c:pt>
                      <c:pt idx="38">
                        <c:v>358</c:v>
                      </c:pt>
                      <c:pt idx="39">
                        <c:v>310</c:v>
                      </c:pt>
                      <c:pt idx="40">
                        <c:v>315</c:v>
                      </c:pt>
                      <c:pt idx="41">
                        <c:v>379</c:v>
                      </c:pt>
                      <c:pt idx="42">
                        <c:v>783</c:v>
                      </c:pt>
                      <c:pt idx="43">
                        <c:v>396</c:v>
                      </c:pt>
                      <c:pt idx="44">
                        <c:v>362</c:v>
                      </c:pt>
                      <c:pt idx="45">
                        <c:v>563</c:v>
                      </c:pt>
                      <c:pt idx="46">
                        <c:v>559</c:v>
                      </c:pt>
                      <c:pt idx="47">
                        <c:v>469</c:v>
                      </c:pt>
                      <c:pt idx="48">
                        <c:v>429</c:v>
                      </c:pt>
                      <c:pt idx="49">
                        <c:v>404</c:v>
                      </c:pt>
                      <c:pt idx="50">
                        <c:v>315</c:v>
                      </c:pt>
                      <c:pt idx="51">
                        <c:v>400</c:v>
                      </c:pt>
                      <c:pt idx="52">
                        <c:v>329</c:v>
                      </c:pt>
                      <c:pt idx="53">
                        <c:v>370</c:v>
                      </c:pt>
                      <c:pt idx="54">
                        <c:v>834</c:v>
                      </c:pt>
                      <c:pt idx="55">
                        <c:v>402</c:v>
                      </c:pt>
                      <c:pt idx="56">
                        <c:v>363</c:v>
                      </c:pt>
                      <c:pt idx="57">
                        <c:v>578</c:v>
                      </c:pt>
                      <c:pt idx="58">
                        <c:v>603</c:v>
                      </c:pt>
                      <c:pt idx="59">
                        <c:v>577</c:v>
                      </c:pt>
                      <c:pt idx="60">
                        <c:v>442</c:v>
                      </c:pt>
                      <c:pt idx="61">
                        <c:v>386</c:v>
                      </c:pt>
                      <c:pt idx="62">
                        <c:v>342</c:v>
                      </c:pt>
                      <c:pt idx="63">
                        <c:v>413</c:v>
                      </c:pt>
                      <c:pt idx="64">
                        <c:v>323</c:v>
                      </c:pt>
                      <c:pt idx="65">
                        <c:v>446</c:v>
                      </c:pt>
                      <c:pt idx="66">
                        <c:v>986</c:v>
                      </c:pt>
                      <c:pt idx="67">
                        <c:v>441</c:v>
                      </c:pt>
                      <c:pt idx="68">
                        <c:v>500</c:v>
                      </c:pt>
                      <c:pt idx="69">
                        <c:v>622</c:v>
                      </c:pt>
                      <c:pt idx="70">
                        <c:v>645</c:v>
                      </c:pt>
                      <c:pt idx="71">
                        <c:v>674</c:v>
                      </c:pt>
                      <c:pt idx="72">
                        <c:v>449</c:v>
                      </c:pt>
                      <c:pt idx="73">
                        <c:v>392</c:v>
                      </c:pt>
                      <c:pt idx="74">
                        <c:v>495</c:v>
                      </c:pt>
                      <c:pt idx="75">
                        <c:v>430</c:v>
                      </c:pt>
                      <c:pt idx="76">
                        <c:v>411</c:v>
                      </c:pt>
                      <c:pt idx="77">
                        <c:v>419</c:v>
                      </c:pt>
                      <c:pt idx="78">
                        <c:v>996</c:v>
                      </c:pt>
                      <c:pt idx="79">
                        <c:v>438</c:v>
                      </c:pt>
                      <c:pt idx="80">
                        <c:v>418</c:v>
                      </c:pt>
                      <c:pt idx="81">
                        <c:v>574</c:v>
                      </c:pt>
                      <c:pt idx="82">
                        <c:v>598</c:v>
                      </c:pt>
                      <c:pt idx="83">
                        <c:v>671</c:v>
                      </c:pt>
                      <c:pt idx="84">
                        <c:v>474</c:v>
                      </c:pt>
                      <c:pt idx="85">
                        <c:v>485</c:v>
                      </c:pt>
                      <c:pt idx="86">
                        <c:v>443</c:v>
                      </c:pt>
                      <c:pt idx="87">
                        <c:v>516</c:v>
                      </c:pt>
                      <c:pt idx="88">
                        <c:v>447</c:v>
                      </c:pt>
                      <c:pt idx="89">
                        <c:v>401</c:v>
                      </c:pt>
                      <c:pt idx="90">
                        <c:v>1000</c:v>
                      </c:pt>
                      <c:pt idx="91">
                        <c:v>403</c:v>
                      </c:pt>
                      <c:pt idx="92">
                        <c:v>432</c:v>
                      </c:pt>
                      <c:pt idx="93">
                        <c:v>612</c:v>
                      </c:pt>
                      <c:pt idx="94">
                        <c:v>615</c:v>
                      </c:pt>
                      <c:pt idx="95">
                        <c:v>638</c:v>
                      </c:pt>
                      <c:pt idx="96">
                        <c:v>514</c:v>
                      </c:pt>
                      <c:pt idx="97">
                        <c:v>443</c:v>
                      </c:pt>
                      <c:pt idx="98">
                        <c:v>472</c:v>
                      </c:pt>
                      <c:pt idx="99">
                        <c:v>513</c:v>
                      </c:pt>
                      <c:pt idx="100">
                        <c:v>444</c:v>
                      </c:pt>
                      <c:pt idx="101">
                        <c:v>445</c:v>
                      </c:pt>
                      <c:pt idx="102">
                        <c:v>1074</c:v>
                      </c:pt>
                      <c:pt idx="103">
                        <c:v>403</c:v>
                      </c:pt>
                      <c:pt idx="104">
                        <c:v>441</c:v>
                      </c:pt>
                      <c:pt idx="105">
                        <c:v>599</c:v>
                      </c:pt>
                      <c:pt idx="106">
                        <c:v>582</c:v>
                      </c:pt>
                      <c:pt idx="107">
                        <c:v>596</c:v>
                      </c:pt>
                      <c:pt idx="108">
                        <c:v>566</c:v>
                      </c:pt>
                      <c:pt idx="109">
                        <c:v>575</c:v>
                      </c:pt>
                      <c:pt idx="110">
                        <c:v>533</c:v>
                      </c:pt>
                      <c:pt idx="111">
                        <c:v>489</c:v>
                      </c:pt>
                      <c:pt idx="112">
                        <c:v>387</c:v>
                      </c:pt>
                      <c:pt idx="113">
                        <c:v>383</c:v>
                      </c:pt>
                      <c:pt idx="114">
                        <c:v>1133</c:v>
                      </c:pt>
                      <c:pt idx="115">
                        <c:v>480</c:v>
                      </c:pt>
                      <c:pt idx="116" formatCode="General">
                        <c:v>403</c:v>
                      </c:pt>
                      <c:pt idx="117">
                        <c:v>692</c:v>
                      </c:pt>
                      <c:pt idx="118">
                        <c:v>501</c:v>
                      </c:pt>
                      <c:pt idx="119">
                        <c:v>545</c:v>
                      </c:pt>
                      <c:pt idx="120">
                        <c:v>510</c:v>
                      </c:pt>
                      <c:pt idx="121">
                        <c:v>457</c:v>
                      </c:pt>
                      <c:pt idx="122">
                        <c:v>436</c:v>
                      </c:pt>
                      <c:pt idx="123">
                        <c:v>611</c:v>
                      </c:pt>
                      <c:pt idx="124">
                        <c:v>335</c:v>
                      </c:pt>
                      <c:pt idx="125">
                        <c:v>452</c:v>
                      </c:pt>
                      <c:pt idx="126">
                        <c:v>981</c:v>
                      </c:pt>
                      <c:pt idx="127">
                        <c:v>427</c:v>
                      </c:pt>
                      <c:pt idx="128">
                        <c:v>447</c:v>
                      </c:pt>
                      <c:pt idx="129">
                        <c:v>575</c:v>
                      </c:pt>
                      <c:pt idx="130">
                        <c:v>478</c:v>
                      </c:pt>
                      <c:pt idx="131">
                        <c:v>579</c:v>
                      </c:pt>
                      <c:pt idx="132">
                        <c:v>507</c:v>
                      </c:pt>
                      <c:pt idx="133">
                        <c:v>534</c:v>
                      </c:pt>
                      <c:pt idx="134">
                        <c:v>515</c:v>
                      </c:pt>
                      <c:pt idx="135">
                        <c:v>487</c:v>
                      </c:pt>
                      <c:pt idx="136">
                        <c:v>373</c:v>
                      </c:pt>
                      <c:pt idx="137">
                        <c:v>437</c:v>
                      </c:pt>
                      <c:pt idx="138">
                        <c:v>1093</c:v>
                      </c:pt>
                      <c:pt idx="139">
                        <c:v>415</c:v>
                      </c:pt>
                      <c:pt idx="140">
                        <c:v>526</c:v>
                      </c:pt>
                      <c:pt idx="141">
                        <c:v>655</c:v>
                      </c:pt>
                      <c:pt idx="142">
                        <c:v>579</c:v>
                      </c:pt>
                      <c:pt idx="143">
                        <c:v>714</c:v>
                      </c:pt>
                      <c:pt idx="144" formatCode="_(* #,##0_);_(* \(#,##0\);_(* &quot;-&quot;??_);_(@_)">
                        <c:v>500</c:v>
                      </c:pt>
                      <c:pt idx="145">
                        <c:v>462</c:v>
                      </c:pt>
                      <c:pt idx="146">
                        <c:v>398</c:v>
                      </c:pt>
                      <c:pt idx="147">
                        <c:v>546</c:v>
                      </c:pt>
                      <c:pt idx="148" formatCode="_(* #,##0_);_(* \(#,##0\);_(* &quot;-&quot;??_);_(@_)">
                        <c:v>441</c:v>
                      </c:pt>
                      <c:pt idx="149" formatCode="_(* #,##0_);_(* \(#,##0\);_(* &quot;-&quot;??_);_(@_)">
                        <c:v>503</c:v>
                      </c:pt>
                      <c:pt idx="150" formatCode="_(* #,##0_);_(* \(#,##0\);_(* &quot;-&quot;??_);_(@_)">
                        <c:v>1198</c:v>
                      </c:pt>
                      <c:pt idx="151" formatCode="_(* #,##0_);_(* \(#,##0\);_(* &quot;-&quot;??_);_(@_)">
                        <c:v>550</c:v>
                      </c:pt>
                      <c:pt idx="152" formatCode="_(* #,##0_);_(* \(#,##0\);_(* &quot;-&quot;??_);_(@_)">
                        <c:v>532</c:v>
                      </c:pt>
                      <c:pt idx="153" formatCode="_(* #,##0_);_(* \(#,##0\);_(* &quot;-&quot;??_);_(@_)">
                        <c:v>538</c:v>
                      </c:pt>
                      <c:pt idx="154" formatCode="_(* #,##0_);_(* \(#,##0\);_(* &quot;-&quot;??_);_(@_)">
                        <c:v>589</c:v>
                      </c:pt>
                      <c:pt idx="155" formatCode="_(* #,##0_);_(* \(#,##0\);_(* &quot;-&quot;??_);_(@_)">
                        <c:v>776</c:v>
                      </c:pt>
                      <c:pt idx="156">
                        <c:v>571</c:v>
                      </c:pt>
                      <c:pt idx="157">
                        <c:v>552</c:v>
                      </c:pt>
                      <c:pt idx="158">
                        <c:v>193</c:v>
                      </c:pt>
                      <c:pt idx="159">
                        <c:v>35</c:v>
                      </c:pt>
                      <c:pt idx="160">
                        <c:v>2</c:v>
                      </c:pt>
                      <c:pt idx="161">
                        <c:v>3</c:v>
                      </c:pt>
                      <c:pt idx="162">
                        <c:v>30</c:v>
                      </c:pt>
                      <c:pt idx="163">
                        <c:v>34</c:v>
                      </c:pt>
                      <c:pt idx="164">
                        <c:v>34</c:v>
                      </c:pt>
                      <c:pt idx="165">
                        <c:v>67</c:v>
                      </c:pt>
                      <c:pt idx="166">
                        <c:v>84</c:v>
                      </c:pt>
                      <c:pt idx="167">
                        <c:v>202</c:v>
                      </c:pt>
                      <c:pt idx="168">
                        <c:v>103</c:v>
                      </c:pt>
                      <c:pt idx="169">
                        <c:v>118</c:v>
                      </c:pt>
                      <c:pt idx="170">
                        <c:v>135</c:v>
                      </c:pt>
                      <c:pt idx="171">
                        <c:v>186</c:v>
                      </c:pt>
                      <c:pt idx="172">
                        <c:v>125</c:v>
                      </c:pt>
                    </c:numCache>
                  </c:numRef>
                </c:val>
                <c:smooth val="0"/>
                <c:extLst xmlns:c15="http://schemas.microsoft.com/office/drawing/2012/chart">
                  <c:ext xmlns:c16="http://schemas.microsoft.com/office/drawing/2014/chart" uri="{C3380CC4-5D6E-409C-BE32-E72D297353CC}">
                    <c16:uniqueId val="{00000011-9994-4956-9FBA-2410398E6D0E}"/>
                  </c:ext>
                </c:extLst>
              </c15:ser>
            </c15:filteredLineSeries>
            <c15:filteredLineSeries>
              <c15:ser>
                <c:idx val="18"/>
                <c:order val="18"/>
                <c:tx>
                  <c:strRef>
                    <c:extLst xmlns:c15="http://schemas.microsoft.com/office/drawing/2012/chart">
                      <c:ext xmlns:c15="http://schemas.microsoft.com/office/drawing/2012/chart" uri="{02D57815-91ED-43cb-92C2-25804820EDAC}">
                        <c15:formulaRef>
                          <c15:sqref>'Tendencias nacionalidad'!$C$72</c15:sqref>
                        </c15:formulaRef>
                      </c:ext>
                    </c:extLst>
                    <c:strCache>
                      <c:ptCount val="1"/>
                      <c:pt idx="0">
                        <c:v>Australia</c:v>
                      </c:pt>
                    </c:strCache>
                  </c:strRef>
                </c:tx>
                <c:spPr>
                  <a:ln w="28575"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nacionalidad'!$D$72:$GA$72</c15:sqref>
                        </c15:fullRef>
                        <c15:formulaRef>
                          <c15:sqref>'Tendencias nacionalidad'!$D$72:$FT$72</c15:sqref>
                        </c15:formulaRef>
                      </c:ext>
                    </c:extLst>
                    <c:numCache>
                      <c:formatCode>#,##0</c:formatCode>
                      <c:ptCount val="173"/>
                      <c:pt idx="0">
                        <c:v>286</c:v>
                      </c:pt>
                      <c:pt idx="1">
                        <c:v>223</c:v>
                      </c:pt>
                      <c:pt idx="2">
                        <c:v>234</c:v>
                      </c:pt>
                      <c:pt idx="3">
                        <c:v>325</c:v>
                      </c:pt>
                      <c:pt idx="4">
                        <c:v>318</c:v>
                      </c:pt>
                      <c:pt idx="5">
                        <c:v>277</c:v>
                      </c:pt>
                      <c:pt idx="6">
                        <c:v>322</c:v>
                      </c:pt>
                      <c:pt idx="7">
                        <c:v>300</c:v>
                      </c:pt>
                      <c:pt idx="8">
                        <c:v>421</c:v>
                      </c:pt>
                      <c:pt idx="9">
                        <c:v>451</c:v>
                      </c:pt>
                      <c:pt idx="10">
                        <c:v>458</c:v>
                      </c:pt>
                      <c:pt idx="11">
                        <c:v>428</c:v>
                      </c:pt>
                      <c:pt idx="12">
                        <c:v>405</c:v>
                      </c:pt>
                      <c:pt idx="13">
                        <c:v>516</c:v>
                      </c:pt>
                      <c:pt idx="14">
                        <c:v>459</c:v>
                      </c:pt>
                      <c:pt idx="15">
                        <c:v>570</c:v>
                      </c:pt>
                      <c:pt idx="16">
                        <c:v>475</c:v>
                      </c:pt>
                      <c:pt idx="17">
                        <c:v>319</c:v>
                      </c:pt>
                      <c:pt idx="18">
                        <c:v>354</c:v>
                      </c:pt>
                      <c:pt idx="19">
                        <c:v>498</c:v>
                      </c:pt>
                      <c:pt idx="20">
                        <c:v>495</c:v>
                      </c:pt>
                      <c:pt idx="21">
                        <c:v>611</c:v>
                      </c:pt>
                      <c:pt idx="22">
                        <c:v>484</c:v>
                      </c:pt>
                      <c:pt idx="23">
                        <c:v>517</c:v>
                      </c:pt>
                      <c:pt idx="24">
                        <c:v>373</c:v>
                      </c:pt>
                      <c:pt idx="25">
                        <c:v>273</c:v>
                      </c:pt>
                      <c:pt idx="26">
                        <c:v>366</c:v>
                      </c:pt>
                      <c:pt idx="27">
                        <c:v>426</c:v>
                      </c:pt>
                      <c:pt idx="28">
                        <c:v>404</c:v>
                      </c:pt>
                      <c:pt idx="29">
                        <c:v>382</c:v>
                      </c:pt>
                      <c:pt idx="30">
                        <c:v>369</c:v>
                      </c:pt>
                      <c:pt idx="31">
                        <c:v>469</c:v>
                      </c:pt>
                      <c:pt idx="32">
                        <c:v>494</c:v>
                      </c:pt>
                      <c:pt idx="33">
                        <c:v>512</c:v>
                      </c:pt>
                      <c:pt idx="34">
                        <c:v>510</c:v>
                      </c:pt>
                      <c:pt idx="35">
                        <c:v>568</c:v>
                      </c:pt>
                      <c:pt idx="36">
                        <c:v>469</c:v>
                      </c:pt>
                      <c:pt idx="37">
                        <c:v>260</c:v>
                      </c:pt>
                      <c:pt idx="38">
                        <c:v>424</c:v>
                      </c:pt>
                      <c:pt idx="39">
                        <c:v>545</c:v>
                      </c:pt>
                      <c:pt idx="40">
                        <c:v>529</c:v>
                      </c:pt>
                      <c:pt idx="41">
                        <c:v>447</c:v>
                      </c:pt>
                      <c:pt idx="42">
                        <c:v>422</c:v>
                      </c:pt>
                      <c:pt idx="43">
                        <c:v>436</c:v>
                      </c:pt>
                      <c:pt idx="44">
                        <c:v>464</c:v>
                      </c:pt>
                      <c:pt idx="45">
                        <c:v>558</c:v>
                      </c:pt>
                      <c:pt idx="46">
                        <c:v>513</c:v>
                      </c:pt>
                      <c:pt idx="47">
                        <c:v>529</c:v>
                      </c:pt>
                      <c:pt idx="48">
                        <c:v>503</c:v>
                      </c:pt>
                      <c:pt idx="49">
                        <c:v>295</c:v>
                      </c:pt>
                      <c:pt idx="50">
                        <c:v>499</c:v>
                      </c:pt>
                      <c:pt idx="51">
                        <c:v>579</c:v>
                      </c:pt>
                      <c:pt idx="52">
                        <c:v>572</c:v>
                      </c:pt>
                      <c:pt idx="53">
                        <c:v>431</c:v>
                      </c:pt>
                      <c:pt idx="54">
                        <c:v>461</c:v>
                      </c:pt>
                      <c:pt idx="55">
                        <c:v>457</c:v>
                      </c:pt>
                      <c:pt idx="56">
                        <c:v>507</c:v>
                      </c:pt>
                      <c:pt idx="57">
                        <c:v>654</c:v>
                      </c:pt>
                      <c:pt idx="58">
                        <c:v>660</c:v>
                      </c:pt>
                      <c:pt idx="59">
                        <c:v>629</c:v>
                      </c:pt>
                      <c:pt idx="60">
                        <c:v>536</c:v>
                      </c:pt>
                      <c:pt idx="61">
                        <c:v>420</c:v>
                      </c:pt>
                      <c:pt idx="62">
                        <c:v>480</c:v>
                      </c:pt>
                      <c:pt idx="63">
                        <c:v>593</c:v>
                      </c:pt>
                      <c:pt idx="64">
                        <c:v>610</c:v>
                      </c:pt>
                      <c:pt idx="65">
                        <c:v>556</c:v>
                      </c:pt>
                      <c:pt idx="66">
                        <c:v>521</c:v>
                      </c:pt>
                      <c:pt idx="67">
                        <c:v>484</c:v>
                      </c:pt>
                      <c:pt idx="68">
                        <c:v>574</c:v>
                      </c:pt>
                      <c:pt idx="69">
                        <c:v>718</c:v>
                      </c:pt>
                      <c:pt idx="70">
                        <c:v>763</c:v>
                      </c:pt>
                      <c:pt idx="71">
                        <c:v>706</c:v>
                      </c:pt>
                      <c:pt idx="72">
                        <c:v>565</c:v>
                      </c:pt>
                      <c:pt idx="73">
                        <c:v>412</c:v>
                      </c:pt>
                      <c:pt idx="74">
                        <c:v>599</c:v>
                      </c:pt>
                      <c:pt idx="75">
                        <c:v>660</c:v>
                      </c:pt>
                      <c:pt idx="76">
                        <c:v>613</c:v>
                      </c:pt>
                      <c:pt idx="77">
                        <c:v>626</c:v>
                      </c:pt>
                      <c:pt idx="78">
                        <c:v>532</c:v>
                      </c:pt>
                      <c:pt idx="79">
                        <c:v>589</c:v>
                      </c:pt>
                      <c:pt idx="80">
                        <c:v>750</c:v>
                      </c:pt>
                      <c:pt idx="81">
                        <c:v>677</c:v>
                      </c:pt>
                      <c:pt idx="82">
                        <c:v>706</c:v>
                      </c:pt>
                      <c:pt idx="83">
                        <c:v>603</c:v>
                      </c:pt>
                      <c:pt idx="84">
                        <c:v>557</c:v>
                      </c:pt>
                      <c:pt idx="85">
                        <c:v>399</c:v>
                      </c:pt>
                      <c:pt idx="86">
                        <c:v>522</c:v>
                      </c:pt>
                      <c:pt idx="87">
                        <c:v>690</c:v>
                      </c:pt>
                      <c:pt idx="88">
                        <c:v>757</c:v>
                      </c:pt>
                      <c:pt idx="89">
                        <c:v>705</c:v>
                      </c:pt>
                      <c:pt idx="90">
                        <c:v>631</c:v>
                      </c:pt>
                      <c:pt idx="91">
                        <c:v>767</c:v>
                      </c:pt>
                      <c:pt idx="92">
                        <c:v>753</c:v>
                      </c:pt>
                      <c:pt idx="93">
                        <c:v>725</c:v>
                      </c:pt>
                      <c:pt idx="94">
                        <c:v>711</c:v>
                      </c:pt>
                      <c:pt idx="95">
                        <c:v>758</c:v>
                      </c:pt>
                      <c:pt idx="96">
                        <c:v>729</c:v>
                      </c:pt>
                      <c:pt idx="97">
                        <c:v>449</c:v>
                      </c:pt>
                      <c:pt idx="98">
                        <c:v>579</c:v>
                      </c:pt>
                      <c:pt idx="99">
                        <c:v>650</c:v>
                      </c:pt>
                      <c:pt idx="100">
                        <c:v>806</c:v>
                      </c:pt>
                      <c:pt idx="101">
                        <c:v>606</c:v>
                      </c:pt>
                      <c:pt idx="102">
                        <c:v>591</c:v>
                      </c:pt>
                      <c:pt idx="103">
                        <c:v>464</c:v>
                      </c:pt>
                      <c:pt idx="104">
                        <c:v>741</c:v>
                      </c:pt>
                      <c:pt idx="105">
                        <c:v>750</c:v>
                      </c:pt>
                      <c:pt idx="106">
                        <c:v>556</c:v>
                      </c:pt>
                      <c:pt idx="107">
                        <c:v>690</c:v>
                      </c:pt>
                      <c:pt idx="108">
                        <c:v>609</c:v>
                      </c:pt>
                      <c:pt idx="109">
                        <c:v>395</c:v>
                      </c:pt>
                      <c:pt idx="110">
                        <c:v>546</c:v>
                      </c:pt>
                      <c:pt idx="111">
                        <c:v>650</c:v>
                      </c:pt>
                      <c:pt idx="112">
                        <c:v>636</c:v>
                      </c:pt>
                      <c:pt idx="113">
                        <c:v>511</c:v>
                      </c:pt>
                      <c:pt idx="114">
                        <c:v>541</c:v>
                      </c:pt>
                      <c:pt idx="115">
                        <c:v>566</c:v>
                      </c:pt>
                      <c:pt idx="116" formatCode="General">
                        <c:v>611</c:v>
                      </c:pt>
                      <c:pt idx="117">
                        <c:v>811</c:v>
                      </c:pt>
                      <c:pt idx="118">
                        <c:v>600</c:v>
                      </c:pt>
                      <c:pt idx="119">
                        <c:v>536</c:v>
                      </c:pt>
                      <c:pt idx="120">
                        <c:v>502</c:v>
                      </c:pt>
                      <c:pt idx="121">
                        <c:v>379</c:v>
                      </c:pt>
                      <c:pt idx="122">
                        <c:v>480</c:v>
                      </c:pt>
                      <c:pt idx="123">
                        <c:v>624</c:v>
                      </c:pt>
                      <c:pt idx="124">
                        <c:v>603</c:v>
                      </c:pt>
                      <c:pt idx="125">
                        <c:v>484</c:v>
                      </c:pt>
                      <c:pt idx="126">
                        <c:v>514</c:v>
                      </c:pt>
                      <c:pt idx="127">
                        <c:v>473</c:v>
                      </c:pt>
                      <c:pt idx="128">
                        <c:v>733</c:v>
                      </c:pt>
                      <c:pt idx="129">
                        <c:v>686</c:v>
                      </c:pt>
                      <c:pt idx="130">
                        <c:v>593</c:v>
                      </c:pt>
                      <c:pt idx="131">
                        <c:v>569</c:v>
                      </c:pt>
                      <c:pt idx="132">
                        <c:v>523</c:v>
                      </c:pt>
                      <c:pt idx="133">
                        <c:v>452</c:v>
                      </c:pt>
                      <c:pt idx="134">
                        <c:v>441</c:v>
                      </c:pt>
                      <c:pt idx="135">
                        <c:v>586</c:v>
                      </c:pt>
                      <c:pt idx="136">
                        <c:v>641</c:v>
                      </c:pt>
                      <c:pt idx="137">
                        <c:v>594</c:v>
                      </c:pt>
                      <c:pt idx="138">
                        <c:v>593</c:v>
                      </c:pt>
                      <c:pt idx="139">
                        <c:v>523</c:v>
                      </c:pt>
                      <c:pt idx="140">
                        <c:v>644</c:v>
                      </c:pt>
                      <c:pt idx="141">
                        <c:v>673</c:v>
                      </c:pt>
                      <c:pt idx="142">
                        <c:v>567</c:v>
                      </c:pt>
                      <c:pt idx="143">
                        <c:v>592</c:v>
                      </c:pt>
                      <c:pt idx="144" formatCode="_(* #,##0_);_(* \(#,##0\);_(* &quot;-&quot;??_);_(@_)">
                        <c:v>571</c:v>
                      </c:pt>
                      <c:pt idx="145">
                        <c:v>364</c:v>
                      </c:pt>
                      <c:pt idx="146">
                        <c:v>471</c:v>
                      </c:pt>
                      <c:pt idx="147">
                        <c:v>623</c:v>
                      </c:pt>
                      <c:pt idx="148" formatCode="_(* #,##0_);_(* \(#,##0\);_(* &quot;-&quot;??_);_(@_)">
                        <c:v>642</c:v>
                      </c:pt>
                      <c:pt idx="149" formatCode="_(* #,##0_);_(* \(#,##0\);_(* &quot;-&quot;??_);_(@_)">
                        <c:v>533</c:v>
                      </c:pt>
                      <c:pt idx="150" formatCode="_(* #,##0_);_(* \(#,##0\);_(* &quot;-&quot;??_);_(@_)">
                        <c:v>547</c:v>
                      </c:pt>
                      <c:pt idx="151" formatCode="_(* #,##0_);_(* \(#,##0\);_(* &quot;-&quot;??_);_(@_)">
                        <c:v>544</c:v>
                      </c:pt>
                      <c:pt idx="152" formatCode="_(* #,##0_);_(* \(#,##0\);_(* &quot;-&quot;??_);_(@_)">
                        <c:v>664</c:v>
                      </c:pt>
                      <c:pt idx="153" formatCode="_(* #,##0_);_(* \(#,##0\);_(* &quot;-&quot;??_);_(@_)">
                        <c:v>547</c:v>
                      </c:pt>
                      <c:pt idx="154" formatCode="_(* #,##0_);_(* \(#,##0\);_(* &quot;-&quot;??_);_(@_)">
                        <c:v>572</c:v>
                      </c:pt>
                      <c:pt idx="155" formatCode="_(* #,##0_);_(* \(#,##0\);_(* &quot;-&quot;??_);_(@_)">
                        <c:v>604</c:v>
                      </c:pt>
                      <c:pt idx="156">
                        <c:v>647</c:v>
                      </c:pt>
                      <c:pt idx="157">
                        <c:v>431</c:v>
                      </c:pt>
                      <c:pt idx="158">
                        <c:v>182</c:v>
                      </c:pt>
                      <c:pt idx="159">
                        <c:v>2</c:v>
                      </c:pt>
                      <c:pt idx="160">
                        <c:v>4</c:v>
                      </c:pt>
                      <c:pt idx="161">
                        <c:v>5</c:v>
                      </c:pt>
                      <c:pt idx="162">
                        <c:v>7</c:v>
                      </c:pt>
                      <c:pt idx="163">
                        <c:v>5</c:v>
                      </c:pt>
                      <c:pt idx="164">
                        <c:v>7</c:v>
                      </c:pt>
                      <c:pt idx="165">
                        <c:v>13</c:v>
                      </c:pt>
                      <c:pt idx="166">
                        <c:v>30</c:v>
                      </c:pt>
                      <c:pt idx="167">
                        <c:v>13</c:v>
                      </c:pt>
                      <c:pt idx="168">
                        <c:v>13</c:v>
                      </c:pt>
                      <c:pt idx="169">
                        <c:v>4</c:v>
                      </c:pt>
                      <c:pt idx="170">
                        <c:v>13</c:v>
                      </c:pt>
                      <c:pt idx="171">
                        <c:v>17</c:v>
                      </c:pt>
                      <c:pt idx="172">
                        <c:v>13</c:v>
                      </c:pt>
                    </c:numCache>
                  </c:numRef>
                </c:val>
                <c:smooth val="0"/>
                <c:extLst xmlns:c15="http://schemas.microsoft.com/office/drawing/2012/chart">
                  <c:ext xmlns:c16="http://schemas.microsoft.com/office/drawing/2014/chart" uri="{C3380CC4-5D6E-409C-BE32-E72D297353CC}">
                    <c16:uniqueId val="{00000012-9994-4956-9FBA-2410398E6D0E}"/>
                  </c:ext>
                </c:extLst>
              </c15:ser>
            </c15:filteredLineSeries>
            <c15:filteredLineSeries>
              <c15:ser>
                <c:idx val="19"/>
                <c:order val="19"/>
                <c:tx>
                  <c:strRef>
                    <c:extLst xmlns:c15="http://schemas.microsoft.com/office/drawing/2012/chart">
                      <c:ext xmlns:c15="http://schemas.microsoft.com/office/drawing/2012/chart" uri="{02D57815-91ED-43cb-92C2-25804820EDAC}">
                        <c15:formulaRef>
                          <c15:sqref>'Tendencias nacionalidad'!$C$73</c15:sqref>
                        </c15:formulaRef>
                      </c:ext>
                    </c:extLst>
                    <c:strCache>
                      <c:ptCount val="1"/>
                      <c:pt idx="0">
                        <c:v>Costa Rica</c:v>
                      </c:pt>
                    </c:strCache>
                  </c:strRef>
                </c:tx>
                <c:spPr>
                  <a:ln w="28575"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nacionalidad'!$D$73:$GA$73</c15:sqref>
                        </c15:fullRef>
                        <c15:formulaRef>
                          <c15:sqref>'Tendencias nacionalidad'!$D$73:$FT$73</c15:sqref>
                        </c15:formulaRef>
                      </c:ext>
                    </c:extLst>
                    <c:numCache>
                      <c:formatCode>#,##0</c:formatCode>
                      <c:ptCount val="173"/>
                      <c:pt idx="0">
                        <c:v>113</c:v>
                      </c:pt>
                      <c:pt idx="1">
                        <c:v>80</c:v>
                      </c:pt>
                      <c:pt idx="2">
                        <c:v>131</c:v>
                      </c:pt>
                      <c:pt idx="3">
                        <c:v>89</c:v>
                      </c:pt>
                      <c:pt idx="4">
                        <c:v>83</c:v>
                      </c:pt>
                      <c:pt idx="5">
                        <c:v>111</c:v>
                      </c:pt>
                      <c:pt idx="6">
                        <c:v>125</c:v>
                      </c:pt>
                      <c:pt idx="7">
                        <c:v>125</c:v>
                      </c:pt>
                      <c:pt idx="8">
                        <c:v>216</c:v>
                      </c:pt>
                      <c:pt idx="9">
                        <c:v>145</c:v>
                      </c:pt>
                      <c:pt idx="10">
                        <c:v>163</c:v>
                      </c:pt>
                      <c:pt idx="11">
                        <c:v>118</c:v>
                      </c:pt>
                      <c:pt idx="12">
                        <c:v>101</c:v>
                      </c:pt>
                      <c:pt idx="13">
                        <c:v>137</c:v>
                      </c:pt>
                      <c:pt idx="14">
                        <c:v>136</c:v>
                      </c:pt>
                      <c:pt idx="15">
                        <c:v>129</c:v>
                      </c:pt>
                      <c:pt idx="16">
                        <c:v>159</c:v>
                      </c:pt>
                      <c:pt idx="17">
                        <c:v>162</c:v>
                      </c:pt>
                      <c:pt idx="18">
                        <c:v>179</c:v>
                      </c:pt>
                      <c:pt idx="19">
                        <c:v>205</c:v>
                      </c:pt>
                      <c:pt idx="20">
                        <c:v>213</c:v>
                      </c:pt>
                      <c:pt idx="21">
                        <c:v>255</c:v>
                      </c:pt>
                      <c:pt idx="22">
                        <c:v>461</c:v>
                      </c:pt>
                      <c:pt idx="23">
                        <c:v>158</c:v>
                      </c:pt>
                      <c:pt idx="24">
                        <c:v>143</c:v>
                      </c:pt>
                      <c:pt idx="25">
                        <c:v>169</c:v>
                      </c:pt>
                      <c:pt idx="26">
                        <c:v>150</c:v>
                      </c:pt>
                      <c:pt idx="27">
                        <c:v>150</c:v>
                      </c:pt>
                      <c:pt idx="28">
                        <c:v>149</c:v>
                      </c:pt>
                      <c:pt idx="29">
                        <c:v>148</c:v>
                      </c:pt>
                      <c:pt idx="30">
                        <c:v>177</c:v>
                      </c:pt>
                      <c:pt idx="31">
                        <c:v>202</c:v>
                      </c:pt>
                      <c:pt idx="32">
                        <c:v>177</c:v>
                      </c:pt>
                      <c:pt idx="33">
                        <c:v>142</c:v>
                      </c:pt>
                      <c:pt idx="34">
                        <c:v>186</c:v>
                      </c:pt>
                      <c:pt idx="35">
                        <c:v>313</c:v>
                      </c:pt>
                      <c:pt idx="36">
                        <c:v>183</c:v>
                      </c:pt>
                      <c:pt idx="37">
                        <c:v>334</c:v>
                      </c:pt>
                      <c:pt idx="38">
                        <c:v>252</c:v>
                      </c:pt>
                      <c:pt idx="39">
                        <c:v>204</c:v>
                      </c:pt>
                      <c:pt idx="40">
                        <c:v>152</c:v>
                      </c:pt>
                      <c:pt idx="41">
                        <c:v>152</c:v>
                      </c:pt>
                      <c:pt idx="42">
                        <c:v>230</c:v>
                      </c:pt>
                      <c:pt idx="43">
                        <c:v>176</c:v>
                      </c:pt>
                      <c:pt idx="44">
                        <c:v>157</c:v>
                      </c:pt>
                      <c:pt idx="45">
                        <c:v>172</c:v>
                      </c:pt>
                      <c:pt idx="46">
                        <c:v>217</c:v>
                      </c:pt>
                      <c:pt idx="47">
                        <c:v>253</c:v>
                      </c:pt>
                      <c:pt idx="48">
                        <c:v>153</c:v>
                      </c:pt>
                      <c:pt idx="49">
                        <c:v>142</c:v>
                      </c:pt>
                      <c:pt idx="50">
                        <c:v>164</c:v>
                      </c:pt>
                      <c:pt idx="51">
                        <c:v>293</c:v>
                      </c:pt>
                      <c:pt idx="52">
                        <c:v>171</c:v>
                      </c:pt>
                      <c:pt idx="53">
                        <c:v>173</c:v>
                      </c:pt>
                      <c:pt idx="54">
                        <c:v>231</c:v>
                      </c:pt>
                      <c:pt idx="55">
                        <c:v>197</c:v>
                      </c:pt>
                      <c:pt idx="56">
                        <c:v>245</c:v>
                      </c:pt>
                      <c:pt idx="57">
                        <c:v>280</c:v>
                      </c:pt>
                      <c:pt idx="58">
                        <c:v>283</c:v>
                      </c:pt>
                      <c:pt idx="59">
                        <c:v>243</c:v>
                      </c:pt>
                      <c:pt idx="60">
                        <c:v>268</c:v>
                      </c:pt>
                      <c:pt idx="61">
                        <c:v>150</c:v>
                      </c:pt>
                      <c:pt idx="62">
                        <c:v>224</c:v>
                      </c:pt>
                      <c:pt idx="63">
                        <c:v>227</c:v>
                      </c:pt>
                      <c:pt idx="64">
                        <c:v>202</c:v>
                      </c:pt>
                      <c:pt idx="65">
                        <c:v>282</c:v>
                      </c:pt>
                      <c:pt idx="66">
                        <c:v>254</c:v>
                      </c:pt>
                      <c:pt idx="67">
                        <c:v>203</c:v>
                      </c:pt>
                      <c:pt idx="68">
                        <c:v>282</c:v>
                      </c:pt>
                      <c:pt idx="69">
                        <c:v>257</c:v>
                      </c:pt>
                      <c:pt idx="70">
                        <c:v>199</c:v>
                      </c:pt>
                      <c:pt idx="71">
                        <c:v>315</c:v>
                      </c:pt>
                      <c:pt idx="72">
                        <c:v>272</c:v>
                      </c:pt>
                      <c:pt idx="73">
                        <c:v>189</c:v>
                      </c:pt>
                      <c:pt idx="74">
                        <c:v>443</c:v>
                      </c:pt>
                      <c:pt idx="75">
                        <c:v>360</c:v>
                      </c:pt>
                      <c:pt idx="76">
                        <c:v>387</c:v>
                      </c:pt>
                      <c:pt idx="77">
                        <c:v>395</c:v>
                      </c:pt>
                      <c:pt idx="78">
                        <c:v>479</c:v>
                      </c:pt>
                      <c:pt idx="79">
                        <c:v>345</c:v>
                      </c:pt>
                      <c:pt idx="80">
                        <c:v>386</c:v>
                      </c:pt>
                      <c:pt idx="81">
                        <c:v>394</c:v>
                      </c:pt>
                      <c:pt idx="82">
                        <c:v>424</c:v>
                      </c:pt>
                      <c:pt idx="83">
                        <c:v>430</c:v>
                      </c:pt>
                      <c:pt idx="84">
                        <c:v>349</c:v>
                      </c:pt>
                      <c:pt idx="85">
                        <c:v>333</c:v>
                      </c:pt>
                      <c:pt idx="86">
                        <c:v>286</c:v>
                      </c:pt>
                      <c:pt idx="87">
                        <c:v>303</c:v>
                      </c:pt>
                      <c:pt idx="88">
                        <c:v>228</c:v>
                      </c:pt>
                      <c:pt idx="89">
                        <c:v>316</c:v>
                      </c:pt>
                      <c:pt idx="90">
                        <c:v>267</c:v>
                      </c:pt>
                      <c:pt idx="91">
                        <c:v>252</c:v>
                      </c:pt>
                      <c:pt idx="92">
                        <c:v>253</c:v>
                      </c:pt>
                      <c:pt idx="93">
                        <c:v>338</c:v>
                      </c:pt>
                      <c:pt idx="94">
                        <c:v>304</c:v>
                      </c:pt>
                      <c:pt idx="95">
                        <c:v>275</c:v>
                      </c:pt>
                      <c:pt idx="96">
                        <c:v>278</c:v>
                      </c:pt>
                      <c:pt idx="97">
                        <c:v>193</c:v>
                      </c:pt>
                      <c:pt idx="98">
                        <c:v>249</c:v>
                      </c:pt>
                      <c:pt idx="99">
                        <c:v>229</c:v>
                      </c:pt>
                      <c:pt idx="100">
                        <c:v>231</c:v>
                      </c:pt>
                      <c:pt idx="101">
                        <c:v>190</c:v>
                      </c:pt>
                      <c:pt idx="102">
                        <c:v>322</c:v>
                      </c:pt>
                      <c:pt idx="103">
                        <c:v>196</c:v>
                      </c:pt>
                      <c:pt idx="104">
                        <c:v>227</c:v>
                      </c:pt>
                      <c:pt idx="105">
                        <c:v>228</c:v>
                      </c:pt>
                      <c:pt idx="106">
                        <c:v>256</c:v>
                      </c:pt>
                      <c:pt idx="107">
                        <c:v>262</c:v>
                      </c:pt>
                      <c:pt idx="108">
                        <c:v>237</c:v>
                      </c:pt>
                      <c:pt idx="109">
                        <c:v>168</c:v>
                      </c:pt>
                      <c:pt idx="110">
                        <c:v>204</c:v>
                      </c:pt>
                      <c:pt idx="111">
                        <c:v>199</c:v>
                      </c:pt>
                      <c:pt idx="112">
                        <c:v>158</c:v>
                      </c:pt>
                      <c:pt idx="113">
                        <c:v>188</c:v>
                      </c:pt>
                      <c:pt idx="114">
                        <c:v>339</c:v>
                      </c:pt>
                      <c:pt idx="115">
                        <c:v>179</c:v>
                      </c:pt>
                      <c:pt idx="116" formatCode="General">
                        <c:v>191</c:v>
                      </c:pt>
                      <c:pt idx="117">
                        <c:v>315</c:v>
                      </c:pt>
                      <c:pt idx="118">
                        <c:v>275</c:v>
                      </c:pt>
                      <c:pt idx="119">
                        <c:v>226</c:v>
                      </c:pt>
                      <c:pt idx="120">
                        <c:v>390</c:v>
                      </c:pt>
                      <c:pt idx="121">
                        <c:v>471</c:v>
                      </c:pt>
                      <c:pt idx="122">
                        <c:v>444</c:v>
                      </c:pt>
                      <c:pt idx="123">
                        <c:v>759</c:v>
                      </c:pt>
                      <c:pt idx="124">
                        <c:v>521</c:v>
                      </c:pt>
                      <c:pt idx="125">
                        <c:v>439</c:v>
                      </c:pt>
                      <c:pt idx="126">
                        <c:v>488</c:v>
                      </c:pt>
                      <c:pt idx="127">
                        <c:v>356</c:v>
                      </c:pt>
                      <c:pt idx="128">
                        <c:v>426</c:v>
                      </c:pt>
                      <c:pt idx="129">
                        <c:v>447</c:v>
                      </c:pt>
                      <c:pt idx="130">
                        <c:v>495</c:v>
                      </c:pt>
                      <c:pt idx="131">
                        <c:v>605</c:v>
                      </c:pt>
                      <c:pt idx="132">
                        <c:v>506</c:v>
                      </c:pt>
                      <c:pt idx="133">
                        <c:v>426</c:v>
                      </c:pt>
                      <c:pt idx="134">
                        <c:v>456</c:v>
                      </c:pt>
                      <c:pt idx="135">
                        <c:v>390</c:v>
                      </c:pt>
                      <c:pt idx="136">
                        <c:v>427</c:v>
                      </c:pt>
                      <c:pt idx="137">
                        <c:v>471</c:v>
                      </c:pt>
                      <c:pt idx="138">
                        <c:v>587</c:v>
                      </c:pt>
                      <c:pt idx="139">
                        <c:v>397</c:v>
                      </c:pt>
                      <c:pt idx="140">
                        <c:v>461</c:v>
                      </c:pt>
                      <c:pt idx="141">
                        <c:v>502</c:v>
                      </c:pt>
                      <c:pt idx="142">
                        <c:v>499</c:v>
                      </c:pt>
                      <c:pt idx="143">
                        <c:v>531</c:v>
                      </c:pt>
                      <c:pt idx="144" formatCode="_(* #,##0_);_(* \(#,##0\);_(* &quot;-&quot;??_);_(@_)">
                        <c:v>495</c:v>
                      </c:pt>
                      <c:pt idx="145">
                        <c:v>377</c:v>
                      </c:pt>
                      <c:pt idx="146">
                        <c:v>451</c:v>
                      </c:pt>
                      <c:pt idx="147">
                        <c:v>422</c:v>
                      </c:pt>
                      <c:pt idx="148" formatCode="_(* #,##0_);_(* \(#,##0\);_(* &quot;-&quot;??_);_(@_)">
                        <c:v>387</c:v>
                      </c:pt>
                      <c:pt idx="149" formatCode="_(* #,##0_);_(* \(#,##0\);_(* &quot;-&quot;??_);_(@_)">
                        <c:v>474</c:v>
                      </c:pt>
                      <c:pt idx="150" formatCode="_(* #,##0_);_(* \(#,##0\);_(* &quot;-&quot;??_);_(@_)">
                        <c:v>548</c:v>
                      </c:pt>
                      <c:pt idx="151" formatCode="_(* #,##0_);_(* \(#,##0\);_(* &quot;-&quot;??_);_(@_)">
                        <c:v>402</c:v>
                      </c:pt>
                      <c:pt idx="152" formatCode="_(* #,##0_);_(* \(#,##0\);_(* &quot;-&quot;??_);_(@_)">
                        <c:v>511</c:v>
                      </c:pt>
                      <c:pt idx="153" formatCode="_(* #,##0_);_(* \(#,##0\);_(* &quot;-&quot;??_);_(@_)">
                        <c:v>346</c:v>
                      </c:pt>
                      <c:pt idx="154" formatCode="_(* #,##0_);_(* \(#,##0\);_(* &quot;-&quot;??_);_(@_)">
                        <c:v>543</c:v>
                      </c:pt>
                      <c:pt idx="155" formatCode="_(* #,##0_);_(* \(#,##0\);_(* &quot;-&quot;??_);_(@_)">
                        <c:v>517</c:v>
                      </c:pt>
                      <c:pt idx="156">
                        <c:v>505</c:v>
                      </c:pt>
                      <c:pt idx="157">
                        <c:v>402</c:v>
                      </c:pt>
                      <c:pt idx="158">
                        <c:v>207</c:v>
                      </c:pt>
                      <c:pt idx="160">
                        <c:v>1</c:v>
                      </c:pt>
                      <c:pt idx="161">
                        <c:v>2</c:v>
                      </c:pt>
                      <c:pt idx="162">
                        <c:v>1</c:v>
                      </c:pt>
                      <c:pt idx="163">
                        <c:v>5</c:v>
                      </c:pt>
                      <c:pt idx="164">
                        <c:v>3</c:v>
                      </c:pt>
                      <c:pt idx="165">
                        <c:v>9</c:v>
                      </c:pt>
                      <c:pt idx="166">
                        <c:v>56</c:v>
                      </c:pt>
                      <c:pt idx="167">
                        <c:v>61</c:v>
                      </c:pt>
                      <c:pt idx="168">
                        <c:v>44</c:v>
                      </c:pt>
                      <c:pt idx="169">
                        <c:v>33</c:v>
                      </c:pt>
                      <c:pt idx="170">
                        <c:v>81</c:v>
                      </c:pt>
                      <c:pt idx="171">
                        <c:v>34</c:v>
                      </c:pt>
                      <c:pt idx="172">
                        <c:v>41</c:v>
                      </c:pt>
                    </c:numCache>
                  </c:numRef>
                </c:val>
                <c:smooth val="0"/>
                <c:extLst xmlns:c15="http://schemas.microsoft.com/office/drawing/2012/chart">
                  <c:ext xmlns:c16="http://schemas.microsoft.com/office/drawing/2014/chart" uri="{C3380CC4-5D6E-409C-BE32-E72D297353CC}">
                    <c16:uniqueId val="{00000013-9994-4956-9FBA-2410398E6D0E}"/>
                  </c:ext>
                </c:extLst>
              </c15:ser>
            </c15:filteredLineSeries>
            <c15:filteredLineSeries>
              <c15:ser>
                <c:idx val="20"/>
                <c:order val="20"/>
                <c:tx>
                  <c:strRef>
                    <c:extLst xmlns:c15="http://schemas.microsoft.com/office/drawing/2012/chart">
                      <c:ext xmlns:c15="http://schemas.microsoft.com/office/drawing/2012/chart" uri="{02D57815-91ED-43cb-92C2-25804820EDAC}">
                        <c15:formulaRef>
                          <c15:sqref>'Tendencias nacionalidad'!$C$74</c15:sqref>
                        </c15:formulaRef>
                      </c:ext>
                    </c:extLst>
                    <c:strCache>
                      <c:ptCount val="1"/>
                      <c:pt idx="0">
                        <c:v>Bélgica</c:v>
                      </c:pt>
                    </c:strCache>
                  </c:strRef>
                </c:tx>
                <c:spPr>
                  <a:ln w="28575"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nacionalidad'!$D$74:$GA$74</c15:sqref>
                        </c15:fullRef>
                        <c15:formulaRef>
                          <c15:sqref>'Tendencias nacionalidad'!$D$74:$FT$74</c15:sqref>
                        </c15:formulaRef>
                      </c:ext>
                    </c:extLst>
                    <c:numCache>
                      <c:formatCode>#,##0</c:formatCode>
                      <c:ptCount val="173"/>
                      <c:pt idx="0">
                        <c:v>191</c:v>
                      </c:pt>
                      <c:pt idx="1">
                        <c:v>147</c:v>
                      </c:pt>
                      <c:pt idx="2">
                        <c:v>184</c:v>
                      </c:pt>
                      <c:pt idx="3">
                        <c:v>164</c:v>
                      </c:pt>
                      <c:pt idx="4">
                        <c:v>171</c:v>
                      </c:pt>
                      <c:pt idx="5">
                        <c:v>315</c:v>
                      </c:pt>
                      <c:pt idx="6">
                        <c:v>438</c:v>
                      </c:pt>
                      <c:pt idx="7">
                        <c:v>326</c:v>
                      </c:pt>
                      <c:pt idx="8">
                        <c:v>276</c:v>
                      </c:pt>
                      <c:pt idx="9">
                        <c:v>312</c:v>
                      </c:pt>
                      <c:pt idx="10">
                        <c:v>240</c:v>
                      </c:pt>
                      <c:pt idx="11">
                        <c:v>141</c:v>
                      </c:pt>
                      <c:pt idx="12">
                        <c:v>227</c:v>
                      </c:pt>
                      <c:pt idx="13">
                        <c:v>309</c:v>
                      </c:pt>
                      <c:pt idx="14">
                        <c:v>244</c:v>
                      </c:pt>
                      <c:pt idx="15">
                        <c:v>211</c:v>
                      </c:pt>
                      <c:pt idx="16">
                        <c:v>218</c:v>
                      </c:pt>
                      <c:pt idx="17">
                        <c:v>331</c:v>
                      </c:pt>
                      <c:pt idx="18">
                        <c:v>626</c:v>
                      </c:pt>
                      <c:pt idx="19">
                        <c:v>308</c:v>
                      </c:pt>
                      <c:pt idx="20">
                        <c:v>265</c:v>
                      </c:pt>
                      <c:pt idx="21">
                        <c:v>268</c:v>
                      </c:pt>
                      <c:pt idx="22">
                        <c:v>267</c:v>
                      </c:pt>
                      <c:pt idx="23">
                        <c:v>167</c:v>
                      </c:pt>
                      <c:pt idx="24">
                        <c:v>197</c:v>
                      </c:pt>
                      <c:pt idx="25">
                        <c:v>192</c:v>
                      </c:pt>
                      <c:pt idx="26">
                        <c:v>173</c:v>
                      </c:pt>
                      <c:pt idx="27">
                        <c:v>357</c:v>
                      </c:pt>
                      <c:pt idx="28">
                        <c:v>355</c:v>
                      </c:pt>
                      <c:pt idx="29">
                        <c:v>353</c:v>
                      </c:pt>
                      <c:pt idx="30">
                        <c:v>540</c:v>
                      </c:pt>
                      <c:pt idx="31">
                        <c:v>350</c:v>
                      </c:pt>
                      <c:pt idx="32">
                        <c:v>282</c:v>
                      </c:pt>
                      <c:pt idx="33">
                        <c:v>316</c:v>
                      </c:pt>
                      <c:pt idx="34">
                        <c:v>221</c:v>
                      </c:pt>
                      <c:pt idx="35">
                        <c:v>212</c:v>
                      </c:pt>
                      <c:pt idx="36">
                        <c:v>233</c:v>
                      </c:pt>
                      <c:pt idx="37">
                        <c:v>194</c:v>
                      </c:pt>
                      <c:pt idx="38">
                        <c:v>155</c:v>
                      </c:pt>
                      <c:pt idx="39">
                        <c:v>196</c:v>
                      </c:pt>
                      <c:pt idx="40">
                        <c:v>171</c:v>
                      </c:pt>
                      <c:pt idx="41">
                        <c:v>316</c:v>
                      </c:pt>
                      <c:pt idx="42">
                        <c:v>607</c:v>
                      </c:pt>
                      <c:pt idx="43">
                        <c:v>289</c:v>
                      </c:pt>
                      <c:pt idx="44">
                        <c:v>282</c:v>
                      </c:pt>
                      <c:pt idx="45">
                        <c:v>216</c:v>
                      </c:pt>
                      <c:pt idx="46">
                        <c:v>267</c:v>
                      </c:pt>
                      <c:pt idx="47">
                        <c:v>190</c:v>
                      </c:pt>
                      <c:pt idx="48">
                        <c:v>184</c:v>
                      </c:pt>
                      <c:pt idx="49">
                        <c:v>211</c:v>
                      </c:pt>
                      <c:pt idx="50">
                        <c:v>169</c:v>
                      </c:pt>
                      <c:pt idx="51">
                        <c:v>205</c:v>
                      </c:pt>
                      <c:pt idx="52">
                        <c:v>200</c:v>
                      </c:pt>
                      <c:pt idx="53">
                        <c:v>313</c:v>
                      </c:pt>
                      <c:pt idx="54">
                        <c:v>620</c:v>
                      </c:pt>
                      <c:pt idx="55">
                        <c:v>258</c:v>
                      </c:pt>
                      <c:pt idx="56">
                        <c:v>275</c:v>
                      </c:pt>
                      <c:pt idx="57">
                        <c:v>302</c:v>
                      </c:pt>
                      <c:pt idx="58">
                        <c:v>305</c:v>
                      </c:pt>
                      <c:pt idx="59">
                        <c:v>214</c:v>
                      </c:pt>
                      <c:pt idx="60">
                        <c:v>196</c:v>
                      </c:pt>
                      <c:pt idx="61">
                        <c:v>218</c:v>
                      </c:pt>
                      <c:pt idx="62">
                        <c:v>222</c:v>
                      </c:pt>
                      <c:pt idx="63">
                        <c:v>155</c:v>
                      </c:pt>
                      <c:pt idx="64">
                        <c:v>206</c:v>
                      </c:pt>
                      <c:pt idx="65">
                        <c:v>450</c:v>
                      </c:pt>
                      <c:pt idx="66">
                        <c:v>575</c:v>
                      </c:pt>
                      <c:pt idx="67">
                        <c:v>291</c:v>
                      </c:pt>
                      <c:pt idx="68">
                        <c:v>229</c:v>
                      </c:pt>
                      <c:pt idx="69">
                        <c:v>271</c:v>
                      </c:pt>
                      <c:pt idx="70">
                        <c:v>261</c:v>
                      </c:pt>
                      <c:pt idx="71">
                        <c:v>255</c:v>
                      </c:pt>
                      <c:pt idx="72">
                        <c:v>204</c:v>
                      </c:pt>
                      <c:pt idx="73">
                        <c:v>192</c:v>
                      </c:pt>
                      <c:pt idx="74">
                        <c:v>280</c:v>
                      </c:pt>
                      <c:pt idx="75">
                        <c:v>160</c:v>
                      </c:pt>
                      <c:pt idx="76">
                        <c:v>223</c:v>
                      </c:pt>
                      <c:pt idx="77">
                        <c:v>404</c:v>
                      </c:pt>
                      <c:pt idx="78">
                        <c:v>597</c:v>
                      </c:pt>
                      <c:pt idx="79">
                        <c:v>307</c:v>
                      </c:pt>
                      <c:pt idx="80">
                        <c:v>259</c:v>
                      </c:pt>
                      <c:pt idx="81">
                        <c:v>272</c:v>
                      </c:pt>
                      <c:pt idx="82">
                        <c:v>263</c:v>
                      </c:pt>
                      <c:pt idx="83">
                        <c:v>290</c:v>
                      </c:pt>
                      <c:pt idx="84">
                        <c:v>251</c:v>
                      </c:pt>
                      <c:pt idx="85">
                        <c:v>233</c:v>
                      </c:pt>
                      <c:pt idx="86">
                        <c:v>238</c:v>
                      </c:pt>
                      <c:pt idx="87">
                        <c:v>277</c:v>
                      </c:pt>
                      <c:pt idx="88">
                        <c:v>207</c:v>
                      </c:pt>
                      <c:pt idx="89">
                        <c:v>470</c:v>
                      </c:pt>
                      <c:pt idx="90">
                        <c:v>549</c:v>
                      </c:pt>
                      <c:pt idx="91">
                        <c:v>239</c:v>
                      </c:pt>
                      <c:pt idx="92">
                        <c:v>269</c:v>
                      </c:pt>
                      <c:pt idx="93">
                        <c:v>283</c:v>
                      </c:pt>
                      <c:pt idx="94">
                        <c:v>246</c:v>
                      </c:pt>
                      <c:pt idx="95">
                        <c:v>254</c:v>
                      </c:pt>
                      <c:pt idx="96">
                        <c:v>241</c:v>
                      </c:pt>
                      <c:pt idx="97">
                        <c:v>223</c:v>
                      </c:pt>
                      <c:pt idx="98">
                        <c:v>216</c:v>
                      </c:pt>
                      <c:pt idx="99">
                        <c:v>246</c:v>
                      </c:pt>
                      <c:pt idx="100">
                        <c:v>178</c:v>
                      </c:pt>
                      <c:pt idx="101">
                        <c:v>422</c:v>
                      </c:pt>
                      <c:pt idx="102">
                        <c:v>543</c:v>
                      </c:pt>
                      <c:pt idx="103">
                        <c:v>270</c:v>
                      </c:pt>
                      <c:pt idx="104">
                        <c:v>258</c:v>
                      </c:pt>
                      <c:pt idx="105">
                        <c:v>297</c:v>
                      </c:pt>
                      <c:pt idx="106">
                        <c:v>250</c:v>
                      </c:pt>
                      <c:pt idx="107">
                        <c:v>227</c:v>
                      </c:pt>
                      <c:pt idx="108">
                        <c:v>280</c:v>
                      </c:pt>
                      <c:pt idx="109">
                        <c:v>197</c:v>
                      </c:pt>
                      <c:pt idx="110">
                        <c:v>236</c:v>
                      </c:pt>
                      <c:pt idx="111">
                        <c:v>158</c:v>
                      </c:pt>
                      <c:pt idx="112">
                        <c:v>178</c:v>
                      </c:pt>
                      <c:pt idx="113">
                        <c:v>492</c:v>
                      </c:pt>
                      <c:pt idx="114">
                        <c:v>634</c:v>
                      </c:pt>
                      <c:pt idx="115">
                        <c:v>279</c:v>
                      </c:pt>
                      <c:pt idx="116" formatCode="General">
                        <c:v>280</c:v>
                      </c:pt>
                      <c:pt idx="117">
                        <c:v>301</c:v>
                      </c:pt>
                      <c:pt idx="118">
                        <c:v>213</c:v>
                      </c:pt>
                      <c:pt idx="119">
                        <c:v>198</c:v>
                      </c:pt>
                      <c:pt idx="120">
                        <c:v>219</c:v>
                      </c:pt>
                      <c:pt idx="121">
                        <c:v>171</c:v>
                      </c:pt>
                      <c:pt idx="122">
                        <c:v>217</c:v>
                      </c:pt>
                      <c:pt idx="123">
                        <c:v>219</c:v>
                      </c:pt>
                      <c:pt idx="124">
                        <c:v>146</c:v>
                      </c:pt>
                      <c:pt idx="125">
                        <c:v>398</c:v>
                      </c:pt>
                      <c:pt idx="126">
                        <c:v>590</c:v>
                      </c:pt>
                      <c:pt idx="127">
                        <c:v>340</c:v>
                      </c:pt>
                      <c:pt idx="128">
                        <c:v>296</c:v>
                      </c:pt>
                      <c:pt idx="129">
                        <c:v>261</c:v>
                      </c:pt>
                      <c:pt idx="130">
                        <c:v>257</c:v>
                      </c:pt>
                      <c:pt idx="131">
                        <c:v>209</c:v>
                      </c:pt>
                      <c:pt idx="132">
                        <c:v>187</c:v>
                      </c:pt>
                      <c:pt idx="133">
                        <c:v>221</c:v>
                      </c:pt>
                      <c:pt idx="134">
                        <c:v>298</c:v>
                      </c:pt>
                      <c:pt idx="135">
                        <c:v>220</c:v>
                      </c:pt>
                      <c:pt idx="136">
                        <c:v>271</c:v>
                      </c:pt>
                      <c:pt idx="137">
                        <c:v>384</c:v>
                      </c:pt>
                      <c:pt idx="138">
                        <c:v>705</c:v>
                      </c:pt>
                      <c:pt idx="139">
                        <c:v>361</c:v>
                      </c:pt>
                      <c:pt idx="140">
                        <c:v>355</c:v>
                      </c:pt>
                      <c:pt idx="141">
                        <c:v>351</c:v>
                      </c:pt>
                      <c:pt idx="142">
                        <c:v>305</c:v>
                      </c:pt>
                      <c:pt idx="143">
                        <c:v>277</c:v>
                      </c:pt>
                      <c:pt idx="144" formatCode="_(* #,##0_);_(* \(#,##0\);_(* &quot;-&quot;??_);_(@_)">
                        <c:v>216</c:v>
                      </c:pt>
                      <c:pt idx="145">
                        <c:v>230</c:v>
                      </c:pt>
                      <c:pt idx="146">
                        <c:v>215</c:v>
                      </c:pt>
                      <c:pt idx="147">
                        <c:v>326</c:v>
                      </c:pt>
                      <c:pt idx="148" formatCode="_(* #,##0_);_(* \(#,##0\);_(* &quot;-&quot;??_);_(@_)">
                        <c:v>321</c:v>
                      </c:pt>
                      <c:pt idx="149" formatCode="_(* #,##0_);_(* \(#,##0\);_(* &quot;-&quot;??_);_(@_)">
                        <c:v>638</c:v>
                      </c:pt>
                      <c:pt idx="150" formatCode="_(* #,##0_);_(* \(#,##0\);_(* &quot;-&quot;??_);_(@_)">
                        <c:v>876</c:v>
                      </c:pt>
                      <c:pt idx="151" formatCode="_(* #,##0_);_(* \(#,##0\);_(* &quot;-&quot;??_);_(@_)">
                        <c:v>440</c:v>
                      </c:pt>
                      <c:pt idx="152" formatCode="_(* #,##0_);_(* \(#,##0\);_(* &quot;-&quot;??_);_(@_)">
                        <c:v>523</c:v>
                      </c:pt>
                      <c:pt idx="153" formatCode="_(* #,##0_);_(* \(#,##0\);_(* &quot;-&quot;??_);_(@_)">
                        <c:v>295</c:v>
                      </c:pt>
                      <c:pt idx="154" formatCode="_(* #,##0_);_(* \(#,##0\);_(* &quot;-&quot;??_);_(@_)">
                        <c:v>448</c:v>
                      </c:pt>
                      <c:pt idx="155" formatCode="_(* #,##0_);_(* \(#,##0\);_(* &quot;-&quot;??_);_(@_)">
                        <c:v>423</c:v>
                      </c:pt>
                      <c:pt idx="156">
                        <c:v>342</c:v>
                      </c:pt>
                      <c:pt idx="157">
                        <c:v>340</c:v>
                      </c:pt>
                      <c:pt idx="158">
                        <c:v>151</c:v>
                      </c:pt>
                      <c:pt idx="159">
                        <c:v>4</c:v>
                      </c:pt>
                      <c:pt idx="160">
                        <c:v>5</c:v>
                      </c:pt>
                      <c:pt idx="161">
                        <c:v>9</c:v>
                      </c:pt>
                      <c:pt idx="162">
                        <c:v>33</c:v>
                      </c:pt>
                      <c:pt idx="163">
                        <c:v>28</c:v>
                      </c:pt>
                      <c:pt idx="164">
                        <c:v>23</c:v>
                      </c:pt>
                      <c:pt idx="165">
                        <c:v>33</c:v>
                      </c:pt>
                      <c:pt idx="166">
                        <c:v>34</c:v>
                      </c:pt>
                      <c:pt idx="167">
                        <c:v>93</c:v>
                      </c:pt>
                      <c:pt idx="168">
                        <c:v>62</c:v>
                      </c:pt>
                      <c:pt idx="169">
                        <c:v>42</c:v>
                      </c:pt>
                      <c:pt idx="170">
                        <c:v>56</c:v>
                      </c:pt>
                      <c:pt idx="171">
                        <c:v>68</c:v>
                      </c:pt>
                      <c:pt idx="172">
                        <c:v>55</c:v>
                      </c:pt>
                    </c:numCache>
                  </c:numRef>
                </c:val>
                <c:smooth val="0"/>
                <c:extLst xmlns:c15="http://schemas.microsoft.com/office/drawing/2012/chart">
                  <c:ext xmlns:c16="http://schemas.microsoft.com/office/drawing/2014/chart" uri="{C3380CC4-5D6E-409C-BE32-E72D297353CC}">
                    <c16:uniqueId val="{00000014-9994-4956-9FBA-2410398E6D0E}"/>
                  </c:ext>
                </c:extLst>
              </c15:ser>
            </c15:filteredLineSeries>
            <c15:filteredLineSeries>
              <c15:ser>
                <c:idx val="21"/>
                <c:order val="21"/>
                <c:tx>
                  <c:strRef>
                    <c:extLst xmlns:c15="http://schemas.microsoft.com/office/drawing/2012/chart">
                      <c:ext xmlns:c15="http://schemas.microsoft.com/office/drawing/2012/chart" uri="{02D57815-91ED-43cb-92C2-25804820EDAC}">
                        <c15:formulaRef>
                          <c15:sqref>'Tendencias nacionalidad'!$C$75</c15:sqref>
                        </c15:formulaRef>
                      </c:ext>
                    </c:extLst>
                    <c:strCache>
                      <c:ptCount val="1"/>
                      <c:pt idx="0">
                        <c:v>Japón</c:v>
                      </c:pt>
                    </c:strCache>
                  </c:strRef>
                </c:tx>
                <c:spPr>
                  <a:ln w="28575"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nacionalidad'!$D$75:$GA$75</c15:sqref>
                        </c15:fullRef>
                        <c15:formulaRef>
                          <c15:sqref>'Tendencias nacionalidad'!$D$75:$FT$75</c15:sqref>
                        </c15:formulaRef>
                      </c:ext>
                    </c:extLst>
                    <c:numCache>
                      <c:formatCode>#,##0</c:formatCode>
                      <c:ptCount val="173"/>
                      <c:pt idx="0">
                        <c:v>164</c:v>
                      </c:pt>
                      <c:pt idx="1">
                        <c:v>248</c:v>
                      </c:pt>
                      <c:pt idx="2">
                        <c:v>234</c:v>
                      </c:pt>
                      <c:pt idx="3">
                        <c:v>208</c:v>
                      </c:pt>
                      <c:pt idx="4">
                        <c:v>139</c:v>
                      </c:pt>
                      <c:pt idx="5">
                        <c:v>167</c:v>
                      </c:pt>
                      <c:pt idx="6">
                        <c:v>217</c:v>
                      </c:pt>
                      <c:pt idx="7">
                        <c:v>310</c:v>
                      </c:pt>
                      <c:pt idx="8">
                        <c:v>201</c:v>
                      </c:pt>
                      <c:pt idx="9">
                        <c:v>197</c:v>
                      </c:pt>
                      <c:pt idx="10">
                        <c:v>288</c:v>
                      </c:pt>
                      <c:pt idx="11">
                        <c:v>260</c:v>
                      </c:pt>
                      <c:pt idx="12">
                        <c:v>271</c:v>
                      </c:pt>
                      <c:pt idx="13">
                        <c:v>459</c:v>
                      </c:pt>
                      <c:pt idx="14">
                        <c:v>298</c:v>
                      </c:pt>
                      <c:pt idx="15">
                        <c:v>187</c:v>
                      </c:pt>
                      <c:pt idx="16">
                        <c:v>206</c:v>
                      </c:pt>
                      <c:pt idx="17">
                        <c:v>261</c:v>
                      </c:pt>
                      <c:pt idx="18">
                        <c:v>251</c:v>
                      </c:pt>
                      <c:pt idx="19">
                        <c:v>413</c:v>
                      </c:pt>
                      <c:pt idx="20">
                        <c:v>500</c:v>
                      </c:pt>
                      <c:pt idx="21">
                        <c:v>268</c:v>
                      </c:pt>
                      <c:pt idx="22">
                        <c:v>279</c:v>
                      </c:pt>
                      <c:pt idx="23">
                        <c:v>284</c:v>
                      </c:pt>
                      <c:pt idx="24">
                        <c:v>231</c:v>
                      </c:pt>
                      <c:pt idx="25">
                        <c:v>272</c:v>
                      </c:pt>
                      <c:pt idx="26">
                        <c:v>309</c:v>
                      </c:pt>
                      <c:pt idx="27">
                        <c:v>217</c:v>
                      </c:pt>
                      <c:pt idx="28">
                        <c:v>201.5</c:v>
                      </c:pt>
                      <c:pt idx="29">
                        <c:v>186</c:v>
                      </c:pt>
                      <c:pt idx="30">
                        <c:v>319</c:v>
                      </c:pt>
                      <c:pt idx="31">
                        <c:v>287</c:v>
                      </c:pt>
                      <c:pt idx="32">
                        <c:v>355</c:v>
                      </c:pt>
                      <c:pt idx="33">
                        <c:v>237</c:v>
                      </c:pt>
                      <c:pt idx="34">
                        <c:v>212</c:v>
                      </c:pt>
                      <c:pt idx="35">
                        <c:v>284</c:v>
                      </c:pt>
                      <c:pt idx="36">
                        <c:v>214</c:v>
                      </c:pt>
                      <c:pt idx="37">
                        <c:v>229</c:v>
                      </c:pt>
                      <c:pt idx="38">
                        <c:v>253</c:v>
                      </c:pt>
                      <c:pt idx="39">
                        <c:v>222</c:v>
                      </c:pt>
                      <c:pt idx="40">
                        <c:v>206</c:v>
                      </c:pt>
                      <c:pt idx="41">
                        <c:v>292</c:v>
                      </c:pt>
                      <c:pt idx="42">
                        <c:v>267</c:v>
                      </c:pt>
                      <c:pt idx="43">
                        <c:v>293</c:v>
                      </c:pt>
                      <c:pt idx="44">
                        <c:v>423</c:v>
                      </c:pt>
                      <c:pt idx="45">
                        <c:v>147</c:v>
                      </c:pt>
                      <c:pt idx="46">
                        <c:v>234</c:v>
                      </c:pt>
                      <c:pt idx="47">
                        <c:v>268</c:v>
                      </c:pt>
                      <c:pt idx="48">
                        <c:v>162</c:v>
                      </c:pt>
                      <c:pt idx="49">
                        <c:v>261</c:v>
                      </c:pt>
                      <c:pt idx="50">
                        <c:v>238</c:v>
                      </c:pt>
                      <c:pt idx="51">
                        <c:v>206</c:v>
                      </c:pt>
                      <c:pt idx="52">
                        <c:v>181</c:v>
                      </c:pt>
                      <c:pt idx="53">
                        <c:v>178</c:v>
                      </c:pt>
                      <c:pt idx="54">
                        <c:v>207</c:v>
                      </c:pt>
                      <c:pt idx="55">
                        <c:v>327</c:v>
                      </c:pt>
                      <c:pt idx="56">
                        <c:v>363</c:v>
                      </c:pt>
                      <c:pt idx="57">
                        <c:v>308</c:v>
                      </c:pt>
                      <c:pt idx="58">
                        <c:v>257</c:v>
                      </c:pt>
                      <c:pt idx="59">
                        <c:v>318</c:v>
                      </c:pt>
                      <c:pt idx="60">
                        <c:v>174</c:v>
                      </c:pt>
                      <c:pt idx="61">
                        <c:v>210</c:v>
                      </c:pt>
                      <c:pt idx="62">
                        <c:v>273</c:v>
                      </c:pt>
                      <c:pt idx="63">
                        <c:v>245</c:v>
                      </c:pt>
                      <c:pt idx="64">
                        <c:v>198</c:v>
                      </c:pt>
                      <c:pt idx="65">
                        <c:v>263</c:v>
                      </c:pt>
                      <c:pt idx="66">
                        <c:v>300</c:v>
                      </c:pt>
                      <c:pt idx="67">
                        <c:v>322</c:v>
                      </c:pt>
                      <c:pt idx="68">
                        <c:v>392</c:v>
                      </c:pt>
                      <c:pt idx="69">
                        <c:v>304</c:v>
                      </c:pt>
                      <c:pt idx="70">
                        <c:v>226</c:v>
                      </c:pt>
                      <c:pt idx="71">
                        <c:v>380</c:v>
                      </c:pt>
                      <c:pt idx="72">
                        <c:v>246</c:v>
                      </c:pt>
                      <c:pt idx="73">
                        <c:v>230</c:v>
                      </c:pt>
                      <c:pt idx="74">
                        <c:v>250</c:v>
                      </c:pt>
                      <c:pt idx="75">
                        <c:v>268</c:v>
                      </c:pt>
                      <c:pt idx="76">
                        <c:v>172</c:v>
                      </c:pt>
                      <c:pt idx="77">
                        <c:v>227</c:v>
                      </c:pt>
                      <c:pt idx="78">
                        <c:v>231</c:v>
                      </c:pt>
                      <c:pt idx="79">
                        <c:v>305</c:v>
                      </c:pt>
                      <c:pt idx="80">
                        <c:v>386</c:v>
                      </c:pt>
                      <c:pt idx="81">
                        <c:v>233</c:v>
                      </c:pt>
                      <c:pt idx="82">
                        <c:v>295</c:v>
                      </c:pt>
                      <c:pt idx="83">
                        <c:v>399</c:v>
                      </c:pt>
                      <c:pt idx="84">
                        <c:v>275</c:v>
                      </c:pt>
                      <c:pt idx="85">
                        <c:v>249</c:v>
                      </c:pt>
                      <c:pt idx="86">
                        <c:v>305</c:v>
                      </c:pt>
                      <c:pt idx="87">
                        <c:v>246</c:v>
                      </c:pt>
                      <c:pt idx="88">
                        <c:v>181</c:v>
                      </c:pt>
                      <c:pt idx="89">
                        <c:v>184</c:v>
                      </c:pt>
                      <c:pt idx="90">
                        <c:v>215</c:v>
                      </c:pt>
                      <c:pt idx="91">
                        <c:v>314</c:v>
                      </c:pt>
                      <c:pt idx="92">
                        <c:v>322</c:v>
                      </c:pt>
                      <c:pt idx="93">
                        <c:v>214</c:v>
                      </c:pt>
                      <c:pt idx="94">
                        <c:v>237</c:v>
                      </c:pt>
                      <c:pt idx="95">
                        <c:v>326</c:v>
                      </c:pt>
                      <c:pt idx="96">
                        <c:v>273</c:v>
                      </c:pt>
                      <c:pt idx="97">
                        <c:v>301</c:v>
                      </c:pt>
                      <c:pt idx="98">
                        <c:v>306</c:v>
                      </c:pt>
                      <c:pt idx="99">
                        <c:v>203</c:v>
                      </c:pt>
                      <c:pt idx="100">
                        <c:v>196</c:v>
                      </c:pt>
                      <c:pt idx="101">
                        <c:v>197</c:v>
                      </c:pt>
                      <c:pt idx="102">
                        <c:v>197</c:v>
                      </c:pt>
                      <c:pt idx="103">
                        <c:v>250</c:v>
                      </c:pt>
                      <c:pt idx="104">
                        <c:v>472</c:v>
                      </c:pt>
                      <c:pt idx="105">
                        <c:v>190</c:v>
                      </c:pt>
                      <c:pt idx="106">
                        <c:v>234</c:v>
                      </c:pt>
                      <c:pt idx="107">
                        <c:v>286</c:v>
                      </c:pt>
                      <c:pt idx="108">
                        <c:v>237</c:v>
                      </c:pt>
                      <c:pt idx="109">
                        <c:v>251</c:v>
                      </c:pt>
                      <c:pt idx="110">
                        <c:v>266</c:v>
                      </c:pt>
                      <c:pt idx="111">
                        <c:v>190</c:v>
                      </c:pt>
                      <c:pt idx="112">
                        <c:v>172</c:v>
                      </c:pt>
                      <c:pt idx="113">
                        <c:v>158</c:v>
                      </c:pt>
                      <c:pt idx="114">
                        <c:v>217</c:v>
                      </c:pt>
                      <c:pt idx="115">
                        <c:v>207</c:v>
                      </c:pt>
                      <c:pt idx="116" formatCode="General">
                        <c:v>258</c:v>
                      </c:pt>
                      <c:pt idx="117">
                        <c:v>294</c:v>
                      </c:pt>
                      <c:pt idx="118">
                        <c:v>242</c:v>
                      </c:pt>
                      <c:pt idx="119">
                        <c:v>290</c:v>
                      </c:pt>
                      <c:pt idx="120">
                        <c:v>219</c:v>
                      </c:pt>
                      <c:pt idx="121">
                        <c:v>224</c:v>
                      </c:pt>
                      <c:pt idx="122">
                        <c:v>359</c:v>
                      </c:pt>
                      <c:pt idx="123">
                        <c:v>236</c:v>
                      </c:pt>
                      <c:pt idx="124">
                        <c:v>164</c:v>
                      </c:pt>
                      <c:pt idx="125">
                        <c:v>225</c:v>
                      </c:pt>
                      <c:pt idx="126">
                        <c:v>222</c:v>
                      </c:pt>
                      <c:pt idx="127">
                        <c:v>330</c:v>
                      </c:pt>
                      <c:pt idx="128">
                        <c:v>234</c:v>
                      </c:pt>
                      <c:pt idx="129">
                        <c:v>240</c:v>
                      </c:pt>
                      <c:pt idx="130">
                        <c:v>328</c:v>
                      </c:pt>
                      <c:pt idx="131">
                        <c:v>327</c:v>
                      </c:pt>
                      <c:pt idx="132">
                        <c:v>253</c:v>
                      </c:pt>
                      <c:pt idx="133">
                        <c:v>276</c:v>
                      </c:pt>
                      <c:pt idx="134">
                        <c:v>394</c:v>
                      </c:pt>
                      <c:pt idx="135">
                        <c:v>291</c:v>
                      </c:pt>
                      <c:pt idx="136">
                        <c:v>230</c:v>
                      </c:pt>
                      <c:pt idx="137">
                        <c:v>294</c:v>
                      </c:pt>
                      <c:pt idx="138">
                        <c:v>286</c:v>
                      </c:pt>
                      <c:pt idx="139">
                        <c:v>421</c:v>
                      </c:pt>
                      <c:pt idx="140">
                        <c:v>364</c:v>
                      </c:pt>
                      <c:pt idx="141">
                        <c:v>252</c:v>
                      </c:pt>
                      <c:pt idx="142">
                        <c:v>303</c:v>
                      </c:pt>
                      <c:pt idx="143">
                        <c:v>333</c:v>
                      </c:pt>
                      <c:pt idx="144" formatCode="_(* #,##0_);_(* \(#,##0\);_(* &quot;-&quot;??_);_(@_)">
                        <c:v>227</c:v>
                      </c:pt>
                      <c:pt idx="145">
                        <c:v>338</c:v>
                      </c:pt>
                      <c:pt idx="146">
                        <c:v>267</c:v>
                      </c:pt>
                      <c:pt idx="147">
                        <c:v>344</c:v>
                      </c:pt>
                      <c:pt idx="148" formatCode="_(* #,##0_);_(* \(#,##0\);_(* &quot;-&quot;??_);_(@_)">
                        <c:v>221</c:v>
                      </c:pt>
                      <c:pt idx="149" formatCode="_(* #,##0_);_(* \(#,##0\);_(* &quot;-&quot;??_);_(@_)">
                        <c:v>258</c:v>
                      </c:pt>
                      <c:pt idx="150" formatCode="_(* #,##0_);_(* \(#,##0\);_(* &quot;-&quot;??_);_(@_)">
                        <c:v>289</c:v>
                      </c:pt>
                      <c:pt idx="151" formatCode="_(* #,##0_);_(* \(#,##0\);_(* &quot;-&quot;??_);_(@_)">
                        <c:v>311</c:v>
                      </c:pt>
                      <c:pt idx="152" formatCode="_(* #,##0_);_(* \(#,##0\);_(* &quot;-&quot;??_);_(@_)">
                        <c:v>403</c:v>
                      </c:pt>
                      <c:pt idx="153" formatCode="_(* #,##0_);_(* \(#,##0\);_(* &quot;-&quot;??_);_(@_)">
                        <c:v>155</c:v>
                      </c:pt>
                      <c:pt idx="154" formatCode="_(* #,##0_);_(* \(#,##0\);_(* &quot;-&quot;??_);_(@_)">
                        <c:v>261</c:v>
                      </c:pt>
                      <c:pt idx="155" formatCode="_(* #,##0_);_(* \(#,##0\);_(* &quot;-&quot;??_);_(@_)">
                        <c:v>324</c:v>
                      </c:pt>
                      <c:pt idx="156">
                        <c:v>334</c:v>
                      </c:pt>
                      <c:pt idx="157">
                        <c:v>327</c:v>
                      </c:pt>
                      <c:pt idx="158">
                        <c:v>121</c:v>
                      </c:pt>
                      <c:pt idx="161">
                        <c:v>4</c:v>
                      </c:pt>
                      <c:pt idx="162">
                        <c:v>4</c:v>
                      </c:pt>
                      <c:pt idx="163">
                        <c:v>5</c:v>
                      </c:pt>
                      <c:pt idx="164">
                        <c:v>7</c:v>
                      </c:pt>
                      <c:pt idx="165">
                        <c:v>15</c:v>
                      </c:pt>
                      <c:pt idx="166">
                        <c:v>16</c:v>
                      </c:pt>
                      <c:pt idx="167">
                        <c:v>29</c:v>
                      </c:pt>
                      <c:pt idx="168">
                        <c:v>21</c:v>
                      </c:pt>
                      <c:pt idx="169">
                        <c:v>12</c:v>
                      </c:pt>
                      <c:pt idx="170">
                        <c:v>11</c:v>
                      </c:pt>
                      <c:pt idx="171">
                        <c:v>15</c:v>
                      </c:pt>
                      <c:pt idx="172">
                        <c:v>9</c:v>
                      </c:pt>
                    </c:numCache>
                  </c:numRef>
                </c:val>
                <c:smooth val="0"/>
                <c:extLst xmlns:c15="http://schemas.microsoft.com/office/drawing/2012/chart">
                  <c:ext xmlns:c16="http://schemas.microsoft.com/office/drawing/2014/chart" uri="{C3380CC4-5D6E-409C-BE32-E72D297353CC}">
                    <c16:uniqueId val="{00000015-9994-4956-9FBA-2410398E6D0E}"/>
                  </c:ext>
                </c:extLst>
              </c15:ser>
            </c15:filteredLineSeries>
            <c15:filteredLineSeries>
              <c15:ser>
                <c:idx val="22"/>
                <c:order val="22"/>
                <c:tx>
                  <c:strRef>
                    <c:extLst xmlns:c15="http://schemas.microsoft.com/office/drawing/2012/chart">
                      <c:ext xmlns:c15="http://schemas.microsoft.com/office/drawing/2012/chart" uri="{02D57815-91ED-43cb-92C2-25804820EDAC}">
                        <c15:formulaRef>
                          <c15:sqref>'Tendencias nacionalidad'!$C$76</c15:sqref>
                        </c15:formulaRef>
                      </c:ext>
                    </c:extLst>
                    <c:strCache>
                      <c:ptCount val="1"/>
                      <c:pt idx="0">
                        <c:v>Cuba</c:v>
                      </c:pt>
                    </c:strCache>
                  </c:strRef>
                </c:tx>
                <c:spPr>
                  <a:ln w="28575" cap="rnd">
                    <a:solidFill>
                      <a:schemeClr val="accent5">
                        <a:lumMod val="80000"/>
                      </a:schemeClr>
                    </a:solidFill>
                    <a:round/>
                  </a:ln>
                  <a:effectLst/>
                </c:spPr>
                <c:marker>
                  <c:symbol val="circle"/>
                  <c:size val="5"/>
                  <c:spPr>
                    <a:solidFill>
                      <a:schemeClr val="accent5">
                        <a:lumMod val="80000"/>
                      </a:schemeClr>
                    </a:solidFill>
                    <a:ln w="9525">
                      <a:solidFill>
                        <a:schemeClr val="accent5">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nacionalidad'!$D$76:$GA$76</c15:sqref>
                        </c15:fullRef>
                        <c15:formulaRef>
                          <c15:sqref>'Tendencias nacionalidad'!$D$76:$FT$76</c15:sqref>
                        </c15:formulaRef>
                      </c:ext>
                    </c:extLst>
                    <c:numCache>
                      <c:formatCode>#,##0</c:formatCode>
                      <c:ptCount val="173"/>
                      <c:pt idx="0">
                        <c:v>106</c:v>
                      </c:pt>
                      <c:pt idx="1">
                        <c:v>77</c:v>
                      </c:pt>
                      <c:pt idx="2">
                        <c:v>164</c:v>
                      </c:pt>
                      <c:pt idx="3">
                        <c:v>124</c:v>
                      </c:pt>
                      <c:pt idx="4">
                        <c:v>101</c:v>
                      </c:pt>
                      <c:pt idx="5">
                        <c:v>151</c:v>
                      </c:pt>
                      <c:pt idx="6">
                        <c:v>131</c:v>
                      </c:pt>
                      <c:pt idx="7">
                        <c:v>168</c:v>
                      </c:pt>
                      <c:pt idx="8">
                        <c:v>204</c:v>
                      </c:pt>
                      <c:pt idx="9">
                        <c:v>300</c:v>
                      </c:pt>
                      <c:pt idx="10">
                        <c:v>233</c:v>
                      </c:pt>
                      <c:pt idx="11">
                        <c:v>211</c:v>
                      </c:pt>
                      <c:pt idx="12">
                        <c:v>300</c:v>
                      </c:pt>
                      <c:pt idx="13">
                        <c:v>404</c:v>
                      </c:pt>
                      <c:pt idx="14">
                        <c:v>290</c:v>
                      </c:pt>
                      <c:pt idx="15">
                        <c:v>346</c:v>
                      </c:pt>
                      <c:pt idx="16">
                        <c:v>350</c:v>
                      </c:pt>
                      <c:pt idx="17">
                        <c:v>372</c:v>
                      </c:pt>
                      <c:pt idx="18">
                        <c:v>536</c:v>
                      </c:pt>
                      <c:pt idx="19">
                        <c:v>619</c:v>
                      </c:pt>
                      <c:pt idx="20">
                        <c:v>611</c:v>
                      </c:pt>
                      <c:pt idx="21">
                        <c:v>684</c:v>
                      </c:pt>
                      <c:pt idx="22">
                        <c:v>721</c:v>
                      </c:pt>
                      <c:pt idx="23">
                        <c:v>903</c:v>
                      </c:pt>
                      <c:pt idx="24">
                        <c:v>1157</c:v>
                      </c:pt>
                      <c:pt idx="25">
                        <c:v>1112</c:v>
                      </c:pt>
                      <c:pt idx="26">
                        <c:v>1391</c:v>
                      </c:pt>
                      <c:pt idx="27">
                        <c:v>1532</c:v>
                      </c:pt>
                      <c:pt idx="28">
                        <c:v>1541.5</c:v>
                      </c:pt>
                      <c:pt idx="29">
                        <c:v>1551</c:v>
                      </c:pt>
                      <c:pt idx="30">
                        <c:v>1371</c:v>
                      </c:pt>
                      <c:pt idx="31">
                        <c:v>1483</c:v>
                      </c:pt>
                      <c:pt idx="32">
                        <c:v>1483</c:v>
                      </c:pt>
                      <c:pt idx="33">
                        <c:v>1483</c:v>
                      </c:pt>
                      <c:pt idx="34">
                        <c:v>1508</c:v>
                      </c:pt>
                      <c:pt idx="35">
                        <c:v>1112</c:v>
                      </c:pt>
                      <c:pt idx="36">
                        <c:v>1670</c:v>
                      </c:pt>
                      <c:pt idx="37">
                        <c:v>1244</c:v>
                      </c:pt>
                      <c:pt idx="38">
                        <c:v>1508</c:v>
                      </c:pt>
                      <c:pt idx="39">
                        <c:v>1345</c:v>
                      </c:pt>
                      <c:pt idx="40">
                        <c:v>1092</c:v>
                      </c:pt>
                      <c:pt idx="41">
                        <c:v>1109</c:v>
                      </c:pt>
                      <c:pt idx="42">
                        <c:v>891</c:v>
                      </c:pt>
                      <c:pt idx="43">
                        <c:v>1140</c:v>
                      </c:pt>
                      <c:pt idx="44">
                        <c:v>997</c:v>
                      </c:pt>
                      <c:pt idx="45">
                        <c:v>1311</c:v>
                      </c:pt>
                      <c:pt idx="46">
                        <c:v>1203</c:v>
                      </c:pt>
                      <c:pt idx="47">
                        <c:v>960</c:v>
                      </c:pt>
                      <c:pt idx="48">
                        <c:v>992</c:v>
                      </c:pt>
                      <c:pt idx="49">
                        <c:v>732</c:v>
                      </c:pt>
                      <c:pt idx="50">
                        <c:v>978</c:v>
                      </c:pt>
                      <c:pt idx="51">
                        <c:v>817</c:v>
                      </c:pt>
                      <c:pt idx="52">
                        <c:v>838</c:v>
                      </c:pt>
                      <c:pt idx="53">
                        <c:v>887</c:v>
                      </c:pt>
                      <c:pt idx="54">
                        <c:v>692</c:v>
                      </c:pt>
                      <c:pt idx="55">
                        <c:v>892</c:v>
                      </c:pt>
                      <c:pt idx="56">
                        <c:v>731</c:v>
                      </c:pt>
                      <c:pt idx="57">
                        <c:v>750</c:v>
                      </c:pt>
                      <c:pt idx="58">
                        <c:v>871</c:v>
                      </c:pt>
                      <c:pt idx="59">
                        <c:v>710</c:v>
                      </c:pt>
                      <c:pt idx="60">
                        <c:v>499</c:v>
                      </c:pt>
                      <c:pt idx="61">
                        <c:v>499</c:v>
                      </c:pt>
                      <c:pt idx="62">
                        <c:v>547</c:v>
                      </c:pt>
                      <c:pt idx="63">
                        <c:v>895</c:v>
                      </c:pt>
                      <c:pt idx="64">
                        <c:v>771</c:v>
                      </c:pt>
                      <c:pt idx="65">
                        <c:v>1058</c:v>
                      </c:pt>
                      <c:pt idx="66">
                        <c:v>888</c:v>
                      </c:pt>
                      <c:pt idx="67">
                        <c:v>976</c:v>
                      </c:pt>
                      <c:pt idx="68">
                        <c:v>831</c:v>
                      </c:pt>
                      <c:pt idx="69">
                        <c:v>1039</c:v>
                      </c:pt>
                      <c:pt idx="70">
                        <c:v>1026</c:v>
                      </c:pt>
                      <c:pt idx="71">
                        <c:v>1042</c:v>
                      </c:pt>
                      <c:pt idx="72">
                        <c:v>750</c:v>
                      </c:pt>
                      <c:pt idx="73">
                        <c:v>510</c:v>
                      </c:pt>
                      <c:pt idx="74">
                        <c:v>450</c:v>
                      </c:pt>
                      <c:pt idx="75">
                        <c:v>871</c:v>
                      </c:pt>
                      <c:pt idx="76">
                        <c:v>931</c:v>
                      </c:pt>
                      <c:pt idx="77">
                        <c:v>942</c:v>
                      </c:pt>
                      <c:pt idx="78">
                        <c:v>982</c:v>
                      </c:pt>
                      <c:pt idx="79">
                        <c:v>1290</c:v>
                      </c:pt>
                      <c:pt idx="80">
                        <c:v>1267</c:v>
                      </c:pt>
                      <c:pt idx="81">
                        <c:v>1309</c:v>
                      </c:pt>
                      <c:pt idx="82">
                        <c:v>1575</c:v>
                      </c:pt>
                      <c:pt idx="83">
                        <c:v>1856</c:v>
                      </c:pt>
                      <c:pt idx="84">
                        <c:v>893</c:v>
                      </c:pt>
                      <c:pt idx="85">
                        <c:v>801</c:v>
                      </c:pt>
                      <c:pt idx="86">
                        <c:v>871</c:v>
                      </c:pt>
                      <c:pt idx="87">
                        <c:v>1883</c:v>
                      </c:pt>
                      <c:pt idx="88">
                        <c:v>2034</c:v>
                      </c:pt>
                      <c:pt idx="89">
                        <c:v>2126</c:v>
                      </c:pt>
                      <c:pt idx="90">
                        <c:v>2458</c:v>
                      </c:pt>
                      <c:pt idx="91">
                        <c:v>2398</c:v>
                      </c:pt>
                      <c:pt idx="92">
                        <c:v>2644</c:v>
                      </c:pt>
                      <c:pt idx="93">
                        <c:v>3590</c:v>
                      </c:pt>
                      <c:pt idx="94">
                        <c:v>3991</c:v>
                      </c:pt>
                      <c:pt idx="95">
                        <c:v>4790</c:v>
                      </c:pt>
                      <c:pt idx="96">
                        <c:v>3360</c:v>
                      </c:pt>
                      <c:pt idx="97">
                        <c:v>3179</c:v>
                      </c:pt>
                      <c:pt idx="98">
                        <c:v>4515</c:v>
                      </c:pt>
                      <c:pt idx="99">
                        <c:v>4321</c:v>
                      </c:pt>
                      <c:pt idx="100">
                        <c:v>4182</c:v>
                      </c:pt>
                      <c:pt idx="101">
                        <c:v>4631</c:v>
                      </c:pt>
                      <c:pt idx="102">
                        <c:v>4067</c:v>
                      </c:pt>
                      <c:pt idx="103">
                        <c:v>3726</c:v>
                      </c:pt>
                      <c:pt idx="104">
                        <c:v>5741</c:v>
                      </c:pt>
                      <c:pt idx="105">
                        <c:v>5804</c:v>
                      </c:pt>
                      <c:pt idx="106">
                        <c:v>9307</c:v>
                      </c:pt>
                      <c:pt idx="107">
                        <c:v>5009</c:v>
                      </c:pt>
                      <c:pt idx="108">
                        <c:v>1225</c:v>
                      </c:pt>
                      <c:pt idx="109">
                        <c:v>2019</c:v>
                      </c:pt>
                      <c:pt idx="110">
                        <c:v>907</c:v>
                      </c:pt>
                      <c:pt idx="111">
                        <c:v>278</c:v>
                      </c:pt>
                      <c:pt idx="112">
                        <c:v>325</c:v>
                      </c:pt>
                      <c:pt idx="113">
                        <c:v>306</c:v>
                      </c:pt>
                      <c:pt idx="114">
                        <c:v>246</c:v>
                      </c:pt>
                      <c:pt idx="115">
                        <c:v>246</c:v>
                      </c:pt>
                      <c:pt idx="116" formatCode="General">
                        <c:v>765</c:v>
                      </c:pt>
                      <c:pt idx="117">
                        <c:v>506</c:v>
                      </c:pt>
                      <c:pt idx="118">
                        <c:v>429</c:v>
                      </c:pt>
                      <c:pt idx="119">
                        <c:v>379</c:v>
                      </c:pt>
                      <c:pt idx="120">
                        <c:v>338</c:v>
                      </c:pt>
                      <c:pt idx="121">
                        <c:v>315</c:v>
                      </c:pt>
                      <c:pt idx="122">
                        <c:v>296</c:v>
                      </c:pt>
                      <c:pt idx="123">
                        <c:v>264</c:v>
                      </c:pt>
                      <c:pt idx="124">
                        <c:v>350</c:v>
                      </c:pt>
                      <c:pt idx="125">
                        <c:v>296</c:v>
                      </c:pt>
                      <c:pt idx="126">
                        <c:v>339</c:v>
                      </c:pt>
                      <c:pt idx="127">
                        <c:v>273</c:v>
                      </c:pt>
                      <c:pt idx="128">
                        <c:v>322</c:v>
                      </c:pt>
                      <c:pt idx="129">
                        <c:v>328</c:v>
                      </c:pt>
                      <c:pt idx="130">
                        <c:v>362</c:v>
                      </c:pt>
                      <c:pt idx="131">
                        <c:v>330</c:v>
                      </c:pt>
                      <c:pt idx="132">
                        <c:v>267</c:v>
                      </c:pt>
                      <c:pt idx="133">
                        <c:v>279</c:v>
                      </c:pt>
                      <c:pt idx="134">
                        <c:v>283</c:v>
                      </c:pt>
                      <c:pt idx="135">
                        <c:v>288</c:v>
                      </c:pt>
                      <c:pt idx="136">
                        <c:v>317</c:v>
                      </c:pt>
                      <c:pt idx="137">
                        <c:v>290</c:v>
                      </c:pt>
                      <c:pt idx="138">
                        <c:v>325</c:v>
                      </c:pt>
                      <c:pt idx="139">
                        <c:v>300</c:v>
                      </c:pt>
                      <c:pt idx="140">
                        <c:v>287</c:v>
                      </c:pt>
                      <c:pt idx="141">
                        <c:v>320</c:v>
                      </c:pt>
                      <c:pt idx="142">
                        <c:v>345</c:v>
                      </c:pt>
                      <c:pt idx="143">
                        <c:v>273</c:v>
                      </c:pt>
                      <c:pt idx="144" formatCode="_(* #,##0_);_(* \(#,##0\);_(* &quot;-&quot;??_);_(@_)">
                        <c:v>305</c:v>
                      </c:pt>
                      <c:pt idx="145">
                        <c:v>219</c:v>
                      </c:pt>
                      <c:pt idx="146">
                        <c:v>261</c:v>
                      </c:pt>
                      <c:pt idx="147">
                        <c:v>226</c:v>
                      </c:pt>
                      <c:pt idx="148" formatCode="_(* #,##0_);_(* \(#,##0\);_(* &quot;-&quot;??_);_(@_)">
                        <c:v>800</c:v>
                      </c:pt>
                      <c:pt idx="149" formatCode="_(* #,##0_);_(* \(#,##0\);_(* &quot;-&quot;??_);_(@_)">
                        <c:v>686</c:v>
                      </c:pt>
                      <c:pt idx="150" formatCode="_(* #,##0_);_(* \(#,##0\);_(* &quot;-&quot;??_);_(@_)">
                        <c:v>764</c:v>
                      </c:pt>
                      <c:pt idx="151" formatCode="_(* #,##0_);_(* \(#,##0\);_(* &quot;-&quot;??_);_(@_)">
                        <c:v>1134</c:v>
                      </c:pt>
                      <c:pt idx="152" formatCode="_(* #,##0_);_(* \(#,##0\);_(* &quot;-&quot;??_);_(@_)">
                        <c:v>1157</c:v>
                      </c:pt>
                      <c:pt idx="153" formatCode="_(* #,##0_);_(* \(#,##0\);_(* &quot;-&quot;??_);_(@_)">
                        <c:v>725</c:v>
                      </c:pt>
                      <c:pt idx="154" formatCode="_(* #,##0_);_(* \(#,##0\);_(* &quot;-&quot;??_);_(@_)">
                        <c:v>701</c:v>
                      </c:pt>
                      <c:pt idx="155" formatCode="_(* #,##0_);_(* \(#,##0\);_(* &quot;-&quot;??_);_(@_)">
                        <c:v>596</c:v>
                      </c:pt>
                      <c:pt idx="156">
                        <c:v>1012</c:v>
                      </c:pt>
                      <c:pt idx="157">
                        <c:v>617</c:v>
                      </c:pt>
                      <c:pt idx="158">
                        <c:v>416</c:v>
                      </c:pt>
                      <c:pt idx="159">
                        <c:v>2</c:v>
                      </c:pt>
                      <c:pt idx="160">
                        <c:v>97</c:v>
                      </c:pt>
                      <c:pt idx="161">
                        <c:v>140</c:v>
                      </c:pt>
                      <c:pt idx="162">
                        <c:v>9</c:v>
                      </c:pt>
                      <c:pt idx="163">
                        <c:v>130</c:v>
                      </c:pt>
                      <c:pt idx="164">
                        <c:v>66</c:v>
                      </c:pt>
                      <c:pt idx="165">
                        <c:v>16</c:v>
                      </c:pt>
                      <c:pt idx="166">
                        <c:v>126</c:v>
                      </c:pt>
                      <c:pt idx="167">
                        <c:v>371</c:v>
                      </c:pt>
                      <c:pt idx="168">
                        <c:v>452</c:v>
                      </c:pt>
                      <c:pt idx="169">
                        <c:v>133</c:v>
                      </c:pt>
                      <c:pt idx="170">
                        <c:v>87</c:v>
                      </c:pt>
                      <c:pt idx="171">
                        <c:v>231</c:v>
                      </c:pt>
                      <c:pt idx="172">
                        <c:v>86</c:v>
                      </c:pt>
                    </c:numCache>
                  </c:numRef>
                </c:val>
                <c:smooth val="0"/>
                <c:extLst xmlns:c15="http://schemas.microsoft.com/office/drawing/2012/chart">
                  <c:ext xmlns:c16="http://schemas.microsoft.com/office/drawing/2014/chart" uri="{C3380CC4-5D6E-409C-BE32-E72D297353CC}">
                    <c16:uniqueId val="{00000016-9994-4956-9FBA-2410398E6D0E}"/>
                  </c:ext>
                </c:extLst>
              </c15:ser>
            </c15:filteredLineSeries>
            <c15:filteredLineSeries>
              <c15:ser>
                <c:idx val="23"/>
                <c:order val="23"/>
                <c:tx>
                  <c:strRef>
                    <c:extLst xmlns:c15="http://schemas.microsoft.com/office/drawing/2012/chart">
                      <c:ext xmlns:c15="http://schemas.microsoft.com/office/drawing/2012/chart" uri="{02D57815-91ED-43cb-92C2-25804820EDAC}">
                        <c15:formulaRef>
                          <c15:sqref>'Tendencias nacionalidad'!$C$77</c15:sqref>
                        </c15:formulaRef>
                      </c:ext>
                    </c:extLst>
                    <c:strCache>
                      <c:ptCount val="1"/>
                      <c:pt idx="0">
                        <c:v>Bolivia</c:v>
                      </c:pt>
                    </c:strCache>
                  </c:strRef>
                </c:tx>
                <c:spPr>
                  <a:ln w="28575" cap="rnd">
                    <a:solidFill>
                      <a:schemeClr val="accent6">
                        <a:lumMod val="80000"/>
                      </a:schemeClr>
                    </a:solidFill>
                    <a:round/>
                  </a:ln>
                  <a:effectLst/>
                </c:spPr>
                <c:marker>
                  <c:symbol val="circle"/>
                  <c:size val="5"/>
                  <c:spPr>
                    <a:solidFill>
                      <a:schemeClr val="accent6">
                        <a:lumMod val="80000"/>
                      </a:schemeClr>
                    </a:solidFill>
                    <a:ln w="9525">
                      <a:solidFill>
                        <a:schemeClr val="accent6">
                          <a:lumMod val="8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nacionalidad'!$D$77:$GA$77</c15:sqref>
                        </c15:fullRef>
                        <c15:formulaRef>
                          <c15:sqref>'Tendencias nacionalidad'!$D$77:$FT$77</c15:sqref>
                        </c15:formulaRef>
                      </c:ext>
                    </c:extLst>
                    <c:numCache>
                      <c:formatCode>#,##0</c:formatCode>
                      <c:ptCount val="173"/>
                      <c:pt idx="0">
                        <c:v>119</c:v>
                      </c:pt>
                      <c:pt idx="1">
                        <c:v>130</c:v>
                      </c:pt>
                      <c:pt idx="2">
                        <c:v>176</c:v>
                      </c:pt>
                      <c:pt idx="3">
                        <c:v>124</c:v>
                      </c:pt>
                      <c:pt idx="4">
                        <c:v>123</c:v>
                      </c:pt>
                      <c:pt idx="5">
                        <c:v>173</c:v>
                      </c:pt>
                      <c:pt idx="6">
                        <c:v>251</c:v>
                      </c:pt>
                      <c:pt idx="7">
                        <c:v>216</c:v>
                      </c:pt>
                      <c:pt idx="8">
                        <c:v>321</c:v>
                      </c:pt>
                      <c:pt idx="9">
                        <c:v>214</c:v>
                      </c:pt>
                      <c:pt idx="10">
                        <c:v>244</c:v>
                      </c:pt>
                      <c:pt idx="11">
                        <c:v>126</c:v>
                      </c:pt>
                      <c:pt idx="12">
                        <c:v>134</c:v>
                      </c:pt>
                      <c:pt idx="13">
                        <c:v>307</c:v>
                      </c:pt>
                      <c:pt idx="14">
                        <c:v>218</c:v>
                      </c:pt>
                      <c:pt idx="15">
                        <c:v>255</c:v>
                      </c:pt>
                      <c:pt idx="16">
                        <c:v>201</c:v>
                      </c:pt>
                      <c:pt idx="17">
                        <c:v>215</c:v>
                      </c:pt>
                      <c:pt idx="18">
                        <c:v>187</c:v>
                      </c:pt>
                      <c:pt idx="19">
                        <c:v>228</c:v>
                      </c:pt>
                      <c:pt idx="20">
                        <c:v>253</c:v>
                      </c:pt>
                      <c:pt idx="21">
                        <c:v>230</c:v>
                      </c:pt>
                      <c:pt idx="22">
                        <c:v>279</c:v>
                      </c:pt>
                      <c:pt idx="23">
                        <c:v>228</c:v>
                      </c:pt>
                      <c:pt idx="24">
                        <c:v>182</c:v>
                      </c:pt>
                      <c:pt idx="25">
                        <c:v>186</c:v>
                      </c:pt>
                      <c:pt idx="26">
                        <c:v>274</c:v>
                      </c:pt>
                      <c:pt idx="27">
                        <c:v>222</c:v>
                      </c:pt>
                      <c:pt idx="28">
                        <c:v>220.5</c:v>
                      </c:pt>
                      <c:pt idx="29">
                        <c:v>219</c:v>
                      </c:pt>
                      <c:pt idx="30">
                        <c:v>220</c:v>
                      </c:pt>
                      <c:pt idx="31">
                        <c:v>205</c:v>
                      </c:pt>
                      <c:pt idx="32">
                        <c:v>241</c:v>
                      </c:pt>
                      <c:pt idx="33">
                        <c:v>178</c:v>
                      </c:pt>
                      <c:pt idx="34">
                        <c:v>253</c:v>
                      </c:pt>
                      <c:pt idx="35">
                        <c:v>160</c:v>
                      </c:pt>
                      <c:pt idx="36">
                        <c:v>173</c:v>
                      </c:pt>
                      <c:pt idx="37">
                        <c:v>480</c:v>
                      </c:pt>
                      <c:pt idx="38">
                        <c:v>219</c:v>
                      </c:pt>
                      <c:pt idx="39">
                        <c:v>183</c:v>
                      </c:pt>
                      <c:pt idx="40">
                        <c:v>203</c:v>
                      </c:pt>
                      <c:pt idx="41">
                        <c:v>202</c:v>
                      </c:pt>
                      <c:pt idx="42">
                        <c:v>126</c:v>
                      </c:pt>
                      <c:pt idx="43">
                        <c:v>185</c:v>
                      </c:pt>
                      <c:pt idx="44">
                        <c:v>172</c:v>
                      </c:pt>
                      <c:pt idx="45">
                        <c:v>151</c:v>
                      </c:pt>
                      <c:pt idx="46">
                        <c:v>223</c:v>
                      </c:pt>
                      <c:pt idx="47">
                        <c:v>172</c:v>
                      </c:pt>
                      <c:pt idx="48">
                        <c:v>173</c:v>
                      </c:pt>
                      <c:pt idx="49">
                        <c:v>187</c:v>
                      </c:pt>
                      <c:pt idx="50">
                        <c:v>216</c:v>
                      </c:pt>
                      <c:pt idx="51">
                        <c:v>138</c:v>
                      </c:pt>
                      <c:pt idx="52">
                        <c:v>194</c:v>
                      </c:pt>
                      <c:pt idx="53">
                        <c:v>192</c:v>
                      </c:pt>
                      <c:pt idx="54">
                        <c:v>186</c:v>
                      </c:pt>
                      <c:pt idx="55">
                        <c:v>182</c:v>
                      </c:pt>
                      <c:pt idx="56">
                        <c:v>218</c:v>
                      </c:pt>
                      <c:pt idx="57">
                        <c:v>222</c:v>
                      </c:pt>
                      <c:pt idx="58">
                        <c:v>219</c:v>
                      </c:pt>
                      <c:pt idx="59">
                        <c:v>161</c:v>
                      </c:pt>
                      <c:pt idx="60">
                        <c:v>2</c:v>
                      </c:pt>
                      <c:pt idx="61">
                        <c:v>148</c:v>
                      </c:pt>
                      <c:pt idx="62">
                        <c:v>155</c:v>
                      </c:pt>
                      <c:pt idx="63">
                        <c:v>190</c:v>
                      </c:pt>
                      <c:pt idx="64">
                        <c:v>221</c:v>
                      </c:pt>
                      <c:pt idx="65">
                        <c:v>224</c:v>
                      </c:pt>
                      <c:pt idx="66">
                        <c:v>248</c:v>
                      </c:pt>
                      <c:pt idx="67">
                        <c:v>205</c:v>
                      </c:pt>
                      <c:pt idx="68">
                        <c:v>314</c:v>
                      </c:pt>
                      <c:pt idx="69">
                        <c:v>260</c:v>
                      </c:pt>
                      <c:pt idx="70">
                        <c:v>276</c:v>
                      </c:pt>
                      <c:pt idx="71">
                        <c:v>182</c:v>
                      </c:pt>
                      <c:pt idx="72">
                        <c:v>201</c:v>
                      </c:pt>
                      <c:pt idx="73">
                        <c:v>185</c:v>
                      </c:pt>
                      <c:pt idx="74">
                        <c:v>224</c:v>
                      </c:pt>
                      <c:pt idx="75">
                        <c:v>156</c:v>
                      </c:pt>
                      <c:pt idx="76">
                        <c:v>251</c:v>
                      </c:pt>
                      <c:pt idx="77">
                        <c:v>282</c:v>
                      </c:pt>
                      <c:pt idx="78">
                        <c:v>325</c:v>
                      </c:pt>
                      <c:pt idx="79">
                        <c:v>208</c:v>
                      </c:pt>
                      <c:pt idx="80">
                        <c:v>236</c:v>
                      </c:pt>
                      <c:pt idx="81">
                        <c:v>227</c:v>
                      </c:pt>
                      <c:pt idx="82">
                        <c:v>327</c:v>
                      </c:pt>
                      <c:pt idx="83">
                        <c:v>247</c:v>
                      </c:pt>
                      <c:pt idx="84">
                        <c:v>171</c:v>
                      </c:pt>
                      <c:pt idx="85">
                        <c:v>189</c:v>
                      </c:pt>
                      <c:pt idx="86">
                        <c:v>203</c:v>
                      </c:pt>
                      <c:pt idx="87">
                        <c:v>239</c:v>
                      </c:pt>
                      <c:pt idx="88">
                        <c:v>239</c:v>
                      </c:pt>
                      <c:pt idx="89">
                        <c:v>247</c:v>
                      </c:pt>
                      <c:pt idx="90">
                        <c:v>214</c:v>
                      </c:pt>
                      <c:pt idx="91">
                        <c:v>268</c:v>
                      </c:pt>
                      <c:pt idx="92">
                        <c:v>318</c:v>
                      </c:pt>
                      <c:pt idx="93">
                        <c:v>325</c:v>
                      </c:pt>
                      <c:pt idx="94">
                        <c:v>275</c:v>
                      </c:pt>
                      <c:pt idx="95">
                        <c:v>267</c:v>
                      </c:pt>
                      <c:pt idx="96">
                        <c:v>193</c:v>
                      </c:pt>
                      <c:pt idx="97">
                        <c:v>216</c:v>
                      </c:pt>
                      <c:pt idx="98">
                        <c:v>209</c:v>
                      </c:pt>
                      <c:pt idx="99">
                        <c:v>223</c:v>
                      </c:pt>
                      <c:pt idx="100">
                        <c:v>231</c:v>
                      </c:pt>
                      <c:pt idx="101">
                        <c:v>215</c:v>
                      </c:pt>
                      <c:pt idx="102">
                        <c:v>241</c:v>
                      </c:pt>
                      <c:pt idx="103">
                        <c:v>229</c:v>
                      </c:pt>
                      <c:pt idx="104">
                        <c:v>220</c:v>
                      </c:pt>
                      <c:pt idx="105">
                        <c:v>313</c:v>
                      </c:pt>
                      <c:pt idx="106">
                        <c:v>259</c:v>
                      </c:pt>
                      <c:pt idx="107">
                        <c:v>272</c:v>
                      </c:pt>
                      <c:pt idx="108">
                        <c:v>208</c:v>
                      </c:pt>
                      <c:pt idx="109">
                        <c:v>198</c:v>
                      </c:pt>
                      <c:pt idx="110">
                        <c:v>189</c:v>
                      </c:pt>
                      <c:pt idx="111">
                        <c:v>151</c:v>
                      </c:pt>
                      <c:pt idx="112">
                        <c:v>162</c:v>
                      </c:pt>
                      <c:pt idx="113">
                        <c:v>234</c:v>
                      </c:pt>
                      <c:pt idx="114">
                        <c:v>292</c:v>
                      </c:pt>
                      <c:pt idx="115">
                        <c:v>183</c:v>
                      </c:pt>
                      <c:pt idx="116" formatCode="General">
                        <c:v>214</c:v>
                      </c:pt>
                      <c:pt idx="117">
                        <c:v>300</c:v>
                      </c:pt>
                      <c:pt idx="118">
                        <c:v>242</c:v>
                      </c:pt>
                      <c:pt idx="119">
                        <c:v>325</c:v>
                      </c:pt>
                      <c:pt idx="120">
                        <c:v>284</c:v>
                      </c:pt>
                      <c:pt idx="121">
                        <c:v>170</c:v>
                      </c:pt>
                      <c:pt idx="122">
                        <c:v>251</c:v>
                      </c:pt>
                      <c:pt idx="123">
                        <c:v>239</c:v>
                      </c:pt>
                      <c:pt idx="124">
                        <c:v>317</c:v>
                      </c:pt>
                      <c:pt idx="125">
                        <c:v>264</c:v>
                      </c:pt>
                      <c:pt idx="126">
                        <c:v>306</c:v>
                      </c:pt>
                      <c:pt idx="127">
                        <c:v>225</c:v>
                      </c:pt>
                      <c:pt idx="128">
                        <c:v>258</c:v>
                      </c:pt>
                      <c:pt idx="129">
                        <c:v>212</c:v>
                      </c:pt>
                      <c:pt idx="130">
                        <c:v>352</c:v>
                      </c:pt>
                      <c:pt idx="131">
                        <c:v>284</c:v>
                      </c:pt>
                      <c:pt idx="132">
                        <c:v>267</c:v>
                      </c:pt>
                      <c:pt idx="133">
                        <c:v>231</c:v>
                      </c:pt>
                      <c:pt idx="134">
                        <c:v>204</c:v>
                      </c:pt>
                      <c:pt idx="135">
                        <c:v>179</c:v>
                      </c:pt>
                      <c:pt idx="136">
                        <c:v>219</c:v>
                      </c:pt>
                      <c:pt idx="137">
                        <c:v>249</c:v>
                      </c:pt>
                      <c:pt idx="138">
                        <c:v>318</c:v>
                      </c:pt>
                      <c:pt idx="139">
                        <c:v>205</c:v>
                      </c:pt>
                      <c:pt idx="140">
                        <c:v>217</c:v>
                      </c:pt>
                      <c:pt idx="141">
                        <c:v>284</c:v>
                      </c:pt>
                      <c:pt idx="142">
                        <c:v>356</c:v>
                      </c:pt>
                      <c:pt idx="143">
                        <c:v>311</c:v>
                      </c:pt>
                      <c:pt idx="144" formatCode="_(* #,##0_);_(* \(#,##0\);_(* &quot;-&quot;??_);_(@_)">
                        <c:v>204</c:v>
                      </c:pt>
                      <c:pt idx="145">
                        <c:v>244</c:v>
                      </c:pt>
                      <c:pt idx="146">
                        <c:v>216</c:v>
                      </c:pt>
                      <c:pt idx="147">
                        <c:v>192</c:v>
                      </c:pt>
                      <c:pt idx="148" formatCode="_(* #,##0_);_(* \(#,##0\);_(* &quot;-&quot;??_);_(@_)">
                        <c:v>266</c:v>
                      </c:pt>
                      <c:pt idx="149" formatCode="_(* #,##0_);_(* \(#,##0\);_(* &quot;-&quot;??_);_(@_)">
                        <c:v>294</c:v>
                      </c:pt>
                      <c:pt idx="150" formatCode="_(* #,##0_);_(* \(#,##0\);_(* &quot;-&quot;??_);_(@_)">
                        <c:v>299</c:v>
                      </c:pt>
                      <c:pt idx="151" formatCode="_(* #,##0_);_(* \(#,##0\);_(* &quot;-&quot;??_);_(@_)">
                        <c:v>233</c:v>
                      </c:pt>
                      <c:pt idx="152" formatCode="_(* #,##0_);_(* \(#,##0\);_(* &quot;-&quot;??_);_(@_)">
                        <c:v>299</c:v>
                      </c:pt>
                      <c:pt idx="153" formatCode="_(* #,##0_);_(* \(#,##0\);_(* &quot;-&quot;??_);_(@_)">
                        <c:v>341</c:v>
                      </c:pt>
                      <c:pt idx="154" formatCode="_(* #,##0_);_(* \(#,##0\);_(* &quot;-&quot;??_);_(@_)">
                        <c:v>245</c:v>
                      </c:pt>
                      <c:pt idx="155" formatCode="_(* #,##0_);_(* \(#,##0\);_(* &quot;-&quot;??_);_(@_)">
                        <c:v>285</c:v>
                      </c:pt>
                      <c:pt idx="156">
                        <c:v>254</c:v>
                      </c:pt>
                      <c:pt idx="157">
                        <c:v>289</c:v>
                      </c:pt>
                      <c:pt idx="158">
                        <c:v>92</c:v>
                      </c:pt>
                      <c:pt idx="159">
                        <c:v>1</c:v>
                      </c:pt>
                      <c:pt idx="161">
                        <c:v>3</c:v>
                      </c:pt>
                      <c:pt idx="162">
                        <c:v>6</c:v>
                      </c:pt>
                      <c:pt idx="163">
                        <c:v>5</c:v>
                      </c:pt>
                      <c:pt idx="164">
                        <c:v>6</c:v>
                      </c:pt>
                      <c:pt idx="165">
                        <c:v>23</c:v>
                      </c:pt>
                      <c:pt idx="166">
                        <c:v>41</c:v>
                      </c:pt>
                      <c:pt idx="167">
                        <c:v>96</c:v>
                      </c:pt>
                      <c:pt idx="168">
                        <c:v>56</c:v>
                      </c:pt>
                      <c:pt idx="169">
                        <c:v>82</c:v>
                      </c:pt>
                      <c:pt idx="170">
                        <c:v>79</c:v>
                      </c:pt>
                      <c:pt idx="171">
                        <c:v>49</c:v>
                      </c:pt>
                      <c:pt idx="172">
                        <c:v>66</c:v>
                      </c:pt>
                    </c:numCache>
                  </c:numRef>
                </c:val>
                <c:smooth val="0"/>
                <c:extLst xmlns:c15="http://schemas.microsoft.com/office/drawing/2012/chart">
                  <c:ext xmlns:c16="http://schemas.microsoft.com/office/drawing/2014/chart" uri="{C3380CC4-5D6E-409C-BE32-E72D297353CC}">
                    <c16:uniqueId val="{00000017-9994-4956-9FBA-2410398E6D0E}"/>
                  </c:ext>
                </c:extLst>
              </c15:ser>
            </c15:filteredLineSeries>
            <c15:filteredLineSeries>
              <c15:ser>
                <c:idx val="24"/>
                <c:order val="24"/>
                <c:tx>
                  <c:strRef>
                    <c:extLst xmlns:c15="http://schemas.microsoft.com/office/drawing/2012/chart">
                      <c:ext xmlns:c15="http://schemas.microsoft.com/office/drawing/2012/chart" uri="{02D57815-91ED-43cb-92C2-25804820EDAC}">
                        <c15:formulaRef>
                          <c15:sqref>'Tendencias nacionalidad'!$C$78</c15:sqref>
                        </c15:formulaRef>
                      </c:ext>
                    </c:extLst>
                    <c:strCache>
                      <c:ptCount val="1"/>
                      <c:pt idx="0">
                        <c:v>Dinamarca</c:v>
                      </c:pt>
                    </c:strCache>
                  </c:strRef>
                </c:tx>
                <c:spPr>
                  <a:ln w="2857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nacionalidad'!$D$78:$GA$78</c15:sqref>
                        </c15:fullRef>
                        <c15:formulaRef>
                          <c15:sqref>'Tendencias nacionalidad'!$D$78:$FT$78</c15:sqref>
                        </c15:formulaRef>
                      </c:ext>
                    </c:extLst>
                    <c:numCache>
                      <c:formatCode>#,##0</c:formatCode>
                      <c:ptCount val="173"/>
                      <c:pt idx="0">
                        <c:v>265</c:v>
                      </c:pt>
                      <c:pt idx="1">
                        <c:v>307</c:v>
                      </c:pt>
                      <c:pt idx="2">
                        <c:v>216</c:v>
                      </c:pt>
                      <c:pt idx="3">
                        <c:v>119</c:v>
                      </c:pt>
                      <c:pt idx="4">
                        <c:v>65</c:v>
                      </c:pt>
                      <c:pt idx="5">
                        <c:v>98</c:v>
                      </c:pt>
                      <c:pt idx="6">
                        <c:v>294</c:v>
                      </c:pt>
                      <c:pt idx="7">
                        <c:v>80</c:v>
                      </c:pt>
                      <c:pt idx="8">
                        <c:v>155</c:v>
                      </c:pt>
                      <c:pt idx="9">
                        <c:v>283</c:v>
                      </c:pt>
                      <c:pt idx="10">
                        <c:v>162</c:v>
                      </c:pt>
                      <c:pt idx="11">
                        <c:v>88</c:v>
                      </c:pt>
                      <c:pt idx="12">
                        <c:v>219</c:v>
                      </c:pt>
                      <c:pt idx="13">
                        <c:v>477</c:v>
                      </c:pt>
                      <c:pt idx="14">
                        <c:v>222</c:v>
                      </c:pt>
                      <c:pt idx="15">
                        <c:v>110</c:v>
                      </c:pt>
                      <c:pt idx="16">
                        <c:v>92</c:v>
                      </c:pt>
                      <c:pt idx="17">
                        <c:v>159</c:v>
                      </c:pt>
                      <c:pt idx="18">
                        <c:v>307</c:v>
                      </c:pt>
                      <c:pt idx="19">
                        <c:v>107</c:v>
                      </c:pt>
                      <c:pt idx="20">
                        <c:v>148</c:v>
                      </c:pt>
                      <c:pt idx="21">
                        <c:v>279</c:v>
                      </c:pt>
                      <c:pt idx="22">
                        <c:v>201</c:v>
                      </c:pt>
                      <c:pt idx="23">
                        <c:v>148</c:v>
                      </c:pt>
                      <c:pt idx="24">
                        <c:v>203</c:v>
                      </c:pt>
                      <c:pt idx="25">
                        <c:v>261</c:v>
                      </c:pt>
                      <c:pt idx="26">
                        <c:v>206</c:v>
                      </c:pt>
                      <c:pt idx="27">
                        <c:v>168</c:v>
                      </c:pt>
                      <c:pt idx="28">
                        <c:v>175.5</c:v>
                      </c:pt>
                      <c:pt idx="29">
                        <c:v>183</c:v>
                      </c:pt>
                      <c:pt idx="30">
                        <c:v>252</c:v>
                      </c:pt>
                      <c:pt idx="31">
                        <c:v>99</c:v>
                      </c:pt>
                      <c:pt idx="32">
                        <c:v>98</c:v>
                      </c:pt>
                      <c:pt idx="33">
                        <c:v>238</c:v>
                      </c:pt>
                      <c:pt idx="34">
                        <c:v>202</c:v>
                      </c:pt>
                      <c:pt idx="35">
                        <c:v>115</c:v>
                      </c:pt>
                      <c:pt idx="36">
                        <c:v>178</c:v>
                      </c:pt>
                      <c:pt idx="37">
                        <c:v>251</c:v>
                      </c:pt>
                      <c:pt idx="38">
                        <c:v>200</c:v>
                      </c:pt>
                      <c:pt idx="39">
                        <c:v>92</c:v>
                      </c:pt>
                      <c:pt idx="40">
                        <c:v>87</c:v>
                      </c:pt>
                      <c:pt idx="41">
                        <c:v>128</c:v>
                      </c:pt>
                      <c:pt idx="42">
                        <c:v>283</c:v>
                      </c:pt>
                      <c:pt idx="43">
                        <c:v>77</c:v>
                      </c:pt>
                      <c:pt idx="44">
                        <c:v>113</c:v>
                      </c:pt>
                      <c:pt idx="45">
                        <c:v>172</c:v>
                      </c:pt>
                      <c:pt idx="46">
                        <c:v>246</c:v>
                      </c:pt>
                      <c:pt idx="47">
                        <c:v>112</c:v>
                      </c:pt>
                      <c:pt idx="48">
                        <c:v>213</c:v>
                      </c:pt>
                      <c:pt idx="49">
                        <c:v>406</c:v>
                      </c:pt>
                      <c:pt idx="50">
                        <c:v>152</c:v>
                      </c:pt>
                      <c:pt idx="51">
                        <c:v>116</c:v>
                      </c:pt>
                      <c:pt idx="52">
                        <c:v>60</c:v>
                      </c:pt>
                      <c:pt idx="53">
                        <c:v>122</c:v>
                      </c:pt>
                      <c:pt idx="54">
                        <c:v>217</c:v>
                      </c:pt>
                      <c:pt idx="55">
                        <c:v>88</c:v>
                      </c:pt>
                      <c:pt idx="56">
                        <c:v>138</c:v>
                      </c:pt>
                      <c:pt idx="57">
                        <c:v>226</c:v>
                      </c:pt>
                      <c:pt idx="58">
                        <c:v>103</c:v>
                      </c:pt>
                      <c:pt idx="59">
                        <c:v>150</c:v>
                      </c:pt>
                      <c:pt idx="60">
                        <c:v>250</c:v>
                      </c:pt>
                      <c:pt idx="61">
                        <c:v>287</c:v>
                      </c:pt>
                      <c:pt idx="62">
                        <c:v>177</c:v>
                      </c:pt>
                      <c:pt idx="63">
                        <c:v>87</c:v>
                      </c:pt>
                      <c:pt idx="64">
                        <c:v>81</c:v>
                      </c:pt>
                      <c:pt idx="65">
                        <c:v>96</c:v>
                      </c:pt>
                      <c:pt idx="66">
                        <c:v>200</c:v>
                      </c:pt>
                      <c:pt idx="67">
                        <c:v>61</c:v>
                      </c:pt>
                      <c:pt idx="68">
                        <c:v>166</c:v>
                      </c:pt>
                      <c:pt idx="69">
                        <c:v>157</c:v>
                      </c:pt>
                      <c:pt idx="70">
                        <c:v>166</c:v>
                      </c:pt>
                      <c:pt idx="71">
                        <c:v>70</c:v>
                      </c:pt>
                      <c:pt idx="72">
                        <c:v>234</c:v>
                      </c:pt>
                      <c:pt idx="73">
                        <c:v>196</c:v>
                      </c:pt>
                      <c:pt idx="74">
                        <c:v>222</c:v>
                      </c:pt>
                      <c:pt idx="75">
                        <c:v>104</c:v>
                      </c:pt>
                      <c:pt idx="76">
                        <c:v>71</c:v>
                      </c:pt>
                      <c:pt idx="77">
                        <c:v>101</c:v>
                      </c:pt>
                      <c:pt idx="78">
                        <c:v>269</c:v>
                      </c:pt>
                      <c:pt idx="79">
                        <c:v>67</c:v>
                      </c:pt>
                      <c:pt idx="80">
                        <c:v>95</c:v>
                      </c:pt>
                      <c:pt idx="81">
                        <c:v>146</c:v>
                      </c:pt>
                      <c:pt idx="82">
                        <c:v>239</c:v>
                      </c:pt>
                      <c:pt idx="83">
                        <c:v>112</c:v>
                      </c:pt>
                      <c:pt idx="84">
                        <c:v>252</c:v>
                      </c:pt>
                      <c:pt idx="85">
                        <c:v>231</c:v>
                      </c:pt>
                      <c:pt idx="86">
                        <c:v>180</c:v>
                      </c:pt>
                      <c:pt idx="87">
                        <c:v>128</c:v>
                      </c:pt>
                      <c:pt idx="88">
                        <c:v>77</c:v>
                      </c:pt>
                      <c:pt idx="89">
                        <c:v>117</c:v>
                      </c:pt>
                      <c:pt idx="90">
                        <c:v>176</c:v>
                      </c:pt>
                      <c:pt idx="91">
                        <c:v>98</c:v>
                      </c:pt>
                      <c:pt idx="92">
                        <c:v>126</c:v>
                      </c:pt>
                      <c:pt idx="93">
                        <c:v>196</c:v>
                      </c:pt>
                      <c:pt idx="94">
                        <c:v>187</c:v>
                      </c:pt>
                      <c:pt idx="95">
                        <c:v>137</c:v>
                      </c:pt>
                      <c:pt idx="96">
                        <c:v>133</c:v>
                      </c:pt>
                      <c:pt idx="97">
                        <c:v>234</c:v>
                      </c:pt>
                      <c:pt idx="98">
                        <c:v>242</c:v>
                      </c:pt>
                      <c:pt idx="99">
                        <c:v>102</c:v>
                      </c:pt>
                      <c:pt idx="100">
                        <c:v>65</c:v>
                      </c:pt>
                      <c:pt idx="101">
                        <c:v>124</c:v>
                      </c:pt>
                      <c:pt idx="102">
                        <c:v>224</c:v>
                      </c:pt>
                      <c:pt idx="103">
                        <c:v>70</c:v>
                      </c:pt>
                      <c:pt idx="104">
                        <c:v>93</c:v>
                      </c:pt>
                      <c:pt idx="105">
                        <c:v>185</c:v>
                      </c:pt>
                      <c:pt idx="106">
                        <c:v>146</c:v>
                      </c:pt>
                      <c:pt idx="107">
                        <c:v>117</c:v>
                      </c:pt>
                      <c:pt idx="108">
                        <c:v>180</c:v>
                      </c:pt>
                      <c:pt idx="109">
                        <c:v>228</c:v>
                      </c:pt>
                      <c:pt idx="110">
                        <c:v>313</c:v>
                      </c:pt>
                      <c:pt idx="111">
                        <c:v>108</c:v>
                      </c:pt>
                      <c:pt idx="112">
                        <c:v>75</c:v>
                      </c:pt>
                      <c:pt idx="113">
                        <c:v>154</c:v>
                      </c:pt>
                      <c:pt idx="114">
                        <c:v>248</c:v>
                      </c:pt>
                      <c:pt idx="115">
                        <c:v>76</c:v>
                      </c:pt>
                      <c:pt idx="116" formatCode="General">
                        <c:v>99</c:v>
                      </c:pt>
                      <c:pt idx="117">
                        <c:v>209</c:v>
                      </c:pt>
                      <c:pt idx="118">
                        <c:v>114</c:v>
                      </c:pt>
                      <c:pt idx="119">
                        <c:v>97</c:v>
                      </c:pt>
                      <c:pt idx="120">
                        <c:v>165</c:v>
                      </c:pt>
                      <c:pt idx="121">
                        <c:v>265</c:v>
                      </c:pt>
                      <c:pt idx="122">
                        <c:v>226</c:v>
                      </c:pt>
                      <c:pt idx="123">
                        <c:v>167</c:v>
                      </c:pt>
                      <c:pt idx="124">
                        <c:v>67</c:v>
                      </c:pt>
                      <c:pt idx="125">
                        <c:v>147</c:v>
                      </c:pt>
                      <c:pt idx="126">
                        <c:v>267</c:v>
                      </c:pt>
                      <c:pt idx="127">
                        <c:v>116</c:v>
                      </c:pt>
                      <c:pt idx="128">
                        <c:v>166</c:v>
                      </c:pt>
                      <c:pt idx="129">
                        <c:v>230</c:v>
                      </c:pt>
                      <c:pt idx="130">
                        <c:v>154</c:v>
                      </c:pt>
                      <c:pt idx="131">
                        <c:v>150</c:v>
                      </c:pt>
                      <c:pt idx="132">
                        <c:v>202</c:v>
                      </c:pt>
                      <c:pt idx="133">
                        <c:v>365</c:v>
                      </c:pt>
                      <c:pt idx="134">
                        <c:v>309</c:v>
                      </c:pt>
                      <c:pt idx="135">
                        <c:v>194</c:v>
                      </c:pt>
                      <c:pt idx="136">
                        <c:v>79</c:v>
                      </c:pt>
                      <c:pt idx="137">
                        <c:v>144</c:v>
                      </c:pt>
                      <c:pt idx="138">
                        <c:v>268</c:v>
                      </c:pt>
                      <c:pt idx="139">
                        <c:v>88</c:v>
                      </c:pt>
                      <c:pt idx="140">
                        <c:v>172</c:v>
                      </c:pt>
                      <c:pt idx="141">
                        <c:v>309</c:v>
                      </c:pt>
                      <c:pt idx="142">
                        <c:v>189</c:v>
                      </c:pt>
                      <c:pt idx="143">
                        <c:v>154</c:v>
                      </c:pt>
                      <c:pt idx="144" formatCode="_(* #,##0_);_(* \(#,##0\);_(* &quot;-&quot;??_);_(@_)">
                        <c:v>229</c:v>
                      </c:pt>
                      <c:pt idx="145">
                        <c:v>408</c:v>
                      </c:pt>
                      <c:pt idx="146">
                        <c:v>247</c:v>
                      </c:pt>
                      <c:pt idx="147">
                        <c:v>255</c:v>
                      </c:pt>
                      <c:pt idx="148" formatCode="_(* #,##0_);_(* \(#,##0\);_(* &quot;-&quot;??_);_(@_)">
                        <c:v>103</c:v>
                      </c:pt>
                      <c:pt idx="149" formatCode="_(* #,##0_);_(* \(#,##0\);_(* &quot;-&quot;??_);_(@_)">
                        <c:v>140</c:v>
                      </c:pt>
                      <c:pt idx="150" formatCode="_(* #,##0_);_(* \(#,##0\);_(* &quot;-&quot;??_);_(@_)">
                        <c:v>343</c:v>
                      </c:pt>
                      <c:pt idx="151" formatCode="_(* #,##0_);_(* \(#,##0\);_(* &quot;-&quot;??_);_(@_)">
                        <c:v>141</c:v>
                      </c:pt>
                      <c:pt idx="152" formatCode="_(* #,##0_);_(* \(#,##0\);_(* &quot;-&quot;??_);_(@_)">
                        <c:v>242</c:v>
                      </c:pt>
                      <c:pt idx="153" formatCode="_(* #,##0_);_(* \(#,##0\);_(* &quot;-&quot;??_);_(@_)">
                        <c:v>175</c:v>
                      </c:pt>
                      <c:pt idx="154" formatCode="_(* #,##0_);_(* \(#,##0\);_(* &quot;-&quot;??_);_(@_)">
                        <c:v>177</c:v>
                      </c:pt>
                      <c:pt idx="155" formatCode="_(* #,##0_);_(* \(#,##0\);_(* &quot;-&quot;??_);_(@_)">
                        <c:v>150</c:v>
                      </c:pt>
                      <c:pt idx="156">
                        <c:v>283</c:v>
                      </c:pt>
                      <c:pt idx="157">
                        <c:v>504</c:v>
                      </c:pt>
                      <c:pt idx="158">
                        <c:v>137</c:v>
                      </c:pt>
                      <c:pt idx="159">
                        <c:v>2</c:v>
                      </c:pt>
                      <c:pt idx="160">
                        <c:v>2</c:v>
                      </c:pt>
                      <c:pt idx="161">
                        <c:v>4</c:v>
                      </c:pt>
                      <c:pt idx="162">
                        <c:v>7</c:v>
                      </c:pt>
                      <c:pt idx="163">
                        <c:v>2</c:v>
                      </c:pt>
                      <c:pt idx="164">
                        <c:v>11</c:v>
                      </c:pt>
                      <c:pt idx="165">
                        <c:v>16</c:v>
                      </c:pt>
                      <c:pt idx="166">
                        <c:v>7</c:v>
                      </c:pt>
                      <c:pt idx="167">
                        <c:v>15</c:v>
                      </c:pt>
                      <c:pt idx="168">
                        <c:v>12</c:v>
                      </c:pt>
                      <c:pt idx="169">
                        <c:v>7</c:v>
                      </c:pt>
                      <c:pt idx="170">
                        <c:v>9</c:v>
                      </c:pt>
                      <c:pt idx="171">
                        <c:v>4</c:v>
                      </c:pt>
                      <c:pt idx="172">
                        <c:v>13</c:v>
                      </c:pt>
                    </c:numCache>
                  </c:numRef>
                </c:val>
                <c:smooth val="0"/>
                <c:extLst xmlns:c15="http://schemas.microsoft.com/office/drawing/2012/chart">
                  <c:ext xmlns:c16="http://schemas.microsoft.com/office/drawing/2014/chart" uri="{C3380CC4-5D6E-409C-BE32-E72D297353CC}">
                    <c16:uniqueId val="{00000018-9994-4956-9FBA-2410398E6D0E}"/>
                  </c:ext>
                </c:extLst>
              </c15:ser>
            </c15:filteredLineSeries>
            <c15:filteredLineSeries>
              <c15:ser>
                <c:idx val="25"/>
                <c:order val="25"/>
                <c:tx>
                  <c:strRef>
                    <c:extLst xmlns:c15="http://schemas.microsoft.com/office/drawing/2012/chart">
                      <c:ext xmlns:c15="http://schemas.microsoft.com/office/drawing/2012/chart" uri="{02D57815-91ED-43cb-92C2-25804820EDAC}">
                        <c15:formulaRef>
                          <c15:sqref>'Tendencias nacionalidad'!$C$79</c15:sqref>
                        </c15:formulaRef>
                      </c:ext>
                    </c:extLst>
                    <c:strCache>
                      <c:ptCount val="1"/>
                      <c:pt idx="0">
                        <c:v>Israel</c:v>
                      </c:pt>
                    </c:strCache>
                  </c:strRef>
                </c:tx>
                <c:spPr>
                  <a:ln w="28575" cap="rnd">
                    <a:solidFill>
                      <a:schemeClr val="accent2">
                        <a:lumMod val="60000"/>
                        <a:lumOff val="40000"/>
                      </a:schemeClr>
                    </a:solid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nacionalidad'!$D$79:$GA$79</c15:sqref>
                        </c15:fullRef>
                        <c15:formulaRef>
                          <c15:sqref>'Tendencias nacionalidad'!$D$79:$FT$79</c15:sqref>
                        </c15:formulaRef>
                      </c:ext>
                    </c:extLst>
                    <c:numCache>
                      <c:formatCode>#,##0</c:formatCode>
                      <c:ptCount val="173"/>
                      <c:pt idx="0">
                        <c:v>78</c:v>
                      </c:pt>
                      <c:pt idx="1">
                        <c:v>103</c:v>
                      </c:pt>
                      <c:pt idx="2">
                        <c:v>184</c:v>
                      </c:pt>
                      <c:pt idx="3">
                        <c:v>112</c:v>
                      </c:pt>
                      <c:pt idx="4">
                        <c:v>114</c:v>
                      </c:pt>
                      <c:pt idx="5">
                        <c:v>148</c:v>
                      </c:pt>
                      <c:pt idx="6">
                        <c:v>197</c:v>
                      </c:pt>
                      <c:pt idx="7">
                        <c:v>193</c:v>
                      </c:pt>
                      <c:pt idx="8">
                        <c:v>181</c:v>
                      </c:pt>
                      <c:pt idx="9">
                        <c:v>180</c:v>
                      </c:pt>
                      <c:pt idx="10">
                        <c:v>90</c:v>
                      </c:pt>
                      <c:pt idx="11">
                        <c:v>80</c:v>
                      </c:pt>
                      <c:pt idx="12">
                        <c:v>155</c:v>
                      </c:pt>
                      <c:pt idx="13">
                        <c:v>173</c:v>
                      </c:pt>
                      <c:pt idx="14">
                        <c:v>175</c:v>
                      </c:pt>
                      <c:pt idx="15">
                        <c:v>248</c:v>
                      </c:pt>
                      <c:pt idx="16">
                        <c:v>167</c:v>
                      </c:pt>
                      <c:pt idx="17">
                        <c:v>202</c:v>
                      </c:pt>
                      <c:pt idx="18">
                        <c:v>236</c:v>
                      </c:pt>
                      <c:pt idx="19">
                        <c:v>262</c:v>
                      </c:pt>
                      <c:pt idx="20">
                        <c:v>246</c:v>
                      </c:pt>
                      <c:pt idx="21">
                        <c:v>170</c:v>
                      </c:pt>
                      <c:pt idx="22">
                        <c:v>145</c:v>
                      </c:pt>
                      <c:pt idx="23">
                        <c:v>145</c:v>
                      </c:pt>
                      <c:pt idx="24">
                        <c:v>130</c:v>
                      </c:pt>
                      <c:pt idx="25">
                        <c:v>123</c:v>
                      </c:pt>
                      <c:pt idx="26">
                        <c:v>218</c:v>
                      </c:pt>
                      <c:pt idx="27">
                        <c:v>241</c:v>
                      </c:pt>
                      <c:pt idx="28">
                        <c:v>241</c:v>
                      </c:pt>
                      <c:pt idx="29">
                        <c:v>241</c:v>
                      </c:pt>
                      <c:pt idx="30">
                        <c:v>289</c:v>
                      </c:pt>
                      <c:pt idx="31">
                        <c:v>236</c:v>
                      </c:pt>
                      <c:pt idx="32">
                        <c:v>213</c:v>
                      </c:pt>
                      <c:pt idx="33">
                        <c:v>154</c:v>
                      </c:pt>
                      <c:pt idx="34">
                        <c:v>149</c:v>
                      </c:pt>
                      <c:pt idx="35">
                        <c:v>91</c:v>
                      </c:pt>
                      <c:pt idx="36">
                        <c:v>175</c:v>
                      </c:pt>
                      <c:pt idx="37">
                        <c:v>112</c:v>
                      </c:pt>
                      <c:pt idx="38">
                        <c:v>279</c:v>
                      </c:pt>
                      <c:pt idx="39">
                        <c:v>168</c:v>
                      </c:pt>
                      <c:pt idx="40">
                        <c:v>152</c:v>
                      </c:pt>
                      <c:pt idx="41">
                        <c:v>226</c:v>
                      </c:pt>
                      <c:pt idx="42">
                        <c:v>249</c:v>
                      </c:pt>
                      <c:pt idx="43">
                        <c:v>261</c:v>
                      </c:pt>
                      <c:pt idx="44">
                        <c:v>217</c:v>
                      </c:pt>
                      <c:pt idx="45">
                        <c:v>88</c:v>
                      </c:pt>
                      <c:pt idx="46">
                        <c:v>87</c:v>
                      </c:pt>
                      <c:pt idx="47">
                        <c:v>78</c:v>
                      </c:pt>
                      <c:pt idx="48">
                        <c:v>118</c:v>
                      </c:pt>
                      <c:pt idx="49">
                        <c:v>139</c:v>
                      </c:pt>
                      <c:pt idx="50">
                        <c:v>125</c:v>
                      </c:pt>
                      <c:pt idx="51">
                        <c:v>217</c:v>
                      </c:pt>
                      <c:pt idx="52">
                        <c:v>175</c:v>
                      </c:pt>
                      <c:pt idx="53">
                        <c:v>150</c:v>
                      </c:pt>
                      <c:pt idx="54">
                        <c:v>262</c:v>
                      </c:pt>
                      <c:pt idx="55">
                        <c:v>198</c:v>
                      </c:pt>
                      <c:pt idx="56">
                        <c:v>219</c:v>
                      </c:pt>
                      <c:pt idx="57">
                        <c:v>271</c:v>
                      </c:pt>
                      <c:pt idx="58">
                        <c:v>98</c:v>
                      </c:pt>
                      <c:pt idx="59">
                        <c:v>86</c:v>
                      </c:pt>
                      <c:pt idx="60">
                        <c:v>133</c:v>
                      </c:pt>
                      <c:pt idx="61">
                        <c:v>119</c:v>
                      </c:pt>
                      <c:pt idx="62">
                        <c:v>163</c:v>
                      </c:pt>
                      <c:pt idx="63">
                        <c:v>213</c:v>
                      </c:pt>
                      <c:pt idx="64">
                        <c:v>210</c:v>
                      </c:pt>
                      <c:pt idx="65">
                        <c:v>203</c:v>
                      </c:pt>
                      <c:pt idx="66">
                        <c:v>253</c:v>
                      </c:pt>
                      <c:pt idx="67">
                        <c:v>221</c:v>
                      </c:pt>
                      <c:pt idx="68">
                        <c:v>326</c:v>
                      </c:pt>
                      <c:pt idx="69">
                        <c:v>176</c:v>
                      </c:pt>
                      <c:pt idx="70">
                        <c:v>131</c:v>
                      </c:pt>
                      <c:pt idx="71">
                        <c:v>106</c:v>
                      </c:pt>
                      <c:pt idx="72">
                        <c:v>135</c:v>
                      </c:pt>
                      <c:pt idx="73">
                        <c:v>152</c:v>
                      </c:pt>
                      <c:pt idx="74">
                        <c:v>185</c:v>
                      </c:pt>
                      <c:pt idx="75">
                        <c:v>132</c:v>
                      </c:pt>
                      <c:pt idx="76">
                        <c:v>195</c:v>
                      </c:pt>
                      <c:pt idx="77">
                        <c:v>177</c:v>
                      </c:pt>
                      <c:pt idx="78">
                        <c:v>258</c:v>
                      </c:pt>
                      <c:pt idx="79">
                        <c:v>175</c:v>
                      </c:pt>
                      <c:pt idx="80">
                        <c:v>275</c:v>
                      </c:pt>
                      <c:pt idx="81">
                        <c:v>119</c:v>
                      </c:pt>
                      <c:pt idx="82">
                        <c:v>118</c:v>
                      </c:pt>
                      <c:pt idx="83">
                        <c:v>86</c:v>
                      </c:pt>
                      <c:pt idx="84">
                        <c:v>153</c:v>
                      </c:pt>
                      <c:pt idx="85">
                        <c:v>143</c:v>
                      </c:pt>
                      <c:pt idx="86">
                        <c:v>161</c:v>
                      </c:pt>
                      <c:pt idx="87">
                        <c:v>201</c:v>
                      </c:pt>
                      <c:pt idx="88">
                        <c:v>206</c:v>
                      </c:pt>
                      <c:pt idx="89">
                        <c:v>181</c:v>
                      </c:pt>
                      <c:pt idx="90">
                        <c:v>278</c:v>
                      </c:pt>
                      <c:pt idx="91">
                        <c:v>198</c:v>
                      </c:pt>
                      <c:pt idx="92">
                        <c:v>227</c:v>
                      </c:pt>
                      <c:pt idx="93">
                        <c:v>207</c:v>
                      </c:pt>
                      <c:pt idx="94">
                        <c:v>126</c:v>
                      </c:pt>
                      <c:pt idx="95">
                        <c:v>73</c:v>
                      </c:pt>
                      <c:pt idx="96">
                        <c:v>204</c:v>
                      </c:pt>
                      <c:pt idx="97">
                        <c:v>104</c:v>
                      </c:pt>
                      <c:pt idx="98">
                        <c:v>171</c:v>
                      </c:pt>
                      <c:pt idx="99">
                        <c:v>264</c:v>
                      </c:pt>
                      <c:pt idx="100">
                        <c:v>250</c:v>
                      </c:pt>
                      <c:pt idx="101">
                        <c:v>188</c:v>
                      </c:pt>
                      <c:pt idx="102">
                        <c:v>204</c:v>
                      </c:pt>
                      <c:pt idx="103">
                        <c:v>170</c:v>
                      </c:pt>
                      <c:pt idx="104">
                        <c:v>298</c:v>
                      </c:pt>
                      <c:pt idx="105">
                        <c:v>111</c:v>
                      </c:pt>
                      <c:pt idx="106">
                        <c:v>147</c:v>
                      </c:pt>
                      <c:pt idx="107">
                        <c:v>77</c:v>
                      </c:pt>
                      <c:pt idx="108">
                        <c:v>124</c:v>
                      </c:pt>
                      <c:pt idx="109">
                        <c:v>147</c:v>
                      </c:pt>
                      <c:pt idx="110">
                        <c:v>120</c:v>
                      </c:pt>
                      <c:pt idx="111">
                        <c:v>273</c:v>
                      </c:pt>
                      <c:pt idx="112">
                        <c:v>157</c:v>
                      </c:pt>
                      <c:pt idx="113">
                        <c:v>220</c:v>
                      </c:pt>
                      <c:pt idx="114">
                        <c:v>209</c:v>
                      </c:pt>
                      <c:pt idx="115">
                        <c:v>188</c:v>
                      </c:pt>
                      <c:pt idx="116" formatCode="General">
                        <c:v>175</c:v>
                      </c:pt>
                      <c:pt idx="117">
                        <c:v>245</c:v>
                      </c:pt>
                      <c:pt idx="118">
                        <c:v>107</c:v>
                      </c:pt>
                      <c:pt idx="119">
                        <c:v>136</c:v>
                      </c:pt>
                      <c:pt idx="120">
                        <c:v>102</c:v>
                      </c:pt>
                      <c:pt idx="121">
                        <c:v>109</c:v>
                      </c:pt>
                      <c:pt idx="122">
                        <c:v>146</c:v>
                      </c:pt>
                      <c:pt idx="123">
                        <c:v>271</c:v>
                      </c:pt>
                      <c:pt idx="124">
                        <c:v>156</c:v>
                      </c:pt>
                      <c:pt idx="125">
                        <c:v>142</c:v>
                      </c:pt>
                      <c:pt idx="126">
                        <c:v>179</c:v>
                      </c:pt>
                      <c:pt idx="127">
                        <c:v>186</c:v>
                      </c:pt>
                      <c:pt idx="128">
                        <c:v>144</c:v>
                      </c:pt>
                      <c:pt idx="129">
                        <c:v>117</c:v>
                      </c:pt>
                      <c:pt idx="130">
                        <c:v>104</c:v>
                      </c:pt>
                      <c:pt idx="131">
                        <c:v>119</c:v>
                      </c:pt>
                      <c:pt idx="132">
                        <c:v>145</c:v>
                      </c:pt>
                      <c:pt idx="133">
                        <c:v>134</c:v>
                      </c:pt>
                      <c:pt idx="134">
                        <c:v>200</c:v>
                      </c:pt>
                      <c:pt idx="135">
                        <c:v>232</c:v>
                      </c:pt>
                      <c:pt idx="136">
                        <c:v>249</c:v>
                      </c:pt>
                      <c:pt idx="137">
                        <c:v>206</c:v>
                      </c:pt>
                      <c:pt idx="138">
                        <c:v>241</c:v>
                      </c:pt>
                      <c:pt idx="139">
                        <c:v>250</c:v>
                      </c:pt>
                      <c:pt idx="140">
                        <c:v>307</c:v>
                      </c:pt>
                      <c:pt idx="141">
                        <c:v>141</c:v>
                      </c:pt>
                      <c:pt idx="142">
                        <c:v>72</c:v>
                      </c:pt>
                      <c:pt idx="143">
                        <c:v>230</c:v>
                      </c:pt>
                      <c:pt idx="144" formatCode="_(* #,##0_);_(* \(#,##0\);_(* &quot;-&quot;??_);_(@_)">
                        <c:v>127</c:v>
                      </c:pt>
                      <c:pt idx="145">
                        <c:v>102</c:v>
                      </c:pt>
                      <c:pt idx="146">
                        <c:v>181</c:v>
                      </c:pt>
                      <c:pt idx="147">
                        <c:v>326</c:v>
                      </c:pt>
                      <c:pt idx="148" formatCode="_(* #,##0_);_(* \(#,##0\);_(* &quot;-&quot;??_);_(@_)">
                        <c:v>267</c:v>
                      </c:pt>
                      <c:pt idx="149" formatCode="_(* #,##0_);_(* \(#,##0\);_(* &quot;-&quot;??_);_(@_)">
                        <c:v>227</c:v>
                      </c:pt>
                      <c:pt idx="150" formatCode="_(* #,##0_);_(* \(#,##0\);_(* &quot;-&quot;??_);_(@_)">
                        <c:v>312</c:v>
                      </c:pt>
                      <c:pt idx="151" formatCode="_(* #,##0_);_(* \(#,##0\);_(* &quot;-&quot;??_);_(@_)">
                        <c:v>221</c:v>
                      </c:pt>
                      <c:pt idx="152" formatCode="_(* #,##0_);_(* \(#,##0\);_(* &quot;-&quot;??_);_(@_)">
                        <c:v>232</c:v>
                      </c:pt>
                      <c:pt idx="153" formatCode="_(* #,##0_);_(* \(#,##0\);_(* &quot;-&quot;??_);_(@_)">
                        <c:v>262</c:v>
                      </c:pt>
                      <c:pt idx="154" formatCode="_(* #,##0_);_(* \(#,##0\);_(* &quot;-&quot;??_);_(@_)">
                        <c:v>139</c:v>
                      </c:pt>
                      <c:pt idx="155" formatCode="_(* #,##0_);_(* \(#,##0\);_(* &quot;-&quot;??_);_(@_)">
                        <c:v>165</c:v>
                      </c:pt>
                      <c:pt idx="156">
                        <c:v>173</c:v>
                      </c:pt>
                      <c:pt idx="157">
                        <c:v>113</c:v>
                      </c:pt>
                      <c:pt idx="158">
                        <c:v>75</c:v>
                      </c:pt>
                      <c:pt idx="161">
                        <c:v>1</c:v>
                      </c:pt>
                      <c:pt idx="162">
                        <c:v>5</c:v>
                      </c:pt>
                      <c:pt idx="163">
                        <c:v>12</c:v>
                      </c:pt>
                      <c:pt idx="164">
                        <c:v>7</c:v>
                      </c:pt>
                      <c:pt idx="165">
                        <c:v>12</c:v>
                      </c:pt>
                      <c:pt idx="166">
                        <c:v>24</c:v>
                      </c:pt>
                      <c:pt idx="167">
                        <c:v>21</c:v>
                      </c:pt>
                      <c:pt idx="168">
                        <c:v>29</c:v>
                      </c:pt>
                      <c:pt idx="169">
                        <c:v>7</c:v>
                      </c:pt>
                      <c:pt idx="170">
                        <c:v>24</c:v>
                      </c:pt>
                      <c:pt idx="171">
                        <c:v>46</c:v>
                      </c:pt>
                      <c:pt idx="172">
                        <c:v>42</c:v>
                      </c:pt>
                    </c:numCache>
                  </c:numRef>
                </c:val>
                <c:smooth val="0"/>
                <c:extLst xmlns:c15="http://schemas.microsoft.com/office/drawing/2012/chart">
                  <c:ext xmlns:c16="http://schemas.microsoft.com/office/drawing/2014/chart" uri="{C3380CC4-5D6E-409C-BE32-E72D297353CC}">
                    <c16:uniqueId val="{00000019-9994-4956-9FBA-2410398E6D0E}"/>
                  </c:ext>
                </c:extLst>
              </c15:ser>
            </c15:filteredLineSeries>
            <c15:filteredLineSeries>
              <c15:ser>
                <c:idx val="26"/>
                <c:order val="26"/>
                <c:tx>
                  <c:strRef>
                    <c:extLst xmlns:c15="http://schemas.microsoft.com/office/drawing/2012/chart">
                      <c:ext xmlns:c15="http://schemas.microsoft.com/office/drawing/2012/chart" uri="{02D57815-91ED-43cb-92C2-25804820EDAC}">
                        <c15:formulaRef>
                          <c15:sqref>'Tendencias nacionalidad'!$C$80</c15:sqref>
                        </c15:formulaRef>
                      </c:ext>
                    </c:extLst>
                    <c:strCache>
                      <c:ptCount val="1"/>
                      <c:pt idx="0">
                        <c:v>Rusia</c:v>
                      </c:pt>
                    </c:strCache>
                  </c:strRef>
                </c:tx>
                <c:spPr>
                  <a:ln w="28575" cap="rnd">
                    <a:solidFill>
                      <a:schemeClr val="accent3">
                        <a:lumMod val="60000"/>
                        <a:lumOff val="40000"/>
                      </a:schemeClr>
                    </a:solid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nacionalidad'!$D$80:$GA$80</c15:sqref>
                        </c15:fullRef>
                        <c15:formulaRef>
                          <c15:sqref>'Tendencias nacionalidad'!$D$80:$FT$80</c15:sqref>
                        </c15:formulaRef>
                      </c:ext>
                    </c:extLst>
                    <c:numCache>
                      <c:formatCode>#,##0</c:formatCode>
                      <c:ptCount val="173"/>
                      <c:pt idx="0">
                        <c:v>120</c:v>
                      </c:pt>
                      <c:pt idx="1">
                        <c:v>59</c:v>
                      </c:pt>
                      <c:pt idx="2">
                        <c:v>128</c:v>
                      </c:pt>
                      <c:pt idx="3">
                        <c:v>109</c:v>
                      </c:pt>
                      <c:pt idx="4">
                        <c:v>113</c:v>
                      </c:pt>
                      <c:pt idx="5">
                        <c:v>72</c:v>
                      </c:pt>
                      <c:pt idx="6">
                        <c:v>102</c:v>
                      </c:pt>
                      <c:pt idx="7">
                        <c:v>118</c:v>
                      </c:pt>
                      <c:pt idx="8">
                        <c:v>110</c:v>
                      </c:pt>
                      <c:pt idx="9">
                        <c:v>166</c:v>
                      </c:pt>
                      <c:pt idx="10">
                        <c:v>172</c:v>
                      </c:pt>
                      <c:pt idx="11">
                        <c:v>155</c:v>
                      </c:pt>
                      <c:pt idx="12">
                        <c:v>194</c:v>
                      </c:pt>
                      <c:pt idx="13">
                        <c:v>225</c:v>
                      </c:pt>
                      <c:pt idx="14">
                        <c:v>75</c:v>
                      </c:pt>
                      <c:pt idx="15">
                        <c:v>146</c:v>
                      </c:pt>
                      <c:pt idx="16">
                        <c:v>108</c:v>
                      </c:pt>
                      <c:pt idx="17">
                        <c:v>91</c:v>
                      </c:pt>
                      <c:pt idx="18">
                        <c:v>59</c:v>
                      </c:pt>
                      <c:pt idx="19">
                        <c:v>146</c:v>
                      </c:pt>
                      <c:pt idx="20">
                        <c:v>144</c:v>
                      </c:pt>
                      <c:pt idx="21">
                        <c:v>246</c:v>
                      </c:pt>
                      <c:pt idx="22">
                        <c:v>176</c:v>
                      </c:pt>
                      <c:pt idx="23">
                        <c:v>156</c:v>
                      </c:pt>
                      <c:pt idx="24">
                        <c:v>242</c:v>
                      </c:pt>
                      <c:pt idx="25">
                        <c:v>112</c:v>
                      </c:pt>
                      <c:pt idx="26">
                        <c:v>107</c:v>
                      </c:pt>
                      <c:pt idx="27">
                        <c:v>162</c:v>
                      </c:pt>
                      <c:pt idx="28">
                        <c:v>132</c:v>
                      </c:pt>
                      <c:pt idx="29">
                        <c:v>102</c:v>
                      </c:pt>
                      <c:pt idx="30">
                        <c:v>113</c:v>
                      </c:pt>
                      <c:pt idx="31">
                        <c:v>121</c:v>
                      </c:pt>
                      <c:pt idx="32">
                        <c:v>168</c:v>
                      </c:pt>
                      <c:pt idx="33">
                        <c:v>111</c:v>
                      </c:pt>
                      <c:pt idx="34">
                        <c:v>109</c:v>
                      </c:pt>
                      <c:pt idx="35">
                        <c:v>124</c:v>
                      </c:pt>
                      <c:pt idx="36">
                        <c:v>180</c:v>
                      </c:pt>
                      <c:pt idx="37">
                        <c:v>118</c:v>
                      </c:pt>
                      <c:pt idx="38">
                        <c:v>148</c:v>
                      </c:pt>
                      <c:pt idx="39">
                        <c:v>100</c:v>
                      </c:pt>
                      <c:pt idx="40">
                        <c:v>129</c:v>
                      </c:pt>
                      <c:pt idx="41">
                        <c:v>93</c:v>
                      </c:pt>
                      <c:pt idx="42">
                        <c:v>88</c:v>
                      </c:pt>
                      <c:pt idx="43">
                        <c:v>74</c:v>
                      </c:pt>
                      <c:pt idx="44">
                        <c:v>110</c:v>
                      </c:pt>
                      <c:pt idx="45">
                        <c:v>95</c:v>
                      </c:pt>
                      <c:pt idx="46">
                        <c:v>136</c:v>
                      </c:pt>
                      <c:pt idx="47">
                        <c:v>177</c:v>
                      </c:pt>
                      <c:pt idx="48">
                        <c:v>162</c:v>
                      </c:pt>
                      <c:pt idx="49">
                        <c:v>143</c:v>
                      </c:pt>
                      <c:pt idx="50">
                        <c:v>142</c:v>
                      </c:pt>
                      <c:pt idx="51">
                        <c:v>190</c:v>
                      </c:pt>
                      <c:pt idx="52">
                        <c:v>66</c:v>
                      </c:pt>
                      <c:pt idx="53">
                        <c:v>108</c:v>
                      </c:pt>
                      <c:pt idx="54">
                        <c:v>147</c:v>
                      </c:pt>
                      <c:pt idx="55">
                        <c:v>120</c:v>
                      </c:pt>
                      <c:pt idx="56">
                        <c:v>122</c:v>
                      </c:pt>
                      <c:pt idx="57">
                        <c:v>233</c:v>
                      </c:pt>
                      <c:pt idx="58">
                        <c:v>327</c:v>
                      </c:pt>
                      <c:pt idx="59">
                        <c:v>182</c:v>
                      </c:pt>
                      <c:pt idx="60">
                        <c:v>251</c:v>
                      </c:pt>
                      <c:pt idx="61">
                        <c:v>150</c:v>
                      </c:pt>
                      <c:pt idx="62">
                        <c:v>195</c:v>
                      </c:pt>
                      <c:pt idx="63">
                        <c:v>172</c:v>
                      </c:pt>
                      <c:pt idx="64">
                        <c:v>182</c:v>
                      </c:pt>
                      <c:pt idx="65">
                        <c:v>137</c:v>
                      </c:pt>
                      <c:pt idx="66">
                        <c:v>166</c:v>
                      </c:pt>
                      <c:pt idx="67">
                        <c:v>178</c:v>
                      </c:pt>
                      <c:pt idx="68">
                        <c:v>154</c:v>
                      </c:pt>
                      <c:pt idx="69">
                        <c:v>220</c:v>
                      </c:pt>
                      <c:pt idx="70">
                        <c:v>229</c:v>
                      </c:pt>
                      <c:pt idx="71">
                        <c:v>199</c:v>
                      </c:pt>
                      <c:pt idx="72">
                        <c:v>291</c:v>
                      </c:pt>
                      <c:pt idx="73">
                        <c:v>256</c:v>
                      </c:pt>
                      <c:pt idx="74">
                        <c:v>196</c:v>
                      </c:pt>
                      <c:pt idx="75">
                        <c:v>178</c:v>
                      </c:pt>
                      <c:pt idx="76">
                        <c:v>194</c:v>
                      </c:pt>
                      <c:pt idx="77">
                        <c:v>139</c:v>
                      </c:pt>
                      <c:pt idx="78">
                        <c:v>129</c:v>
                      </c:pt>
                      <c:pt idx="79">
                        <c:v>136</c:v>
                      </c:pt>
                      <c:pt idx="80">
                        <c:v>181</c:v>
                      </c:pt>
                      <c:pt idx="81">
                        <c:v>182</c:v>
                      </c:pt>
                      <c:pt idx="82">
                        <c:v>201</c:v>
                      </c:pt>
                      <c:pt idx="83">
                        <c:v>247</c:v>
                      </c:pt>
                      <c:pt idx="84">
                        <c:v>283</c:v>
                      </c:pt>
                      <c:pt idx="85">
                        <c:v>291</c:v>
                      </c:pt>
                      <c:pt idx="86">
                        <c:v>178</c:v>
                      </c:pt>
                      <c:pt idx="87">
                        <c:v>224</c:v>
                      </c:pt>
                      <c:pt idx="88">
                        <c:v>155</c:v>
                      </c:pt>
                      <c:pt idx="89">
                        <c:v>158</c:v>
                      </c:pt>
                      <c:pt idx="90">
                        <c:v>153</c:v>
                      </c:pt>
                      <c:pt idx="91">
                        <c:v>165</c:v>
                      </c:pt>
                      <c:pt idx="92">
                        <c:v>173</c:v>
                      </c:pt>
                      <c:pt idx="93">
                        <c:v>247</c:v>
                      </c:pt>
                      <c:pt idx="94">
                        <c:v>240</c:v>
                      </c:pt>
                      <c:pt idx="95">
                        <c:v>293</c:v>
                      </c:pt>
                      <c:pt idx="96">
                        <c:v>376</c:v>
                      </c:pt>
                      <c:pt idx="97">
                        <c:v>163</c:v>
                      </c:pt>
                      <c:pt idx="98">
                        <c:v>162</c:v>
                      </c:pt>
                      <c:pt idx="99">
                        <c:v>180</c:v>
                      </c:pt>
                      <c:pt idx="100">
                        <c:v>145</c:v>
                      </c:pt>
                      <c:pt idx="101">
                        <c:v>118</c:v>
                      </c:pt>
                      <c:pt idx="102">
                        <c:v>159</c:v>
                      </c:pt>
                      <c:pt idx="103">
                        <c:v>113</c:v>
                      </c:pt>
                      <c:pt idx="104">
                        <c:v>185</c:v>
                      </c:pt>
                      <c:pt idx="105">
                        <c:v>181</c:v>
                      </c:pt>
                      <c:pt idx="106">
                        <c:v>191</c:v>
                      </c:pt>
                      <c:pt idx="107">
                        <c:v>200</c:v>
                      </c:pt>
                      <c:pt idx="108">
                        <c:v>228</c:v>
                      </c:pt>
                      <c:pt idx="109">
                        <c:v>199</c:v>
                      </c:pt>
                      <c:pt idx="110">
                        <c:v>167</c:v>
                      </c:pt>
                      <c:pt idx="111">
                        <c:v>147</c:v>
                      </c:pt>
                      <c:pt idx="112">
                        <c:v>136</c:v>
                      </c:pt>
                      <c:pt idx="113">
                        <c:v>146</c:v>
                      </c:pt>
                      <c:pt idx="114">
                        <c:v>117</c:v>
                      </c:pt>
                      <c:pt idx="115">
                        <c:v>130</c:v>
                      </c:pt>
                      <c:pt idx="116" formatCode="General">
                        <c:v>120</c:v>
                      </c:pt>
                      <c:pt idx="117">
                        <c:v>266</c:v>
                      </c:pt>
                      <c:pt idx="118">
                        <c:v>200</c:v>
                      </c:pt>
                      <c:pt idx="119">
                        <c:v>214</c:v>
                      </c:pt>
                      <c:pt idx="120">
                        <c:v>248</c:v>
                      </c:pt>
                      <c:pt idx="121">
                        <c:v>204</c:v>
                      </c:pt>
                      <c:pt idx="122">
                        <c:v>211</c:v>
                      </c:pt>
                      <c:pt idx="123">
                        <c:v>202</c:v>
                      </c:pt>
                      <c:pt idx="124">
                        <c:v>142</c:v>
                      </c:pt>
                      <c:pt idx="125">
                        <c:v>160</c:v>
                      </c:pt>
                      <c:pt idx="126">
                        <c:v>134</c:v>
                      </c:pt>
                      <c:pt idx="127">
                        <c:v>152</c:v>
                      </c:pt>
                      <c:pt idx="128">
                        <c:v>185</c:v>
                      </c:pt>
                      <c:pt idx="129">
                        <c:v>234</c:v>
                      </c:pt>
                      <c:pt idx="130">
                        <c:v>193</c:v>
                      </c:pt>
                      <c:pt idx="131">
                        <c:v>296</c:v>
                      </c:pt>
                      <c:pt idx="132">
                        <c:v>246</c:v>
                      </c:pt>
                      <c:pt idx="133">
                        <c:v>213</c:v>
                      </c:pt>
                      <c:pt idx="134">
                        <c:v>182</c:v>
                      </c:pt>
                      <c:pt idx="135">
                        <c:v>198</c:v>
                      </c:pt>
                      <c:pt idx="136">
                        <c:v>159</c:v>
                      </c:pt>
                      <c:pt idx="137">
                        <c:v>138</c:v>
                      </c:pt>
                      <c:pt idx="138">
                        <c:v>169</c:v>
                      </c:pt>
                      <c:pt idx="139">
                        <c:v>173</c:v>
                      </c:pt>
                      <c:pt idx="140">
                        <c:v>195</c:v>
                      </c:pt>
                      <c:pt idx="141">
                        <c:v>203</c:v>
                      </c:pt>
                      <c:pt idx="142">
                        <c:v>223</c:v>
                      </c:pt>
                      <c:pt idx="143">
                        <c:v>279</c:v>
                      </c:pt>
                      <c:pt idx="144" formatCode="_(* #,##0_);_(* \(#,##0\);_(* &quot;-&quot;??_);_(@_)">
                        <c:v>262</c:v>
                      </c:pt>
                      <c:pt idx="145">
                        <c:v>212</c:v>
                      </c:pt>
                      <c:pt idx="146">
                        <c:v>207</c:v>
                      </c:pt>
                      <c:pt idx="147">
                        <c:v>218</c:v>
                      </c:pt>
                      <c:pt idx="148" formatCode="_(* #,##0_);_(* \(#,##0\);_(* &quot;-&quot;??_);_(@_)">
                        <c:v>155</c:v>
                      </c:pt>
                      <c:pt idx="149" formatCode="_(* #,##0_);_(* \(#,##0\);_(* &quot;-&quot;??_);_(@_)">
                        <c:v>178</c:v>
                      </c:pt>
                      <c:pt idx="150" formatCode="_(* #,##0_);_(* \(#,##0\);_(* &quot;-&quot;??_);_(@_)">
                        <c:v>194</c:v>
                      </c:pt>
                      <c:pt idx="151" formatCode="_(* #,##0_);_(* \(#,##0\);_(* &quot;-&quot;??_);_(@_)">
                        <c:v>225</c:v>
                      </c:pt>
                      <c:pt idx="152" formatCode="_(* #,##0_);_(* \(#,##0\);_(* &quot;-&quot;??_);_(@_)">
                        <c:v>226</c:v>
                      </c:pt>
                      <c:pt idx="153" formatCode="_(* #,##0_);_(* \(#,##0\);_(* &quot;-&quot;??_);_(@_)">
                        <c:v>205</c:v>
                      </c:pt>
                      <c:pt idx="154" formatCode="_(* #,##0_);_(* \(#,##0\);_(* &quot;-&quot;??_);_(@_)">
                        <c:v>228</c:v>
                      </c:pt>
                      <c:pt idx="155" formatCode="_(* #,##0_);_(* \(#,##0\);_(* &quot;-&quot;??_);_(@_)">
                        <c:v>316</c:v>
                      </c:pt>
                      <c:pt idx="156">
                        <c:v>301</c:v>
                      </c:pt>
                      <c:pt idx="157">
                        <c:v>244</c:v>
                      </c:pt>
                      <c:pt idx="158">
                        <c:v>104</c:v>
                      </c:pt>
                      <c:pt idx="159">
                        <c:v>1</c:v>
                      </c:pt>
                      <c:pt idx="160">
                        <c:v>1</c:v>
                      </c:pt>
                      <c:pt idx="161">
                        <c:v>9</c:v>
                      </c:pt>
                      <c:pt idx="162">
                        <c:v>6</c:v>
                      </c:pt>
                      <c:pt idx="163">
                        <c:v>22</c:v>
                      </c:pt>
                      <c:pt idx="164">
                        <c:v>33</c:v>
                      </c:pt>
                      <c:pt idx="165">
                        <c:v>56</c:v>
                      </c:pt>
                      <c:pt idx="166">
                        <c:v>64</c:v>
                      </c:pt>
                      <c:pt idx="167">
                        <c:v>67</c:v>
                      </c:pt>
                      <c:pt idx="168">
                        <c:v>92</c:v>
                      </c:pt>
                      <c:pt idx="169">
                        <c:v>69</c:v>
                      </c:pt>
                      <c:pt idx="170">
                        <c:v>89</c:v>
                      </c:pt>
                      <c:pt idx="171">
                        <c:v>87</c:v>
                      </c:pt>
                      <c:pt idx="172">
                        <c:v>61</c:v>
                      </c:pt>
                    </c:numCache>
                  </c:numRef>
                </c:val>
                <c:smooth val="0"/>
                <c:extLst xmlns:c15="http://schemas.microsoft.com/office/drawing/2012/chart">
                  <c:ext xmlns:c16="http://schemas.microsoft.com/office/drawing/2014/chart" uri="{C3380CC4-5D6E-409C-BE32-E72D297353CC}">
                    <c16:uniqueId val="{0000001A-9994-4956-9FBA-2410398E6D0E}"/>
                  </c:ext>
                </c:extLst>
              </c15:ser>
            </c15:filteredLineSeries>
            <c15:filteredLineSeries>
              <c15:ser>
                <c:idx val="27"/>
                <c:order val="27"/>
                <c:tx>
                  <c:strRef>
                    <c:extLst xmlns:c15="http://schemas.microsoft.com/office/drawing/2012/chart">
                      <c:ext xmlns:c15="http://schemas.microsoft.com/office/drawing/2012/chart" uri="{02D57815-91ED-43cb-92C2-25804820EDAC}">
                        <c15:formulaRef>
                          <c15:sqref>'Tendencias nacionalidad'!$C$81</c15:sqref>
                        </c15:formulaRef>
                      </c:ext>
                    </c:extLst>
                    <c:strCache>
                      <c:ptCount val="1"/>
                      <c:pt idx="0">
                        <c:v>Uruguay</c:v>
                      </c:pt>
                    </c:strCache>
                  </c:strRef>
                </c:tx>
                <c:spPr>
                  <a:ln w="28575" cap="rnd">
                    <a:solidFill>
                      <a:schemeClr val="accent4">
                        <a:lumMod val="60000"/>
                        <a:lumOff val="40000"/>
                      </a:schemeClr>
                    </a:solid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nacionalidad'!$D$81:$GA$81</c15:sqref>
                        </c15:fullRef>
                        <c15:formulaRef>
                          <c15:sqref>'Tendencias nacionalidad'!$D$81:$FT$81</c15:sqref>
                        </c15:formulaRef>
                      </c:ext>
                    </c:extLst>
                    <c:numCache>
                      <c:formatCode>#,##0</c:formatCode>
                      <c:ptCount val="173"/>
                      <c:pt idx="0">
                        <c:v>90</c:v>
                      </c:pt>
                      <c:pt idx="1">
                        <c:v>70</c:v>
                      </c:pt>
                      <c:pt idx="2">
                        <c:v>94</c:v>
                      </c:pt>
                      <c:pt idx="3">
                        <c:v>80</c:v>
                      </c:pt>
                      <c:pt idx="4">
                        <c:v>77</c:v>
                      </c:pt>
                      <c:pt idx="5">
                        <c:v>104</c:v>
                      </c:pt>
                      <c:pt idx="6">
                        <c:v>112</c:v>
                      </c:pt>
                      <c:pt idx="7">
                        <c:v>170</c:v>
                      </c:pt>
                      <c:pt idx="8">
                        <c:v>120</c:v>
                      </c:pt>
                      <c:pt idx="9">
                        <c:v>184</c:v>
                      </c:pt>
                      <c:pt idx="10">
                        <c:v>125</c:v>
                      </c:pt>
                      <c:pt idx="11">
                        <c:v>60</c:v>
                      </c:pt>
                      <c:pt idx="12">
                        <c:v>96</c:v>
                      </c:pt>
                      <c:pt idx="13">
                        <c:v>129</c:v>
                      </c:pt>
                      <c:pt idx="14">
                        <c:v>105</c:v>
                      </c:pt>
                      <c:pt idx="15">
                        <c:v>118</c:v>
                      </c:pt>
                      <c:pt idx="16">
                        <c:v>121</c:v>
                      </c:pt>
                      <c:pt idx="17">
                        <c:v>112</c:v>
                      </c:pt>
                      <c:pt idx="18">
                        <c:v>164</c:v>
                      </c:pt>
                      <c:pt idx="19">
                        <c:v>138</c:v>
                      </c:pt>
                      <c:pt idx="20">
                        <c:v>125</c:v>
                      </c:pt>
                      <c:pt idx="21">
                        <c:v>137</c:v>
                      </c:pt>
                      <c:pt idx="22">
                        <c:v>167</c:v>
                      </c:pt>
                      <c:pt idx="23">
                        <c:v>102</c:v>
                      </c:pt>
                      <c:pt idx="24">
                        <c:v>111</c:v>
                      </c:pt>
                      <c:pt idx="25">
                        <c:v>90</c:v>
                      </c:pt>
                      <c:pt idx="26">
                        <c:v>127</c:v>
                      </c:pt>
                      <c:pt idx="27">
                        <c:v>124</c:v>
                      </c:pt>
                      <c:pt idx="28">
                        <c:v>129.5</c:v>
                      </c:pt>
                      <c:pt idx="29">
                        <c:v>135</c:v>
                      </c:pt>
                      <c:pt idx="30">
                        <c:v>136</c:v>
                      </c:pt>
                      <c:pt idx="31">
                        <c:v>128</c:v>
                      </c:pt>
                      <c:pt idx="32">
                        <c:v>105</c:v>
                      </c:pt>
                      <c:pt idx="33">
                        <c:v>161</c:v>
                      </c:pt>
                      <c:pt idx="34">
                        <c:v>145</c:v>
                      </c:pt>
                      <c:pt idx="35">
                        <c:v>92</c:v>
                      </c:pt>
                      <c:pt idx="36">
                        <c:v>110</c:v>
                      </c:pt>
                      <c:pt idx="37">
                        <c:v>117</c:v>
                      </c:pt>
                      <c:pt idx="38">
                        <c:v>126</c:v>
                      </c:pt>
                      <c:pt idx="39">
                        <c:v>133</c:v>
                      </c:pt>
                      <c:pt idx="40">
                        <c:v>112</c:v>
                      </c:pt>
                      <c:pt idx="41">
                        <c:v>130</c:v>
                      </c:pt>
                      <c:pt idx="42">
                        <c:v>106</c:v>
                      </c:pt>
                      <c:pt idx="43">
                        <c:v>129</c:v>
                      </c:pt>
                      <c:pt idx="44">
                        <c:v>98</c:v>
                      </c:pt>
                      <c:pt idx="45">
                        <c:v>102</c:v>
                      </c:pt>
                      <c:pt idx="46">
                        <c:v>193</c:v>
                      </c:pt>
                      <c:pt idx="47">
                        <c:v>110</c:v>
                      </c:pt>
                      <c:pt idx="48">
                        <c:v>120</c:v>
                      </c:pt>
                      <c:pt idx="49">
                        <c:v>131</c:v>
                      </c:pt>
                      <c:pt idx="50">
                        <c:v>181</c:v>
                      </c:pt>
                      <c:pt idx="51">
                        <c:v>146</c:v>
                      </c:pt>
                      <c:pt idx="52">
                        <c:v>119</c:v>
                      </c:pt>
                      <c:pt idx="53">
                        <c:v>111</c:v>
                      </c:pt>
                      <c:pt idx="54">
                        <c:v>135</c:v>
                      </c:pt>
                      <c:pt idx="55">
                        <c:v>117</c:v>
                      </c:pt>
                      <c:pt idx="56">
                        <c:v>146</c:v>
                      </c:pt>
                      <c:pt idx="57">
                        <c:v>146</c:v>
                      </c:pt>
                      <c:pt idx="58">
                        <c:v>146</c:v>
                      </c:pt>
                      <c:pt idx="59">
                        <c:v>94</c:v>
                      </c:pt>
                      <c:pt idx="60">
                        <c:v>88</c:v>
                      </c:pt>
                      <c:pt idx="61">
                        <c:v>92</c:v>
                      </c:pt>
                      <c:pt idx="62">
                        <c:v>110</c:v>
                      </c:pt>
                      <c:pt idx="63">
                        <c:v>169</c:v>
                      </c:pt>
                      <c:pt idx="64">
                        <c:v>178</c:v>
                      </c:pt>
                      <c:pt idx="65">
                        <c:v>182</c:v>
                      </c:pt>
                      <c:pt idx="66">
                        <c:v>203</c:v>
                      </c:pt>
                      <c:pt idx="67">
                        <c:v>98</c:v>
                      </c:pt>
                      <c:pt idx="68">
                        <c:v>163</c:v>
                      </c:pt>
                      <c:pt idx="69">
                        <c:v>160</c:v>
                      </c:pt>
                      <c:pt idx="70">
                        <c:v>216</c:v>
                      </c:pt>
                      <c:pt idx="71">
                        <c:v>139</c:v>
                      </c:pt>
                      <c:pt idx="72">
                        <c:v>147</c:v>
                      </c:pt>
                      <c:pt idx="73">
                        <c:v>131</c:v>
                      </c:pt>
                      <c:pt idx="74">
                        <c:v>146</c:v>
                      </c:pt>
                      <c:pt idx="75">
                        <c:v>150</c:v>
                      </c:pt>
                      <c:pt idx="76">
                        <c:v>161</c:v>
                      </c:pt>
                      <c:pt idx="77">
                        <c:v>198</c:v>
                      </c:pt>
                      <c:pt idx="78">
                        <c:v>154</c:v>
                      </c:pt>
                      <c:pt idx="79">
                        <c:v>173</c:v>
                      </c:pt>
                      <c:pt idx="80">
                        <c:v>155</c:v>
                      </c:pt>
                      <c:pt idx="81">
                        <c:v>288</c:v>
                      </c:pt>
                      <c:pt idx="82">
                        <c:v>181</c:v>
                      </c:pt>
                      <c:pt idx="83">
                        <c:v>120</c:v>
                      </c:pt>
                      <c:pt idx="84">
                        <c:v>145</c:v>
                      </c:pt>
                      <c:pt idx="85">
                        <c:v>146</c:v>
                      </c:pt>
                      <c:pt idx="86">
                        <c:v>144</c:v>
                      </c:pt>
                      <c:pt idx="87">
                        <c:v>156</c:v>
                      </c:pt>
                      <c:pt idx="88">
                        <c:v>133</c:v>
                      </c:pt>
                      <c:pt idx="89">
                        <c:v>125</c:v>
                      </c:pt>
                      <c:pt idx="90">
                        <c:v>156</c:v>
                      </c:pt>
                      <c:pt idx="91">
                        <c:v>183</c:v>
                      </c:pt>
                      <c:pt idx="92">
                        <c:v>249</c:v>
                      </c:pt>
                      <c:pt idx="93">
                        <c:v>141</c:v>
                      </c:pt>
                      <c:pt idx="94">
                        <c:v>221</c:v>
                      </c:pt>
                      <c:pt idx="95">
                        <c:v>169</c:v>
                      </c:pt>
                      <c:pt idx="96">
                        <c:v>176</c:v>
                      </c:pt>
                      <c:pt idx="97">
                        <c:v>115</c:v>
                      </c:pt>
                      <c:pt idx="98">
                        <c:v>180</c:v>
                      </c:pt>
                      <c:pt idx="99">
                        <c:v>180</c:v>
                      </c:pt>
                      <c:pt idx="100">
                        <c:v>192</c:v>
                      </c:pt>
                      <c:pt idx="101">
                        <c:v>170</c:v>
                      </c:pt>
                      <c:pt idx="102">
                        <c:v>148</c:v>
                      </c:pt>
                      <c:pt idx="103">
                        <c:v>190</c:v>
                      </c:pt>
                      <c:pt idx="104">
                        <c:v>162</c:v>
                      </c:pt>
                      <c:pt idx="105">
                        <c:v>176</c:v>
                      </c:pt>
                      <c:pt idx="106">
                        <c:v>180</c:v>
                      </c:pt>
                      <c:pt idx="107">
                        <c:v>130</c:v>
                      </c:pt>
                      <c:pt idx="108">
                        <c:v>160</c:v>
                      </c:pt>
                      <c:pt idx="109">
                        <c:v>120</c:v>
                      </c:pt>
                      <c:pt idx="110">
                        <c:v>153</c:v>
                      </c:pt>
                      <c:pt idx="111">
                        <c:v>121</c:v>
                      </c:pt>
                      <c:pt idx="112">
                        <c:v>126</c:v>
                      </c:pt>
                      <c:pt idx="113">
                        <c:v>187</c:v>
                      </c:pt>
                      <c:pt idx="114">
                        <c:v>148</c:v>
                      </c:pt>
                      <c:pt idx="115">
                        <c:v>133</c:v>
                      </c:pt>
                      <c:pt idx="116" formatCode="General">
                        <c:v>126</c:v>
                      </c:pt>
                      <c:pt idx="117">
                        <c:v>231</c:v>
                      </c:pt>
                      <c:pt idx="118">
                        <c:v>192</c:v>
                      </c:pt>
                      <c:pt idx="119">
                        <c:v>155</c:v>
                      </c:pt>
                      <c:pt idx="120">
                        <c:v>279</c:v>
                      </c:pt>
                      <c:pt idx="121">
                        <c:v>182</c:v>
                      </c:pt>
                      <c:pt idx="122">
                        <c:v>147</c:v>
                      </c:pt>
                      <c:pt idx="123">
                        <c:v>152</c:v>
                      </c:pt>
                      <c:pt idx="124">
                        <c:v>125</c:v>
                      </c:pt>
                      <c:pt idx="125">
                        <c:v>152</c:v>
                      </c:pt>
                      <c:pt idx="126">
                        <c:v>203</c:v>
                      </c:pt>
                      <c:pt idx="127">
                        <c:v>198</c:v>
                      </c:pt>
                      <c:pt idx="128">
                        <c:v>213</c:v>
                      </c:pt>
                      <c:pt idx="129">
                        <c:v>185</c:v>
                      </c:pt>
                      <c:pt idx="130">
                        <c:v>205</c:v>
                      </c:pt>
                      <c:pt idx="131">
                        <c:v>242</c:v>
                      </c:pt>
                      <c:pt idx="132">
                        <c:v>240</c:v>
                      </c:pt>
                      <c:pt idx="133">
                        <c:v>134</c:v>
                      </c:pt>
                      <c:pt idx="134">
                        <c:v>197</c:v>
                      </c:pt>
                      <c:pt idx="135">
                        <c:v>152</c:v>
                      </c:pt>
                      <c:pt idx="136">
                        <c:v>183</c:v>
                      </c:pt>
                      <c:pt idx="137">
                        <c:v>238</c:v>
                      </c:pt>
                      <c:pt idx="138">
                        <c:v>201</c:v>
                      </c:pt>
                      <c:pt idx="139">
                        <c:v>184</c:v>
                      </c:pt>
                      <c:pt idx="140">
                        <c:v>193</c:v>
                      </c:pt>
                      <c:pt idx="141">
                        <c:v>217</c:v>
                      </c:pt>
                      <c:pt idx="142">
                        <c:v>232</c:v>
                      </c:pt>
                      <c:pt idx="143">
                        <c:v>203</c:v>
                      </c:pt>
                      <c:pt idx="144" formatCode="_(* #,##0_);_(* \(#,##0\);_(* &quot;-&quot;??_);_(@_)">
                        <c:v>191</c:v>
                      </c:pt>
                      <c:pt idx="145">
                        <c:v>196</c:v>
                      </c:pt>
                      <c:pt idx="146">
                        <c:v>245</c:v>
                      </c:pt>
                      <c:pt idx="147">
                        <c:v>262</c:v>
                      </c:pt>
                      <c:pt idx="148" formatCode="_(* #,##0_);_(* \(#,##0\);_(* &quot;-&quot;??_);_(@_)">
                        <c:v>175</c:v>
                      </c:pt>
                      <c:pt idx="149" formatCode="_(* #,##0_);_(* \(#,##0\);_(* &quot;-&quot;??_);_(@_)">
                        <c:v>225</c:v>
                      </c:pt>
                      <c:pt idx="150" formatCode="_(* #,##0_);_(* \(#,##0\);_(* &quot;-&quot;??_);_(@_)">
                        <c:v>197</c:v>
                      </c:pt>
                      <c:pt idx="151" formatCode="_(* #,##0_);_(* \(#,##0\);_(* &quot;-&quot;??_);_(@_)">
                        <c:v>272</c:v>
                      </c:pt>
                      <c:pt idx="152" formatCode="_(* #,##0_);_(* \(#,##0\);_(* &quot;-&quot;??_);_(@_)">
                        <c:v>228</c:v>
                      </c:pt>
                      <c:pt idx="153" formatCode="_(* #,##0_);_(* \(#,##0\);_(* &quot;-&quot;??_);_(@_)">
                        <c:v>183</c:v>
                      </c:pt>
                      <c:pt idx="154" formatCode="_(* #,##0_);_(* \(#,##0\);_(* &quot;-&quot;??_);_(@_)">
                        <c:v>245</c:v>
                      </c:pt>
                      <c:pt idx="155" formatCode="_(* #,##0_);_(* \(#,##0\);_(* &quot;-&quot;??_);_(@_)">
                        <c:v>178</c:v>
                      </c:pt>
                      <c:pt idx="156">
                        <c:v>190</c:v>
                      </c:pt>
                      <c:pt idx="157">
                        <c:v>181</c:v>
                      </c:pt>
                      <c:pt idx="158">
                        <c:v>73</c:v>
                      </c:pt>
                      <c:pt idx="160">
                        <c:v>1</c:v>
                      </c:pt>
                      <c:pt idx="161">
                        <c:v>2</c:v>
                      </c:pt>
                      <c:pt idx="162">
                        <c:v>8</c:v>
                      </c:pt>
                      <c:pt idx="163">
                        <c:v>2</c:v>
                      </c:pt>
                      <c:pt idx="164">
                        <c:v>19</c:v>
                      </c:pt>
                      <c:pt idx="165">
                        <c:v>33</c:v>
                      </c:pt>
                      <c:pt idx="166">
                        <c:v>23</c:v>
                      </c:pt>
                      <c:pt idx="167">
                        <c:v>34</c:v>
                      </c:pt>
                      <c:pt idx="168">
                        <c:v>60</c:v>
                      </c:pt>
                      <c:pt idx="169">
                        <c:v>26</c:v>
                      </c:pt>
                      <c:pt idx="170">
                        <c:v>71</c:v>
                      </c:pt>
                      <c:pt idx="171">
                        <c:v>33</c:v>
                      </c:pt>
                      <c:pt idx="172">
                        <c:v>46</c:v>
                      </c:pt>
                    </c:numCache>
                  </c:numRef>
                </c:val>
                <c:smooth val="0"/>
                <c:extLst xmlns:c15="http://schemas.microsoft.com/office/drawing/2012/chart">
                  <c:ext xmlns:c16="http://schemas.microsoft.com/office/drawing/2014/chart" uri="{C3380CC4-5D6E-409C-BE32-E72D297353CC}">
                    <c16:uniqueId val="{0000001B-9994-4956-9FBA-2410398E6D0E}"/>
                  </c:ext>
                </c:extLst>
              </c15:ser>
            </c15:filteredLineSeries>
            <c15:filteredLineSeries>
              <c15:ser>
                <c:idx val="28"/>
                <c:order val="28"/>
                <c:tx>
                  <c:strRef>
                    <c:extLst xmlns:c15="http://schemas.microsoft.com/office/drawing/2012/chart">
                      <c:ext xmlns:c15="http://schemas.microsoft.com/office/drawing/2012/chart" uri="{02D57815-91ED-43cb-92C2-25804820EDAC}">
                        <c15:formulaRef>
                          <c15:sqref>'Tendencias nacionalidad'!$C$82</c15:sqref>
                        </c15:formulaRef>
                      </c:ext>
                    </c:extLst>
                    <c:strCache>
                      <c:ptCount val="1"/>
                      <c:pt idx="0">
                        <c:v>Austria</c:v>
                      </c:pt>
                    </c:strCache>
                  </c:strRef>
                </c:tx>
                <c:spPr>
                  <a:ln w="28575" cap="rnd">
                    <a:solidFill>
                      <a:schemeClr val="accent5">
                        <a:lumMod val="60000"/>
                        <a:lumOff val="40000"/>
                      </a:schemeClr>
                    </a:solid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nacionalidad'!$D$82:$GA$82</c15:sqref>
                        </c15:fullRef>
                        <c15:formulaRef>
                          <c15:sqref>'Tendencias nacionalidad'!$D$82:$FT$82</c15:sqref>
                        </c15:formulaRef>
                      </c:ext>
                    </c:extLst>
                    <c:numCache>
                      <c:formatCode>#,##0</c:formatCode>
                      <c:ptCount val="173"/>
                      <c:pt idx="0">
                        <c:v>138</c:v>
                      </c:pt>
                      <c:pt idx="1">
                        <c:v>149</c:v>
                      </c:pt>
                      <c:pt idx="2">
                        <c:v>93</c:v>
                      </c:pt>
                      <c:pt idx="3">
                        <c:v>71</c:v>
                      </c:pt>
                      <c:pt idx="4">
                        <c:v>66</c:v>
                      </c:pt>
                      <c:pt idx="5">
                        <c:v>73</c:v>
                      </c:pt>
                      <c:pt idx="6">
                        <c:v>273</c:v>
                      </c:pt>
                      <c:pt idx="7">
                        <c:v>222</c:v>
                      </c:pt>
                      <c:pt idx="8">
                        <c:v>113</c:v>
                      </c:pt>
                      <c:pt idx="9">
                        <c:v>166</c:v>
                      </c:pt>
                      <c:pt idx="10">
                        <c:v>134</c:v>
                      </c:pt>
                      <c:pt idx="11">
                        <c:v>162</c:v>
                      </c:pt>
                      <c:pt idx="12">
                        <c:v>167</c:v>
                      </c:pt>
                      <c:pt idx="13">
                        <c:v>188</c:v>
                      </c:pt>
                      <c:pt idx="14">
                        <c:v>94</c:v>
                      </c:pt>
                      <c:pt idx="15">
                        <c:v>113</c:v>
                      </c:pt>
                      <c:pt idx="16">
                        <c:v>105</c:v>
                      </c:pt>
                      <c:pt idx="17">
                        <c:v>120</c:v>
                      </c:pt>
                      <c:pt idx="18">
                        <c:v>255</c:v>
                      </c:pt>
                      <c:pt idx="19">
                        <c:v>170</c:v>
                      </c:pt>
                      <c:pt idx="20">
                        <c:v>131</c:v>
                      </c:pt>
                      <c:pt idx="21">
                        <c:v>185</c:v>
                      </c:pt>
                      <c:pt idx="22">
                        <c:v>164</c:v>
                      </c:pt>
                      <c:pt idx="23">
                        <c:v>159</c:v>
                      </c:pt>
                      <c:pt idx="24">
                        <c:v>134</c:v>
                      </c:pt>
                      <c:pt idx="25">
                        <c:v>96</c:v>
                      </c:pt>
                      <c:pt idx="26">
                        <c:v>90</c:v>
                      </c:pt>
                      <c:pt idx="27">
                        <c:v>110</c:v>
                      </c:pt>
                      <c:pt idx="28">
                        <c:v>119</c:v>
                      </c:pt>
                      <c:pt idx="29">
                        <c:v>128</c:v>
                      </c:pt>
                      <c:pt idx="30">
                        <c:v>272</c:v>
                      </c:pt>
                      <c:pt idx="31">
                        <c:v>165</c:v>
                      </c:pt>
                      <c:pt idx="32">
                        <c:v>119</c:v>
                      </c:pt>
                      <c:pt idx="33">
                        <c:v>146</c:v>
                      </c:pt>
                      <c:pt idx="34">
                        <c:v>215</c:v>
                      </c:pt>
                      <c:pt idx="35">
                        <c:v>170</c:v>
                      </c:pt>
                      <c:pt idx="36">
                        <c:v>177</c:v>
                      </c:pt>
                      <c:pt idx="37">
                        <c:v>92</c:v>
                      </c:pt>
                      <c:pt idx="38">
                        <c:v>146</c:v>
                      </c:pt>
                      <c:pt idx="39">
                        <c:v>95</c:v>
                      </c:pt>
                      <c:pt idx="40">
                        <c:v>91</c:v>
                      </c:pt>
                      <c:pt idx="41">
                        <c:v>100</c:v>
                      </c:pt>
                      <c:pt idx="42">
                        <c:v>236</c:v>
                      </c:pt>
                      <c:pt idx="43">
                        <c:v>185</c:v>
                      </c:pt>
                      <c:pt idx="44">
                        <c:v>102</c:v>
                      </c:pt>
                      <c:pt idx="45">
                        <c:v>65</c:v>
                      </c:pt>
                      <c:pt idx="46">
                        <c:v>181</c:v>
                      </c:pt>
                      <c:pt idx="47">
                        <c:v>133</c:v>
                      </c:pt>
                      <c:pt idx="48">
                        <c:v>124</c:v>
                      </c:pt>
                      <c:pt idx="49">
                        <c:v>128</c:v>
                      </c:pt>
                      <c:pt idx="50">
                        <c:v>97</c:v>
                      </c:pt>
                      <c:pt idx="51">
                        <c:v>97</c:v>
                      </c:pt>
                      <c:pt idx="52">
                        <c:v>73</c:v>
                      </c:pt>
                      <c:pt idx="53">
                        <c:v>87</c:v>
                      </c:pt>
                      <c:pt idx="54">
                        <c:v>232</c:v>
                      </c:pt>
                      <c:pt idx="55">
                        <c:v>210</c:v>
                      </c:pt>
                      <c:pt idx="56">
                        <c:v>131</c:v>
                      </c:pt>
                      <c:pt idx="57">
                        <c:v>157</c:v>
                      </c:pt>
                      <c:pt idx="58">
                        <c:v>200</c:v>
                      </c:pt>
                      <c:pt idx="59">
                        <c:v>130</c:v>
                      </c:pt>
                      <c:pt idx="60">
                        <c:v>157</c:v>
                      </c:pt>
                      <c:pt idx="61">
                        <c:v>139</c:v>
                      </c:pt>
                      <c:pt idx="62">
                        <c:v>112</c:v>
                      </c:pt>
                      <c:pt idx="63">
                        <c:v>105</c:v>
                      </c:pt>
                      <c:pt idx="64">
                        <c:v>107</c:v>
                      </c:pt>
                      <c:pt idx="65">
                        <c:v>110</c:v>
                      </c:pt>
                      <c:pt idx="66">
                        <c:v>321</c:v>
                      </c:pt>
                      <c:pt idx="67">
                        <c:v>252</c:v>
                      </c:pt>
                      <c:pt idx="68">
                        <c:v>119</c:v>
                      </c:pt>
                      <c:pt idx="69">
                        <c:v>185</c:v>
                      </c:pt>
                      <c:pt idx="70">
                        <c:v>180</c:v>
                      </c:pt>
                      <c:pt idx="71">
                        <c:v>215</c:v>
                      </c:pt>
                      <c:pt idx="72">
                        <c:v>188</c:v>
                      </c:pt>
                      <c:pt idx="73">
                        <c:v>155</c:v>
                      </c:pt>
                      <c:pt idx="74">
                        <c:v>124</c:v>
                      </c:pt>
                      <c:pt idx="75">
                        <c:v>85</c:v>
                      </c:pt>
                      <c:pt idx="76">
                        <c:v>98</c:v>
                      </c:pt>
                      <c:pt idx="77">
                        <c:v>116</c:v>
                      </c:pt>
                      <c:pt idx="78">
                        <c:v>334</c:v>
                      </c:pt>
                      <c:pt idx="79">
                        <c:v>184</c:v>
                      </c:pt>
                      <c:pt idx="80">
                        <c:v>116</c:v>
                      </c:pt>
                      <c:pt idx="81">
                        <c:v>188</c:v>
                      </c:pt>
                      <c:pt idx="82">
                        <c:v>217</c:v>
                      </c:pt>
                      <c:pt idx="83">
                        <c:v>213</c:v>
                      </c:pt>
                      <c:pt idx="84">
                        <c:v>154</c:v>
                      </c:pt>
                      <c:pt idx="85">
                        <c:v>218</c:v>
                      </c:pt>
                      <c:pt idx="86">
                        <c:v>150</c:v>
                      </c:pt>
                      <c:pt idx="87">
                        <c:v>102</c:v>
                      </c:pt>
                      <c:pt idx="88">
                        <c:v>127</c:v>
                      </c:pt>
                      <c:pt idx="89">
                        <c:v>148</c:v>
                      </c:pt>
                      <c:pt idx="90">
                        <c:v>356</c:v>
                      </c:pt>
                      <c:pt idx="91">
                        <c:v>244</c:v>
                      </c:pt>
                      <c:pt idx="92">
                        <c:v>139</c:v>
                      </c:pt>
                      <c:pt idx="93">
                        <c:v>182</c:v>
                      </c:pt>
                      <c:pt idx="94">
                        <c:v>216</c:v>
                      </c:pt>
                      <c:pt idx="95">
                        <c:v>174</c:v>
                      </c:pt>
                      <c:pt idx="96">
                        <c:v>141</c:v>
                      </c:pt>
                      <c:pt idx="97">
                        <c:v>235</c:v>
                      </c:pt>
                      <c:pt idx="98">
                        <c:v>158</c:v>
                      </c:pt>
                      <c:pt idx="99">
                        <c:v>101</c:v>
                      </c:pt>
                      <c:pt idx="100">
                        <c:v>126</c:v>
                      </c:pt>
                      <c:pt idx="101">
                        <c:v>105</c:v>
                      </c:pt>
                      <c:pt idx="102">
                        <c:v>297</c:v>
                      </c:pt>
                      <c:pt idx="103">
                        <c:v>231</c:v>
                      </c:pt>
                      <c:pt idx="104">
                        <c:v>140</c:v>
                      </c:pt>
                      <c:pt idx="105">
                        <c:v>165</c:v>
                      </c:pt>
                      <c:pt idx="106">
                        <c:v>213</c:v>
                      </c:pt>
                      <c:pt idx="107">
                        <c:v>154</c:v>
                      </c:pt>
                      <c:pt idx="108">
                        <c:v>151</c:v>
                      </c:pt>
                      <c:pt idx="109">
                        <c:v>183</c:v>
                      </c:pt>
                      <c:pt idx="110">
                        <c:v>129</c:v>
                      </c:pt>
                      <c:pt idx="111">
                        <c:v>112</c:v>
                      </c:pt>
                      <c:pt idx="112">
                        <c:v>87</c:v>
                      </c:pt>
                      <c:pt idx="113">
                        <c:v>103</c:v>
                      </c:pt>
                      <c:pt idx="114">
                        <c:v>117</c:v>
                      </c:pt>
                      <c:pt idx="115">
                        <c:v>153</c:v>
                      </c:pt>
                      <c:pt idx="116" formatCode="General">
                        <c:v>140</c:v>
                      </c:pt>
                      <c:pt idx="117">
                        <c:v>189</c:v>
                      </c:pt>
                      <c:pt idx="118">
                        <c:v>171</c:v>
                      </c:pt>
                      <c:pt idx="119">
                        <c:v>137</c:v>
                      </c:pt>
                      <c:pt idx="120">
                        <c:v>168</c:v>
                      </c:pt>
                      <c:pt idx="121">
                        <c:v>142</c:v>
                      </c:pt>
                      <c:pt idx="122">
                        <c:v>113</c:v>
                      </c:pt>
                      <c:pt idx="123">
                        <c:v>157</c:v>
                      </c:pt>
                      <c:pt idx="124">
                        <c:v>113</c:v>
                      </c:pt>
                      <c:pt idx="125">
                        <c:v>102</c:v>
                      </c:pt>
                      <c:pt idx="126">
                        <c:v>264</c:v>
                      </c:pt>
                      <c:pt idx="127">
                        <c:v>228</c:v>
                      </c:pt>
                      <c:pt idx="128">
                        <c:v>135</c:v>
                      </c:pt>
                      <c:pt idx="129">
                        <c:v>169</c:v>
                      </c:pt>
                      <c:pt idx="130">
                        <c:v>191</c:v>
                      </c:pt>
                      <c:pt idx="131">
                        <c:v>143</c:v>
                      </c:pt>
                      <c:pt idx="132">
                        <c:v>187</c:v>
                      </c:pt>
                      <c:pt idx="133">
                        <c:v>214</c:v>
                      </c:pt>
                      <c:pt idx="134">
                        <c:v>150</c:v>
                      </c:pt>
                      <c:pt idx="135">
                        <c:v>142</c:v>
                      </c:pt>
                      <c:pt idx="136">
                        <c:v>131</c:v>
                      </c:pt>
                      <c:pt idx="137">
                        <c:v>131</c:v>
                      </c:pt>
                      <c:pt idx="138">
                        <c:v>273</c:v>
                      </c:pt>
                      <c:pt idx="139">
                        <c:v>208</c:v>
                      </c:pt>
                      <c:pt idx="140">
                        <c:v>147</c:v>
                      </c:pt>
                      <c:pt idx="141">
                        <c:v>236</c:v>
                      </c:pt>
                      <c:pt idx="142">
                        <c:v>206</c:v>
                      </c:pt>
                      <c:pt idx="143">
                        <c:v>165</c:v>
                      </c:pt>
                      <c:pt idx="144" formatCode="_(* #,##0_);_(* \(#,##0\);_(* &quot;-&quot;??_);_(@_)">
                        <c:v>195</c:v>
                      </c:pt>
                      <c:pt idx="145">
                        <c:v>254</c:v>
                      </c:pt>
                      <c:pt idx="146">
                        <c:v>168</c:v>
                      </c:pt>
                      <c:pt idx="147">
                        <c:v>170</c:v>
                      </c:pt>
                      <c:pt idx="148" formatCode="_(* #,##0_);_(* \(#,##0\);_(* &quot;-&quot;??_);_(@_)">
                        <c:v>155</c:v>
                      </c:pt>
                      <c:pt idx="149" formatCode="_(* #,##0_);_(* \(#,##0\);_(* &quot;-&quot;??_);_(@_)">
                        <c:v>139</c:v>
                      </c:pt>
                      <c:pt idx="150" formatCode="_(* #,##0_);_(* \(#,##0\);_(* &quot;-&quot;??_);_(@_)">
                        <c:v>329</c:v>
                      </c:pt>
                      <c:pt idx="151" formatCode="_(* #,##0_);_(* \(#,##0\);_(* &quot;-&quot;??_);_(@_)">
                        <c:v>278</c:v>
                      </c:pt>
                      <c:pt idx="152" formatCode="_(* #,##0_);_(* \(#,##0\);_(* &quot;-&quot;??_);_(@_)">
                        <c:v>180</c:v>
                      </c:pt>
                      <c:pt idx="153" formatCode="_(* #,##0_);_(* \(#,##0\);_(* &quot;-&quot;??_);_(@_)">
                        <c:v>169</c:v>
                      </c:pt>
                      <c:pt idx="154" formatCode="_(* #,##0_);_(* \(#,##0\);_(* &quot;-&quot;??_);_(@_)">
                        <c:v>181</c:v>
                      </c:pt>
                      <c:pt idx="155" formatCode="_(* #,##0_);_(* \(#,##0\);_(* &quot;-&quot;??_);_(@_)">
                        <c:v>202</c:v>
                      </c:pt>
                      <c:pt idx="156">
                        <c:v>260</c:v>
                      </c:pt>
                      <c:pt idx="157">
                        <c:v>232</c:v>
                      </c:pt>
                      <c:pt idx="158">
                        <c:v>86</c:v>
                      </c:pt>
                      <c:pt idx="160">
                        <c:v>1</c:v>
                      </c:pt>
                      <c:pt idx="161">
                        <c:v>1</c:v>
                      </c:pt>
                      <c:pt idx="162">
                        <c:v>7</c:v>
                      </c:pt>
                      <c:pt idx="163">
                        <c:v>17</c:v>
                      </c:pt>
                      <c:pt idx="164">
                        <c:v>8</c:v>
                      </c:pt>
                      <c:pt idx="165">
                        <c:v>12</c:v>
                      </c:pt>
                      <c:pt idx="166">
                        <c:v>21</c:v>
                      </c:pt>
                      <c:pt idx="167">
                        <c:v>32</c:v>
                      </c:pt>
                      <c:pt idx="168">
                        <c:v>29</c:v>
                      </c:pt>
                      <c:pt idx="169">
                        <c:v>17</c:v>
                      </c:pt>
                      <c:pt idx="170">
                        <c:v>19</c:v>
                      </c:pt>
                      <c:pt idx="171">
                        <c:v>23</c:v>
                      </c:pt>
                      <c:pt idx="172">
                        <c:v>26</c:v>
                      </c:pt>
                    </c:numCache>
                  </c:numRef>
                </c:val>
                <c:smooth val="0"/>
                <c:extLst xmlns:c15="http://schemas.microsoft.com/office/drawing/2012/chart">
                  <c:ext xmlns:c16="http://schemas.microsoft.com/office/drawing/2014/chart" uri="{C3380CC4-5D6E-409C-BE32-E72D297353CC}">
                    <c16:uniqueId val="{0000001C-9994-4956-9FBA-2410398E6D0E}"/>
                  </c:ext>
                </c:extLst>
              </c15:ser>
            </c15:filteredLineSeries>
            <c15:filteredLineSeries>
              <c15:ser>
                <c:idx val="29"/>
                <c:order val="29"/>
                <c:tx>
                  <c:strRef>
                    <c:extLst xmlns:c15="http://schemas.microsoft.com/office/drawing/2012/chart">
                      <c:ext xmlns:c15="http://schemas.microsoft.com/office/drawing/2012/chart" uri="{02D57815-91ED-43cb-92C2-25804820EDAC}">
                        <c15:formulaRef>
                          <c15:sqref>'Tendencias nacionalidad'!$C$83</c15:sqref>
                        </c15:formulaRef>
                      </c:ext>
                    </c:extLst>
                    <c:strCache>
                      <c:ptCount val="1"/>
                      <c:pt idx="0">
                        <c:v>Suecia</c:v>
                      </c:pt>
                    </c:strCache>
                  </c:strRef>
                </c:tx>
                <c:spPr>
                  <a:ln w="28575" cap="rnd">
                    <a:solidFill>
                      <a:schemeClr val="accent6">
                        <a:lumMod val="60000"/>
                        <a:lumOff val="40000"/>
                      </a:schemeClr>
                    </a:solid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nacionalidad'!$D$83:$GA$83</c15:sqref>
                        </c15:fullRef>
                        <c15:formulaRef>
                          <c15:sqref>'Tendencias nacionalidad'!$D$83:$FT$83</c15:sqref>
                        </c15:formulaRef>
                      </c:ext>
                    </c:extLst>
                    <c:numCache>
                      <c:formatCode>#,##0</c:formatCode>
                      <c:ptCount val="173"/>
                      <c:pt idx="0">
                        <c:v>339</c:v>
                      </c:pt>
                      <c:pt idx="1">
                        <c:v>210</c:v>
                      </c:pt>
                      <c:pt idx="2">
                        <c:v>197</c:v>
                      </c:pt>
                      <c:pt idx="3">
                        <c:v>159</c:v>
                      </c:pt>
                      <c:pt idx="4">
                        <c:v>91</c:v>
                      </c:pt>
                      <c:pt idx="5">
                        <c:v>219</c:v>
                      </c:pt>
                      <c:pt idx="6">
                        <c:v>149</c:v>
                      </c:pt>
                      <c:pt idx="7">
                        <c:v>85</c:v>
                      </c:pt>
                      <c:pt idx="8">
                        <c:v>129</c:v>
                      </c:pt>
                      <c:pt idx="9">
                        <c:v>258</c:v>
                      </c:pt>
                      <c:pt idx="10">
                        <c:v>319</c:v>
                      </c:pt>
                      <c:pt idx="11">
                        <c:v>367</c:v>
                      </c:pt>
                      <c:pt idx="12">
                        <c:v>226</c:v>
                      </c:pt>
                      <c:pt idx="13">
                        <c:v>386</c:v>
                      </c:pt>
                      <c:pt idx="14">
                        <c:v>264</c:v>
                      </c:pt>
                      <c:pt idx="15">
                        <c:v>123</c:v>
                      </c:pt>
                      <c:pt idx="16">
                        <c:v>132</c:v>
                      </c:pt>
                      <c:pt idx="17">
                        <c:v>204</c:v>
                      </c:pt>
                      <c:pt idx="18">
                        <c:v>173</c:v>
                      </c:pt>
                      <c:pt idx="19">
                        <c:v>77</c:v>
                      </c:pt>
                      <c:pt idx="20">
                        <c:v>137</c:v>
                      </c:pt>
                      <c:pt idx="21">
                        <c:v>325</c:v>
                      </c:pt>
                      <c:pt idx="22">
                        <c:v>450</c:v>
                      </c:pt>
                      <c:pt idx="23">
                        <c:v>328</c:v>
                      </c:pt>
                      <c:pt idx="24">
                        <c:v>333</c:v>
                      </c:pt>
                      <c:pt idx="25">
                        <c:v>256</c:v>
                      </c:pt>
                      <c:pt idx="26">
                        <c:v>147</c:v>
                      </c:pt>
                      <c:pt idx="27">
                        <c:v>149</c:v>
                      </c:pt>
                      <c:pt idx="28">
                        <c:v>162</c:v>
                      </c:pt>
                      <c:pt idx="29">
                        <c:v>175</c:v>
                      </c:pt>
                      <c:pt idx="30">
                        <c:v>174</c:v>
                      </c:pt>
                      <c:pt idx="31">
                        <c:v>70</c:v>
                      </c:pt>
                      <c:pt idx="32">
                        <c:v>125</c:v>
                      </c:pt>
                      <c:pt idx="33">
                        <c:v>265</c:v>
                      </c:pt>
                      <c:pt idx="34">
                        <c:v>391</c:v>
                      </c:pt>
                      <c:pt idx="35">
                        <c:v>315</c:v>
                      </c:pt>
                      <c:pt idx="36">
                        <c:v>395</c:v>
                      </c:pt>
                      <c:pt idx="37">
                        <c:v>294</c:v>
                      </c:pt>
                      <c:pt idx="38">
                        <c:v>272</c:v>
                      </c:pt>
                      <c:pt idx="39">
                        <c:v>88</c:v>
                      </c:pt>
                      <c:pt idx="40">
                        <c:v>79</c:v>
                      </c:pt>
                      <c:pt idx="41">
                        <c:v>166</c:v>
                      </c:pt>
                      <c:pt idx="42">
                        <c:v>142</c:v>
                      </c:pt>
                      <c:pt idx="43">
                        <c:v>83</c:v>
                      </c:pt>
                      <c:pt idx="44">
                        <c:v>98</c:v>
                      </c:pt>
                      <c:pt idx="45">
                        <c:v>145</c:v>
                      </c:pt>
                      <c:pt idx="46">
                        <c:v>286</c:v>
                      </c:pt>
                      <c:pt idx="47">
                        <c:v>256</c:v>
                      </c:pt>
                      <c:pt idx="48">
                        <c:v>277</c:v>
                      </c:pt>
                      <c:pt idx="49">
                        <c:v>260</c:v>
                      </c:pt>
                      <c:pt idx="50">
                        <c:v>183</c:v>
                      </c:pt>
                      <c:pt idx="51">
                        <c:v>123</c:v>
                      </c:pt>
                      <c:pt idx="52">
                        <c:v>86</c:v>
                      </c:pt>
                      <c:pt idx="53">
                        <c:v>219</c:v>
                      </c:pt>
                      <c:pt idx="54">
                        <c:v>105</c:v>
                      </c:pt>
                      <c:pt idx="55">
                        <c:v>112</c:v>
                      </c:pt>
                      <c:pt idx="56">
                        <c:v>111</c:v>
                      </c:pt>
                      <c:pt idx="57">
                        <c:v>254</c:v>
                      </c:pt>
                      <c:pt idx="58">
                        <c:v>359</c:v>
                      </c:pt>
                      <c:pt idx="59">
                        <c:v>276</c:v>
                      </c:pt>
                      <c:pt idx="60">
                        <c:v>262</c:v>
                      </c:pt>
                      <c:pt idx="61">
                        <c:v>289</c:v>
                      </c:pt>
                      <c:pt idx="62">
                        <c:v>213</c:v>
                      </c:pt>
                      <c:pt idx="63">
                        <c:v>112</c:v>
                      </c:pt>
                      <c:pt idx="64">
                        <c:v>95</c:v>
                      </c:pt>
                      <c:pt idx="65">
                        <c:v>248</c:v>
                      </c:pt>
                      <c:pt idx="66">
                        <c:v>156</c:v>
                      </c:pt>
                      <c:pt idx="67">
                        <c:v>88</c:v>
                      </c:pt>
                      <c:pt idx="68">
                        <c:v>131</c:v>
                      </c:pt>
                      <c:pt idx="69">
                        <c:v>245</c:v>
                      </c:pt>
                      <c:pt idx="70">
                        <c:v>457</c:v>
                      </c:pt>
                      <c:pt idx="71">
                        <c:v>390</c:v>
                      </c:pt>
                      <c:pt idx="72">
                        <c:v>285</c:v>
                      </c:pt>
                      <c:pt idx="73">
                        <c:v>221</c:v>
                      </c:pt>
                      <c:pt idx="74">
                        <c:v>246</c:v>
                      </c:pt>
                      <c:pt idx="75">
                        <c:v>101</c:v>
                      </c:pt>
                      <c:pt idx="76">
                        <c:v>77</c:v>
                      </c:pt>
                      <c:pt idx="77">
                        <c:v>202</c:v>
                      </c:pt>
                      <c:pt idx="78">
                        <c:v>190</c:v>
                      </c:pt>
                      <c:pt idx="79">
                        <c:v>55</c:v>
                      </c:pt>
                      <c:pt idx="80">
                        <c:v>100</c:v>
                      </c:pt>
                      <c:pt idx="81">
                        <c:v>284</c:v>
                      </c:pt>
                      <c:pt idx="82">
                        <c:v>378</c:v>
                      </c:pt>
                      <c:pt idx="83">
                        <c:v>396</c:v>
                      </c:pt>
                      <c:pt idx="84">
                        <c:v>313</c:v>
                      </c:pt>
                      <c:pt idx="85">
                        <c:v>295</c:v>
                      </c:pt>
                      <c:pt idx="86">
                        <c:v>198</c:v>
                      </c:pt>
                      <c:pt idx="87">
                        <c:v>114</c:v>
                      </c:pt>
                      <c:pt idx="88">
                        <c:v>95</c:v>
                      </c:pt>
                      <c:pt idx="89">
                        <c:v>180</c:v>
                      </c:pt>
                      <c:pt idx="90">
                        <c:v>145</c:v>
                      </c:pt>
                      <c:pt idx="91">
                        <c:v>101</c:v>
                      </c:pt>
                      <c:pt idx="92">
                        <c:v>88</c:v>
                      </c:pt>
                      <c:pt idx="93">
                        <c:v>305</c:v>
                      </c:pt>
                      <c:pt idx="94">
                        <c:v>368</c:v>
                      </c:pt>
                      <c:pt idx="95">
                        <c:v>385</c:v>
                      </c:pt>
                      <c:pt idx="96">
                        <c:v>271</c:v>
                      </c:pt>
                      <c:pt idx="97">
                        <c:v>281</c:v>
                      </c:pt>
                      <c:pt idx="98">
                        <c:v>204</c:v>
                      </c:pt>
                      <c:pt idx="99">
                        <c:v>122</c:v>
                      </c:pt>
                      <c:pt idx="100">
                        <c:v>83</c:v>
                      </c:pt>
                      <c:pt idx="101">
                        <c:v>245</c:v>
                      </c:pt>
                      <c:pt idx="102">
                        <c:v>168</c:v>
                      </c:pt>
                      <c:pt idx="103">
                        <c:v>86</c:v>
                      </c:pt>
                      <c:pt idx="104">
                        <c:v>149</c:v>
                      </c:pt>
                      <c:pt idx="105">
                        <c:v>327</c:v>
                      </c:pt>
                      <c:pt idx="106">
                        <c:v>370</c:v>
                      </c:pt>
                      <c:pt idx="107">
                        <c:v>393</c:v>
                      </c:pt>
                      <c:pt idx="108">
                        <c:v>261</c:v>
                      </c:pt>
                      <c:pt idx="109">
                        <c:v>243</c:v>
                      </c:pt>
                      <c:pt idx="110">
                        <c:v>222</c:v>
                      </c:pt>
                      <c:pt idx="111">
                        <c:v>135</c:v>
                      </c:pt>
                      <c:pt idx="112">
                        <c:v>89</c:v>
                      </c:pt>
                      <c:pt idx="113">
                        <c:v>230</c:v>
                      </c:pt>
                      <c:pt idx="114">
                        <c:v>147</c:v>
                      </c:pt>
                      <c:pt idx="115">
                        <c:v>63</c:v>
                      </c:pt>
                      <c:pt idx="116" formatCode="General">
                        <c:v>96</c:v>
                      </c:pt>
                      <c:pt idx="117">
                        <c:v>338</c:v>
                      </c:pt>
                      <c:pt idx="118">
                        <c:v>256</c:v>
                      </c:pt>
                      <c:pt idx="119">
                        <c:v>252</c:v>
                      </c:pt>
                      <c:pt idx="120">
                        <c:v>197</c:v>
                      </c:pt>
                      <c:pt idx="121">
                        <c:v>217</c:v>
                      </c:pt>
                      <c:pt idx="122">
                        <c:v>144</c:v>
                      </c:pt>
                      <c:pt idx="123">
                        <c:v>145</c:v>
                      </c:pt>
                      <c:pt idx="124">
                        <c:v>75</c:v>
                      </c:pt>
                      <c:pt idx="125">
                        <c:v>141</c:v>
                      </c:pt>
                      <c:pt idx="126">
                        <c:v>109</c:v>
                      </c:pt>
                      <c:pt idx="127">
                        <c:v>77</c:v>
                      </c:pt>
                      <c:pt idx="128">
                        <c:v>82</c:v>
                      </c:pt>
                      <c:pt idx="129">
                        <c:v>232</c:v>
                      </c:pt>
                      <c:pt idx="130">
                        <c:v>376</c:v>
                      </c:pt>
                      <c:pt idx="131">
                        <c:v>299</c:v>
                      </c:pt>
                      <c:pt idx="132">
                        <c:v>195</c:v>
                      </c:pt>
                      <c:pt idx="133">
                        <c:v>235</c:v>
                      </c:pt>
                      <c:pt idx="134">
                        <c:v>183</c:v>
                      </c:pt>
                      <c:pt idx="135">
                        <c:v>113</c:v>
                      </c:pt>
                      <c:pt idx="136">
                        <c:v>75</c:v>
                      </c:pt>
                      <c:pt idx="137">
                        <c:v>182</c:v>
                      </c:pt>
                      <c:pt idx="138">
                        <c:v>155</c:v>
                      </c:pt>
                      <c:pt idx="139">
                        <c:v>72</c:v>
                      </c:pt>
                      <c:pt idx="140">
                        <c:v>97</c:v>
                      </c:pt>
                      <c:pt idx="141">
                        <c:v>185</c:v>
                      </c:pt>
                      <c:pt idx="142">
                        <c:v>290</c:v>
                      </c:pt>
                      <c:pt idx="143">
                        <c:v>273</c:v>
                      </c:pt>
                      <c:pt idx="144" formatCode="_(* #,##0_);_(* \(#,##0\);_(* &quot;-&quot;??_);_(@_)">
                        <c:v>248</c:v>
                      </c:pt>
                      <c:pt idx="145">
                        <c:v>226</c:v>
                      </c:pt>
                      <c:pt idx="146">
                        <c:v>182</c:v>
                      </c:pt>
                      <c:pt idx="147">
                        <c:v>104</c:v>
                      </c:pt>
                      <c:pt idx="148" formatCode="_(* #,##0_);_(* \(#,##0\);_(* &quot;-&quot;??_);_(@_)">
                        <c:v>93</c:v>
                      </c:pt>
                      <c:pt idx="149" formatCode="_(* #,##0_);_(* \(#,##0\);_(* &quot;-&quot;??_);_(@_)">
                        <c:v>256</c:v>
                      </c:pt>
                      <c:pt idx="150" formatCode="_(* #,##0_);_(* \(#,##0\);_(* &quot;-&quot;??_);_(@_)">
                        <c:v>199</c:v>
                      </c:pt>
                      <c:pt idx="151" formatCode="_(* #,##0_);_(* \(#,##0\);_(* &quot;-&quot;??_);_(@_)">
                        <c:v>90</c:v>
                      </c:pt>
                      <c:pt idx="152" formatCode="_(* #,##0_);_(* \(#,##0\);_(* &quot;-&quot;??_);_(@_)">
                        <c:v>89</c:v>
                      </c:pt>
                      <c:pt idx="153" formatCode="_(* #,##0_);_(* \(#,##0\);_(* &quot;-&quot;??_);_(@_)">
                        <c:v>133</c:v>
                      </c:pt>
                      <c:pt idx="154" formatCode="_(* #,##0_);_(* \(#,##0\);_(* &quot;-&quot;??_);_(@_)">
                        <c:v>278</c:v>
                      </c:pt>
                      <c:pt idx="155" formatCode="_(* #,##0_);_(* \(#,##0\);_(* &quot;-&quot;??_);_(@_)">
                        <c:v>272</c:v>
                      </c:pt>
                      <c:pt idx="156">
                        <c:v>263</c:v>
                      </c:pt>
                      <c:pt idx="157">
                        <c:v>231</c:v>
                      </c:pt>
                      <c:pt idx="158">
                        <c:v>68</c:v>
                      </c:pt>
                      <c:pt idx="160">
                        <c:v>3</c:v>
                      </c:pt>
                      <c:pt idx="161">
                        <c:v>5</c:v>
                      </c:pt>
                      <c:pt idx="162">
                        <c:v>10</c:v>
                      </c:pt>
                      <c:pt idx="163">
                        <c:v>9</c:v>
                      </c:pt>
                      <c:pt idx="164">
                        <c:v>15</c:v>
                      </c:pt>
                      <c:pt idx="165">
                        <c:v>16</c:v>
                      </c:pt>
                      <c:pt idx="166">
                        <c:v>29</c:v>
                      </c:pt>
                      <c:pt idx="167">
                        <c:v>37</c:v>
                      </c:pt>
                      <c:pt idx="168">
                        <c:v>34</c:v>
                      </c:pt>
                      <c:pt idx="169">
                        <c:v>17</c:v>
                      </c:pt>
                      <c:pt idx="170">
                        <c:v>20</c:v>
                      </c:pt>
                      <c:pt idx="171">
                        <c:v>15</c:v>
                      </c:pt>
                      <c:pt idx="172">
                        <c:v>24</c:v>
                      </c:pt>
                    </c:numCache>
                  </c:numRef>
                </c:val>
                <c:smooth val="0"/>
                <c:extLst xmlns:c15="http://schemas.microsoft.com/office/drawing/2012/chart">
                  <c:ext xmlns:c16="http://schemas.microsoft.com/office/drawing/2014/chart" uri="{C3380CC4-5D6E-409C-BE32-E72D297353CC}">
                    <c16:uniqueId val="{0000001D-9994-4956-9FBA-2410398E6D0E}"/>
                  </c:ext>
                </c:extLst>
              </c15:ser>
            </c15:filteredLineSeries>
            <c15:filteredLineSeries>
              <c15:ser>
                <c:idx val="30"/>
                <c:order val="30"/>
                <c:tx>
                  <c:strRef>
                    <c:extLst xmlns:c15="http://schemas.microsoft.com/office/drawing/2012/chart">
                      <c:ext xmlns:c15="http://schemas.microsoft.com/office/drawing/2012/chart" uri="{02D57815-91ED-43cb-92C2-25804820EDAC}">
                        <c15:formulaRef>
                          <c15:sqref>'Tendencias nacionalidad'!$C$84</c15:sqref>
                        </c15:formulaRef>
                      </c:ext>
                    </c:extLst>
                    <c:strCache>
                      <c:ptCount val="1"/>
                      <c:pt idx="0">
                        <c:v>Portugal</c:v>
                      </c:pt>
                    </c:strCache>
                  </c:strRef>
                </c:tx>
                <c:spPr>
                  <a:ln w="28575" cap="rnd">
                    <a:solidFill>
                      <a:schemeClr val="accent1">
                        <a:lumMod val="50000"/>
                      </a:schemeClr>
                    </a:solidFill>
                    <a:round/>
                  </a:ln>
                  <a:effectLst/>
                </c:spPr>
                <c:marker>
                  <c:symbol val="circle"/>
                  <c:size val="5"/>
                  <c:spPr>
                    <a:solidFill>
                      <a:schemeClr val="accent1">
                        <a:lumMod val="50000"/>
                      </a:schemeClr>
                    </a:solidFill>
                    <a:ln w="9525">
                      <a:solidFill>
                        <a:schemeClr val="accent1">
                          <a:lumMod val="5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nacionalidad'!$D$84:$GA$84</c15:sqref>
                        </c15:fullRef>
                        <c15:formulaRef>
                          <c15:sqref>'Tendencias nacionalidad'!$D$84:$FT$84</c15:sqref>
                        </c15:formulaRef>
                      </c:ext>
                    </c:extLst>
                    <c:numCache>
                      <c:formatCode>#,##0</c:formatCode>
                      <c:ptCount val="173"/>
                      <c:pt idx="168">
                        <c:v>45</c:v>
                      </c:pt>
                      <c:pt idx="169">
                        <c:v>30</c:v>
                      </c:pt>
                      <c:pt idx="170">
                        <c:v>25</c:v>
                      </c:pt>
                      <c:pt idx="171">
                        <c:v>34</c:v>
                      </c:pt>
                      <c:pt idx="172">
                        <c:v>25</c:v>
                      </c:pt>
                    </c:numCache>
                  </c:numRef>
                </c:val>
                <c:smooth val="0"/>
                <c:extLst xmlns:c15="http://schemas.microsoft.com/office/drawing/2012/chart">
                  <c:ext xmlns:c16="http://schemas.microsoft.com/office/drawing/2014/chart" uri="{C3380CC4-5D6E-409C-BE32-E72D297353CC}">
                    <c16:uniqueId val="{0000001E-9994-4956-9FBA-2410398E6D0E}"/>
                  </c:ext>
                </c:extLst>
              </c15:ser>
            </c15:filteredLineSeries>
            <c15:filteredLineSeries>
              <c15:ser>
                <c:idx val="31"/>
                <c:order val="31"/>
                <c:tx>
                  <c:strRef>
                    <c:extLst xmlns:c15="http://schemas.microsoft.com/office/drawing/2012/chart">
                      <c:ext xmlns:c15="http://schemas.microsoft.com/office/drawing/2012/chart" uri="{02D57815-91ED-43cb-92C2-25804820EDAC}">
                        <c15:formulaRef>
                          <c15:sqref>'Tendencias nacionalidad'!$C$85</c15:sqref>
                        </c15:formulaRef>
                      </c:ext>
                    </c:extLst>
                    <c:strCache>
                      <c:ptCount val="1"/>
                      <c:pt idx="0">
                        <c:v>Otros</c:v>
                      </c:pt>
                    </c:strCache>
                  </c:strRef>
                </c:tx>
                <c:spPr>
                  <a:ln w="28575" cap="rnd">
                    <a:solidFill>
                      <a:schemeClr val="accent2">
                        <a:lumMod val="50000"/>
                      </a:schemeClr>
                    </a:solidFill>
                    <a:round/>
                  </a:ln>
                  <a:effectLst/>
                </c:spPr>
                <c:marker>
                  <c:symbol val="circle"/>
                  <c:size val="5"/>
                  <c:spPr>
                    <a:solidFill>
                      <a:schemeClr val="accent2">
                        <a:lumMod val="50000"/>
                      </a:schemeClr>
                    </a:solidFill>
                    <a:ln w="9525">
                      <a:solidFill>
                        <a:schemeClr val="accent2">
                          <a:lumMod val="50000"/>
                        </a:schemeClr>
                      </a:solidFill>
                    </a:ln>
                    <a:effectLst/>
                  </c:spPr>
                </c:marker>
                <c:cat>
                  <c:numRef>
                    <c:extLst>
                      <c:ext xmlns:c15="http://schemas.microsoft.com/office/drawing/2012/chart" uri="{02D57815-91ED-43cb-92C2-25804820EDAC}">
                        <c15:fullRef>
                          <c15:sqref>'Tendencias nacionalidad'!$D$52:$GA$52</c15:sqref>
                        </c15:fullRef>
                        <c15:formulaRef>
                          <c15:sqref>'Tendencias nacionalidad'!$D$52:$FT$52</c15:sqref>
                        </c15:formulaRef>
                      </c:ext>
                    </c:extLst>
                    <c:numCache>
                      <c:formatCode>mmm\-yy</c:formatCode>
                      <c:ptCount val="173"/>
                      <c:pt idx="0">
                        <c:v>39083</c:v>
                      </c:pt>
                      <c:pt idx="1">
                        <c:v>39114</c:v>
                      </c:pt>
                      <c:pt idx="2">
                        <c:v>39142</c:v>
                      </c:pt>
                      <c:pt idx="3">
                        <c:v>39173</c:v>
                      </c:pt>
                      <c:pt idx="4">
                        <c:v>39203</c:v>
                      </c:pt>
                      <c:pt idx="5">
                        <c:v>39234</c:v>
                      </c:pt>
                      <c:pt idx="6">
                        <c:v>39264</c:v>
                      </c:pt>
                      <c:pt idx="7">
                        <c:v>39295</c:v>
                      </c:pt>
                      <c:pt idx="8">
                        <c:v>39326</c:v>
                      </c:pt>
                      <c:pt idx="9">
                        <c:v>39356</c:v>
                      </c:pt>
                      <c:pt idx="10">
                        <c:v>39387</c:v>
                      </c:pt>
                      <c:pt idx="11">
                        <c:v>39417</c:v>
                      </c:pt>
                      <c:pt idx="12">
                        <c:v>39448</c:v>
                      </c:pt>
                      <c:pt idx="13">
                        <c:v>39479</c:v>
                      </c:pt>
                      <c:pt idx="14">
                        <c:v>39508</c:v>
                      </c:pt>
                      <c:pt idx="15">
                        <c:v>39539</c:v>
                      </c:pt>
                      <c:pt idx="16">
                        <c:v>39569</c:v>
                      </c:pt>
                      <c:pt idx="17">
                        <c:v>39600</c:v>
                      </c:pt>
                      <c:pt idx="18">
                        <c:v>39630</c:v>
                      </c:pt>
                      <c:pt idx="19">
                        <c:v>39661</c:v>
                      </c:pt>
                      <c:pt idx="20">
                        <c:v>39692</c:v>
                      </c:pt>
                      <c:pt idx="21">
                        <c:v>39722</c:v>
                      </c:pt>
                      <c:pt idx="22">
                        <c:v>39753</c:v>
                      </c:pt>
                      <c:pt idx="23">
                        <c:v>39783</c:v>
                      </c:pt>
                      <c:pt idx="24">
                        <c:v>39814</c:v>
                      </c:pt>
                      <c:pt idx="25">
                        <c:v>39845</c:v>
                      </c:pt>
                      <c:pt idx="26">
                        <c:v>39873</c:v>
                      </c:pt>
                      <c:pt idx="27">
                        <c:v>39904</c:v>
                      </c:pt>
                      <c:pt idx="28">
                        <c:v>39934</c:v>
                      </c:pt>
                      <c:pt idx="29">
                        <c:v>39965</c:v>
                      </c:pt>
                      <c:pt idx="30">
                        <c:v>39995</c:v>
                      </c:pt>
                      <c:pt idx="31">
                        <c:v>40026</c:v>
                      </c:pt>
                      <c:pt idx="32">
                        <c:v>40057</c:v>
                      </c:pt>
                      <c:pt idx="33">
                        <c:v>40087</c:v>
                      </c:pt>
                      <c:pt idx="34">
                        <c:v>40118</c:v>
                      </c:pt>
                      <c:pt idx="35">
                        <c:v>40148</c:v>
                      </c:pt>
                      <c:pt idx="36">
                        <c:v>40179</c:v>
                      </c:pt>
                      <c:pt idx="37">
                        <c:v>40210</c:v>
                      </c:pt>
                      <c:pt idx="38">
                        <c:v>40238</c:v>
                      </c:pt>
                      <c:pt idx="39">
                        <c:v>40269</c:v>
                      </c:pt>
                      <c:pt idx="40">
                        <c:v>40299</c:v>
                      </c:pt>
                      <c:pt idx="41">
                        <c:v>40330</c:v>
                      </c:pt>
                      <c:pt idx="42">
                        <c:v>40360</c:v>
                      </c:pt>
                      <c:pt idx="43">
                        <c:v>40391</c:v>
                      </c:pt>
                      <c:pt idx="44">
                        <c:v>40422</c:v>
                      </c:pt>
                      <c:pt idx="45">
                        <c:v>40452</c:v>
                      </c:pt>
                      <c:pt idx="46">
                        <c:v>40483</c:v>
                      </c:pt>
                      <c:pt idx="47">
                        <c:v>40513</c:v>
                      </c:pt>
                      <c:pt idx="48">
                        <c:v>40544</c:v>
                      </c:pt>
                      <c:pt idx="49">
                        <c:v>40575</c:v>
                      </c:pt>
                      <c:pt idx="50">
                        <c:v>40603</c:v>
                      </c:pt>
                      <c:pt idx="51">
                        <c:v>40634</c:v>
                      </c:pt>
                      <c:pt idx="52">
                        <c:v>40664</c:v>
                      </c:pt>
                      <c:pt idx="53">
                        <c:v>40695</c:v>
                      </c:pt>
                      <c:pt idx="54">
                        <c:v>40725</c:v>
                      </c:pt>
                      <c:pt idx="55">
                        <c:v>40756</c:v>
                      </c:pt>
                      <c:pt idx="56">
                        <c:v>40787</c:v>
                      </c:pt>
                      <c:pt idx="57">
                        <c:v>40817</c:v>
                      </c:pt>
                      <c:pt idx="58">
                        <c:v>40848</c:v>
                      </c:pt>
                      <c:pt idx="59">
                        <c:v>40878</c:v>
                      </c:pt>
                      <c:pt idx="60">
                        <c:v>40909</c:v>
                      </c:pt>
                      <c:pt idx="61">
                        <c:v>40940</c:v>
                      </c:pt>
                      <c:pt idx="62">
                        <c:v>40969</c:v>
                      </c:pt>
                      <c:pt idx="63">
                        <c:v>41000</c:v>
                      </c:pt>
                      <c:pt idx="64">
                        <c:v>41030</c:v>
                      </c:pt>
                      <c:pt idx="65">
                        <c:v>41061</c:v>
                      </c:pt>
                      <c:pt idx="66">
                        <c:v>41091</c:v>
                      </c:pt>
                      <c:pt idx="67">
                        <c:v>41122</c:v>
                      </c:pt>
                      <c:pt idx="68">
                        <c:v>41153</c:v>
                      </c:pt>
                      <c:pt idx="69">
                        <c:v>41183</c:v>
                      </c:pt>
                      <c:pt idx="70">
                        <c:v>41214</c:v>
                      </c:pt>
                      <c:pt idx="71">
                        <c:v>41244</c:v>
                      </c:pt>
                      <c:pt idx="72">
                        <c:v>41275</c:v>
                      </c:pt>
                      <c:pt idx="73">
                        <c:v>41306</c:v>
                      </c:pt>
                      <c:pt idx="74">
                        <c:v>41334</c:v>
                      </c:pt>
                      <c:pt idx="75">
                        <c:v>41365</c:v>
                      </c:pt>
                      <c:pt idx="76">
                        <c:v>41395</c:v>
                      </c:pt>
                      <c:pt idx="77">
                        <c:v>41426</c:v>
                      </c:pt>
                      <c:pt idx="78">
                        <c:v>41456</c:v>
                      </c:pt>
                      <c:pt idx="79">
                        <c:v>41487</c:v>
                      </c:pt>
                      <c:pt idx="80">
                        <c:v>41518</c:v>
                      </c:pt>
                      <c:pt idx="81">
                        <c:v>41548</c:v>
                      </c:pt>
                      <c:pt idx="82">
                        <c:v>41579</c:v>
                      </c:pt>
                      <c:pt idx="83">
                        <c:v>41609</c:v>
                      </c:pt>
                      <c:pt idx="84">
                        <c:v>41640</c:v>
                      </c:pt>
                      <c:pt idx="85">
                        <c:v>41671</c:v>
                      </c:pt>
                      <c:pt idx="86">
                        <c:v>41699</c:v>
                      </c:pt>
                      <c:pt idx="87">
                        <c:v>41730</c:v>
                      </c:pt>
                      <c:pt idx="88">
                        <c:v>41760</c:v>
                      </c:pt>
                      <c:pt idx="89">
                        <c:v>41791</c:v>
                      </c:pt>
                      <c:pt idx="90">
                        <c:v>41821</c:v>
                      </c:pt>
                      <c:pt idx="91">
                        <c:v>41852</c:v>
                      </c:pt>
                      <c:pt idx="92">
                        <c:v>41883</c:v>
                      </c:pt>
                      <c:pt idx="93">
                        <c:v>41913</c:v>
                      </c:pt>
                      <c:pt idx="94">
                        <c:v>41944</c:v>
                      </c:pt>
                      <c:pt idx="95">
                        <c:v>41974</c:v>
                      </c:pt>
                      <c:pt idx="96">
                        <c:v>42005</c:v>
                      </c:pt>
                      <c:pt idx="97">
                        <c:v>42036</c:v>
                      </c:pt>
                      <c:pt idx="98">
                        <c:v>42064</c:v>
                      </c:pt>
                      <c:pt idx="99">
                        <c:v>42095</c:v>
                      </c:pt>
                      <c:pt idx="100">
                        <c:v>42125</c:v>
                      </c:pt>
                      <c:pt idx="101">
                        <c:v>42156</c:v>
                      </c:pt>
                      <c:pt idx="102">
                        <c:v>42186</c:v>
                      </c:pt>
                      <c:pt idx="103">
                        <c:v>42217</c:v>
                      </c:pt>
                      <c:pt idx="104">
                        <c:v>42248</c:v>
                      </c:pt>
                      <c:pt idx="105">
                        <c:v>42278</c:v>
                      </c:pt>
                      <c:pt idx="106">
                        <c:v>42309</c:v>
                      </c:pt>
                      <c:pt idx="107">
                        <c:v>42339</c:v>
                      </c:pt>
                      <c:pt idx="108">
                        <c:v>42370</c:v>
                      </c:pt>
                      <c:pt idx="109">
                        <c:v>42401</c:v>
                      </c:pt>
                      <c:pt idx="110">
                        <c:v>42430</c:v>
                      </c:pt>
                      <c:pt idx="111">
                        <c:v>42461</c:v>
                      </c:pt>
                      <c:pt idx="112">
                        <c:v>42491</c:v>
                      </c:pt>
                      <c:pt idx="113">
                        <c:v>42522</c:v>
                      </c:pt>
                      <c:pt idx="114">
                        <c:v>42552</c:v>
                      </c:pt>
                      <c:pt idx="115">
                        <c:v>42583</c:v>
                      </c:pt>
                      <c:pt idx="116">
                        <c:v>42614</c:v>
                      </c:pt>
                      <c:pt idx="117">
                        <c:v>42644</c:v>
                      </c:pt>
                      <c:pt idx="118">
                        <c:v>42675</c:v>
                      </c:pt>
                      <c:pt idx="119">
                        <c:v>42705</c:v>
                      </c:pt>
                      <c:pt idx="120">
                        <c:v>42736</c:v>
                      </c:pt>
                      <c:pt idx="121">
                        <c:v>42767</c:v>
                      </c:pt>
                      <c:pt idx="122">
                        <c:v>42795</c:v>
                      </c:pt>
                      <c:pt idx="123">
                        <c:v>42826</c:v>
                      </c:pt>
                      <c:pt idx="124">
                        <c:v>42856</c:v>
                      </c:pt>
                      <c:pt idx="125">
                        <c:v>42887</c:v>
                      </c:pt>
                      <c:pt idx="126">
                        <c:v>42917</c:v>
                      </c:pt>
                      <c:pt idx="127">
                        <c:v>42948</c:v>
                      </c:pt>
                      <c:pt idx="128">
                        <c:v>42979</c:v>
                      </c:pt>
                      <c:pt idx="129">
                        <c:v>43009</c:v>
                      </c:pt>
                      <c:pt idx="130">
                        <c:v>43040</c:v>
                      </c:pt>
                      <c:pt idx="131">
                        <c:v>43070</c:v>
                      </c:pt>
                      <c:pt idx="132">
                        <c:v>43101</c:v>
                      </c:pt>
                      <c:pt idx="133">
                        <c:v>43132</c:v>
                      </c:pt>
                      <c:pt idx="134">
                        <c:v>43160</c:v>
                      </c:pt>
                      <c:pt idx="135">
                        <c:v>43191</c:v>
                      </c:pt>
                      <c:pt idx="136">
                        <c:v>43221</c:v>
                      </c:pt>
                      <c:pt idx="137">
                        <c:v>43252</c:v>
                      </c:pt>
                      <c:pt idx="138">
                        <c:v>43282</c:v>
                      </c:pt>
                      <c:pt idx="139">
                        <c:v>43313</c:v>
                      </c:pt>
                      <c:pt idx="140">
                        <c:v>43344</c:v>
                      </c:pt>
                      <c:pt idx="141">
                        <c:v>43374</c:v>
                      </c:pt>
                      <c:pt idx="142">
                        <c:v>43405</c:v>
                      </c:pt>
                      <c:pt idx="143">
                        <c:v>43435</c:v>
                      </c:pt>
                      <c:pt idx="144">
                        <c:v>43466</c:v>
                      </c:pt>
                      <c:pt idx="145">
                        <c:v>43497</c:v>
                      </c:pt>
                      <c:pt idx="146">
                        <c:v>43525</c:v>
                      </c:pt>
                      <c:pt idx="147">
                        <c:v>43556</c:v>
                      </c:pt>
                      <c:pt idx="148">
                        <c:v>43586</c:v>
                      </c:pt>
                      <c:pt idx="149">
                        <c:v>43617</c:v>
                      </c:pt>
                      <c:pt idx="150">
                        <c:v>43647</c:v>
                      </c:pt>
                      <c:pt idx="151">
                        <c:v>43678</c:v>
                      </c:pt>
                      <c:pt idx="152">
                        <c:v>43709</c:v>
                      </c:pt>
                      <c:pt idx="153">
                        <c:v>43739</c:v>
                      </c:pt>
                      <c:pt idx="154">
                        <c:v>43770</c:v>
                      </c:pt>
                      <c:pt idx="155">
                        <c:v>43800</c:v>
                      </c:pt>
                      <c:pt idx="156">
                        <c:v>43831</c:v>
                      </c:pt>
                      <c:pt idx="157">
                        <c:v>43862</c:v>
                      </c:pt>
                      <c:pt idx="158">
                        <c:v>43891</c:v>
                      </c:pt>
                      <c:pt idx="159">
                        <c:v>43922</c:v>
                      </c:pt>
                      <c:pt idx="160">
                        <c:v>43952</c:v>
                      </c:pt>
                      <c:pt idx="161">
                        <c:v>43983</c:v>
                      </c:pt>
                      <c:pt idx="162">
                        <c:v>44013</c:v>
                      </c:pt>
                      <c:pt idx="163">
                        <c:v>44044</c:v>
                      </c:pt>
                      <c:pt idx="164">
                        <c:v>44075</c:v>
                      </c:pt>
                      <c:pt idx="165">
                        <c:v>44105</c:v>
                      </c:pt>
                      <c:pt idx="166">
                        <c:v>44136</c:v>
                      </c:pt>
                      <c:pt idx="167">
                        <c:v>44166</c:v>
                      </c:pt>
                      <c:pt idx="168">
                        <c:v>44197</c:v>
                      </c:pt>
                      <c:pt idx="169">
                        <c:v>44228</c:v>
                      </c:pt>
                      <c:pt idx="170">
                        <c:v>44256</c:v>
                      </c:pt>
                      <c:pt idx="171">
                        <c:v>44287</c:v>
                      </c:pt>
                      <c:pt idx="172">
                        <c:v>44317</c:v>
                      </c:pt>
                    </c:numCache>
                  </c:numRef>
                </c:cat>
                <c:val>
                  <c:numRef>
                    <c:extLst>
                      <c:ext xmlns:c15="http://schemas.microsoft.com/office/drawing/2012/chart" uri="{02D57815-91ED-43cb-92C2-25804820EDAC}">
                        <c15:fullRef>
                          <c15:sqref>'Tendencias nacionalidad'!$D$85:$GA$85</c15:sqref>
                        </c15:fullRef>
                        <c15:formulaRef>
                          <c15:sqref>'Tendencias nacionalidad'!$D$85:$FT$85</c15:sqref>
                        </c15:formulaRef>
                      </c:ext>
                    </c:extLst>
                    <c:numCache>
                      <c:formatCode>#,##0</c:formatCode>
                      <c:ptCount val="173"/>
                      <c:pt idx="0">
                        <c:v>1352</c:v>
                      </c:pt>
                      <c:pt idx="1">
                        <c:v>1073</c:v>
                      </c:pt>
                      <c:pt idx="2">
                        <c:v>1228</c:v>
                      </c:pt>
                      <c:pt idx="3">
                        <c:v>1130</c:v>
                      </c:pt>
                      <c:pt idx="4">
                        <c:v>1032</c:v>
                      </c:pt>
                      <c:pt idx="5">
                        <c:v>1214</c:v>
                      </c:pt>
                      <c:pt idx="6">
                        <c:v>1621</c:v>
                      </c:pt>
                      <c:pt idx="7">
                        <c:v>1503</c:v>
                      </c:pt>
                      <c:pt idx="8">
                        <c:v>1581</c:v>
                      </c:pt>
                      <c:pt idx="9">
                        <c:v>1686</c:v>
                      </c:pt>
                      <c:pt idx="10">
                        <c:v>1465</c:v>
                      </c:pt>
                      <c:pt idx="11">
                        <c:v>1267</c:v>
                      </c:pt>
                      <c:pt idx="12">
                        <c:v>1457</c:v>
                      </c:pt>
                      <c:pt idx="13">
                        <c:v>1912</c:v>
                      </c:pt>
                      <c:pt idx="14">
                        <c:v>1681</c:v>
                      </c:pt>
                      <c:pt idx="15">
                        <c:v>1419</c:v>
                      </c:pt>
                      <c:pt idx="16">
                        <c:v>1507</c:v>
                      </c:pt>
                      <c:pt idx="17">
                        <c:v>1667</c:v>
                      </c:pt>
                      <c:pt idx="18">
                        <c:v>1856</c:v>
                      </c:pt>
                      <c:pt idx="19">
                        <c:v>2105</c:v>
                      </c:pt>
                      <c:pt idx="20">
                        <c:v>1931</c:v>
                      </c:pt>
                      <c:pt idx="21">
                        <c:v>2079</c:v>
                      </c:pt>
                      <c:pt idx="22">
                        <c:v>2062</c:v>
                      </c:pt>
                      <c:pt idx="23">
                        <c:v>1753</c:v>
                      </c:pt>
                      <c:pt idx="24">
                        <c:v>1691</c:v>
                      </c:pt>
                      <c:pt idx="25">
                        <c:v>1564</c:v>
                      </c:pt>
                      <c:pt idx="26">
                        <c:v>1837</c:v>
                      </c:pt>
                      <c:pt idx="27">
                        <c:v>1902</c:v>
                      </c:pt>
                      <c:pt idx="28">
                        <c:v>1950.5</c:v>
                      </c:pt>
                      <c:pt idx="29">
                        <c:v>1999</c:v>
                      </c:pt>
                      <c:pt idx="30">
                        <c:v>2276</c:v>
                      </c:pt>
                      <c:pt idx="31">
                        <c:v>2179</c:v>
                      </c:pt>
                      <c:pt idx="32">
                        <c:v>1873</c:v>
                      </c:pt>
                      <c:pt idx="33">
                        <c:v>2115</c:v>
                      </c:pt>
                      <c:pt idx="34">
                        <c:v>1922</c:v>
                      </c:pt>
                      <c:pt idx="35">
                        <c:v>1842</c:v>
                      </c:pt>
                      <c:pt idx="36">
                        <c:v>2005</c:v>
                      </c:pt>
                      <c:pt idx="37">
                        <c:v>2148</c:v>
                      </c:pt>
                      <c:pt idx="38">
                        <c:v>2032</c:v>
                      </c:pt>
                      <c:pt idx="39">
                        <c:v>1797</c:v>
                      </c:pt>
                      <c:pt idx="40">
                        <c:v>1836</c:v>
                      </c:pt>
                      <c:pt idx="41">
                        <c:v>2056</c:v>
                      </c:pt>
                      <c:pt idx="42">
                        <c:v>2157</c:v>
                      </c:pt>
                      <c:pt idx="43">
                        <c:v>2080</c:v>
                      </c:pt>
                      <c:pt idx="44">
                        <c:v>1869</c:v>
                      </c:pt>
                      <c:pt idx="45">
                        <c:v>3234</c:v>
                      </c:pt>
                      <c:pt idx="46">
                        <c:v>2064</c:v>
                      </c:pt>
                      <c:pt idx="47">
                        <c:v>1947</c:v>
                      </c:pt>
                      <c:pt idx="48">
                        <c:v>2161</c:v>
                      </c:pt>
                      <c:pt idx="49">
                        <c:v>1925</c:v>
                      </c:pt>
                      <c:pt idx="50">
                        <c:v>2397</c:v>
                      </c:pt>
                      <c:pt idx="51">
                        <c:v>2132</c:v>
                      </c:pt>
                      <c:pt idx="52">
                        <c:v>1881</c:v>
                      </c:pt>
                      <c:pt idx="53">
                        <c:v>1933</c:v>
                      </c:pt>
                      <c:pt idx="54">
                        <c:v>1785</c:v>
                      </c:pt>
                      <c:pt idx="55">
                        <c:v>1871</c:v>
                      </c:pt>
                      <c:pt idx="56">
                        <c:v>1793</c:v>
                      </c:pt>
                      <c:pt idx="57">
                        <c:v>1900</c:v>
                      </c:pt>
                      <c:pt idx="58">
                        <c:v>2198</c:v>
                      </c:pt>
                      <c:pt idx="59">
                        <c:v>1731</c:v>
                      </c:pt>
                      <c:pt idx="60">
                        <c:v>2292</c:v>
                      </c:pt>
                      <c:pt idx="61">
                        <c:v>1667</c:v>
                      </c:pt>
                      <c:pt idx="62">
                        <c:v>1785</c:v>
                      </c:pt>
                      <c:pt idx="63">
                        <c:v>1717</c:v>
                      </c:pt>
                      <c:pt idx="64">
                        <c:v>2030</c:v>
                      </c:pt>
                      <c:pt idx="65">
                        <c:v>2417</c:v>
                      </c:pt>
                      <c:pt idx="66">
                        <c:v>2406</c:v>
                      </c:pt>
                      <c:pt idx="67">
                        <c:v>2181</c:v>
                      </c:pt>
                      <c:pt idx="68">
                        <c:v>2263</c:v>
                      </c:pt>
                      <c:pt idx="69">
                        <c:v>2409</c:v>
                      </c:pt>
                      <c:pt idx="70">
                        <c:v>2762</c:v>
                      </c:pt>
                      <c:pt idx="71">
                        <c:v>2408</c:v>
                      </c:pt>
                      <c:pt idx="72">
                        <c:v>2705</c:v>
                      </c:pt>
                      <c:pt idx="73">
                        <c:v>2224</c:v>
                      </c:pt>
                      <c:pt idx="74">
                        <c:v>3674</c:v>
                      </c:pt>
                      <c:pt idx="75">
                        <c:v>2902</c:v>
                      </c:pt>
                      <c:pt idx="76">
                        <c:v>2693</c:v>
                      </c:pt>
                      <c:pt idx="77">
                        <c:v>3260</c:v>
                      </c:pt>
                      <c:pt idx="78">
                        <c:v>2875</c:v>
                      </c:pt>
                      <c:pt idx="79">
                        <c:v>2875</c:v>
                      </c:pt>
                      <c:pt idx="80">
                        <c:v>2838</c:v>
                      </c:pt>
                      <c:pt idx="81">
                        <c:v>3163</c:v>
                      </c:pt>
                      <c:pt idx="82">
                        <c:v>3258</c:v>
                      </c:pt>
                      <c:pt idx="83">
                        <c:v>3987</c:v>
                      </c:pt>
                      <c:pt idx="84">
                        <c:v>1464</c:v>
                      </c:pt>
                      <c:pt idx="85">
                        <c:v>2663</c:v>
                      </c:pt>
                      <c:pt idx="86">
                        <c:v>2765</c:v>
                      </c:pt>
                      <c:pt idx="87">
                        <c:v>2718</c:v>
                      </c:pt>
                      <c:pt idx="88">
                        <c:v>2898</c:v>
                      </c:pt>
                      <c:pt idx="89">
                        <c:v>1850</c:v>
                      </c:pt>
                      <c:pt idx="90">
                        <c:v>3517</c:v>
                      </c:pt>
                      <c:pt idx="91">
                        <c:v>3243</c:v>
                      </c:pt>
                      <c:pt idx="92">
                        <c:v>4230</c:v>
                      </c:pt>
                      <c:pt idx="93">
                        <c:v>4080</c:v>
                      </c:pt>
                      <c:pt idx="94">
                        <c:v>4657</c:v>
                      </c:pt>
                      <c:pt idx="95">
                        <c:v>4249</c:v>
                      </c:pt>
                      <c:pt idx="96">
                        <c:v>4365</c:v>
                      </c:pt>
                      <c:pt idx="97">
                        <c:v>4265</c:v>
                      </c:pt>
                      <c:pt idx="98">
                        <c:v>4529</c:v>
                      </c:pt>
                      <c:pt idx="99">
                        <c:v>4893</c:v>
                      </c:pt>
                      <c:pt idx="100">
                        <c:v>4695</c:v>
                      </c:pt>
                      <c:pt idx="101">
                        <c:v>4155</c:v>
                      </c:pt>
                      <c:pt idx="102">
                        <c:v>4388</c:v>
                      </c:pt>
                      <c:pt idx="103">
                        <c:v>2823</c:v>
                      </c:pt>
                      <c:pt idx="104">
                        <c:v>3036</c:v>
                      </c:pt>
                      <c:pt idx="105">
                        <c:v>2822</c:v>
                      </c:pt>
                      <c:pt idx="106">
                        <c:v>3131</c:v>
                      </c:pt>
                      <c:pt idx="107">
                        <c:v>2609</c:v>
                      </c:pt>
                      <c:pt idx="108">
                        <c:v>2637</c:v>
                      </c:pt>
                      <c:pt idx="109">
                        <c:v>2682</c:v>
                      </c:pt>
                      <c:pt idx="110">
                        <c:v>2560</c:v>
                      </c:pt>
                      <c:pt idx="111">
                        <c:v>2027</c:v>
                      </c:pt>
                      <c:pt idx="112">
                        <c:v>2406</c:v>
                      </c:pt>
                      <c:pt idx="113">
                        <c:v>2378</c:v>
                      </c:pt>
                      <c:pt idx="114">
                        <c:v>2754</c:v>
                      </c:pt>
                      <c:pt idx="115">
                        <c:v>2485</c:v>
                      </c:pt>
                      <c:pt idx="116">
                        <c:v>2655</c:v>
                      </c:pt>
                      <c:pt idx="117">
                        <c:v>5694</c:v>
                      </c:pt>
                      <c:pt idx="118">
                        <c:v>3499</c:v>
                      </c:pt>
                      <c:pt idx="119">
                        <c:v>3813</c:v>
                      </c:pt>
                      <c:pt idx="120">
                        <c:v>3249</c:v>
                      </c:pt>
                      <c:pt idx="121">
                        <c:v>2963</c:v>
                      </c:pt>
                      <c:pt idx="122">
                        <c:v>3245</c:v>
                      </c:pt>
                      <c:pt idx="123">
                        <c:v>3320</c:v>
                      </c:pt>
                      <c:pt idx="124">
                        <c:v>3212</c:v>
                      </c:pt>
                      <c:pt idx="125">
                        <c:v>3871</c:v>
                      </c:pt>
                      <c:pt idx="126">
                        <c:v>4324</c:v>
                      </c:pt>
                      <c:pt idx="127">
                        <c:v>3626</c:v>
                      </c:pt>
                      <c:pt idx="128">
                        <c:v>3420</c:v>
                      </c:pt>
                      <c:pt idx="129">
                        <c:v>3792</c:v>
                      </c:pt>
                      <c:pt idx="130">
                        <c:v>4114</c:v>
                      </c:pt>
                      <c:pt idx="131">
                        <c:v>4059</c:v>
                      </c:pt>
                      <c:pt idx="132">
                        <c:v>3570</c:v>
                      </c:pt>
                      <c:pt idx="133">
                        <c:v>3494</c:v>
                      </c:pt>
                      <c:pt idx="134">
                        <c:v>3839</c:v>
                      </c:pt>
                      <c:pt idx="135">
                        <c:v>3851</c:v>
                      </c:pt>
                      <c:pt idx="136">
                        <c:v>3882</c:v>
                      </c:pt>
                      <c:pt idx="137">
                        <c:v>4239</c:v>
                      </c:pt>
                      <c:pt idx="138">
                        <c:v>4301</c:v>
                      </c:pt>
                      <c:pt idx="139">
                        <c:v>3635</c:v>
                      </c:pt>
                      <c:pt idx="140">
                        <c:v>3911</c:v>
                      </c:pt>
                      <c:pt idx="141">
                        <c:v>4054</c:v>
                      </c:pt>
                      <c:pt idx="142">
                        <c:v>4768</c:v>
                      </c:pt>
                      <c:pt idx="143">
                        <c:v>4485</c:v>
                      </c:pt>
                      <c:pt idx="144" formatCode="_(* #,##0_);_(* \(#,##0\);_(* &quot;-&quot;??_);_(@_)">
                        <c:v>3867</c:v>
                      </c:pt>
                      <c:pt idx="145" formatCode="_(* #,##0_);_(* \(#,##0\);_(* &quot;-&quot;??_);_(@_)">
                        <c:v>3871</c:v>
                      </c:pt>
                      <c:pt idx="146" formatCode="_(* #,##0_);_(* \(#,##0\);_(* &quot;-&quot;??_);_(@_)">
                        <c:v>4529</c:v>
                      </c:pt>
                      <c:pt idx="147" formatCode="_(* #,##0_);_(* \(#,##0\);_(* &quot;-&quot;??_);_(@_)">
                        <c:v>4829</c:v>
                      </c:pt>
                      <c:pt idx="148" formatCode="_(* #,##0_);_(* \(#,##0\);_(* &quot;-&quot;??_);_(@_)">
                        <c:v>3586</c:v>
                      </c:pt>
                      <c:pt idx="149" formatCode="_(* #,##0_);_(* \(#,##0\);_(* &quot;-&quot;??_);_(@_)">
                        <c:v>6971</c:v>
                      </c:pt>
                      <c:pt idx="150" formatCode="_(* #,##0_);_(* \(#,##0\);_(* &quot;-&quot;??_);_(@_)">
                        <c:v>6736</c:v>
                      </c:pt>
                      <c:pt idx="151" formatCode="_(* #,##0_);_(* \(#,##0\);_(* &quot;-&quot;??_);_(@_)">
                        <c:v>1079</c:v>
                      </c:pt>
                      <c:pt idx="152" formatCode="_(* #,##0_);_(* \(#,##0\);_(* &quot;-&quot;??_);_(@_)">
                        <c:v>3112</c:v>
                      </c:pt>
                      <c:pt idx="153" formatCode="_(* #,##0_);_(* \(#,##0\);_(* &quot;-&quot;??_);_(@_)">
                        <c:v>2696</c:v>
                      </c:pt>
                      <c:pt idx="154" formatCode="_(* #,##0_);_(* \(#,##0\);_(* &quot;-&quot;??_);_(@_)">
                        <c:v>3234</c:v>
                      </c:pt>
                      <c:pt idx="155" formatCode="_(* #,##0_);_(* \(#,##0\);_(* &quot;-&quot;??_);_(@_)">
                        <c:v>3088</c:v>
                      </c:pt>
                      <c:pt idx="156" formatCode="_(* #,##0_);_(* \(#,##0\);_(* &quot;-&quot;??_);_(@_)">
                        <c:v>3447</c:v>
                      </c:pt>
                      <c:pt idx="157" formatCode="_(* #,##0_);_(* \(#,##0\);_(* &quot;-&quot;??_);_(@_)">
                        <c:v>2919</c:v>
                      </c:pt>
                      <c:pt idx="158" formatCode="_(* #,##0_);_(* \(#,##0\);_(* &quot;-&quot;??_);_(@_)">
                        <c:v>1120</c:v>
                      </c:pt>
                      <c:pt idx="159" formatCode="_(* #,##0_);_(* \(#,##0\);_(* &quot;-&quot;??_);_(@_)">
                        <c:v>23</c:v>
                      </c:pt>
                      <c:pt idx="160" formatCode="_(* #,##0_);_(* \(#,##0\);_(* &quot;-&quot;??_);_(@_)">
                        <c:v>40</c:v>
                      </c:pt>
                      <c:pt idx="161" formatCode="_(* #,##0_);_(* \(#,##0\);_(* &quot;-&quot;??_);_(@_)">
                        <c:v>81</c:v>
                      </c:pt>
                      <c:pt idx="162" formatCode="_(* #,##0_);_(* \(#,##0\);_(* &quot;-&quot;??_);_(@_)">
                        <c:v>160</c:v>
                      </c:pt>
                      <c:pt idx="163" formatCode="_(* #,##0_);_(* \(#,##0\);_(* &quot;-&quot;??_);_(@_)">
                        <c:v>197</c:v>
                      </c:pt>
                      <c:pt idx="164" formatCode="_(* #,##0_);_(* \(#,##0\);_(* &quot;-&quot;??_);_(@_)">
                        <c:v>256</c:v>
                      </c:pt>
                      <c:pt idx="165" formatCode="_(* #,##0_);_(* \(#,##0\);_(* &quot;-&quot;??_);_(@_)">
                        <c:v>421</c:v>
                      </c:pt>
                      <c:pt idx="166" formatCode="_(* #,##0_);_(* \(#,##0\);_(* &quot;-&quot;??_);_(@_)">
                        <c:v>533</c:v>
                      </c:pt>
                      <c:pt idx="167" formatCode="_(* #,##0_);_(* \(#,##0\);_(* &quot;-&quot;??_);_(@_)">
                        <c:v>796</c:v>
                      </c:pt>
                      <c:pt idx="168" formatCode="_(* #,##0_);_(* \(#,##0\);_(* &quot;-&quot;??_);_(@_)">
                        <c:v>-330</c:v>
                      </c:pt>
                      <c:pt idx="169" formatCode="_(* #,##0_);_(* \(#,##0\);_(* &quot;-&quot;??_);_(@_)">
                        <c:v>535</c:v>
                      </c:pt>
                      <c:pt idx="170" formatCode="_(* #,##0_);_(* \(#,##0\);_(* &quot;-&quot;??_);_(@_)">
                        <c:v>676</c:v>
                      </c:pt>
                      <c:pt idx="171" formatCode="_(* #,##0_);_(* \(#,##0\);_(* &quot;-&quot;??_);_(@_)">
                        <c:v>695</c:v>
                      </c:pt>
                      <c:pt idx="172" formatCode="_(* #,##0_);_(* \(#,##0\);_(* &quot;-&quot;??_);_(@_)">
                        <c:v>698</c:v>
                      </c:pt>
                    </c:numCache>
                  </c:numRef>
                </c:val>
                <c:smooth val="0"/>
                <c:extLst xmlns:c15="http://schemas.microsoft.com/office/drawing/2012/chart">
                  <c:ext xmlns:c16="http://schemas.microsoft.com/office/drawing/2014/chart" uri="{C3380CC4-5D6E-409C-BE32-E72D297353CC}">
                    <c16:uniqueId val="{0000001F-9994-4956-9FBA-2410398E6D0E}"/>
                  </c:ext>
                </c:extLst>
              </c15:ser>
            </c15:filteredLineSeries>
          </c:ext>
        </c:extLst>
      </c:lineChart>
      <c:dateAx>
        <c:axId val="939981295"/>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EC"/>
          </a:p>
        </c:txPr>
        <c:crossAx val="939983375"/>
        <c:crosses val="autoZero"/>
        <c:auto val="1"/>
        <c:lblOffset val="100"/>
        <c:baseTimeUnit val="months"/>
      </c:dateAx>
      <c:valAx>
        <c:axId val="93998337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39981295"/>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cap="none" baseline="0">
                <a:solidFill>
                  <a:schemeClr val="lt1">
                    <a:lumMod val="85000"/>
                  </a:schemeClr>
                </a:solidFill>
                <a:latin typeface="+mn-lt"/>
                <a:ea typeface="+mn-ea"/>
                <a:cs typeface="+mn-cs"/>
              </a:defRPr>
            </a:pPr>
            <a:r>
              <a:rPr lang="en-US" sz="1800"/>
              <a:t>Variación arribos internacionales AMS 
</a:t>
            </a:r>
          </a:p>
        </c:rich>
      </c:tx>
      <c:overlay val="0"/>
      <c:spPr>
        <a:noFill/>
        <a:ln>
          <a:noFill/>
        </a:ln>
        <a:effectLst/>
      </c:spPr>
      <c:txPr>
        <a:bodyPr rot="0" spcFirstLastPara="1" vertOverflow="ellipsis" vert="horz" wrap="square" anchor="ctr" anchorCtr="1"/>
        <a:lstStyle/>
        <a:p>
          <a:pPr>
            <a:defRPr sz="1800" b="1" i="0" u="none" strike="noStrike" kern="1200" cap="none" baseline="0">
              <a:solidFill>
                <a:schemeClr val="lt1">
                  <a:lumMod val="85000"/>
                </a:schemeClr>
              </a:solidFill>
              <a:latin typeface="+mn-lt"/>
              <a:ea typeface="+mn-ea"/>
              <a:cs typeface="+mn-cs"/>
            </a:defRPr>
          </a:pPr>
          <a:endParaRPr lang="es-EC"/>
        </a:p>
      </c:txPr>
    </c:title>
    <c:autoTitleDeleted val="0"/>
    <c:plotArea>
      <c:layout/>
      <c:lineChart>
        <c:grouping val="stacked"/>
        <c:varyColors val="0"/>
        <c:ser>
          <c:idx val="0"/>
          <c:order val="0"/>
          <c:tx>
            <c:strRef>
              <c:f>'Datos Aeropuerto AMS'!$B$241</c:f>
              <c:strCache>
                <c:ptCount val="1"/>
                <c:pt idx="0">
                  <c:v>Variación arribos internacionales 
2020-2021</c:v>
                </c:pt>
              </c:strCache>
            </c:strRef>
          </c:tx>
          <c:spPr>
            <a:ln w="25400" cap="flat" cmpd="sng" algn="ctr">
              <a:solidFill>
                <a:schemeClr val="accent5"/>
              </a:solidFill>
              <a:prstDash val="solid"/>
            </a:ln>
            <a:effectLst/>
          </c:spPr>
          <c:marker>
            <c:symbol val="none"/>
          </c:marker>
          <c:dLbls>
            <c:dLbl>
              <c:idx val="0"/>
              <c:layout>
                <c:manualLayout>
                  <c:x val="-2.5914632936682253E-2"/>
                  <c:y val="-4.62833048466273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636-43BA-94E4-F1F0B395E19E}"/>
                </c:ext>
              </c:extLst>
            </c:dLbl>
            <c:dLbl>
              <c:idx val="1"/>
              <c:layout>
                <c:manualLayout>
                  <c:x val="-3.0233738426129295E-2"/>
                  <c:y val="-5.65684837014334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636-43BA-94E4-F1F0B395E19E}"/>
                </c:ext>
              </c:extLst>
            </c:dLbl>
            <c:dLbl>
              <c:idx val="2"/>
              <c:layout>
                <c:manualLayout>
                  <c:x val="-2.5914632936682253E-2"/>
                  <c:y val="-4.628330484662742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636-43BA-94E4-F1F0B395E19E}"/>
                </c:ext>
              </c:extLst>
            </c:dLbl>
            <c:dLbl>
              <c:idx val="3"/>
              <c:layout>
                <c:manualLayout>
                  <c:x val="-1.7276421957788168E-2"/>
                  <c:y val="-5.656848370143340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36-43BA-94E4-F1F0B395E19E}"/>
                </c:ext>
              </c:extLst>
            </c:dLbl>
            <c:dLbl>
              <c:idx val="4"/>
              <c:layout>
                <c:manualLayout>
                  <c:x val="-1.727642195778822E-2"/>
                  <c:y val="-5.1425894274030368E-2"/>
                </c:manualLayout>
              </c:layout>
              <c:spPr>
                <a:gradFill rotWithShape="1">
                  <a:gsLst>
                    <a:gs pos="0">
                      <a:schemeClr val="accent5">
                        <a:tint val="50000"/>
                        <a:satMod val="300000"/>
                      </a:schemeClr>
                    </a:gs>
                    <a:gs pos="35000">
                      <a:schemeClr val="accent5">
                        <a:tint val="37000"/>
                        <a:satMod val="300000"/>
                      </a:schemeClr>
                    </a:gs>
                    <a:gs pos="100000">
                      <a:schemeClr val="accent5">
                        <a:tint val="15000"/>
                        <a:satMod val="350000"/>
                      </a:schemeClr>
                    </a:gs>
                  </a:gsLst>
                  <a:lin ang="16200000" scaled="1"/>
                </a:gradFill>
                <a:ln w="9525" cap="flat" cmpd="sng" algn="ctr">
                  <a:solidFill>
                    <a:schemeClr val="accent5">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0">
                  <a:spAutoFit/>
                </a:bodyPr>
                <a:lstStyle/>
                <a:p>
                  <a:pPr algn="ctr" rtl="0">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4636-43BA-94E4-F1F0B395E19E}"/>
                </c:ext>
              </c:extLst>
            </c:dLbl>
            <c:dLbl>
              <c:idx val="5"/>
              <c:layout>
                <c:manualLayout>
                  <c:x val="-2.159552744723521E-2"/>
                  <c:y val="-5.14258942740303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36-43BA-94E4-F1F0B395E19E}"/>
                </c:ext>
              </c:extLst>
            </c:dLbl>
            <c:dLbl>
              <c:idx val="6"/>
              <c:layout>
                <c:manualLayout>
                  <c:x val="-2.4474931106866573E-2"/>
                  <c:y val="-5.14258942740303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4636-43BA-94E4-F1F0B395E19E}"/>
                </c:ext>
              </c:extLst>
            </c:dLbl>
            <c:dLbl>
              <c:idx val="7"/>
              <c:layout>
                <c:manualLayout>
                  <c:x val="-2.4474931106866573E-2"/>
                  <c:y val="-4.11407154192243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36-43BA-94E4-F1F0B395E19E}"/>
                </c:ext>
              </c:extLst>
            </c:dLbl>
            <c:dLbl>
              <c:idx val="8"/>
              <c:layout>
                <c:manualLayout>
                  <c:x val="4.9701055002730069E-3"/>
                  <c:y val="-3.351734148540764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65C-4B7F-9E54-0F8EACFEEB9A}"/>
                </c:ext>
              </c:extLst>
            </c:dLbl>
            <c:dLbl>
              <c:idx val="11"/>
              <c:spPr>
                <a:solidFill>
                  <a:schemeClr val="tx1"/>
                </a:solidFill>
                <a:ln w="9525" cap="flat" cmpd="sng" algn="ctr">
                  <a:solidFill>
                    <a:schemeClr val="accent5">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extLst>
                <c:ext xmlns:c16="http://schemas.microsoft.com/office/drawing/2014/chart" uri="{C3380CC4-5D6E-409C-BE32-E72D297353CC}">
                  <c16:uniqueId val="{00000000-95FB-40DE-8E6E-C9ADD4D49705}"/>
                </c:ext>
              </c:extLst>
            </c:dLbl>
            <c:spPr>
              <a:gradFill rotWithShape="1">
                <a:gsLst>
                  <a:gs pos="0">
                    <a:schemeClr val="accent5">
                      <a:tint val="50000"/>
                      <a:satMod val="300000"/>
                    </a:schemeClr>
                  </a:gs>
                  <a:gs pos="35000">
                    <a:schemeClr val="accent5">
                      <a:tint val="37000"/>
                      <a:satMod val="300000"/>
                    </a:schemeClr>
                  </a:gs>
                  <a:gs pos="100000">
                    <a:schemeClr val="accent5">
                      <a:tint val="15000"/>
                      <a:satMod val="350000"/>
                    </a:schemeClr>
                  </a:gs>
                </a:gsLst>
                <a:lin ang="16200000" scaled="1"/>
              </a:gradFill>
              <a:ln w="9525" cap="flat" cmpd="sng" algn="ctr">
                <a:solidFill>
                  <a:schemeClr val="accent5">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cat>
            <c:strRef>
              <c:f>'Datos Aeropuerto AMS'!$C$238:$N$238</c:f>
              <c:strCache>
                <c:ptCount val="12"/>
                <c:pt idx="0">
                  <c:v>a enero</c:v>
                </c:pt>
                <c:pt idx="1">
                  <c:v>a febrero</c:v>
                </c:pt>
                <c:pt idx="2">
                  <c:v>a marzo</c:v>
                </c:pt>
                <c:pt idx="3">
                  <c:v>a abril</c:v>
                </c:pt>
                <c:pt idx="4">
                  <c:v>a mayo</c:v>
                </c:pt>
                <c:pt idx="5">
                  <c:v>a junio</c:v>
                </c:pt>
                <c:pt idx="6">
                  <c:v>a julio</c:v>
                </c:pt>
                <c:pt idx="7">
                  <c:v>a agosto</c:v>
                </c:pt>
                <c:pt idx="8">
                  <c:v>a septiembre</c:v>
                </c:pt>
                <c:pt idx="9">
                  <c:v>a octubre</c:v>
                </c:pt>
                <c:pt idx="10">
                  <c:v>a noviembre </c:v>
                </c:pt>
                <c:pt idx="11">
                  <c:v>a diciembre </c:v>
                </c:pt>
              </c:strCache>
            </c:strRef>
          </c:cat>
          <c:val>
            <c:numRef>
              <c:f>'Datos Aeropuerto AMS'!$C$241:$N$241</c:f>
              <c:numCache>
                <c:formatCode>0.00%</c:formatCode>
                <c:ptCount val="12"/>
                <c:pt idx="0">
                  <c:v>-0.70176344641339317</c:v>
                </c:pt>
                <c:pt idx="1">
                  <c:v>-0.73091288586180381</c:v>
                </c:pt>
                <c:pt idx="2">
                  <c:v>-0.66593022794321932</c:v>
                </c:pt>
                <c:pt idx="3">
                  <c:v>-0.5482375862204536</c:v>
                </c:pt>
                <c:pt idx="4">
                  <c:v>-0.39041991926946618</c:v>
                </c:pt>
                <c:pt idx="5">
                  <c:v>-0.17489621282724732</c:v>
                </c:pt>
                <c:pt idx="6">
                  <c:v>8.516221471701968E-2</c:v>
                </c:pt>
                <c:pt idx="7">
                  <c:v>0.29240736351426078</c:v>
                </c:pt>
                <c:pt idx="8">
                  <c:v>0.4523110340808465</c:v>
                </c:pt>
                <c:pt idx="9">
                  <c:v>0.57559169387711551</c:v>
                </c:pt>
                <c:pt idx="10">
                  <c:v>0.67572913941930413</c:v>
                </c:pt>
                <c:pt idx="11">
                  <c:v>0.67484377675676765</c:v>
                </c:pt>
              </c:numCache>
            </c:numRef>
          </c:val>
          <c:smooth val="0"/>
          <c:extLst>
            <c:ext xmlns:c16="http://schemas.microsoft.com/office/drawing/2014/chart" uri="{C3380CC4-5D6E-409C-BE32-E72D297353CC}">
              <c16:uniqueId val="{0000000C-4636-43BA-94E4-F1F0B395E19E}"/>
            </c:ext>
          </c:extLst>
        </c:ser>
        <c:dLbls>
          <c:showLegendKey val="0"/>
          <c:showVal val="0"/>
          <c:showCatName val="0"/>
          <c:showSerName val="0"/>
          <c:showPercent val="0"/>
          <c:showBubbleSize val="0"/>
        </c:dLbls>
        <c:smooth val="0"/>
        <c:axId val="-998045872"/>
        <c:axId val="-998044784"/>
      </c:lineChart>
      <c:dateAx>
        <c:axId val="-998045872"/>
        <c:scaling>
          <c:orientation val="minMax"/>
        </c:scaling>
        <c:delete val="0"/>
        <c:axPos val="b"/>
        <c:majorGridlines>
          <c:spPr>
            <a:ln w="9525" cap="flat" cmpd="sng" algn="ctr">
              <a:gradFill>
                <a:gsLst>
                  <a:gs pos="100000">
                    <a:schemeClr val="dk1">
                      <a:lumMod val="75000"/>
                      <a:lumOff val="25000"/>
                    </a:schemeClr>
                  </a:gs>
                  <a:gs pos="0">
                    <a:schemeClr val="dk1">
                      <a:lumMod val="65000"/>
                      <a:lumOff val="35000"/>
                    </a:schemeClr>
                  </a:gs>
                </a:gsLst>
                <a:lin ang="5400000" scaled="0"/>
              </a:gra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EC"/>
          </a:p>
        </c:txPr>
        <c:crossAx val="-998044784"/>
        <c:crosses val="autoZero"/>
        <c:auto val="0"/>
        <c:lblOffset val="100"/>
        <c:baseTimeUnit val="days"/>
      </c:dateAx>
      <c:valAx>
        <c:axId val="-998044784"/>
        <c:scaling>
          <c:orientation val="minMax"/>
          <c:max val="1"/>
          <c:min val="-0.9"/>
        </c:scaling>
        <c:delete val="0"/>
        <c:axPos val="l"/>
        <c:majorGridlines>
          <c:spPr>
            <a:ln w="9525" cap="flat" cmpd="sng" algn="ctr">
              <a:gradFill>
                <a:gsLst>
                  <a:gs pos="100000">
                    <a:schemeClr val="dk1">
                      <a:lumMod val="75000"/>
                      <a:lumOff val="25000"/>
                    </a:schemeClr>
                  </a:gs>
                  <a:gs pos="0">
                    <a:schemeClr val="dk1">
                      <a:lumMod val="65000"/>
                      <a:lumOff val="35000"/>
                    </a:schemeClr>
                  </a:gs>
                </a:gsLst>
                <a:lin ang="5400000" scaled="0"/>
              </a:gra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EC"/>
          </a:p>
        </c:txPr>
        <c:crossAx val="-998045872"/>
        <c:crosses val="autoZero"/>
        <c:crossBetween val="between"/>
        <c:majorUnit val="0.2"/>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cap="none" spc="20" baseline="0">
                <a:solidFill>
                  <a:schemeClr val="dk1">
                    <a:lumMod val="50000"/>
                    <a:lumOff val="50000"/>
                  </a:schemeClr>
                </a:solidFill>
                <a:latin typeface="+mn-lt"/>
                <a:ea typeface="+mn-ea"/>
                <a:cs typeface="+mn-cs"/>
              </a:defRPr>
            </a:pPr>
            <a:r>
              <a:rPr lang="es-EC"/>
              <a:t>Variación arribos domésticos AMS
</a:t>
            </a:r>
          </a:p>
        </c:rich>
      </c:tx>
      <c:layout>
        <c:manualLayout>
          <c:xMode val="edge"/>
          <c:yMode val="edge"/>
          <c:x val="0.34851112185919897"/>
          <c:y val="3.9587118378397637E-2"/>
        </c:manualLayout>
      </c:layout>
      <c:overlay val="0"/>
      <c:spPr>
        <a:noFill/>
        <a:ln>
          <a:noFill/>
        </a:ln>
        <a:effectLst/>
      </c:spPr>
      <c:txPr>
        <a:bodyPr rot="0" spcFirstLastPara="1" vertOverflow="ellipsis" vert="horz" wrap="square" anchor="ctr" anchorCtr="1"/>
        <a:lstStyle/>
        <a:p>
          <a:pPr>
            <a:defRPr sz="1400" b="0" i="0" u="none" strike="noStrike" kern="1200" cap="none" spc="20" baseline="0">
              <a:solidFill>
                <a:schemeClr val="dk1">
                  <a:lumMod val="50000"/>
                  <a:lumOff val="50000"/>
                </a:schemeClr>
              </a:solidFill>
              <a:latin typeface="+mn-lt"/>
              <a:ea typeface="+mn-ea"/>
              <a:cs typeface="+mn-cs"/>
            </a:defRPr>
          </a:pPr>
          <a:endParaRPr lang="es-EC"/>
        </a:p>
      </c:txPr>
    </c:title>
    <c:autoTitleDeleted val="0"/>
    <c:plotArea>
      <c:layout/>
      <c:lineChart>
        <c:grouping val="stacked"/>
        <c:varyColors val="0"/>
        <c:ser>
          <c:idx val="0"/>
          <c:order val="0"/>
          <c:tx>
            <c:strRef>
              <c:f>'Datos Aeropuerto AMS'!$B$245</c:f>
              <c:strCache>
                <c:ptCount val="1"/>
                <c:pt idx="0">
                  <c:v>Variación arribos domésticos
2020-2021</c:v>
                </c:pt>
              </c:strCache>
            </c:strRef>
          </c:tx>
          <c:spPr>
            <a:ln w="22225" cap="rnd" cmpd="sng" algn="ctr">
              <a:solidFill>
                <a:schemeClr val="accent1"/>
              </a:solidFill>
              <a:round/>
            </a:ln>
            <a:effectLst/>
          </c:spPr>
          <c:marker>
            <c:symbol val="none"/>
          </c:marker>
          <c:dLbls>
            <c:dLbl>
              <c:idx val="0"/>
              <c:layout>
                <c:manualLayout>
                  <c:x val="-3.7239274214659973E-2"/>
                  <c:y val="-3.294325104200063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B65-4EF2-AC6B-0CD12C1391E7}"/>
                </c:ext>
              </c:extLst>
            </c:dLbl>
            <c:dLbl>
              <c:idx val="1"/>
              <c:layout>
                <c:manualLayout>
                  <c:x val="-2.8794668207843075E-2"/>
                  <c:y val="-5.712033771507962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B65-4EF2-AC6B-0CD12C1391E7}"/>
                </c:ext>
              </c:extLst>
            </c:dLbl>
            <c:dLbl>
              <c:idx val="2"/>
              <c:layout>
                <c:manualLayout>
                  <c:x val="-2.7399146418628471E-2"/>
                  <c:y val="-5.655302625485381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D5-4F69-B162-AB015C26382A}"/>
                </c:ext>
              </c:extLst>
            </c:dLbl>
            <c:dLbl>
              <c:idx val="3"/>
              <c:layout>
                <c:manualLayout>
                  <c:x val="-2.461468031917436E-2"/>
                  <c:y val="-7.351893413130988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F7D5-4F69-B162-AB015C26382A}"/>
                </c:ext>
              </c:extLst>
            </c:dLbl>
            <c:dLbl>
              <c:idx val="4"/>
              <c:layout>
                <c:manualLayout>
                  <c:x val="-2.9317029663114731E-2"/>
                  <c:y val="0.12441665776067828"/>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7D5-4F69-B162-AB015C26382A}"/>
                </c:ext>
              </c:extLst>
            </c:dLbl>
            <c:dLbl>
              <c:idx val="5"/>
              <c:layout>
                <c:manualLayout>
                  <c:x val="-2.9317029663114683E-2"/>
                  <c:y val="0.1357272630116489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F7D5-4F69-B162-AB015C26382A}"/>
                </c:ext>
              </c:extLst>
            </c:dLbl>
            <c:dLbl>
              <c:idx val="6"/>
              <c:layout>
                <c:manualLayout>
                  <c:x val="-3.0709262712841738E-2"/>
                  <c:y val="0.1187613551351928"/>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F7D5-4F69-B162-AB015C26382A}"/>
                </c:ext>
              </c:extLst>
            </c:dLbl>
            <c:dLbl>
              <c:idx val="7"/>
              <c:layout>
                <c:manualLayout>
                  <c:x val="-5.1592758458747584E-2"/>
                  <c:y val="-8.482953938228064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F7D5-4F69-B162-AB015C26382A}"/>
                </c:ext>
              </c:extLst>
            </c:dLbl>
            <c:dLbl>
              <c:idx val="8"/>
              <c:layout>
                <c:manualLayout>
                  <c:x val="-4.7416059309566418E-2"/>
                  <c:y val="-7.917423675679527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6D82-48DF-8401-6369B5633FF1}"/>
                </c:ext>
              </c:extLst>
            </c:dLbl>
            <c:dLbl>
              <c:idx val="9"/>
              <c:layout>
                <c:manualLayout>
                  <c:x val="-2.7788971672552048E-2"/>
                  <c:y val="-8.4829539382280647E-2"/>
                </c:manualLayout>
              </c:layout>
              <c:spPr>
                <a:solidFill>
                  <a:schemeClr val="lt1"/>
                </a:solidFill>
                <a:ln w="25400" cap="flat" cmpd="sng" algn="ctr">
                  <a:solidFill>
                    <a:schemeClr val="dk1"/>
                  </a:solidFill>
                  <a:prstDash val="solid"/>
                </a:ln>
                <a:effectLst/>
              </c:spPr>
              <c:txPr>
                <a:bodyPr rot="0" spcFirstLastPara="1" vertOverflow="ellipsis" vert="horz" wrap="square" lIns="38100" tIns="19050" rIns="38100" bIns="19050" anchor="ctr" anchorCtr="0">
                  <a:spAutoFit/>
                </a:bodyPr>
                <a:lstStyle/>
                <a:p>
                  <a:pPr algn="ctr" rtl="0">
                    <a:defRPr sz="900" b="0" i="0" u="none" strike="noStrike" kern="1200" baseline="0">
                      <a:solidFill>
                        <a:schemeClr val="dk1"/>
                      </a:solidFill>
                      <a:latin typeface="+mn-lt"/>
                      <a:ea typeface="+mn-ea"/>
                      <a:cs typeface="+mn-cs"/>
                    </a:defRPr>
                  </a:pPr>
                  <a:endParaRPr lang="es-EC"/>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DB5-463A-9C88-075087C42BDB}"/>
                </c:ext>
              </c:extLst>
            </c:dLbl>
            <c:dLbl>
              <c:idx val="11"/>
              <c:spPr>
                <a:solidFill>
                  <a:schemeClr val="tx1"/>
                </a:solidFill>
                <a:ln w="25400" cap="flat" cmpd="sng" algn="ctr">
                  <a:solidFill>
                    <a:schemeClr val="dk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ctr"/>
              <c:showLegendKey val="0"/>
              <c:showVal val="1"/>
              <c:showCatName val="0"/>
              <c:showSerName val="0"/>
              <c:showPercent val="0"/>
              <c:showBubbleSize val="0"/>
              <c:extLst>
                <c:ext xmlns:c16="http://schemas.microsoft.com/office/drawing/2014/chart" uri="{C3380CC4-5D6E-409C-BE32-E72D297353CC}">
                  <c16:uniqueId val="{00000002-8283-4886-B869-40D5C391C142}"/>
                </c:ext>
              </c:extLst>
            </c:dLbl>
            <c:spPr>
              <a:solidFill>
                <a:schemeClr val="lt1"/>
              </a:solidFill>
              <a:ln w="25400" cap="flat" cmpd="sng" algn="ctr">
                <a:solidFill>
                  <a:schemeClr val="dk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35000"/>
                          <a:lumOff val="65000"/>
                        </a:schemeClr>
                      </a:solidFill>
                    </a:ln>
                    <a:effectLst/>
                  </c:spPr>
                </c15:leaderLines>
              </c:ext>
            </c:extLst>
          </c:dLbls>
          <c:cat>
            <c:strRef>
              <c:f>'Datos Aeropuerto AMS'!$C$238:$N$238</c:f>
              <c:strCache>
                <c:ptCount val="12"/>
                <c:pt idx="0">
                  <c:v>a enero</c:v>
                </c:pt>
                <c:pt idx="1">
                  <c:v>a febrero</c:v>
                </c:pt>
                <c:pt idx="2">
                  <c:v>a marzo</c:v>
                </c:pt>
                <c:pt idx="3">
                  <c:v>a abril</c:v>
                </c:pt>
                <c:pt idx="4">
                  <c:v>a mayo</c:v>
                </c:pt>
                <c:pt idx="5">
                  <c:v>a junio</c:v>
                </c:pt>
                <c:pt idx="6">
                  <c:v>a julio</c:v>
                </c:pt>
                <c:pt idx="7">
                  <c:v>a agosto</c:v>
                </c:pt>
                <c:pt idx="8">
                  <c:v>a septiembre</c:v>
                </c:pt>
                <c:pt idx="9">
                  <c:v>a octubre</c:v>
                </c:pt>
                <c:pt idx="10">
                  <c:v>a noviembre </c:v>
                </c:pt>
                <c:pt idx="11">
                  <c:v>a diciembre </c:v>
                </c:pt>
              </c:strCache>
            </c:strRef>
          </c:cat>
          <c:val>
            <c:numRef>
              <c:f>'Datos Aeropuerto AMS'!$C$245:$N$245</c:f>
              <c:numCache>
                <c:formatCode>0.00%</c:formatCode>
                <c:ptCount val="12"/>
                <c:pt idx="0">
                  <c:v>-0.76769672686023749</c:v>
                </c:pt>
                <c:pt idx="1">
                  <c:v>-0.76246052260442143</c:v>
                </c:pt>
                <c:pt idx="2">
                  <c:v>-0.67917996470544062</c:v>
                </c:pt>
                <c:pt idx="3">
                  <c:v>-0.57295401606951235</c:v>
                </c:pt>
                <c:pt idx="4">
                  <c:v>-0.45984602541508213</c:v>
                </c:pt>
                <c:pt idx="5">
                  <c:v>-0.32494401271827777</c:v>
                </c:pt>
                <c:pt idx="6">
                  <c:v>-0.16442626281022998</c:v>
                </c:pt>
                <c:pt idx="7">
                  <c:v>7.4126034493224857E-3</c:v>
                </c:pt>
                <c:pt idx="8">
                  <c:v>0.14433588019949739</c:v>
                </c:pt>
                <c:pt idx="9">
                  <c:v>0.25793398734326112</c:v>
                </c:pt>
                <c:pt idx="10">
                  <c:v>0.34985321205756148</c:v>
                </c:pt>
                <c:pt idx="11">
                  <c:v>0.42812880024371092</c:v>
                </c:pt>
              </c:numCache>
            </c:numRef>
          </c:val>
          <c:smooth val="0"/>
          <c:extLst>
            <c:ext xmlns:c16="http://schemas.microsoft.com/office/drawing/2014/chart" uri="{C3380CC4-5D6E-409C-BE32-E72D297353CC}">
              <c16:uniqueId val="{00000009-4B65-4EF2-AC6B-0CD12C1391E7}"/>
            </c:ext>
          </c:extLst>
        </c:ser>
        <c:dLbls>
          <c:dLblPos val="ctr"/>
          <c:showLegendKey val="0"/>
          <c:showVal val="1"/>
          <c:showCatName val="0"/>
          <c:showSerName val="0"/>
          <c:showPercent val="0"/>
          <c:showBubbleSize val="0"/>
        </c:dLbls>
        <c:dropLines>
          <c:spPr>
            <a:ln w="9525" cap="flat" cmpd="sng" algn="ctr">
              <a:solidFill>
                <a:schemeClr val="dk1">
                  <a:lumMod val="35000"/>
                  <a:lumOff val="65000"/>
                  <a:alpha val="33000"/>
                </a:schemeClr>
              </a:solidFill>
              <a:round/>
            </a:ln>
            <a:effectLst/>
          </c:spPr>
        </c:dropLines>
        <c:smooth val="0"/>
        <c:axId val="-998043152"/>
        <c:axId val="-998042608"/>
      </c:lineChart>
      <c:catAx>
        <c:axId val="-998043152"/>
        <c:scaling>
          <c:orientation val="minMax"/>
        </c:scaling>
        <c:delete val="0"/>
        <c:axPos val="b"/>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EC"/>
          </a:p>
        </c:txPr>
        <c:crossAx val="-998042608"/>
        <c:crosses val="autoZero"/>
        <c:auto val="1"/>
        <c:lblAlgn val="ctr"/>
        <c:lblOffset val="100"/>
        <c:noMultiLvlLbl val="0"/>
      </c:catAx>
      <c:valAx>
        <c:axId val="-998042608"/>
        <c:scaling>
          <c:orientation val="minMax"/>
          <c:min val="-0.8"/>
        </c:scaling>
        <c:delete val="0"/>
        <c:axPos val="l"/>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EC"/>
          </a:p>
        </c:txPr>
        <c:crossAx val="-998043152"/>
        <c:crosses val="autoZero"/>
        <c:crossBetween val="between"/>
      </c:valAx>
      <c:spPr>
        <a:gradFill>
          <a:gsLst>
            <a:gs pos="100000">
              <a:schemeClr val="lt1">
                <a:lumMod val="95000"/>
              </a:schemeClr>
            </a:gs>
            <a:gs pos="0">
              <a:schemeClr val="lt1"/>
            </a:gs>
          </a:gsLst>
          <a:lin ang="5400000" scaled="0"/>
        </a:grad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S"/>
              <a:t>Variación Arribos</a:t>
            </a:r>
            <a:r>
              <a:rPr lang="es-ES" baseline="0"/>
              <a:t> de pasajeros totales </a:t>
            </a:r>
          </a:p>
          <a:p>
            <a:pPr>
              <a:defRPr/>
            </a:pPr>
            <a:r>
              <a:rPr lang="es-ES" baseline="0"/>
              <a:t>(internacionales y domésticos)  </a:t>
            </a:r>
          </a:p>
          <a:p>
            <a:pPr>
              <a:defRPr/>
            </a:pPr>
            <a:r>
              <a:rPr lang="es-ES"/>
              <a:t>al AMS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4.55167333193012E-2"/>
          <c:y val="0.22988576686708326"/>
          <c:w val="0.93912049973750233"/>
          <c:h val="0.61564209372973711"/>
        </c:manualLayout>
      </c:layout>
      <c:lineChart>
        <c:grouping val="standard"/>
        <c:varyColors val="0"/>
        <c:ser>
          <c:idx val="18"/>
          <c:order val="0"/>
          <c:tx>
            <c:strRef>
              <c:f>'Datos Aeropuerto AMS'!$A$226</c:f>
              <c:strCache>
                <c:ptCount val="1"/>
                <c:pt idx="0">
                  <c:v>Total 2021</c:v>
                </c:pt>
              </c:strCache>
            </c:strRef>
          </c:tx>
          <c:spPr>
            <a:ln w="76200" cap="rnd">
              <a:solidFill>
                <a:schemeClr val="accent1">
                  <a:lumMod val="80000"/>
                </a:schemeClr>
              </a:solidFill>
              <a:round/>
            </a:ln>
            <a:effectLst/>
          </c:spPr>
          <c:marker>
            <c:symbol val="circle"/>
            <c:size val="5"/>
            <c:spPr>
              <a:solidFill>
                <a:schemeClr val="accent1">
                  <a:lumMod val="80000"/>
                </a:schemeClr>
              </a:solidFill>
              <a:ln w="76200">
                <a:solidFill>
                  <a:schemeClr val="accent1">
                    <a:lumMod val="80000"/>
                  </a:schemeClr>
                </a:solidFill>
              </a:ln>
              <a:effectLst/>
            </c:spPr>
          </c:marker>
          <c:dLbls>
            <c:spPr>
              <a:solidFill>
                <a:sysClr val="window" lastClr="FFFFFF"/>
              </a:solidFill>
              <a:ln w="25400" cap="flat" cmpd="sng" algn="ctr">
                <a:solidFill>
                  <a:srgbClr val="4F81BD"/>
                </a:solidFill>
                <a:prstDash val="solid"/>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'Datos Aeropuerto AMS'!$C$226:$N$226</c:f>
              <c:numCache>
                <c:formatCode>#,##0</c:formatCode>
                <c:ptCount val="12"/>
                <c:pt idx="0">
                  <c:v>53113</c:v>
                </c:pt>
                <c:pt idx="1">
                  <c:v>47248</c:v>
                </c:pt>
                <c:pt idx="2">
                  <c:v>60839</c:v>
                </c:pt>
                <c:pt idx="3">
                  <c:v>56436</c:v>
                </c:pt>
                <c:pt idx="4">
                  <c:v>69602</c:v>
                </c:pt>
                <c:pt idx="5">
                  <c:v>93520</c:v>
                </c:pt>
                <c:pt idx="6">
                  <c:v>122888</c:v>
                </c:pt>
                <c:pt idx="7">
                  <c:v>122234</c:v>
                </c:pt>
                <c:pt idx="8">
                  <c:v>116749</c:v>
                </c:pt>
                <c:pt idx="9">
                  <c:v>128104</c:v>
                </c:pt>
                <c:pt idx="10">
                  <c:v>137893</c:v>
                </c:pt>
                <c:pt idx="11">
                  <c:v>145040</c:v>
                </c:pt>
              </c:numCache>
            </c:numRef>
          </c:val>
          <c:smooth val="0"/>
          <c:extLst>
            <c:ext xmlns:c16="http://schemas.microsoft.com/office/drawing/2014/chart" uri="{C3380CC4-5D6E-409C-BE32-E72D297353CC}">
              <c16:uniqueId val="{00000000-A103-4B7D-9C80-AF5D0AC74B63}"/>
            </c:ext>
          </c:extLst>
        </c:ser>
        <c:ser>
          <c:idx val="17"/>
          <c:order val="1"/>
          <c:tx>
            <c:strRef>
              <c:f>'Datos Aeropuerto AMS'!$A$214</c:f>
              <c:strCache>
                <c:ptCount val="1"/>
                <c:pt idx="0">
                  <c:v>Total 2020</c:v>
                </c:pt>
              </c:strCache>
            </c:strRef>
          </c:tx>
          <c:spPr>
            <a:ln w="25400" cap="flat" cmpd="sng" algn="ctr">
              <a:solidFill>
                <a:schemeClr val="accent6"/>
              </a:solidFill>
              <a:prstDash val="solid"/>
              <a:round/>
            </a:ln>
            <a:effectLst/>
          </c:spPr>
          <c:marker>
            <c:symbol val="circle"/>
            <c:size val="5"/>
            <c:spPr>
              <a:solidFill>
                <a:schemeClr val="lt1"/>
              </a:solidFill>
              <a:ln w="25400" cap="flat" cmpd="sng" algn="ctr">
                <a:solidFill>
                  <a:schemeClr val="accent6"/>
                </a:solidFill>
                <a:prstDash val="solid"/>
              </a:ln>
              <a:effectLst/>
            </c:spPr>
          </c:marker>
          <c:dLbls>
            <c:dLbl>
              <c:idx val="3"/>
              <c:layout>
                <c:manualLayout>
                  <c:x val="0"/>
                  <c:y val="-2.903005334367544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B3CE-4DE8-A558-1CA6167D073F}"/>
                </c:ext>
              </c:extLst>
            </c:dLbl>
            <c:dLbl>
              <c:idx val="4"/>
              <c:layout>
                <c:manualLayout>
                  <c:x val="1.0973404959426052E-3"/>
                  <c:y val="-3.87067377915672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B3CE-4DE8-A558-1CA6167D073F}"/>
                </c:ext>
              </c:extLst>
            </c:dLbl>
            <c:dLbl>
              <c:idx val="5"/>
              <c:layout>
                <c:manualLayout>
                  <c:x val="0"/>
                  <c:y val="-2.580449186104484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B3CE-4DE8-A558-1CA6167D073F}"/>
                </c:ext>
              </c:extLst>
            </c:dLbl>
            <c:dLbl>
              <c:idx val="6"/>
              <c:layout>
                <c:manualLayout>
                  <c:x val="-1.0973404959426856E-3"/>
                  <c:y val="-3.225561482630617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B3CE-4DE8-A558-1CA6167D073F}"/>
                </c:ext>
              </c:extLst>
            </c:dLbl>
            <c:dLbl>
              <c:idx val="7"/>
              <c:layout>
                <c:manualLayout>
                  <c:x val="8.047070676465299E-17"/>
                  <c:y val="-3.225561482630605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B3CE-4DE8-A558-1CA6167D073F}"/>
                </c:ext>
              </c:extLst>
            </c:dLbl>
            <c:dLbl>
              <c:idx val="8"/>
              <c:layout>
                <c:manualLayout>
                  <c:x val="-8.047070676465299E-17"/>
                  <c:y val="-2.903005334367544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B3CE-4DE8-A558-1CA6167D073F}"/>
                </c:ext>
              </c:extLst>
            </c:dLbl>
            <c:dLbl>
              <c:idx val="9"/>
              <c:layout>
                <c:manualLayout>
                  <c:x val="-1.6094141352930598E-16"/>
                  <c:y val="-2.580449186104484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B3CE-4DE8-A558-1CA6167D073F}"/>
                </c:ext>
              </c:extLst>
            </c:dLbl>
            <c:dLbl>
              <c:idx val="10"/>
              <c:layout>
                <c:manualLayout>
                  <c:x val="-3.2920214878278155E-3"/>
                  <c:y val="-3.870673779156738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B3CE-4DE8-A558-1CA6167D073F}"/>
                </c:ext>
              </c:extLst>
            </c:dLbl>
            <c:spPr>
              <a:noFill/>
              <a:ln w="9525" cap="flat" cmpd="sng" algn="ctr">
                <a:solidFill>
                  <a:schemeClr val="accent6">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7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'Datos Aeropuerto AMS'!$C$210:$N$210</c:f>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f>'Datos Aeropuerto AMS'!$C$214:$N$214</c:f>
              <c:numCache>
                <c:formatCode>#,##0</c:formatCode>
                <c:ptCount val="12"/>
                <c:pt idx="0">
                  <c:v>202257</c:v>
                </c:pt>
                <c:pt idx="1">
                  <c:v>196066</c:v>
                </c:pt>
                <c:pt idx="2">
                  <c:v>94774</c:v>
                </c:pt>
                <c:pt idx="3">
                  <c:v>3285</c:v>
                </c:pt>
                <c:pt idx="4">
                  <c:v>5521</c:v>
                </c:pt>
                <c:pt idx="5">
                  <c:v>9666</c:v>
                </c:pt>
                <c:pt idx="6">
                  <c:v>18220</c:v>
                </c:pt>
                <c:pt idx="7">
                  <c:v>19873</c:v>
                </c:pt>
                <c:pt idx="8">
                  <c:v>28180</c:v>
                </c:pt>
                <c:pt idx="9">
                  <c:v>43356</c:v>
                </c:pt>
                <c:pt idx="10">
                  <c:v>52179</c:v>
                </c:pt>
                <c:pt idx="11">
                  <c:v>74919</c:v>
                </c:pt>
              </c:numCache>
            </c:numRef>
          </c:val>
          <c:smooth val="0"/>
          <c:extLst>
            <c:ext xmlns:c16="http://schemas.microsoft.com/office/drawing/2014/chart" uri="{C3380CC4-5D6E-409C-BE32-E72D297353CC}">
              <c16:uniqueId val="{00000001-EB32-4340-9B48-2873244C4D2C}"/>
            </c:ext>
          </c:extLst>
        </c:ser>
        <c:ser>
          <c:idx val="16"/>
          <c:order val="2"/>
          <c:tx>
            <c:strRef>
              <c:f>'Datos Aeropuerto AMS'!$A$202</c:f>
              <c:strCache>
                <c:ptCount val="1"/>
                <c:pt idx="0">
                  <c:v>Total 2019</c:v>
                </c:pt>
              </c:strCache>
            </c:strRef>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dLbls>
            <c:dLbl>
              <c:idx val="0"/>
              <c:layout>
                <c:manualLayout>
                  <c:x val="2.1946809918852103E-3"/>
                  <c:y val="-7.096235261787331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386-4B45-8FEA-86F78E32F0EB}"/>
                </c:ext>
              </c:extLst>
            </c:dLbl>
            <c:dLbl>
              <c:idx val="1"/>
              <c:layout>
                <c:manualLayout>
                  <c:x val="-1.3168085951311281E-2"/>
                  <c:y val="-6.451122965261210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CBB-4076-AF65-134EB299B039}"/>
                </c:ext>
              </c:extLst>
            </c:dLbl>
            <c:dLbl>
              <c:idx val="2"/>
              <c:layout>
                <c:manualLayout>
                  <c:x val="-4.0235353382326495E-17"/>
                  <c:y val="-2.903005334367550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693-4E73-97B8-7AD6E7A65428}"/>
                </c:ext>
              </c:extLst>
            </c:dLbl>
            <c:dLbl>
              <c:idx val="3"/>
              <c:layout>
                <c:manualLayout>
                  <c:x val="-2.1946809918852507E-3"/>
                  <c:y val="-6.128566816998150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693-4E73-97B8-7AD6E7A65428}"/>
                </c:ext>
              </c:extLst>
            </c:dLbl>
            <c:dLbl>
              <c:idx val="5"/>
              <c:layout>
                <c:manualLayout>
                  <c:x val="-8.047070676465299E-17"/>
                  <c:y val="3.225561482630605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D45-4534-A5CA-0D1460476199}"/>
                </c:ext>
              </c:extLst>
            </c:dLbl>
            <c:spPr>
              <a:solidFill>
                <a:schemeClr val="bg1"/>
              </a:solidFill>
              <a:ln w="9525" cap="flat" cmpd="sng" algn="ctr">
                <a:no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8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'Datos Aeropuerto AMS'!$C$210:$N$210</c:f>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f>'Datos Aeropuerto AMS'!$C$202:$N$202</c:f>
              <c:numCache>
                <c:formatCode>#,##0</c:formatCode>
                <c:ptCount val="12"/>
                <c:pt idx="0">
                  <c:v>210899</c:v>
                </c:pt>
                <c:pt idx="1">
                  <c:v>189762</c:v>
                </c:pt>
                <c:pt idx="2">
                  <c:v>209867</c:v>
                </c:pt>
                <c:pt idx="3">
                  <c:v>201844</c:v>
                </c:pt>
                <c:pt idx="4">
                  <c:v>203770</c:v>
                </c:pt>
                <c:pt idx="5">
                  <c:v>213464</c:v>
                </c:pt>
                <c:pt idx="6">
                  <c:v>230799</c:v>
                </c:pt>
                <c:pt idx="7">
                  <c:v>242047</c:v>
                </c:pt>
                <c:pt idx="8">
                  <c:v>206973</c:v>
                </c:pt>
                <c:pt idx="9">
                  <c:v>178668</c:v>
                </c:pt>
                <c:pt idx="10">
                  <c:v>202306</c:v>
                </c:pt>
                <c:pt idx="11">
                  <c:v>212390</c:v>
                </c:pt>
              </c:numCache>
            </c:numRef>
          </c:val>
          <c:smooth val="0"/>
          <c:extLst>
            <c:ext xmlns:c16="http://schemas.microsoft.com/office/drawing/2014/chart" uri="{C3380CC4-5D6E-409C-BE32-E72D297353CC}">
              <c16:uniqueId val="{00000000-ACBB-4076-AF65-134EB299B039}"/>
            </c:ext>
          </c:extLst>
        </c:ser>
        <c:ser>
          <c:idx val="15"/>
          <c:order val="3"/>
          <c:tx>
            <c:strRef>
              <c:f>'Datos Aeropuerto AMS'!$A$190</c:f>
              <c:strCache>
                <c:ptCount val="1"/>
                <c:pt idx="0">
                  <c:v>Total 2018</c:v>
                </c:pt>
              </c:strCache>
            </c:strRef>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dLbls>
            <c:dLbl>
              <c:idx val="0"/>
              <c:layout>
                <c:manualLayout>
                  <c:x val="-5.0347191620535164E-2"/>
                  <c:y val="1.140172488805142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A1F-481B-8184-0BF6B6CE2DAF}"/>
                </c:ext>
              </c:extLst>
            </c:dLbl>
            <c:dLbl>
              <c:idx val="1"/>
              <c:layout>
                <c:manualLayout>
                  <c:x val="2.1946809918851899E-3"/>
                  <c:y val="2.580449186104484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386-4B45-8FEA-86F78E32F0EB}"/>
                </c:ext>
              </c:extLst>
            </c:dLbl>
            <c:dLbl>
              <c:idx val="2"/>
              <c:layout>
                <c:manualLayout>
                  <c:x val="-4.3893619837704248E-2"/>
                  <c:y val="-4.515786075682847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386-4B45-8FEA-86F78E32F0EB}"/>
                </c:ext>
              </c:extLst>
            </c:dLbl>
            <c:dLbl>
              <c:idx val="3"/>
              <c:layout>
                <c:manualLayout>
                  <c:x val="-1.0973404959426052E-3"/>
                  <c:y val="-1.290224593052242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693-4E73-97B8-7AD6E7A65428}"/>
                </c:ext>
              </c:extLst>
            </c:dLbl>
            <c:dLbl>
              <c:idx val="6"/>
              <c:layout>
                <c:manualLayout>
                  <c:x val="-1.7557447935081762E-2"/>
                  <c:y val="-5.483454520472029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386-4B45-8FEA-86F78E32F0EB}"/>
                </c:ext>
              </c:extLst>
            </c:dLbl>
            <c:dLbl>
              <c:idx val="8"/>
              <c:layout>
                <c:manualLayout>
                  <c:x val="-2.2713227351983754E-3"/>
                  <c:y val="-2.91908122952620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A1F-481B-8184-0BF6B6CE2DAF}"/>
                </c:ext>
              </c:extLst>
            </c:dLbl>
            <c:spPr>
              <a:solidFill>
                <a:schemeClr val="bg1"/>
              </a:solidFill>
              <a:ln w="9525" cap="flat" cmpd="sng" algn="ctr">
                <a:no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8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'Datos Aeropuerto AMS'!$C$210:$N$210</c:f>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f>'Datos Aeropuerto AMS'!$C$190:$N$190</c:f>
              <c:numCache>
                <c:formatCode>#,##0</c:formatCode>
                <c:ptCount val="12"/>
                <c:pt idx="0">
                  <c:v>199371</c:v>
                </c:pt>
                <c:pt idx="1">
                  <c:v>187920</c:v>
                </c:pt>
                <c:pt idx="2">
                  <c:v>213631</c:v>
                </c:pt>
                <c:pt idx="3">
                  <c:v>205644</c:v>
                </c:pt>
                <c:pt idx="4">
                  <c:v>216923</c:v>
                </c:pt>
                <c:pt idx="5">
                  <c:v>224133</c:v>
                </c:pt>
                <c:pt idx="6">
                  <c:v>237889</c:v>
                </c:pt>
                <c:pt idx="7">
                  <c:v>251766</c:v>
                </c:pt>
                <c:pt idx="8">
                  <c:v>227246</c:v>
                </c:pt>
                <c:pt idx="9">
                  <c:v>218451</c:v>
                </c:pt>
                <c:pt idx="10">
                  <c:v>217775</c:v>
                </c:pt>
                <c:pt idx="11">
                  <c:v>215555</c:v>
                </c:pt>
              </c:numCache>
            </c:numRef>
          </c:val>
          <c:smooth val="0"/>
          <c:extLst>
            <c:ext xmlns:c16="http://schemas.microsoft.com/office/drawing/2014/chart" uri="{C3380CC4-5D6E-409C-BE32-E72D297353CC}">
              <c16:uniqueId val="{00000002-3A1F-481B-8184-0BF6B6CE2DAF}"/>
            </c:ext>
          </c:extLst>
        </c:ser>
        <c:dLbls>
          <c:showLegendKey val="0"/>
          <c:showVal val="0"/>
          <c:showCatName val="0"/>
          <c:showSerName val="0"/>
          <c:showPercent val="0"/>
          <c:showBubbleSize val="0"/>
        </c:dLbls>
        <c:marker val="1"/>
        <c:smooth val="0"/>
        <c:axId val="-957755392"/>
        <c:axId val="-957757568"/>
        <c:extLst>
          <c:ext xmlns:c15="http://schemas.microsoft.com/office/drawing/2012/chart" uri="{02D57815-91ED-43cb-92C2-25804820EDAC}">
            <c15:filteredLineSeries>
              <c15:ser>
                <c:idx val="14"/>
                <c:order val="4"/>
                <c:tx>
                  <c:strRef>
                    <c:extLst>
                      <c:ext uri="{02D57815-91ED-43cb-92C2-25804820EDAC}">
                        <c15:formulaRef>
                          <c15:sqref>'Datos Aeropuerto AMS'!$A$178</c15:sqref>
                        </c15:formulaRef>
                      </c:ext>
                    </c:extLst>
                    <c:strCache>
                      <c:ptCount val="1"/>
                      <c:pt idx="0">
                        <c:v>Total 2017</c:v>
                      </c:pt>
                    </c:strCache>
                  </c:strRef>
                </c:tx>
                <c:spPr>
                  <a:ln w="28575" cap="rnd">
                    <a:solidFill>
                      <a:schemeClr val="accent3">
                        <a:lumMod val="80000"/>
                        <a:lumOff val="20000"/>
                      </a:schemeClr>
                    </a:solidFill>
                    <a:round/>
                  </a:ln>
                  <a:effectLst/>
                </c:spPr>
                <c:marker>
                  <c:symbol val="x"/>
                  <c:size val="5"/>
                  <c:spPr>
                    <a:solidFill>
                      <a:schemeClr val="accent2"/>
                    </a:solidFill>
                    <a:ln w="9525">
                      <a:solidFill>
                        <a:schemeClr val="accent3">
                          <a:lumMod val="80000"/>
                          <a:lumOff val="20000"/>
                        </a:schemeClr>
                      </a:solidFill>
                    </a:ln>
                    <a:effectLst/>
                  </c:spPr>
                </c:marker>
                <c:dLbls>
                  <c:dLbl>
                    <c:idx val="0"/>
                    <c:layout>
                      <c:manualLayout>
                        <c:x val="-3.0725533886392944E-2"/>
                        <c:y val="5.8060106687350781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6-D386-4B45-8FEA-86F78E32F0EB}"/>
                      </c:ext>
                    </c:extLst>
                  </c:dLbl>
                  <c:dLbl>
                    <c:idx val="2"/>
                    <c:layout>
                      <c:manualLayout>
                        <c:x val="-1.2070745455368697E-2"/>
                        <c:y val="5.4834545204720295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1-ACBB-4076-AF65-134EB299B039}"/>
                      </c:ext>
                    </c:extLst>
                  </c:dLbl>
                  <c:dLbl>
                    <c:idx val="3"/>
                    <c:layout>
                      <c:manualLayout>
                        <c:x val="-1.0973404959426052E-3"/>
                        <c:y val="2.5804491861044724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1-D386-4B45-8FEA-86F78E32F0EB}"/>
                      </c:ext>
                    </c:extLst>
                  </c:dLbl>
                  <c:dLbl>
                    <c:idx val="4"/>
                    <c:layout>
                      <c:manualLayout>
                        <c:x val="-1.0973404959426052E-3"/>
                        <c:y val="2.5804491861044724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2-D386-4B45-8FEA-86F78E32F0EB}"/>
                      </c:ext>
                    </c:extLst>
                  </c:dLbl>
                  <c:dLbl>
                    <c:idx val="7"/>
                    <c:layout>
                      <c:manualLayout>
                        <c:x val="-3.2920214878277348E-3"/>
                        <c:y val="2.2578930378414238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4-D386-4B45-8FEA-86F78E32F0EB}"/>
                      </c:ext>
                    </c:extLst>
                  </c:dLbl>
                  <c:spPr>
                    <a:solidFill>
                      <a:schemeClr val="bg1"/>
                    </a:solidFill>
                    <a:ln w="9525" cap="flat" cmpd="sng" algn="ctr">
                      <a:no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8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c:ext uri="{02D57815-91ED-43cb-92C2-25804820EDAC}">
                        <c15:formulaRef>
                          <c15:sqref>'Datos Aeropuerto AMS'!$C$178:$N$178</c15:sqref>
                        </c15:formulaRef>
                      </c:ext>
                    </c:extLst>
                    <c:numCache>
                      <c:formatCode>#,##0</c:formatCode>
                      <c:ptCount val="12"/>
                      <c:pt idx="0">
                        <c:v>198203</c:v>
                      </c:pt>
                      <c:pt idx="1">
                        <c:v>174013</c:v>
                      </c:pt>
                      <c:pt idx="2">
                        <c:v>208584</c:v>
                      </c:pt>
                      <c:pt idx="3">
                        <c:v>198624</c:v>
                      </c:pt>
                      <c:pt idx="4">
                        <c:v>203115</c:v>
                      </c:pt>
                      <c:pt idx="5">
                        <c:v>202831</c:v>
                      </c:pt>
                      <c:pt idx="6">
                        <c:v>224444</c:v>
                      </c:pt>
                      <c:pt idx="7">
                        <c:v>236688</c:v>
                      </c:pt>
                      <c:pt idx="8">
                        <c:v>198656</c:v>
                      </c:pt>
                      <c:pt idx="9">
                        <c:v>196489</c:v>
                      </c:pt>
                      <c:pt idx="10">
                        <c:v>198197</c:v>
                      </c:pt>
                      <c:pt idx="11">
                        <c:v>207634</c:v>
                      </c:pt>
                    </c:numCache>
                  </c:numRef>
                </c:val>
                <c:smooth val="0"/>
                <c:extLst>
                  <c:ext xmlns:c16="http://schemas.microsoft.com/office/drawing/2014/chart" uri="{C3380CC4-5D6E-409C-BE32-E72D297353CC}">
                    <c16:uniqueId val="{00000003-3A1F-481B-8184-0BF6B6CE2DAF}"/>
                  </c:ext>
                </c:extLst>
              </c15:ser>
            </c15:filteredLineSeries>
            <c15:filteredLineSeries>
              <c15:ser>
                <c:idx val="9"/>
                <c:order val="5"/>
                <c:tx>
                  <c:strRef>
                    <c:extLst xmlns:c15="http://schemas.microsoft.com/office/drawing/2012/chart">
                      <c:ext xmlns:c15="http://schemas.microsoft.com/office/drawing/2012/chart" uri="{02D57815-91ED-43cb-92C2-25804820EDAC}">
                        <c15:formulaRef>
                          <c15:sqref>'Datos Aeropuerto AMS'!$A$166</c15:sqref>
                        </c15:formulaRef>
                      </c:ext>
                    </c:extLst>
                    <c:strCache>
                      <c:ptCount val="1"/>
                      <c:pt idx="0">
                        <c:v>Total 2016</c:v>
                      </c:pt>
                    </c:strCache>
                  </c:strRef>
                </c:tx>
                <c:spPr>
                  <a:ln w="28575" cap="rnd">
                    <a:solidFill>
                      <a:schemeClr val="accent4">
                        <a:lumMod val="60000"/>
                      </a:schemeClr>
                    </a:solidFill>
                    <a:round/>
                  </a:ln>
                  <a:effectLst/>
                </c:spPr>
                <c:marker>
                  <c:symbol val="square"/>
                  <c:size val="5"/>
                  <c:spPr>
                    <a:solidFill>
                      <a:schemeClr val="accent4">
                        <a:lumMod val="60000"/>
                      </a:schemeClr>
                    </a:solidFill>
                    <a:ln w="9525">
                      <a:solidFill>
                        <a:schemeClr val="accent4">
                          <a:lumMod val="60000"/>
                        </a:schemeClr>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AMS'!$C$166:$N$166</c15:sqref>
                        </c15:formulaRef>
                      </c:ext>
                    </c:extLst>
                    <c:numCache>
                      <c:formatCode>#,##0</c:formatCode>
                      <c:ptCount val="12"/>
                      <c:pt idx="0">
                        <c:v>202546</c:v>
                      </c:pt>
                      <c:pt idx="1">
                        <c:v>196784</c:v>
                      </c:pt>
                      <c:pt idx="2">
                        <c:v>208621</c:v>
                      </c:pt>
                      <c:pt idx="3">
                        <c:v>178871</c:v>
                      </c:pt>
                      <c:pt idx="4">
                        <c:v>185656</c:v>
                      </c:pt>
                      <c:pt idx="5">
                        <c:v>198353</c:v>
                      </c:pt>
                      <c:pt idx="6">
                        <c:v>216786</c:v>
                      </c:pt>
                      <c:pt idx="7">
                        <c:v>223537</c:v>
                      </c:pt>
                      <c:pt idx="8">
                        <c:v>191574</c:v>
                      </c:pt>
                      <c:pt idx="9">
                        <c:v>204514</c:v>
                      </c:pt>
                      <c:pt idx="10">
                        <c:v>198909</c:v>
                      </c:pt>
                      <c:pt idx="11">
                        <c:v>202379</c:v>
                      </c:pt>
                    </c:numCache>
                  </c:numRef>
                </c:val>
                <c:smooth val="0"/>
                <c:extLst xmlns:c15="http://schemas.microsoft.com/office/drawing/2012/chart">
                  <c:ext xmlns:c16="http://schemas.microsoft.com/office/drawing/2014/chart" uri="{C3380CC4-5D6E-409C-BE32-E72D297353CC}">
                    <c16:uniqueId val="{00000004-3A1F-481B-8184-0BF6B6CE2DAF}"/>
                  </c:ext>
                </c:extLst>
              </c15:ser>
            </c15:filteredLineSeries>
            <c15:filteredLineSeries>
              <c15:ser>
                <c:idx val="8"/>
                <c:order val="6"/>
                <c:tx>
                  <c:strRef>
                    <c:extLst xmlns:c15="http://schemas.microsoft.com/office/drawing/2012/chart">
                      <c:ext xmlns:c15="http://schemas.microsoft.com/office/drawing/2012/chart" uri="{02D57815-91ED-43cb-92C2-25804820EDAC}">
                        <c15:formulaRef>
                          <c15:sqref>'Datos Aeropuerto AMS'!$A$154</c15:sqref>
                        </c15:formulaRef>
                      </c:ext>
                    </c:extLst>
                    <c:strCache>
                      <c:ptCount val="1"/>
                      <c:pt idx="0">
                        <c:v>Total 2015</c:v>
                      </c:pt>
                    </c:strCache>
                  </c:strRef>
                </c:tx>
                <c:spPr>
                  <a:ln w="28575" cap="rnd">
                    <a:solidFill>
                      <a:schemeClr val="accent3">
                        <a:lumMod val="60000"/>
                      </a:schemeClr>
                    </a:solidFill>
                    <a:round/>
                  </a:ln>
                  <a:effectLst/>
                </c:spPr>
                <c:marker>
                  <c:symbol val="none"/>
                </c:marker>
                <c:dLbls>
                  <c:dLbl>
                    <c:idx val="8"/>
                    <c:layout>
                      <c:manualLayout>
                        <c:x val="-8.3280871556205578E-17"/>
                        <c:y val="1.4595406147631039E-2"/>
                      </c:manualLayout>
                    </c:layout>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5-3A1F-481B-8184-0BF6B6CE2DAF}"/>
                      </c:ext>
                    </c:extLst>
                  </c:dLbl>
                  <c:spPr>
                    <a:noFill/>
                    <a:ln>
                      <a:noFill/>
                    </a:ln>
                    <a:effectLst/>
                  </c:spPr>
                  <c:txPr>
                    <a:bodyPr rot="0" spcFirstLastPara="1" vertOverflow="ellipsis" vert="horz" wrap="square" lIns="38100" tIns="19050" rIns="38100" bIns="19050" anchor="ctr" anchorCtr="1">
                      <a:spAutoFit/>
                    </a:bodyPr>
                    <a:lstStyle/>
                    <a:p>
                      <a:pPr>
                        <a:defRPr sz="7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AMS'!$C$154:$N$154</c15:sqref>
                        </c15:formulaRef>
                      </c:ext>
                    </c:extLst>
                    <c:numCache>
                      <c:formatCode>#,##0</c:formatCode>
                      <c:ptCount val="12"/>
                      <c:pt idx="0">
                        <c:v>227156</c:v>
                      </c:pt>
                      <c:pt idx="1">
                        <c:v>209511</c:v>
                      </c:pt>
                      <c:pt idx="2">
                        <c:v>229439</c:v>
                      </c:pt>
                      <c:pt idx="3">
                        <c:v>217016</c:v>
                      </c:pt>
                      <c:pt idx="4">
                        <c:v>218559</c:v>
                      </c:pt>
                      <c:pt idx="5">
                        <c:v>221696</c:v>
                      </c:pt>
                      <c:pt idx="6">
                        <c:v>238929</c:v>
                      </c:pt>
                      <c:pt idx="7">
                        <c:v>244742</c:v>
                      </c:pt>
                      <c:pt idx="8">
                        <c:v>219725</c:v>
                      </c:pt>
                      <c:pt idx="9">
                        <c:v>225866</c:v>
                      </c:pt>
                      <c:pt idx="10">
                        <c:v>222451</c:v>
                      </c:pt>
                      <c:pt idx="11">
                        <c:v>218924</c:v>
                      </c:pt>
                    </c:numCache>
                  </c:numRef>
                </c:val>
                <c:smooth val="0"/>
                <c:extLst xmlns:c15="http://schemas.microsoft.com/office/drawing/2012/chart">
                  <c:ext xmlns:c16="http://schemas.microsoft.com/office/drawing/2014/chart" uri="{C3380CC4-5D6E-409C-BE32-E72D297353CC}">
                    <c16:uniqueId val="{00000006-3A1F-481B-8184-0BF6B6CE2DAF}"/>
                  </c:ext>
                </c:extLst>
              </c15:ser>
            </c15:filteredLineSeries>
            <c15:filteredLineSeries>
              <c15:ser>
                <c:idx val="0"/>
                <c:order val="7"/>
                <c:tx>
                  <c:strRef>
                    <c:extLst xmlns:c15="http://schemas.microsoft.com/office/drawing/2012/chart">
                      <c:ext xmlns:c15="http://schemas.microsoft.com/office/drawing/2012/chart" uri="{02D57815-91ED-43cb-92C2-25804820EDAC}">
                        <c15:formulaRef>
                          <c15:sqref>'Datos Aeropuerto AMS'!$A$142</c15:sqref>
                        </c15:formulaRef>
                      </c:ext>
                    </c:extLst>
                    <c:strCache>
                      <c:ptCount val="1"/>
                      <c:pt idx="0">
                        <c:v>Total 2014</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AMS'!$C$142:$N$142</c15:sqref>
                        </c15:formulaRef>
                      </c:ext>
                    </c:extLst>
                    <c:numCache>
                      <c:formatCode>#,##0</c:formatCode>
                      <c:ptCount val="12"/>
                      <c:pt idx="0">
                        <c:v>224104</c:v>
                      </c:pt>
                      <c:pt idx="1">
                        <c:v>217904</c:v>
                      </c:pt>
                      <c:pt idx="2">
                        <c:v>228368</c:v>
                      </c:pt>
                      <c:pt idx="3">
                        <c:v>225168</c:v>
                      </c:pt>
                      <c:pt idx="4">
                        <c:v>228471</c:v>
                      </c:pt>
                      <c:pt idx="5">
                        <c:v>228028</c:v>
                      </c:pt>
                      <c:pt idx="6">
                        <c:v>248436</c:v>
                      </c:pt>
                      <c:pt idx="7">
                        <c:v>265585</c:v>
                      </c:pt>
                      <c:pt idx="8">
                        <c:v>233291</c:v>
                      </c:pt>
                      <c:pt idx="9">
                        <c:v>238114</c:v>
                      </c:pt>
                      <c:pt idx="10">
                        <c:v>237779</c:v>
                      </c:pt>
                      <c:pt idx="11">
                        <c:v>242160</c:v>
                      </c:pt>
                    </c:numCache>
                  </c:numRef>
                </c:val>
                <c:smooth val="0"/>
                <c:extLst xmlns:c15="http://schemas.microsoft.com/office/drawing/2012/chart">
                  <c:ext xmlns:c16="http://schemas.microsoft.com/office/drawing/2014/chart" uri="{C3380CC4-5D6E-409C-BE32-E72D297353CC}">
                    <c16:uniqueId val="{00000007-3A1F-481B-8184-0BF6B6CE2DAF}"/>
                  </c:ext>
                </c:extLst>
              </c15:ser>
            </c15:filteredLineSeries>
            <c15:filteredLineSeries>
              <c15:ser>
                <c:idx val="1"/>
                <c:order val="8"/>
                <c:tx>
                  <c:strRef>
                    <c:extLst xmlns:c15="http://schemas.microsoft.com/office/drawing/2012/chart">
                      <c:ext xmlns:c15="http://schemas.microsoft.com/office/drawing/2012/chart" uri="{02D57815-91ED-43cb-92C2-25804820EDAC}">
                        <c15:formulaRef>
                          <c15:sqref>'Datos Aeropuerto AMS'!$A$130</c15:sqref>
                        </c15:formulaRef>
                      </c:ext>
                    </c:extLst>
                    <c:strCache>
                      <c:ptCount val="1"/>
                      <c:pt idx="0">
                        <c:v>Total 2013</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AMS'!$C$130:$N$130</c15:sqref>
                        </c15:formulaRef>
                      </c:ext>
                    </c:extLst>
                    <c:numCache>
                      <c:formatCode>#,##0</c:formatCode>
                      <c:ptCount val="12"/>
                      <c:pt idx="0">
                        <c:v>226961</c:v>
                      </c:pt>
                      <c:pt idx="1">
                        <c:v>206580</c:v>
                      </c:pt>
                      <c:pt idx="2">
                        <c:v>214075</c:v>
                      </c:pt>
                      <c:pt idx="3">
                        <c:v>209649</c:v>
                      </c:pt>
                      <c:pt idx="4">
                        <c:v>219457</c:v>
                      </c:pt>
                      <c:pt idx="5">
                        <c:v>232461</c:v>
                      </c:pt>
                      <c:pt idx="6">
                        <c:v>249133</c:v>
                      </c:pt>
                      <c:pt idx="7">
                        <c:v>264849</c:v>
                      </c:pt>
                      <c:pt idx="8">
                        <c:v>217654</c:v>
                      </c:pt>
                      <c:pt idx="9">
                        <c:v>234467</c:v>
                      </c:pt>
                      <c:pt idx="10">
                        <c:v>227309</c:v>
                      </c:pt>
                      <c:pt idx="11">
                        <c:v>224255</c:v>
                      </c:pt>
                    </c:numCache>
                  </c:numRef>
                </c:val>
                <c:smooth val="0"/>
                <c:extLst xmlns:c15="http://schemas.microsoft.com/office/drawing/2012/chart">
                  <c:ext xmlns:c16="http://schemas.microsoft.com/office/drawing/2014/chart" uri="{C3380CC4-5D6E-409C-BE32-E72D297353CC}">
                    <c16:uniqueId val="{00000008-3A1F-481B-8184-0BF6B6CE2DAF}"/>
                  </c:ext>
                </c:extLst>
              </c15:ser>
            </c15:filteredLineSeries>
            <c15:filteredLineSeries>
              <c15:ser>
                <c:idx val="2"/>
                <c:order val="9"/>
                <c:tx>
                  <c:strRef>
                    <c:extLst xmlns:c15="http://schemas.microsoft.com/office/drawing/2012/chart">
                      <c:ext xmlns:c15="http://schemas.microsoft.com/office/drawing/2012/chart" uri="{02D57815-91ED-43cb-92C2-25804820EDAC}">
                        <c15:formulaRef>
                          <c15:sqref>'Datos Aeropuerto AMS'!$A$118</c15:sqref>
                        </c15:formulaRef>
                      </c:ext>
                    </c:extLst>
                    <c:strCache>
                      <c:ptCount val="1"/>
                      <c:pt idx="0">
                        <c:v>Total 2012</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AMS'!$C$118:$N$118</c15:sqref>
                        </c15:formulaRef>
                      </c:ext>
                    </c:extLst>
                    <c:numCache>
                      <c:formatCode>#,##0</c:formatCode>
                      <c:ptCount val="12"/>
                      <c:pt idx="0">
                        <c:v>203214</c:v>
                      </c:pt>
                      <c:pt idx="1">
                        <c:v>192692</c:v>
                      </c:pt>
                      <c:pt idx="2">
                        <c:v>211867</c:v>
                      </c:pt>
                      <c:pt idx="3">
                        <c:v>197669</c:v>
                      </c:pt>
                      <c:pt idx="4">
                        <c:v>216284</c:v>
                      </c:pt>
                      <c:pt idx="5">
                        <c:v>223629</c:v>
                      </c:pt>
                      <c:pt idx="6">
                        <c:v>242396</c:v>
                      </c:pt>
                      <c:pt idx="7">
                        <c:v>254891</c:v>
                      </c:pt>
                      <c:pt idx="8">
                        <c:v>214382</c:v>
                      </c:pt>
                      <c:pt idx="9">
                        <c:v>223395</c:v>
                      </c:pt>
                      <c:pt idx="10">
                        <c:v>226431</c:v>
                      </c:pt>
                      <c:pt idx="11">
                        <c:v>220591</c:v>
                      </c:pt>
                    </c:numCache>
                  </c:numRef>
                </c:val>
                <c:smooth val="0"/>
                <c:extLst xmlns:c15="http://schemas.microsoft.com/office/drawing/2012/chart">
                  <c:ext xmlns:c16="http://schemas.microsoft.com/office/drawing/2014/chart" uri="{C3380CC4-5D6E-409C-BE32-E72D297353CC}">
                    <c16:uniqueId val="{00000009-3A1F-481B-8184-0BF6B6CE2DAF}"/>
                  </c:ext>
                </c:extLst>
              </c15:ser>
            </c15:filteredLineSeries>
            <c15:filteredLineSeries>
              <c15:ser>
                <c:idx val="3"/>
                <c:order val="10"/>
                <c:tx>
                  <c:strRef>
                    <c:extLst xmlns:c15="http://schemas.microsoft.com/office/drawing/2012/chart">
                      <c:ext xmlns:c15="http://schemas.microsoft.com/office/drawing/2012/chart" uri="{02D57815-91ED-43cb-92C2-25804820EDAC}">
                        <c15:formulaRef>
                          <c15:sqref>'Datos Aeropuerto AMS'!$A$106</c15:sqref>
                        </c15:formulaRef>
                      </c:ext>
                    </c:extLst>
                    <c:strCache>
                      <c:ptCount val="1"/>
                      <c:pt idx="0">
                        <c:v>Total 2011</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AMS'!$C$106:$N$106</c15:sqref>
                        </c15:formulaRef>
                      </c:ext>
                    </c:extLst>
                    <c:numCache>
                      <c:formatCode>#,##0</c:formatCode>
                      <c:ptCount val="12"/>
                      <c:pt idx="0">
                        <c:v>205121</c:v>
                      </c:pt>
                      <c:pt idx="1">
                        <c:v>195615</c:v>
                      </c:pt>
                      <c:pt idx="2">
                        <c:v>212847</c:v>
                      </c:pt>
                      <c:pt idx="3">
                        <c:v>208238</c:v>
                      </c:pt>
                      <c:pt idx="4">
                        <c:v>225562</c:v>
                      </c:pt>
                      <c:pt idx="5">
                        <c:v>222279</c:v>
                      </c:pt>
                      <c:pt idx="6">
                        <c:v>261518</c:v>
                      </c:pt>
                      <c:pt idx="7">
                        <c:v>269654</c:v>
                      </c:pt>
                      <c:pt idx="8">
                        <c:v>218431</c:v>
                      </c:pt>
                      <c:pt idx="9">
                        <c:v>220513</c:v>
                      </c:pt>
                      <c:pt idx="10">
                        <c:v>224357</c:v>
                      </c:pt>
                      <c:pt idx="11">
                        <c:v>222468</c:v>
                      </c:pt>
                    </c:numCache>
                  </c:numRef>
                </c:val>
                <c:smooth val="0"/>
                <c:extLst xmlns:c15="http://schemas.microsoft.com/office/drawing/2012/chart">
                  <c:ext xmlns:c16="http://schemas.microsoft.com/office/drawing/2014/chart" uri="{C3380CC4-5D6E-409C-BE32-E72D297353CC}">
                    <c16:uniqueId val="{0000000A-3A1F-481B-8184-0BF6B6CE2DAF}"/>
                  </c:ext>
                </c:extLst>
              </c15:ser>
            </c15:filteredLineSeries>
            <c15:filteredLineSeries>
              <c15:ser>
                <c:idx val="4"/>
                <c:order val="11"/>
                <c:tx>
                  <c:strRef>
                    <c:extLst xmlns:c15="http://schemas.microsoft.com/office/drawing/2012/chart">
                      <c:ext xmlns:c15="http://schemas.microsoft.com/office/drawing/2012/chart" uri="{02D57815-91ED-43cb-92C2-25804820EDAC}">
                        <c15:formulaRef>
                          <c15:sqref>'Datos Aeropuerto AMS'!$A$94</c15:sqref>
                        </c15:formulaRef>
                      </c:ext>
                    </c:extLst>
                    <c:strCache>
                      <c:ptCount val="1"/>
                      <c:pt idx="0">
                        <c:v>Total 2010</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AMS'!$C$94:$N$94</c15:sqref>
                        </c15:formulaRef>
                      </c:ext>
                    </c:extLst>
                    <c:numCache>
                      <c:formatCode>#,##0</c:formatCode>
                      <c:ptCount val="12"/>
                      <c:pt idx="0">
                        <c:v>194969</c:v>
                      </c:pt>
                      <c:pt idx="1">
                        <c:v>186874</c:v>
                      </c:pt>
                      <c:pt idx="2">
                        <c:v>201707</c:v>
                      </c:pt>
                      <c:pt idx="3">
                        <c:v>196949</c:v>
                      </c:pt>
                      <c:pt idx="4">
                        <c:v>206686</c:v>
                      </c:pt>
                      <c:pt idx="5">
                        <c:v>213187</c:v>
                      </c:pt>
                      <c:pt idx="6">
                        <c:v>234007</c:v>
                      </c:pt>
                      <c:pt idx="7">
                        <c:v>247217</c:v>
                      </c:pt>
                      <c:pt idx="8">
                        <c:v>206176</c:v>
                      </c:pt>
                      <c:pt idx="9">
                        <c:v>211131</c:v>
                      </c:pt>
                      <c:pt idx="10">
                        <c:v>192592</c:v>
                      </c:pt>
                      <c:pt idx="11">
                        <c:v>216903</c:v>
                      </c:pt>
                    </c:numCache>
                  </c:numRef>
                </c:val>
                <c:smooth val="0"/>
                <c:extLst xmlns:c15="http://schemas.microsoft.com/office/drawing/2012/chart">
                  <c:ext xmlns:c16="http://schemas.microsoft.com/office/drawing/2014/chart" uri="{C3380CC4-5D6E-409C-BE32-E72D297353CC}">
                    <c16:uniqueId val="{0000000B-3A1F-481B-8184-0BF6B6CE2DAF}"/>
                  </c:ext>
                </c:extLst>
              </c15:ser>
            </c15:filteredLineSeries>
            <c15:filteredLineSeries>
              <c15:ser>
                <c:idx val="5"/>
                <c:order val="12"/>
                <c:tx>
                  <c:strRef>
                    <c:extLst xmlns:c15="http://schemas.microsoft.com/office/drawing/2012/chart">
                      <c:ext xmlns:c15="http://schemas.microsoft.com/office/drawing/2012/chart" uri="{02D57815-91ED-43cb-92C2-25804820EDAC}">
                        <c15:formulaRef>
                          <c15:sqref>'Datos Aeropuerto AMS'!$A$81</c15:sqref>
                        </c15:formulaRef>
                      </c:ext>
                    </c:extLst>
                    <c:strCache>
                      <c:ptCount val="1"/>
                      <c:pt idx="0">
                        <c:v>Total 2009</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AMS'!$C$81:$N$81</c15:sqref>
                        </c15:formulaRef>
                      </c:ext>
                    </c:extLst>
                    <c:numCache>
                      <c:formatCode>#,##0</c:formatCode>
                      <c:ptCount val="12"/>
                      <c:pt idx="0">
                        <c:v>182142</c:v>
                      </c:pt>
                      <c:pt idx="1">
                        <c:v>171162</c:v>
                      </c:pt>
                      <c:pt idx="2">
                        <c:v>180785</c:v>
                      </c:pt>
                      <c:pt idx="3">
                        <c:v>190420</c:v>
                      </c:pt>
                      <c:pt idx="4">
                        <c:v>186877</c:v>
                      </c:pt>
                      <c:pt idx="5">
                        <c:v>198593</c:v>
                      </c:pt>
                      <c:pt idx="6">
                        <c:v>223319</c:v>
                      </c:pt>
                      <c:pt idx="7">
                        <c:v>228729</c:v>
                      </c:pt>
                      <c:pt idx="8">
                        <c:v>191083</c:v>
                      </c:pt>
                      <c:pt idx="9">
                        <c:v>197911</c:v>
                      </c:pt>
                      <c:pt idx="10">
                        <c:v>195938</c:v>
                      </c:pt>
                      <c:pt idx="11">
                        <c:v>205129</c:v>
                      </c:pt>
                    </c:numCache>
                  </c:numRef>
                </c:val>
                <c:smooth val="0"/>
                <c:extLst xmlns:c15="http://schemas.microsoft.com/office/drawing/2012/chart">
                  <c:ext xmlns:c16="http://schemas.microsoft.com/office/drawing/2014/chart" uri="{C3380CC4-5D6E-409C-BE32-E72D297353CC}">
                    <c16:uniqueId val="{0000000C-3A1F-481B-8184-0BF6B6CE2DAF}"/>
                  </c:ext>
                </c:extLst>
              </c15:ser>
            </c15:filteredLineSeries>
            <c15:filteredLineSeries>
              <c15:ser>
                <c:idx val="6"/>
                <c:order val="13"/>
                <c:tx>
                  <c:strRef>
                    <c:extLst xmlns:c15="http://schemas.microsoft.com/office/drawing/2012/chart">
                      <c:ext xmlns:c15="http://schemas.microsoft.com/office/drawing/2012/chart" uri="{02D57815-91ED-43cb-92C2-25804820EDAC}">
                        <c15:formulaRef>
                          <c15:sqref>'Datos Aeropuerto AMS'!$A$68</c15:sqref>
                        </c15:formulaRef>
                      </c:ext>
                    </c:extLst>
                    <c:strCache>
                      <c:ptCount val="1"/>
                      <c:pt idx="0">
                        <c:v>Total 2008</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AMS'!$C$68:$N$68</c15:sqref>
                        </c15:formulaRef>
                      </c:ext>
                    </c:extLst>
                    <c:numCache>
                      <c:formatCode>#,##0</c:formatCode>
                      <c:ptCount val="12"/>
                      <c:pt idx="0">
                        <c:v>182111</c:v>
                      </c:pt>
                      <c:pt idx="1">
                        <c:v>157852</c:v>
                      </c:pt>
                      <c:pt idx="2">
                        <c:v>184732</c:v>
                      </c:pt>
                      <c:pt idx="3">
                        <c:v>170781</c:v>
                      </c:pt>
                      <c:pt idx="4">
                        <c:v>186270</c:v>
                      </c:pt>
                      <c:pt idx="5">
                        <c:v>185908</c:v>
                      </c:pt>
                      <c:pt idx="6">
                        <c:v>217359</c:v>
                      </c:pt>
                      <c:pt idx="7">
                        <c:v>224614</c:v>
                      </c:pt>
                      <c:pt idx="8">
                        <c:v>175580</c:v>
                      </c:pt>
                      <c:pt idx="9">
                        <c:v>189987</c:v>
                      </c:pt>
                      <c:pt idx="10">
                        <c:v>186699</c:v>
                      </c:pt>
                      <c:pt idx="11">
                        <c:v>189607</c:v>
                      </c:pt>
                    </c:numCache>
                  </c:numRef>
                </c:val>
                <c:smooth val="0"/>
                <c:extLst xmlns:c15="http://schemas.microsoft.com/office/drawing/2012/chart">
                  <c:ext xmlns:c16="http://schemas.microsoft.com/office/drawing/2014/chart" uri="{C3380CC4-5D6E-409C-BE32-E72D297353CC}">
                    <c16:uniqueId val="{0000000D-3A1F-481B-8184-0BF6B6CE2DAF}"/>
                  </c:ext>
                </c:extLst>
              </c15:ser>
            </c15:filteredLineSeries>
            <c15:filteredLineSeries>
              <c15:ser>
                <c:idx val="7"/>
                <c:order val="14"/>
                <c:tx>
                  <c:strRef>
                    <c:extLst xmlns:c15="http://schemas.microsoft.com/office/drawing/2012/chart">
                      <c:ext xmlns:c15="http://schemas.microsoft.com/office/drawing/2012/chart" uri="{02D57815-91ED-43cb-92C2-25804820EDAC}">
                        <c15:formulaRef>
                          <c15:sqref>'Datos Aeropuerto AMS'!$A$56</c15:sqref>
                        </c15:formulaRef>
                      </c:ext>
                    </c:extLst>
                    <c:strCache>
                      <c:ptCount val="1"/>
                      <c:pt idx="0">
                        <c:v>Total 2007</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AMS'!$C$56:$N$56</c15:sqref>
                        </c15:formulaRef>
                      </c:ext>
                    </c:extLst>
                    <c:numCache>
                      <c:formatCode>#,##0</c:formatCode>
                      <c:ptCount val="12"/>
                      <c:pt idx="0">
                        <c:v>172187</c:v>
                      </c:pt>
                      <c:pt idx="1">
                        <c:v>152186</c:v>
                      </c:pt>
                      <c:pt idx="2">
                        <c:v>173128</c:v>
                      </c:pt>
                      <c:pt idx="3">
                        <c:v>165580</c:v>
                      </c:pt>
                      <c:pt idx="4">
                        <c:v>173420</c:v>
                      </c:pt>
                      <c:pt idx="5">
                        <c:v>188445</c:v>
                      </c:pt>
                      <c:pt idx="6">
                        <c:v>208143</c:v>
                      </c:pt>
                      <c:pt idx="7">
                        <c:v>213036</c:v>
                      </c:pt>
                      <c:pt idx="8">
                        <c:v>168023</c:v>
                      </c:pt>
                      <c:pt idx="9">
                        <c:v>177416</c:v>
                      </c:pt>
                      <c:pt idx="10">
                        <c:v>168490</c:v>
                      </c:pt>
                      <c:pt idx="11">
                        <c:v>168485</c:v>
                      </c:pt>
                    </c:numCache>
                  </c:numRef>
                </c:val>
                <c:smooth val="0"/>
                <c:extLst xmlns:c15="http://schemas.microsoft.com/office/drawing/2012/chart">
                  <c:ext xmlns:c16="http://schemas.microsoft.com/office/drawing/2014/chart" uri="{C3380CC4-5D6E-409C-BE32-E72D297353CC}">
                    <c16:uniqueId val="{0000000E-3A1F-481B-8184-0BF6B6CE2DAF}"/>
                  </c:ext>
                </c:extLst>
              </c15:ser>
            </c15:filteredLineSeries>
            <c15:filteredLineSeries>
              <c15:ser>
                <c:idx val="10"/>
                <c:order val="15"/>
                <c:tx>
                  <c:strRef>
                    <c:extLst xmlns:c15="http://schemas.microsoft.com/office/drawing/2012/chart">
                      <c:ext xmlns:c15="http://schemas.microsoft.com/office/drawing/2012/chart" uri="{02D57815-91ED-43cb-92C2-25804820EDAC}">
                        <c15:formulaRef>
                          <c15:sqref>'Datos Aeropuerto AMS'!$A$43</c15:sqref>
                        </c15:formulaRef>
                      </c:ext>
                    </c:extLst>
                    <c:strCache>
                      <c:ptCount val="1"/>
                      <c:pt idx="0">
                        <c:v>Total 2006</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AMS'!$C$43:$N$43</c15:sqref>
                        </c15:formulaRef>
                      </c:ext>
                    </c:extLst>
                    <c:numCache>
                      <c:formatCode>#,##0</c:formatCode>
                      <c:ptCount val="12"/>
                      <c:pt idx="0">
                        <c:v>142941</c:v>
                      </c:pt>
                      <c:pt idx="1">
                        <c:v>130011</c:v>
                      </c:pt>
                      <c:pt idx="2">
                        <c:v>146534</c:v>
                      </c:pt>
                      <c:pt idx="3">
                        <c:v>138848</c:v>
                      </c:pt>
                      <c:pt idx="4">
                        <c:v>146689</c:v>
                      </c:pt>
                      <c:pt idx="5">
                        <c:v>154539</c:v>
                      </c:pt>
                      <c:pt idx="6">
                        <c:v>185816</c:v>
                      </c:pt>
                      <c:pt idx="7">
                        <c:v>188918</c:v>
                      </c:pt>
                      <c:pt idx="8">
                        <c:v>159604</c:v>
                      </c:pt>
                      <c:pt idx="9">
                        <c:v>156838</c:v>
                      </c:pt>
                      <c:pt idx="10">
                        <c:v>162218</c:v>
                      </c:pt>
                      <c:pt idx="11">
                        <c:v>182755</c:v>
                      </c:pt>
                    </c:numCache>
                  </c:numRef>
                </c:val>
                <c:smooth val="0"/>
                <c:extLst xmlns:c15="http://schemas.microsoft.com/office/drawing/2012/chart">
                  <c:ext xmlns:c16="http://schemas.microsoft.com/office/drawing/2014/chart" uri="{C3380CC4-5D6E-409C-BE32-E72D297353CC}">
                    <c16:uniqueId val="{0000000F-3A1F-481B-8184-0BF6B6CE2DAF}"/>
                  </c:ext>
                </c:extLst>
              </c15:ser>
            </c15:filteredLineSeries>
            <c15:filteredLineSeries>
              <c15:ser>
                <c:idx val="11"/>
                <c:order val="16"/>
                <c:tx>
                  <c:strRef>
                    <c:extLst xmlns:c15="http://schemas.microsoft.com/office/drawing/2012/chart">
                      <c:ext xmlns:c15="http://schemas.microsoft.com/office/drawing/2012/chart" uri="{02D57815-91ED-43cb-92C2-25804820EDAC}">
                        <c15:formulaRef>
                          <c15:sqref>'Datos Aeropuerto AMS'!$A$30</c15:sqref>
                        </c15:formulaRef>
                      </c:ext>
                    </c:extLst>
                    <c:strCache>
                      <c:ptCount val="1"/>
                      <c:pt idx="0">
                        <c:v>Total 2005</c:v>
                      </c:pt>
                    </c:strCache>
                  </c:strRef>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AMS'!$C$30:$N$30</c15:sqref>
                        </c15:formulaRef>
                      </c:ext>
                    </c:extLst>
                    <c:numCache>
                      <c:formatCode>#,##0</c:formatCode>
                      <c:ptCount val="12"/>
                      <c:pt idx="0">
                        <c:v>129715</c:v>
                      </c:pt>
                      <c:pt idx="1">
                        <c:v>115593</c:v>
                      </c:pt>
                      <c:pt idx="2">
                        <c:v>132025</c:v>
                      </c:pt>
                      <c:pt idx="3">
                        <c:v>114944</c:v>
                      </c:pt>
                      <c:pt idx="4">
                        <c:v>127100</c:v>
                      </c:pt>
                      <c:pt idx="5">
                        <c:v>138480</c:v>
                      </c:pt>
                      <c:pt idx="6">
                        <c:v>147362</c:v>
                      </c:pt>
                      <c:pt idx="7">
                        <c:v>151913</c:v>
                      </c:pt>
                      <c:pt idx="8">
                        <c:v>134391</c:v>
                      </c:pt>
                      <c:pt idx="9">
                        <c:v>135048</c:v>
                      </c:pt>
                      <c:pt idx="10">
                        <c:v>138291</c:v>
                      </c:pt>
                      <c:pt idx="11">
                        <c:v>147016</c:v>
                      </c:pt>
                    </c:numCache>
                  </c:numRef>
                </c:val>
                <c:smooth val="0"/>
                <c:extLst xmlns:c15="http://schemas.microsoft.com/office/drawing/2012/chart">
                  <c:ext xmlns:c16="http://schemas.microsoft.com/office/drawing/2014/chart" uri="{C3380CC4-5D6E-409C-BE32-E72D297353CC}">
                    <c16:uniqueId val="{00000010-3A1F-481B-8184-0BF6B6CE2DAF}"/>
                  </c:ext>
                </c:extLst>
              </c15:ser>
            </c15:filteredLineSeries>
            <c15:filteredLineSeries>
              <c15:ser>
                <c:idx val="12"/>
                <c:order val="17"/>
                <c:tx>
                  <c:strRef>
                    <c:extLst xmlns:c15="http://schemas.microsoft.com/office/drawing/2012/chart">
                      <c:ext xmlns:c15="http://schemas.microsoft.com/office/drawing/2012/chart" uri="{02D57815-91ED-43cb-92C2-25804820EDAC}">
                        <c15:formulaRef>
                          <c15:sqref>'Datos Aeropuerto AMS'!$A$17</c15:sqref>
                        </c15:formulaRef>
                      </c:ext>
                    </c:extLst>
                    <c:strCache>
                      <c:ptCount val="1"/>
                      <c:pt idx="0">
                        <c:v>Total 2004</c:v>
                      </c:pt>
                    </c:strCache>
                  </c:strRef>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AMS'!$C$17:$N$17</c15:sqref>
                        </c15:formulaRef>
                      </c:ext>
                    </c:extLst>
                    <c:numCache>
                      <c:formatCode>#,##0</c:formatCode>
                      <c:ptCount val="12"/>
                      <c:pt idx="0">
                        <c:v>109488</c:v>
                      </c:pt>
                      <c:pt idx="1">
                        <c:v>105702</c:v>
                      </c:pt>
                      <c:pt idx="2">
                        <c:v>113602</c:v>
                      </c:pt>
                      <c:pt idx="3">
                        <c:v>110502</c:v>
                      </c:pt>
                      <c:pt idx="4">
                        <c:v>113430</c:v>
                      </c:pt>
                      <c:pt idx="5">
                        <c:v>121547</c:v>
                      </c:pt>
                      <c:pt idx="6">
                        <c:v>139336</c:v>
                      </c:pt>
                      <c:pt idx="7">
                        <c:v>137429</c:v>
                      </c:pt>
                      <c:pt idx="8">
                        <c:v>116154</c:v>
                      </c:pt>
                      <c:pt idx="9">
                        <c:v>123269</c:v>
                      </c:pt>
                      <c:pt idx="10">
                        <c:v>123684</c:v>
                      </c:pt>
                      <c:pt idx="11">
                        <c:v>131239</c:v>
                      </c:pt>
                    </c:numCache>
                  </c:numRef>
                </c:val>
                <c:smooth val="0"/>
                <c:extLst xmlns:c15="http://schemas.microsoft.com/office/drawing/2012/chart">
                  <c:ext xmlns:c16="http://schemas.microsoft.com/office/drawing/2014/chart" uri="{C3380CC4-5D6E-409C-BE32-E72D297353CC}">
                    <c16:uniqueId val="{00000011-3A1F-481B-8184-0BF6B6CE2DAF}"/>
                  </c:ext>
                </c:extLst>
              </c15:ser>
            </c15:filteredLineSeries>
            <c15:filteredLineSeries>
              <c15:ser>
                <c:idx val="13"/>
                <c:order val="18"/>
                <c:tx>
                  <c:strRef>
                    <c:extLst xmlns:c15="http://schemas.microsoft.com/office/drawing/2012/chart">
                      <c:ext xmlns:c15="http://schemas.microsoft.com/office/drawing/2012/chart" uri="{02D57815-91ED-43cb-92C2-25804820EDAC}">
                        <c15:formulaRef>
                          <c15:sqref>'Datos Aeropuerto AMS'!$A$9</c15:sqref>
                        </c15:formulaRef>
                      </c:ext>
                    </c:extLst>
                    <c:strCache>
                      <c:ptCount val="1"/>
                      <c:pt idx="0">
                        <c:v>Total 2003</c:v>
                      </c:pt>
                    </c:strCache>
                  </c:strRef>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AMS'!$C$9:$N$9</c15:sqref>
                        </c15:formulaRef>
                      </c:ext>
                    </c:extLst>
                    <c:numCache>
                      <c:formatCode>_ * #,##0_ ;_ * \-#,##0_ ;_ * "-"??_ ;_ @_ </c:formatCode>
                      <c:ptCount val="12"/>
                      <c:pt idx="0">
                        <c:v>103686</c:v>
                      </c:pt>
                      <c:pt idx="1">
                        <c:v>91994</c:v>
                      </c:pt>
                      <c:pt idx="2">
                        <c:v>95475</c:v>
                      </c:pt>
                      <c:pt idx="3">
                        <c:v>97007</c:v>
                      </c:pt>
                      <c:pt idx="4">
                        <c:v>107505</c:v>
                      </c:pt>
                      <c:pt idx="5">
                        <c:v>113652</c:v>
                      </c:pt>
                      <c:pt idx="6">
                        <c:v>129058</c:v>
                      </c:pt>
                      <c:pt idx="7">
                        <c:v>129873</c:v>
                      </c:pt>
                      <c:pt idx="8">
                        <c:v>111084</c:v>
                      </c:pt>
                      <c:pt idx="9">
                        <c:v>108667</c:v>
                      </c:pt>
                      <c:pt idx="10">
                        <c:v>112309</c:v>
                      </c:pt>
                      <c:pt idx="11">
                        <c:v>114428</c:v>
                      </c:pt>
                    </c:numCache>
                  </c:numRef>
                </c:val>
                <c:smooth val="0"/>
                <c:extLst xmlns:c15="http://schemas.microsoft.com/office/drawing/2012/chart">
                  <c:ext xmlns:c16="http://schemas.microsoft.com/office/drawing/2014/chart" uri="{C3380CC4-5D6E-409C-BE32-E72D297353CC}">
                    <c16:uniqueId val="{00000012-3A1F-481B-8184-0BF6B6CE2DAF}"/>
                  </c:ext>
                </c:extLst>
              </c15:ser>
            </c15:filteredLineSeries>
          </c:ext>
        </c:extLst>
      </c:lineChart>
      <c:catAx>
        <c:axId val="-9577553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757568"/>
        <c:crosses val="autoZero"/>
        <c:auto val="1"/>
        <c:lblAlgn val="ctr"/>
        <c:lblOffset val="100"/>
        <c:noMultiLvlLbl val="0"/>
      </c:catAx>
      <c:valAx>
        <c:axId val="-957757568"/>
        <c:scaling>
          <c:orientation val="minMax"/>
          <c:max val="270000"/>
          <c:min val="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755392"/>
        <c:crosses val="autoZero"/>
        <c:crossBetween val="between"/>
        <c:majorUnit val="25000"/>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4803149606299213" l="0.70866141732283472" r="0.70866141732283472" t="0.74803149606299213" header="0.31496062992125984" footer="0.31496062992125984"/>
    <c:pageSetup orientation="landscape"/>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'Datos Aeropuerto AMS'!$A$239</c:f>
          <c:strCache>
            <c:ptCount val="1"/>
            <c:pt idx="0">
              <c:v>INTERNACIONAL</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18"/>
          <c:order val="0"/>
          <c:tx>
            <c:strRef>
              <c:f>'Datos Aeropuerto AMS'!$A$221:$O$221</c:f>
              <c:strCache>
                <c:ptCount val="15"/>
                <c:pt idx="0">
                  <c:v>ARRIVING 2021</c:v>
                </c:pt>
              </c:strCache>
            </c:strRef>
          </c:tx>
          <c:spPr>
            <a:ln w="76200" cap="rnd">
              <a:solidFill>
                <a:schemeClr val="accent1">
                  <a:lumMod val="80000"/>
                </a:schemeClr>
              </a:solidFill>
              <a:round/>
            </a:ln>
            <a:effectLst/>
          </c:spPr>
          <c:marker>
            <c:symbol val="circle"/>
            <c:size val="5"/>
            <c:spPr>
              <a:solidFill>
                <a:schemeClr val="accent1">
                  <a:lumMod val="80000"/>
                </a:schemeClr>
              </a:solidFill>
              <a:ln w="76200">
                <a:solidFill>
                  <a:schemeClr val="accent1">
                    <a:lumMod val="80000"/>
                  </a:schemeClr>
                </a:solidFill>
              </a:ln>
              <a:effectLst/>
            </c:spPr>
          </c:marker>
          <c:dLbls>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'Datos Aeropuerto AMS'!$C$223:$N$223</c:f>
              <c:numCache>
                <c:formatCode>#,##0</c:formatCode>
                <c:ptCount val="12"/>
                <c:pt idx="0">
                  <c:v>27719</c:v>
                </c:pt>
                <c:pt idx="1">
                  <c:v>21271</c:v>
                </c:pt>
                <c:pt idx="2">
                  <c:v>26766</c:v>
                </c:pt>
                <c:pt idx="3">
                  <c:v>27661</c:v>
                </c:pt>
                <c:pt idx="4">
                  <c:v>38236</c:v>
                </c:pt>
                <c:pt idx="5">
                  <c:v>53121</c:v>
                </c:pt>
                <c:pt idx="6">
                  <c:v>70304</c:v>
                </c:pt>
                <c:pt idx="7">
                  <c:v>62082</c:v>
                </c:pt>
                <c:pt idx="8">
                  <c:v>56619</c:v>
                </c:pt>
                <c:pt idx="9">
                  <c:v>59186</c:v>
                </c:pt>
                <c:pt idx="10">
                  <c:v>69540</c:v>
                </c:pt>
                <c:pt idx="11">
                  <c:v>64544</c:v>
                </c:pt>
              </c:numCache>
            </c:numRef>
          </c:val>
          <c:smooth val="0"/>
          <c:extLst>
            <c:ext xmlns:c16="http://schemas.microsoft.com/office/drawing/2014/chart" uri="{C3380CC4-5D6E-409C-BE32-E72D297353CC}">
              <c16:uniqueId val="{00000002-AE80-46FA-BDBE-2002388CA3DD}"/>
            </c:ext>
          </c:extLst>
        </c:ser>
        <c:ser>
          <c:idx val="17"/>
          <c:order val="1"/>
          <c:tx>
            <c:strRef>
              <c:f>'Datos Aeropuerto AMS'!$A$209:$O$209</c:f>
              <c:strCache>
                <c:ptCount val="15"/>
                <c:pt idx="0">
                  <c:v>ARRIVING 2020</c:v>
                </c:pt>
              </c:strCache>
            </c:strRef>
          </c:tx>
          <c:spPr>
            <a:ln w="28575"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dLbls>
            <c:dLbl>
              <c:idx val="2"/>
              <c:layout>
                <c:manualLayout>
                  <c:x val="1.0992030777686177E-3"/>
                  <c:y val="-3.570517725070135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6AB-416C-ADA2-313C29F7D22B}"/>
                </c:ext>
              </c:extLst>
            </c:dLbl>
            <c:spPr>
              <a:solidFill>
                <a:schemeClr val="lt1"/>
              </a:solidFill>
              <a:ln w="25400" cap="flat" cmpd="sng" algn="ctr">
                <a:solidFill>
                  <a:schemeClr val="accent6"/>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'Datos Aeropuerto AMS'!$C$210:$N$210</c:f>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f>'Datos Aeropuerto AMS'!$C$211:$N$211</c:f>
              <c:numCache>
                <c:formatCode>#,##0</c:formatCode>
                <c:ptCount val="12"/>
                <c:pt idx="0">
                  <c:v>92943</c:v>
                </c:pt>
                <c:pt idx="1">
                  <c:v>89117</c:v>
                </c:pt>
                <c:pt idx="2">
                  <c:v>44707</c:v>
                </c:pt>
                <c:pt idx="3">
                  <c:v>2152</c:v>
                </c:pt>
                <c:pt idx="4">
                  <c:v>3459</c:v>
                </c:pt>
                <c:pt idx="5">
                  <c:v>3682</c:v>
                </c:pt>
                <c:pt idx="6">
                  <c:v>8215</c:v>
                </c:pt>
                <c:pt idx="7">
                  <c:v>8865</c:v>
                </c:pt>
                <c:pt idx="8">
                  <c:v>11114</c:v>
                </c:pt>
                <c:pt idx="9">
                  <c:v>16888</c:v>
                </c:pt>
                <c:pt idx="10">
                  <c:v>24698</c:v>
                </c:pt>
                <c:pt idx="11">
                  <c:v>38699</c:v>
                </c:pt>
              </c:numCache>
            </c:numRef>
          </c:val>
          <c:smooth val="0"/>
          <c:extLst>
            <c:ext xmlns:c16="http://schemas.microsoft.com/office/drawing/2014/chart" uri="{C3380CC4-5D6E-409C-BE32-E72D297353CC}">
              <c16:uniqueId val="{00000001-0966-4510-BDA9-C38F55ED9D57}"/>
            </c:ext>
          </c:extLst>
        </c:ser>
        <c:ser>
          <c:idx val="16"/>
          <c:order val="2"/>
          <c:tx>
            <c:strRef>
              <c:f>'Datos Aeropuerto AMS'!$A$197:$O$197</c:f>
              <c:strCache>
                <c:ptCount val="15"/>
                <c:pt idx="0">
                  <c:v>ARRIVING 2019</c:v>
                </c:pt>
              </c:strCache>
            </c:strRef>
          </c:tx>
          <c:spPr>
            <a:ln w="28575"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dLbls>
            <c:dLbl>
              <c:idx val="0"/>
              <c:layout>
                <c:manualLayout>
                  <c:x val="1.9785655399835119E-2"/>
                  <c:y val="-4.590665646518754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966-4510-BDA9-C38F55ED9D57}"/>
                </c:ext>
              </c:extLst>
            </c:dLbl>
            <c:dLbl>
              <c:idx val="2"/>
              <c:layout>
                <c:manualLayout>
                  <c:x val="-1.0992030777686177E-3"/>
                  <c:y val="-0.117317010966590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4A4-4100-8141-02C6D950D4F2}"/>
                </c:ext>
              </c:extLst>
            </c:dLbl>
            <c:dLbl>
              <c:idx val="3"/>
              <c:layout>
                <c:manualLayout>
                  <c:x val="0"/>
                  <c:y val="-4.080591685794449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4B5-4A32-915E-496C3E6EC4BB}"/>
                </c:ext>
              </c:extLst>
            </c:dLbl>
            <c:dLbl>
              <c:idx val="4"/>
              <c:layout>
                <c:manualLayout>
                  <c:x val="-4.3968123110744708E-3"/>
                  <c:y val="9.181331293037481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4A4-4100-8141-02C6D950D4F2}"/>
                </c:ext>
              </c:extLst>
            </c:dLbl>
            <c:dLbl>
              <c:idx val="7"/>
              <c:layout>
                <c:manualLayout>
                  <c:x val="2.1984061555371547E-3"/>
                  <c:y val="-4.080591685794440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74A4-4100-8141-02C6D950D4F2}"/>
                </c:ext>
              </c:extLst>
            </c:dLbl>
            <c:dLbl>
              <c:idx val="8"/>
              <c:layout>
                <c:manualLayout>
                  <c:x val="3.2976092333058533E-3"/>
                  <c:y val="-8.161183371588885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74A4-4100-8141-02C6D950D4F2}"/>
                </c:ext>
              </c:extLst>
            </c:dLbl>
            <c:spPr>
              <a:gradFill rotWithShape="1">
                <a:gsLst>
                  <a:gs pos="0">
                    <a:schemeClr val="accent5">
                      <a:tint val="50000"/>
                      <a:satMod val="300000"/>
                    </a:schemeClr>
                  </a:gs>
                  <a:gs pos="35000">
                    <a:schemeClr val="accent5">
                      <a:tint val="37000"/>
                      <a:satMod val="300000"/>
                    </a:schemeClr>
                  </a:gs>
                  <a:gs pos="100000">
                    <a:schemeClr val="accent5">
                      <a:tint val="15000"/>
                      <a:satMod val="350000"/>
                    </a:schemeClr>
                  </a:gs>
                </a:gsLst>
                <a:lin ang="16200000" scaled="1"/>
              </a:gradFill>
              <a:ln w="9525" cap="flat" cmpd="sng" algn="ctr">
                <a:solidFill>
                  <a:schemeClr val="accent5">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'Datos Aeropuerto AMS'!$C$210:$N$210</c:f>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f>'Datos Aeropuerto AMS'!$C$199:$N$199</c:f>
              <c:numCache>
                <c:formatCode>#,##0</c:formatCode>
                <c:ptCount val="12"/>
                <c:pt idx="0">
                  <c:v>93519</c:v>
                </c:pt>
                <c:pt idx="1">
                  <c:v>84870</c:v>
                </c:pt>
                <c:pt idx="2">
                  <c:v>94191</c:v>
                </c:pt>
                <c:pt idx="3">
                  <c:v>91052</c:v>
                </c:pt>
                <c:pt idx="4">
                  <c:v>93508</c:v>
                </c:pt>
                <c:pt idx="5">
                  <c:v>103723</c:v>
                </c:pt>
                <c:pt idx="6">
                  <c:v>113445</c:v>
                </c:pt>
                <c:pt idx="7">
                  <c:v>121794</c:v>
                </c:pt>
                <c:pt idx="8">
                  <c:v>102191</c:v>
                </c:pt>
                <c:pt idx="9">
                  <c:v>80751</c:v>
                </c:pt>
                <c:pt idx="10">
                  <c:v>93804</c:v>
                </c:pt>
                <c:pt idx="11">
                  <c:v>108066</c:v>
                </c:pt>
              </c:numCache>
            </c:numRef>
          </c:val>
          <c:smooth val="0"/>
          <c:extLst>
            <c:ext xmlns:c16="http://schemas.microsoft.com/office/drawing/2014/chart" uri="{C3380CC4-5D6E-409C-BE32-E72D297353CC}">
              <c16:uniqueId val="{00000001-571D-476C-A6E6-1A8881469E55}"/>
            </c:ext>
          </c:extLst>
        </c:ser>
        <c:ser>
          <c:idx val="15"/>
          <c:order val="3"/>
          <c:tx>
            <c:strRef>
              <c:f>'Datos Aeropuerto AMS'!$A$185:$O$185</c:f>
              <c:strCache>
                <c:ptCount val="15"/>
                <c:pt idx="0">
                  <c:v>ARRIVING 2018</c:v>
                </c:pt>
              </c:strCache>
            </c:strRef>
          </c:tx>
          <c:spPr>
            <a:ln w="28575"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dLbls>
            <c:dLbl>
              <c:idx val="0"/>
              <c:layout>
                <c:manualLayout>
                  <c:x val="-4.5067326188513328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71D-476C-A6E6-1A8881469E55}"/>
                </c:ext>
              </c:extLst>
            </c:dLbl>
            <c:dLbl>
              <c:idx val="1"/>
              <c:layout>
                <c:manualLayout>
                  <c:x val="0"/>
                  <c:y val="-8.161183371588880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4A4-4100-8141-02C6D950D4F2}"/>
                </c:ext>
              </c:extLst>
            </c:dLbl>
            <c:dLbl>
              <c:idx val="2"/>
              <c:layout>
                <c:manualLayout>
                  <c:x val="1.0992030777686177E-3"/>
                  <c:y val="-5.100739607243050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4A4-4100-8141-02C6D950D4F2}"/>
                </c:ext>
              </c:extLst>
            </c:dLbl>
            <c:dLbl>
              <c:idx val="3"/>
              <c:layout>
                <c:manualLayout>
                  <c:x val="0"/>
                  <c:y val="6.12088752869166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71D-476C-A6E6-1A8881469E55}"/>
                </c:ext>
              </c:extLst>
            </c:dLbl>
            <c:dLbl>
              <c:idx val="4"/>
              <c:layout>
                <c:manualLayout>
                  <c:x val="0"/>
                  <c:y val="-8.67125733231318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71D-476C-A6E6-1A8881469E55}"/>
                </c:ext>
              </c:extLst>
            </c:dLbl>
            <c:dLbl>
              <c:idx val="5"/>
              <c:layout>
                <c:manualLayout>
                  <c:x val="-8.0607294520687176E-17"/>
                  <c:y val="-6.12088752869166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4A4-4100-8141-02C6D950D4F2}"/>
                </c:ext>
              </c:extLst>
            </c:dLbl>
            <c:dLbl>
              <c:idx val="6"/>
              <c:layout>
                <c:manualLayout>
                  <c:x val="-1.0992030777686177E-3"/>
                  <c:y val="-6.63096148941596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4A4-4100-8141-02C6D950D4F2}"/>
                </c:ext>
              </c:extLst>
            </c:dLbl>
            <c:dLbl>
              <c:idx val="9"/>
              <c:layout>
                <c:manualLayout>
                  <c:x val="1.0992030777686177E-3"/>
                  <c:y val="-8.161183371588885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71D-476C-A6E6-1A8881469E55}"/>
                </c:ext>
              </c:extLst>
            </c:dLbl>
            <c:dLbl>
              <c:idx val="10"/>
              <c:layout>
                <c:manualLayout>
                  <c:x val="-3.2976092333060147E-3"/>
                  <c:y val="-1.530221882172915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71D-476C-A6E6-1A8881469E55}"/>
                </c:ext>
              </c:extLst>
            </c:dLbl>
            <c:dLbl>
              <c:idx val="11"/>
              <c:layout>
                <c:manualLayout>
                  <c:x val="-1.6121458904137435E-16"/>
                  <c:y val="-3.570517725070135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74A4-4100-8141-02C6D950D4F2}"/>
                </c:ext>
              </c:extLst>
            </c:dLbl>
            <c:spPr>
              <a:solidFill>
                <a:schemeClr val="lt1"/>
              </a:solidFill>
              <a:ln w="25400" cap="flat" cmpd="sng" algn="ctr">
                <a:solidFill>
                  <a:schemeClr val="accent4"/>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'Datos Aeropuerto AMS'!$C$210:$N$210</c:f>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f>'Datos Aeropuerto AMS'!$C$187:$N$187</c:f>
              <c:numCache>
                <c:formatCode>#,##0</c:formatCode>
                <c:ptCount val="12"/>
                <c:pt idx="0">
                  <c:v>90295</c:v>
                </c:pt>
                <c:pt idx="1">
                  <c:v>85295</c:v>
                </c:pt>
                <c:pt idx="2">
                  <c:v>96143</c:v>
                </c:pt>
                <c:pt idx="3">
                  <c:v>90323</c:v>
                </c:pt>
                <c:pt idx="4">
                  <c:v>97512</c:v>
                </c:pt>
                <c:pt idx="5">
                  <c:v>106342</c:v>
                </c:pt>
                <c:pt idx="6">
                  <c:v>114980</c:v>
                </c:pt>
                <c:pt idx="7">
                  <c:v>120495</c:v>
                </c:pt>
                <c:pt idx="8">
                  <c:v>104128</c:v>
                </c:pt>
                <c:pt idx="9">
                  <c:v>101002</c:v>
                </c:pt>
                <c:pt idx="10">
                  <c:v>102203</c:v>
                </c:pt>
                <c:pt idx="11">
                  <c:v>108479</c:v>
                </c:pt>
              </c:numCache>
            </c:numRef>
          </c:val>
          <c:smooth val="0"/>
          <c:extLst>
            <c:ext xmlns:c16="http://schemas.microsoft.com/office/drawing/2014/chart" uri="{C3380CC4-5D6E-409C-BE32-E72D297353CC}">
              <c16:uniqueId val="{00000000-E20B-4F44-825E-004BA7A65194}"/>
            </c:ext>
          </c:extLst>
        </c:ser>
        <c:dLbls>
          <c:showLegendKey val="0"/>
          <c:showVal val="0"/>
          <c:showCatName val="0"/>
          <c:showSerName val="0"/>
          <c:showPercent val="0"/>
          <c:showBubbleSize val="0"/>
        </c:dLbls>
        <c:marker val="1"/>
        <c:smooth val="0"/>
        <c:axId val="-957749408"/>
        <c:axId val="-957752128"/>
        <c:extLst>
          <c:ext xmlns:c15="http://schemas.microsoft.com/office/drawing/2012/chart" uri="{02D57815-91ED-43cb-92C2-25804820EDAC}">
            <c15:filteredLineSeries>
              <c15:ser>
                <c:idx val="14"/>
                <c:order val="4"/>
                <c:tx>
                  <c:strRef>
                    <c:extLst>
                      <c:ext uri="{02D57815-91ED-43cb-92C2-25804820EDAC}">
                        <c15:formulaRef>
                          <c15:sqref>'Datos Aeropuerto AMS'!$A$173:$P$173</c15:sqref>
                        </c15:formulaRef>
                      </c:ext>
                    </c:extLst>
                    <c:strCache>
                      <c:ptCount val="16"/>
                      <c:pt idx="0">
                        <c:v>ARRIVING 2017</c:v>
                      </c:pt>
                    </c:strCache>
                  </c:strRef>
                </c:tx>
                <c:spPr>
                  <a:ln w="28575"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dPt>
                  <c:idx val="0"/>
                  <c:marker>
                    <c:symbol val="x"/>
                    <c:size val="5"/>
                    <c:spPr>
                      <a:noFill/>
                      <a:ln w="9525">
                        <a:solidFill>
                          <a:schemeClr val="accent3">
                            <a:lumMod val="80000"/>
                            <a:lumOff val="20000"/>
                          </a:schemeClr>
                        </a:solidFill>
                      </a:ln>
                      <a:effectLst/>
                    </c:spPr>
                  </c:marker>
                  <c:bubble3D val="0"/>
                  <c:extLst>
                    <c:ext xmlns:c16="http://schemas.microsoft.com/office/drawing/2014/chart" uri="{C3380CC4-5D6E-409C-BE32-E72D297353CC}">
                      <c16:uniqueId val="{00000001-E20B-4F44-825E-004BA7A65194}"/>
                    </c:ext>
                  </c:extLst>
                </c:dPt>
                <c:dLbls>
                  <c:dLbl>
                    <c:idx val="2"/>
                    <c:layout>
                      <c:manualLayout>
                        <c:x val="-3.2976092333058533E-3"/>
                        <c:y val="6.6309614894159555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3-571D-476C-A6E6-1A8881469E55}"/>
                      </c:ext>
                    </c:extLst>
                  </c:dLbl>
                  <c:dLbl>
                    <c:idx val="3"/>
                    <c:layout>
                      <c:manualLayout>
                        <c:x val="1.0992030777686177E-3"/>
                        <c:y val="-0.1428207090028055"/>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5-571D-476C-A6E6-1A8881469E55}"/>
                      </c:ext>
                    </c:extLst>
                  </c:dLbl>
                  <c:dLbl>
                    <c:idx val="5"/>
                    <c:layout>
                      <c:manualLayout>
                        <c:x val="-8.0607294520687176E-17"/>
                        <c:y val="7.6511094108645747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6-74A4-4100-8141-02C6D950D4F2}"/>
                      </c:ext>
                    </c:extLst>
                  </c:dLbl>
                  <c:dLbl>
                    <c:idx val="6"/>
                    <c:layout>
                      <c:manualLayout>
                        <c:x val="-1.0992030777686177E-3"/>
                        <c:y val="4.5906656465187358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8-74A4-4100-8141-02C6D950D4F2}"/>
                      </c:ext>
                    </c:extLst>
                  </c:dLbl>
                  <c:dLbl>
                    <c:idx val="7"/>
                    <c:layout>
                      <c:manualLayout>
                        <c:x val="-3.2976092333058533E-3"/>
                        <c:y val="5.1007396072430503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7-571D-476C-A6E6-1A8881469E55}"/>
                      </c:ext>
                    </c:extLst>
                  </c:dLbl>
                  <c:dLbl>
                    <c:idx val="8"/>
                    <c:layout>
                      <c:manualLayout>
                        <c:x val="2.1984061555372354E-3"/>
                        <c:y val="4.5906656465187545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D-74A4-4100-8141-02C6D950D4F2}"/>
                      </c:ext>
                    </c:extLst>
                  </c:dLbl>
                  <c:dLbl>
                    <c:idx val="9"/>
                    <c:layout>
                      <c:manualLayout>
                        <c:x val="0"/>
                        <c:y val="3.5705177250701353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C-74A4-4100-8141-02C6D950D4F2}"/>
                      </c:ext>
                    </c:extLst>
                  </c:dLbl>
                  <c:dLbl>
                    <c:idx val="10"/>
                    <c:layout>
                      <c:manualLayout>
                        <c:x val="0"/>
                        <c:y val="3.5705177250701353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B-74A4-4100-8141-02C6D950D4F2}"/>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c:ex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c:ext uri="{02D57815-91ED-43cb-92C2-25804820EDAC}">
                        <c15:formulaRef>
                          <c15:sqref>'Datos Aeropuerto AMS'!$C$175:$N$175</c15:sqref>
                        </c15:formulaRef>
                      </c:ext>
                    </c:extLst>
                    <c:numCache>
                      <c:formatCode>#,##0</c:formatCode>
                      <c:ptCount val="12"/>
                      <c:pt idx="0">
                        <c:v>83463</c:v>
                      </c:pt>
                      <c:pt idx="1">
                        <c:v>74071</c:v>
                      </c:pt>
                      <c:pt idx="2">
                        <c:v>90026</c:v>
                      </c:pt>
                      <c:pt idx="3">
                        <c:v>92096</c:v>
                      </c:pt>
                      <c:pt idx="4">
                        <c:v>93596</c:v>
                      </c:pt>
                      <c:pt idx="5">
                        <c:v>98801</c:v>
                      </c:pt>
                      <c:pt idx="6">
                        <c:v>106597</c:v>
                      </c:pt>
                      <c:pt idx="7">
                        <c:v>116007</c:v>
                      </c:pt>
                      <c:pt idx="8">
                        <c:v>94361</c:v>
                      </c:pt>
                      <c:pt idx="9">
                        <c:v>95563</c:v>
                      </c:pt>
                      <c:pt idx="10">
                        <c:v>95832</c:v>
                      </c:pt>
                      <c:pt idx="11">
                        <c:v>103702</c:v>
                      </c:pt>
                    </c:numCache>
                  </c:numRef>
                </c:val>
                <c:smooth val="0"/>
                <c:extLst>
                  <c:ext xmlns:c16="http://schemas.microsoft.com/office/drawing/2014/chart" uri="{C3380CC4-5D6E-409C-BE32-E72D297353CC}">
                    <c16:uniqueId val="{00000002-E20B-4F44-825E-004BA7A65194}"/>
                  </c:ext>
                </c:extLst>
              </c15:ser>
            </c15:filteredLineSeries>
            <c15:filteredLineSeries>
              <c15:ser>
                <c:idx val="0"/>
                <c:order val="5"/>
                <c:tx>
                  <c:strRef>
                    <c:extLst xmlns:c15="http://schemas.microsoft.com/office/drawing/2012/chart">
                      <c:ext xmlns:c15="http://schemas.microsoft.com/office/drawing/2012/chart" uri="{02D57815-91ED-43cb-92C2-25804820EDAC}">
                        <c15:formulaRef>
                          <c15:sqref>'Datos Aeropuerto AMS'!$A$161:$P$161</c15:sqref>
                        </c15:formulaRef>
                      </c:ext>
                    </c:extLst>
                    <c:strCache>
                      <c:ptCount val="16"/>
                      <c:pt idx="0">
                        <c:v>ARRIVING 2016</c:v>
                      </c:pt>
                    </c:strCache>
                  </c:strRef>
                </c:tx>
                <c:spPr>
                  <a:ln w="28575" cap="rnd">
                    <a:solidFill>
                      <a:schemeClr val="accent1">
                        <a:lumMod val="20000"/>
                        <a:lumOff val="80000"/>
                      </a:schemeClr>
                    </a:solidFill>
                    <a:round/>
                  </a:ln>
                  <a:effectLst/>
                </c:spPr>
                <c:marker>
                  <c:symbol val="circle"/>
                  <c:size val="5"/>
                  <c:spPr>
                    <a:solidFill>
                      <a:schemeClr val="accent1"/>
                    </a:solidFill>
                    <a:ln w="9525">
                      <a:solidFill>
                        <a:schemeClr val="accent1"/>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AMS'!$C$163:$N$163</c15:sqref>
                        </c15:formulaRef>
                      </c:ext>
                    </c:extLst>
                    <c:numCache>
                      <c:formatCode>#,##0</c:formatCode>
                      <c:ptCount val="12"/>
                      <c:pt idx="0">
                        <c:v>91476</c:v>
                      </c:pt>
                      <c:pt idx="1">
                        <c:v>89410</c:v>
                      </c:pt>
                      <c:pt idx="2">
                        <c:v>91540</c:v>
                      </c:pt>
                      <c:pt idx="3">
                        <c:v>79098</c:v>
                      </c:pt>
                      <c:pt idx="4">
                        <c:v>82023</c:v>
                      </c:pt>
                      <c:pt idx="5">
                        <c:v>92423</c:v>
                      </c:pt>
                      <c:pt idx="6">
                        <c:v>101264</c:v>
                      </c:pt>
                      <c:pt idx="7">
                        <c:v>106882</c:v>
                      </c:pt>
                      <c:pt idx="8">
                        <c:v>86018</c:v>
                      </c:pt>
                      <c:pt idx="9">
                        <c:v>92148</c:v>
                      </c:pt>
                      <c:pt idx="10">
                        <c:v>89116</c:v>
                      </c:pt>
                      <c:pt idx="11">
                        <c:v>93710</c:v>
                      </c:pt>
                    </c:numCache>
                  </c:numRef>
                </c:val>
                <c:smooth val="0"/>
                <c:extLst xmlns:c15="http://schemas.microsoft.com/office/drawing/2012/chart">
                  <c:ext xmlns:c16="http://schemas.microsoft.com/office/drawing/2014/chart" uri="{C3380CC4-5D6E-409C-BE32-E72D297353CC}">
                    <c16:uniqueId val="{00000003-E20B-4F44-825E-004BA7A65194}"/>
                  </c:ext>
                </c:extLst>
              </c15:ser>
            </c15:filteredLineSeries>
            <c15:filteredLineSeries>
              <c15:ser>
                <c:idx val="1"/>
                <c:order val="6"/>
                <c:tx>
                  <c:strRef>
                    <c:extLst xmlns:c15="http://schemas.microsoft.com/office/drawing/2012/chart">
                      <c:ext xmlns:c15="http://schemas.microsoft.com/office/drawing/2012/chart" uri="{02D57815-91ED-43cb-92C2-25804820EDAC}">
                        <c15:formulaRef>
                          <c15:sqref>'Datos Aeropuerto AMS'!$A$149:$P$149</c15:sqref>
                        </c15:formulaRef>
                      </c:ext>
                    </c:extLst>
                    <c:strCache>
                      <c:ptCount val="16"/>
                      <c:pt idx="0">
                        <c:v>ARRIVING 2015</c:v>
                      </c:pt>
                    </c:strCache>
                  </c:strRef>
                </c:tx>
                <c:spPr>
                  <a:ln w="28575" cap="rnd">
                    <a:solidFill>
                      <a:schemeClr val="accent2">
                        <a:lumMod val="40000"/>
                        <a:lumOff val="60000"/>
                      </a:schemeClr>
                    </a:solidFill>
                    <a:round/>
                  </a:ln>
                  <a:effectLst/>
                </c:spPr>
                <c:marker>
                  <c:symbol val="circle"/>
                  <c:size val="5"/>
                  <c:spPr>
                    <a:solidFill>
                      <a:schemeClr val="accent2"/>
                    </a:solidFill>
                    <a:ln w="9525">
                      <a:solidFill>
                        <a:schemeClr val="accent2"/>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AMS'!$C$151:$N$151</c15:sqref>
                        </c15:formulaRef>
                      </c:ext>
                    </c:extLst>
                    <c:numCache>
                      <c:formatCode>#,##0</c:formatCode>
                      <c:ptCount val="12"/>
                      <c:pt idx="0">
                        <c:v>101497</c:v>
                      </c:pt>
                      <c:pt idx="1">
                        <c:v>93167</c:v>
                      </c:pt>
                      <c:pt idx="2">
                        <c:v>95353</c:v>
                      </c:pt>
                      <c:pt idx="3">
                        <c:v>88814</c:v>
                      </c:pt>
                      <c:pt idx="4">
                        <c:v>96056</c:v>
                      </c:pt>
                      <c:pt idx="5">
                        <c:v>100515</c:v>
                      </c:pt>
                      <c:pt idx="6">
                        <c:v>109542</c:v>
                      </c:pt>
                      <c:pt idx="7">
                        <c:v>113575</c:v>
                      </c:pt>
                      <c:pt idx="8">
                        <c:v>100469</c:v>
                      </c:pt>
                      <c:pt idx="9">
                        <c:v>102647</c:v>
                      </c:pt>
                      <c:pt idx="10">
                        <c:v>106274</c:v>
                      </c:pt>
                      <c:pt idx="11">
                        <c:v>107422</c:v>
                      </c:pt>
                    </c:numCache>
                  </c:numRef>
                </c:val>
                <c:smooth val="0"/>
                <c:extLst xmlns:c15="http://schemas.microsoft.com/office/drawing/2012/chart">
                  <c:ext xmlns:c16="http://schemas.microsoft.com/office/drawing/2014/chart" uri="{C3380CC4-5D6E-409C-BE32-E72D297353CC}">
                    <c16:uniqueId val="{00000004-E20B-4F44-825E-004BA7A65194}"/>
                  </c:ext>
                </c:extLst>
              </c15:ser>
            </c15:filteredLineSeries>
            <c15:filteredLineSeries>
              <c15:ser>
                <c:idx val="2"/>
                <c:order val="7"/>
                <c:tx>
                  <c:strRef>
                    <c:extLst xmlns:c15="http://schemas.microsoft.com/office/drawing/2012/chart">
                      <c:ext xmlns:c15="http://schemas.microsoft.com/office/drawing/2012/chart" uri="{02D57815-91ED-43cb-92C2-25804820EDAC}">
                        <c15:formulaRef>
                          <c15:sqref>'Datos Aeropuerto AMS'!$A$137:$P$137</c15:sqref>
                        </c15:formulaRef>
                      </c:ext>
                    </c:extLst>
                    <c:strCache>
                      <c:ptCount val="16"/>
                      <c:pt idx="0">
                        <c:v>ARRIVING 2014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AMS'!$C$139:$N$139</c15:sqref>
                        </c15:formulaRef>
                      </c:ext>
                    </c:extLst>
                    <c:numCache>
                      <c:formatCode>#,##0</c:formatCode>
                      <c:ptCount val="12"/>
                      <c:pt idx="0">
                        <c:v>85525</c:v>
                      </c:pt>
                      <c:pt idx="1">
                        <c:v>88166</c:v>
                      </c:pt>
                      <c:pt idx="2">
                        <c:v>88731</c:v>
                      </c:pt>
                      <c:pt idx="3">
                        <c:v>88078</c:v>
                      </c:pt>
                      <c:pt idx="4">
                        <c:v>93892</c:v>
                      </c:pt>
                      <c:pt idx="5">
                        <c:v>100089</c:v>
                      </c:pt>
                      <c:pt idx="6">
                        <c:v>107114</c:v>
                      </c:pt>
                      <c:pt idx="7">
                        <c:v>117359</c:v>
                      </c:pt>
                      <c:pt idx="8">
                        <c:v>97547</c:v>
                      </c:pt>
                      <c:pt idx="9">
                        <c:v>100798</c:v>
                      </c:pt>
                      <c:pt idx="10">
                        <c:v>104521</c:v>
                      </c:pt>
                      <c:pt idx="11">
                        <c:v>118872</c:v>
                      </c:pt>
                    </c:numCache>
                  </c:numRef>
                </c:val>
                <c:smooth val="0"/>
                <c:extLst xmlns:c15="http://schemas.microsoft.com/office/drawing/2012/chart">
                  <c:ext xmlns:c16="http://schemas.microsoft.com/office/drawing/2014/chart" uri="{C3380CC4-5D6E-409C-BE32-E72D297353CC}">
                    <c16:uniqueId val="{00000005-E20B-4F44-825E-004BA7A65194}"/>
                  </c:ext>
                </c:extLst>
              </c15:ser>
            </c15:filteredLineSeries>
            <c15:filteredLineSeries>
              <c15:ser>
                <c:idx val="3"/>
                <c:order val="8"/>
                <c:tx>
                  <c:strRef>
                    <c:extLst xmlns:c15="http://schemas.microsoft.com/office/drawing/2012/chart">
                      <c:ext xmlns:c15="http://schemas.microsoft.com/office/drawing/2012/chart" uri="{02D57815-91ED-43cb-92C2-25804820EDAC}">
                        <c15:formulaRef>
                          <c15:sqref>'Datos Aeropuerto AMS'!$A$125:$P$125</c15:sqref>
                        </c15:formulaRef>
                      </c:ext>
                    </c:extLst>
                    <c:strCache>
                      <c:ptCount val="16"/>
                      <c:pt idx="0">
                        <c:v>ARRIVING 2013</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AMS'!$C$127:$N$127</c15:sqref>
                        </c15:formulaRef>
                      </c:ext>
                    </c:extLst>
                    <c:numCache>
                      <c:formatCode>#,##0</c:formatCode>
                      <c:ptCount val="12"/>
                      <c:pt idx="0">
                        <c:v>77456</c:v>
                      </c:pt>
                      <c:pt idx="1">
                        <c:v>78911</c:v>
                      </c:pt>
                      <c:pt idx="2">
                        <c:v>84693</c:v>
                      </c:pt>
                      <c:pt idx="3">
                        <c:v>78076</c:v>
                      </c:pt>
                      <c:pt idx="4">
                        <c:v>83219</c:v>
                      </c:pt>
                      <c:pt idx="5">
                        <c:v>95627</c:v>
                      </c:pt>
                      <c:pt idx="6">
                        <c:v>99216</c:v>
                      </c:pt>
                      <c:pt idx="7">
                        <c:v>109120</c:v>
                      </c:pt>
                      <c:pt idx="8">
                        <c:v>89693</c:v>
                      </c:pt>
                      <c:pt idx="9">
                        <c:v>92433</c:v>
                      </c:pt>
                      <c:pt idx="10">
                        <c:v>92226</c:v>
                      </c:pt>
                      <c:pt idx="11">
                        <c:v>98513</c:v>
                      </c:pt>
                    </c:numCache>
                  </c:numRef>
                </c:val>
                <c:smooth val="0"/>
                <c:extLst xmlns:c15="http://schemas.microsoft.com/office/drawing/2012/chart">
                  <c:ext xmlns:c16="http://schemas.microsoft.com/office/drawing/2014/chart" uri="{C3380CC4-5D6E-409C-BE32-E72D297353CC}">
                    <c16:uniqueId val="{00000006-E20B-4F44-825E-004BA7A65194}"/>
                  </c:ext>
                </c:extLst>
              </c15:ser>
            </c15:filteredLineSeries>
            <c15:filteredLineSeries>
              <c15:ser>
                <c:idx val="4"/>
                <c:order val="9"/>
                <c:tx>
                  <c:strRef>
                    <c:extLst xmlns:c15="http://schemas.microsoft.com/office/drawing/2012/chart">
                      <c:ext xmlns:c15="http://schemas.microsoft.com/office/drawing/2012/chart" uri="{02D57815-91ED-43cb-92C2-25804820EDAC}">
                        <c15:formulaRef>
                          <c15:sqref>'Datos Aeropuerto AMS'!$A$113:$P$113</c15:sqref>
                        </c15:formulaRef>
                      </c:ext>
                    </c:extLst>
                    <c:strCache>
                      <c:ptCount val="16"/>
                      <c:pt idx="0">
                        <c:v>ARRIVING 2012</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AMS'!$C$115:$N$115</c15:sqref>
                        </c15:formulaRef>
                      </c:ext>
                    </c:extLst>
                    <c:numCache>
                      <c:formatCode>#,##0</c:formatCode>
                      <c:ptCount val="12"/>
                      <c:pt idx="0">
                        <c:v>68988</c:v>
                      </c:pt>
                      <c:pt idx="1">
                        <c:v>66952</c:v>
                      </c:pt>
                      <c:pt idx="2">
                        <c:v>68840</c:v>
                      </c:pt>
                      <c:pt idx="3">
                        <c:v>65887</c:v>
                      </c:pt>
                      <c:pt idx="4">
                        <c:v>76514</c:v>
                      </c:pt>
                      <c:pt idx="5">
                        <c:v>87023</c:v>
                      </c:pt>
                      <c:pt idx="6">
                        <c:v>94462</c:v>
                      </c:pt>
                      <c:pt idx="7">
                        <c:v>101421</c:v>
                      </c:pt>
                      <c:pt idx="8">
                        <c:v>78593</c:v>
                      </c:pt>
                      <c:pt idx="9">
                        <c:v>80408</c:v>
                      </c:pt>
                      <c:pt idx="10">
                        <c:v>83850</c:v>
                      </c:pt>
                      <c:pt idx="11">
                        <c:v>89814</c:v>
                      </c:pt>
                    </c:numCache>
                  </c:numRef>
                </c:val>
                <c:smooth val="0"/>
                <c:extLst xmlns:c15="http://schemas.microsoft.com/office/drawing/2012/chart">
                  <c:ext xmlns:c16="http://schemas.microsoft.com/office/drawing/2014/chart" uri="{C3380CC4-5D6E-409C-BE32-E72D297353CC}">
                    <c16:uniqueId val="{00000007-E20B-4F44-825E-004BA7A65194}"/>
                  </c:ext>
                </c:extLst>
              </c15:ser>
            </c15:filteredLineSeries>
            <c15:filteredLineSeries>
              <c15:ser>
                <c:idx val="5"/>
                <c:order val="10"/>
                <c:tx>
                  <c:strRef>
                    <c:extLst xmlns:c15="http://schemas.microsoft.com/office/drawing/2012/chart">
                      <c:ext xmlns:c15="http://schemas.microsoft.com/office/drawing/2012/chart" uri="{02D57815-91ED-43cb-92C2-25804820EDAC}">
                        <c15:formulaRef>
                          <c15:sqref>'Datos Aeropuerto AMS'!$A$101:$P$101</c15:sqref>
                        </c15:formulaRef>
                      </c:ext>
                    </c:extLst>
                    <c:strCache>
                      <c:ptCount val="16"/>
                      <c:pt idx="0">
                        <c:v>ARRIVING 2011</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AMS'!$C$103:$N$103</c15:sqref>
                        </c15:formulaRef>
                      </c:ext>
                    </c:extLst>
                    <c:numCache>
                      <c:formatCode>#,##0</c:formatCode>
                      <c:ptCount val="12"/>
                      <c:pt idx="0">
                        <c:v>59023</c:v>
                      </c:pt>
                      <c:pt idx="1">
                        <c:v>58283</c:v>
                      </c:pt>
                      <c:pt idx="2">
                        <c:v>65959</c:v>
                      </c:pt>
                      <c:pt idx="3">
                        <c:v>63261</c:v>
                      </c:pt>
                      <c:pt idx="4">
                        <c:v>70634</c:v>
                      </c:pt>
                      <c:pt idx="5">
                        <c:v>66915</c:v>
                      </c:pt>
                      <c:pt idx="6">
                        <c:v>89710</c:v>
                      </c:pt>
                      <c:pt idx="7">
                        <c:v>94679</c:v>
                      </c:pt>
                      <c:pt idx="8">
                        <c:v>69442</c:v>
                      </c:pt>
                      <c:pt idx="9">
                        <c:v>71399</c:v>
                      </c:pt>
                      <c:pt idx="10">
                        <c:v>77394</c:v>
                      </c:pt>
                      <c:pt idx="11">
                        <c:v>75112</c:v>
                      </c:pt>
                    </c:numCache>
                  </c:numRef>
                </c:val>
                <c:smooth val="0"/>
                <c:extLst xmlns:c15="http://schemas.microsoft.com/office/drawing/2012/chart">
                  <c:ext xmlns:c16="http://schemas.microsoft.com/office/drawing/2014/chart" uri="{C3380CC4-5D6E-409C-BE32-E72D297353CC}">
                    <c16:uniqueId val="{00000008-E20B-4F44-825E-004BA7A65194}"/>
                  </c:ext>
                </c:extLst>
              </c15:ser>
            </c15:filteredLineSeries>
            <c15:filteredLineSeries>
              <c15:ser>
                <c:idx val="6"/>
                <c:order val="11"/>
                <c:tx>
                  <c:strRef>
                    <c:extLst xmlns:c15="http://schemas.microsoft.com/office/drawing/2012/chart">
                      <c:ext xmlns:c15="http://schemas.microsoft.com/office/drawing/2012/chart" uri="{02D57815-91ED-43cb-92C2-25804820EDAC}">
                        <c15:formulaRef>
                          <c15:sqref>'Datos Aeropuerto AMS'!$A$89:$P$89</c15:sqref>
                        </c15:formulaRef>
                      </c:ext>
                    </c:extLst>
                    <c:strCache>
                      <c:ptCount val="16"/>
                      <c:pt idx="0">
                        <c:v>ARRIVING 2010</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AMS'!$C$91:$N$91</c15:sqref>
                        </c15:formulaRef>
                      </c:ext>
                    </c:extLst>
                    <c:numCache>
                      <c:formatCode>#,##0</c:formatCode>
                      <c:ptCount val="12"/>
                      <c:pt idx="0">
                        <c:v>65079</c:v>
                      </c:pt>
                      <c:pt idx="1">
                        <c:v>62108</c:v>
                      </c:pt>
                      <c:pt idx="2">
                        <c:v>66089</c:v>
                      </c:pt>
                      <c:pt idx="3">
                        <c:v>62771</c:v>
                      </c:pt>
                      <c:pt idx="4">
                        <c:v>71474</c:v>
                      </c:pt>
                      <c:pt idx="5">
                        <c:v>78533</c:v>
                      </c:pt>
                      <c:pt idx="6">
                        <c:v>84735</c:v>
                      </c:pt>
                      <c:pt idx="7">
                        <c:v>92136</c:v>
                      </c:pt>
                      <c:pt idx="8">
                        <c:v>67798</c:v>
                      </c:pt>
                      <c:pt idx="9">
                        <c:v>67779</c:v>
                      </c:pt>
                      <c:pt idx="10">
                        <c:v>72879</c:v>
                      </c:pt>
                      <c:pt idx="11">
                        <c:v>74089</c:v>
                      </c:pt>
                    </c:numCache>
                  </c:numRef>
                </c:val>
                <c:smooth val="0"/>
                <c:extLst xmlns:c15="http://schemas.microsoft.com/office/drawing/2012/chart">
                  <c:ext xmlns:c16="http://schemas.microsoft.com/office/drawing/2014/chart" uri="{C3380CC4-5D6E-409C-BE32-E72D297353CC}">
                    <c16:uniqueId val="{00000009-E20B-4F44-825E-004BA7A65194}"/>
                  </c:ext>
                </c:extLst>
              </c15:ser>
            </c15:filteredLineSeries>
            <c15:filteredLineSeries>
              <c15:ser>
                <c:idx val="7"/>
                <c:order val="12"/>
                <c:tx>
                  <c:strRef>
                    <c:extLst xmlns:c15="http://schemas.microsoft.com/office/drawing/2012/chart">
                      <c:ext xmlns:c15="http://schemas.microsoft.com/office/drawing/2012/chart" uri="{02D57815-91ED-43cb-92C2-25804820EDAC}">
                        <c15:formulaRef>
                          <c15:sqref>'Datos Aeropuerto AMS'!$A$76:$P$76</c15:sqref>
                        </c15:formulaRef>
                      </c:ext>
                    </c:extLst>
                    <c:strCache>
                      <c:ptCount val="16"/>
                      <c:pt idx="0">
                        <c:v>ARRIVING 2009</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AMS'!$C$78:$N$78</c15:sqref>
                        </c15:formulaRef>
                      </c:ext>
                    </c:extLst>
                    <c:numCache>
                      <c:formatCode>#,##0</c:formatCode>
                      <c:ptCount val="12"/>
                      <c:pt idx="0">
                        <c:v>61667</c:v>
                      </c:pt>
                      <c:pt idx="1">
                        <c:v>57923</c:v>
                      </c:pt>
                      <c:pt idx="2">
                        <c:v>56039</c:v>
                      </c:pt>
                      <c:pt idx="3">
                        <c:v>61932</c:v>
                      </c:pt>
                      <c:pt idx="4">
                        <c:v>61906</c:v>
                      </c:pt>
                      <c:pt idx="5">
                        <c:v>76440</c:v>
                      </c:pt>
                      <c:pt idx="6">
                        <c:v>82609</c:v>
                      </c:pt>
                      <c:pt idx="7">
                        <c:v>84240</c:v>
                      </c:pt>
                      <c:pt idx="8">
                        <c:v>64530</c:v>
                      </c:pt>
                      <c:pt idx="9">
                        <c:v>65378</c:v>
                      </c:pt>
                      <c:pt idx="10">
                        <c:v>70283</c:v>
                      </c:pt>
                      <c:pt idx="11">
                        <c:v>75928</c:v>
                      </c:pt>
                    </c:numCache>
                  </c:numRef>
                </c:val>
                <c:smooth val="0"/>
                <c:extLst xmlns:c15="http://schemas.microsoft.com/office/drawing/2012/chart">
                  <c:ext xmlns:c16="http://schemas.microsoft.com/office/drawing/2014/chart" uri="{C3380CC4-5D6E-409C-BE32-E72D297353CC}">
                    <c16:uniqueId val="{0000000A-E20B-4F44-825E-004BA7A65194}"/>
                  </c:ext>
                </c:extLst>
              </c15:ser>
            </c15:filteredLineSeries>
            <c15:filteredLineSeries>
              <c15:ser>
                <c:idx val="8"/>
                <c:order val="13"/>
                <c:tx>
                  <c:strRef>
                    <c:extLst xmlns:c15="http://schemas.microsoft.com/office/drawing/2012/chart">
                      <c:ext xmlns:c15="http://schemas.microsoft.com/office/drawing/2012/chart" uri="{02D57815-91ED-43cb-92C2-25804820EDAC}">
                        <c15:formulaRef>
                          <c15:sqref>'Datos Aeropuerto AMS'!$A$63:$P$63</c15:sqref>
                        </c15:formulaRef>
                      </c:ext>
                    </c:extLst>
                    <c:strCache>
                      <c:ptCount val="16"/>
                      <c:pt idx="0">
                        <c:v>ARRIVING 2008</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AMS'!$C$65:$N$65</c15:sqref>
                        </c15:formulaRef>
                      </c:ext>
                    </c:extLst>
                    <c:numCache>
                      <c:formatCode>#,##0</c:formatCode>
                      <c:ptCount val="12"/>
                      <c:pt idx="0">
                        <c:v>62469</c:v>
                      </c:pt>
                      <c:pt idx="1">
                        <c:v>54323</c:v>
                      </c:pt>
                      <c:pt idx="2">
                        <c:v>61086</c:v>
                      </c:pt>
                      <c:pt idx="3">
                        <c:v>52334</c:v>
                      </c:pt>
                      <c:pt idx="4">
                        <c:v>62621</c:v>
                      </c:pt>
                      <c:pt idx="5">
                        <c:v>75597</c:v>
                      </c:pt>
                      <c:pt idx="6">
                        <c:v>81495</c:v>
                      </c:pt>
                      <c:pt idx="7">
                        <c:v>84394</c:v>
                      </c:pt>
                      <c:pt idx="8">
                        <c:v>60652</c:v>
                      </c:pt>
                      <c:pt idx="9">
                        <c:v>63218</c:v>
                      </c:pt>
                      <c:pt idx="10">
                        <c:v>64764</c:v>
                      </c:pt>
                      <c:pt idx="11">
                        <c:v>68997</c:v>
                      </c:pt>
                    </c:numCache>
                  </c:numRef>
                </c:val>
                <c:smooth val="0"/>
                <c:extLst xmlns:c15="http://schemas.microsoft.com/office/drawing/2012/chart">
                  <c:ext xmlns:c16="http://schemas.microsoft.com/office/drawing/2014/chart" uri="{C3380CC4-5D6E-409C-BE32-E72D297353CC}">
                    <c16:uniqueId val="{0000000B-E20B-4F44-825E-004BA7A65194}"/>
                  </c:ext>
                </c:extLst>
              </c15:ser>
            </c15:filteredLineSeries>
            <c15:filteredLineSeries>
              <c15:ser>
                <c:idx val="9"/>
                <c:order val="14"/>
                <c:tx>
                  <c:strRef>
                    <c:extLst xmlns:c15="http://schemas.microsoft.com/office/drawing/2012/chart">
                      <c:ext xmlns:c15="http://schemas.microsoft.com/office/drawing/2012/chart" uri="{02D57815-91ED-43cb-92C2-25804820EDAC}">
                        <c15:formulaRef>
                          <c15:sqref>'Datos Aeropuerto AMS'!$A$51:$P$51</c15:sqref>
                        </c15:formulaRef>
                      </c:ext>
                    </c:extLst>
                    <c:strCache>
                      <c:ptCount val="16"/>
                      <c:pt idx="0">
                        <c:v>ARRIVING 2007</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AMS'!$C$53:$N$53</c15:sqref>
                        </c15:formulaRef>
                      </c:ext>
                    </c:extLst>
                    <c:numCache>
                      <c:formatCode>#,##0</c:formatCode>
                      <c:ptCount val="12"/>
                      <c:pt idx="0">
                        <c:v>58736</c:v>
                      </c:pt>
                      <c:pt idx="1">
                        <c:v>54429</c:v>
                      </c:pt>
                      <c:pt idx="2">
                        <c:v>59653</c:v>
                      </c:pt>
                      <c:pt idx="3">
                        <c:v>55032</c:v>
                      </c:pt>
                      <c:pt idx="4">
                        <c:v>59919</c:v>
                      </c:pt>
                      <c:pt idx="5">
                        <c:v>74358</c:v>
                      </c:pt>
                      <c:pt idx="6">
                        <c:v>82846</c:v>
                      </c:pt>
                      <c:pt idx="7">
                        <c:v>83387</c:v>
                      </c:pt>
                      <c:pt idx="8">
                        <c:v>61050</c:v>
                      </c:pt>
                      <c:pt idx="9">
                        <c:v>60695</c:v>
                      </c:pt>
                      <c:pt idx="10">
                        <c:v>59071</c:v>
                      </c:pt>
                      <c:pt idx="11">
                        <c:v>66318</c:v>
                      </c:pt>
                    </c:numCache>
                  </c:numRef>
                </c:val>
                <c:smooth val="0"/>
                <c:extLst xmlns:c15="http://schemas.microsoft.com/office/drawing/2012/chart">
                  <c:ext xmlns:c16="http://schemas.microsoft.com/office/drawing/2014/chart" uri="{C3380CC4-5D6E-409C-BE32-E72D297353CC}">
                    <c16:uniqueId val="{0000000C-E20B-4F44-825E-004BA7A65194}"/>
                  </c:ext>
                </c:extLst>
              </c15:ser>
            </c15:filteredLineSeries>
            <c15:filteredLineSeries>
              <c15:ser>
                <c:idx val="10"/>
                <c:order val="15"/>
                <c:tx>
                  <c:strRef>
                    <c:extLst xmlns:c15="http://schemas.microsoft.com/office/drawing/2012/chart">
                      <c:ext xmlns:c15="http://schemas.microsoft.com/office/drawing/2012/chart" uri="{02D57815-91ED-43cb-92C2-25804820EDAC}">
                        <c15:formulaRef>
                          <c15:sqref>'Datos Aeropuerto AMS'!$A$38:$P$38</c15:sqref>
                        </c15:formulaRef>
                      </c:ext>
                    </c:extLst>
                    <c:strCache>
                      <c:ptCount val="16"/>
                      <c:pt idx="0">
                        <c:v>ARRIVING 2006</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AMS'!$C$40:$N$40</c15:sqref>
                        </c15:formulaRef>
                      </c:ext>
                    </c:extLst>
                    <c:numCache>
                      <c:formatCode>#,##0</c:formatCode>
                      <c:ptCount val="12"/>
                      <c:pt idx="0">
                        <c:v>52660</c:v>
                      </c:pt>
                      <c:pt idx="1">
                        <c:v>49163</c:v>
                      </c:pt>
                      <c:pt idx="2">
                        <c:v>48980</c:v>
                      </c:pt>
                      <c:pt idx="3">
                        <c:v>47900</c:v>
                      </c:pt>
                      <c:pt idx="4">
                        <c:v>48075</c:v>
                      </c:pt>
                      <c:pt idx="5">
                        <c:v>59405</c:v>
                      </c:pt>
                      <c:pt idx="6">
                        <c:v>73357</c:v>
                      </c:pt>
                      <c:pt idx="7">
                        <c:v>70796</c:v>
                      </c:pt>
                      <c:pt idx="8">
                        <c:v>54319</c:v>
                      </c:pt>
                      <c:pt idx="9">
                        <c:v>53907</c:v>
                      </c:pt>
                      <c:pt idx="10">
                        <c:v>57723</c:v>
                      </c:pt>
                      <c:pt idx="11">
                        <c:v>63593</c:v>
                      </c:pt>
                    </c:numCache>
                  </c:numRef>
                </c:val>
                <c:smooth val="0"/>
                <c:extLst xmlns:c15="http://schemas.microsoft.com/office/drawing/2012/chart">
                  <c:ext xmlns:c16="http://schemas.microsoft.com/office/drawing/2014/chart" uri="{C3380CC4-5D6E-409C-BE32-E72D297353CC}">
                    <c16:uniqueId val="{0000000D-E20B-4F44-825E-004BA7A65194}"/>
                  </c:ext>
                </c:extLst>
              </c15:ser>
            </c15:filteredLineSeries>
            <c15:filteredLineSeries>
              <c15:ser>
                <c:idx val="11"/>
                <c:order val="16"/>
                <c:tx>
                  <c:strRef>
                    <c:extLst xmlns:c15="http://schemas.microsoft.com/office/drawing/2012/chart">
                      <c:ext xmlns:c15="http://schemas.microsoft.com/office/drawing/2012/chart" uri="{02D57815-91ED-43cb-92C2-25804820EDAC}">
                        <c15:formulaRef>
                          <c15:sqref>'Datos Aeropuerto AMS'!$A$25:$P$25</c15:sqref>
                        </c15:formulaRef>
                      </c:ext>
                    </c:extLst>
                    <c:strCache>
                      <c:ptCount val="16"/>
                      <c:pt idx="0">
                        <c:v>ARRIVING 2005</c:v>
                      </c:pt>
                    </c:strCache>
                  </c:strRef>
                </c:tx>
                <c:spPr>
                  <a:ln w="28575"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AMS'!$C$27:$N$27</c15:sqref>
                        </c15:formulaRef>
                      </c:ext>
                    </c:extLst>
                    <c:numCache>
                      <c:formatCode>#,##0</c:formatCode>
                      <c:ptCount val="12"/>
                      <c:pt idx="0">
                        <c:v>52047</c:v>
                      </c:pt>
                      <c:pt idx="1">
                        <c:v>44054</c:v>
                      </c:pt>
                      <c:pt idx="2" formatCode="_ * #,##0_ ;_ * \-#,##0_ ;_ * &quot;-&quot;??_ ;_ @_ ">
                        <c:v>49971</c:v>
                      </c:pt>
                      <c:pt idx="3" formatCode="_ * #,##0_ ;_ * \-#,##0_ ;_ * &quot;-&quot;??_ ;_ @_ ">
                        <c:v>42806</c:v>
                      </c:pt>
                      <c:pt idx="4" formatCode="_ * #,##0_ ;_ * \-#,##0_ ;_ * &quot;-&quot;??_ ;_ @_ ">
                        <c:v>48804</c:v>
                      </c:pt>
                      <c:pt idx="5">
                        <c:v>55764</c:v>
                      </c:pt>
                      <c:pt idx="6" formatCode="_ * #,##0_ ;_ * \-#,##0_ ;_ * &quot;-&quot;??_ ;_ @_ ">
                        <c:v>68782</c:v>
                      </c:pt>
                      <c:pt idx="7" formatCode="_ * #,##0_ ;_ * \-#,##0_ ;_ * &quot;-&quot;??_ ;_ @_ ">
                        <c:v>66182</c:v>
                      </c:pt>
                      <c:pt idx="8" formatCode="_ * #,##0_ ;_ * \-#,##0_ ;_ * &quot;-&quot;??_ ;_ @_ ">
                        <c:v>50982</c:v>
                      </c:pt>
                      <c:pt idx="9" formatCode="_ * #,##0_ ;_ * \-#,##0_ ;_ * &quot;-&quot;??_ ;_ @_ ">
                        <c:v>49833</c:v>
                      </c:pt>
                      <c:pt idx="10">
                        <c:v>50552</c:v>
                      </c:pt>
                      <c:pt idx="11" formatCode="0">
                        <c:v>57796</c:v>
                      </c:pt>
                    </c:numCache>
                  </c:numRef>
                </c:val>
                <c:smooth val="0"/>
                <c:extLst xmlns:c15="http://schemas.microsoft.com/office/drawing/2012/chart">
                  <c:ext xmlns:c16="http://schemas.microsoft.com/office/drawing/2014/chart" uri="{C3380CC4-5D6E-409C-BE32-E72D297353CC}">
                    <c16:uniqueId val="{0000000E-E20B-4F44-825E-004BA7A65194}"/>
                  </c:ext>
                </c:extLst>
              </c15:ser>
            </c15:filteredLineSeries>
            <c15:filteredLineSeries>
              <c15:ser>
                <c:idx val="12"/>
                <c:order val="17"/>
                <c:tx>
                  <c:strRef>
                    <c:extLst xmlns:c15="http://schemas.microsoft.com/office/drawing/2012/chart">
                      <c:ext xmlns:c15="http://schemas.microsoft.com/office/drawing/2012/chart" uri="{02D57815-91ED-43cb-92C2-25804820EDAC}">
                        <c15:formulaRef>
                          <c15:sqref>'Datos Aeropuerto AMS'!$A$13:$P$13</c15:sqref>
                        </c15:formulaRef>
                      </c:ext>
                    </c:extLst>
                    <c:strCache>
                      <c:ptCount val="16"/>
                      <c:pt idx="0">
                        <c:v>ARRIVING 2004</c:v>
                      </c:pt>
                    </c:strCache>
                  </c:strRef>
                </c:tx>
                <c:spPr>
                  <a:ln w="28575"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AMS'!$C$15:$N$15</c15:sqref>
                        </c15:formulaRef>
                      </c:ext>
                    </c:extLst>
                    <c:numCache>
                      <c:formatCode>#,##0</c:formatCode>
                      <c:ptCount val="12"/>
                      <c:pt idx="0">
                        <c:v>44030</c:v>
                      </c:pt>
                      <c:pt idx="1">
                        <c:v>42916</c:v>
                      </c:pt>
                      <c:pt idx="2">
                        <c:v>40846</c:v>
                      </c:pt>
                      <c:pt idx="3">
                        <c:v>42171</c:v>
                      </c:pt>
                      <c:pt idx="4">
                        <c:v>43648</c:v>
                      </c:pt>
                      <c:pt idx="5">
                        <c:v>50463</c:v>
                      </c:pt>
                      <c:pt idx="6">
                        <c:v>59620</c:v>
                      </c:pt>
                      <c:pt idx="7">
                        <c:v>57655</c:v>
                      </c:pt>
                      <c:pt idx="8">
                        <c:v>45429</c:v>
                      </c:pt>
                      <c:pt idx="9">
                        <c:v>49131</c:v>
                      </c:pt>
                      <c:pt idx="10">
                        <c:v>51077</c:v>
                      </c:pt>
                      <c:pt idx="11">
                        <c:v>54773</c:v>
                      </c:pt>
                    </c:numCache>
                  </c:numRef>
                </c:val>
                <c:smooth val="0"/>
                <c:extLst xmlns:c15="http://schemas.microsoft.com/office/drawing/2012/chart">
                  <c:ext xmlns:c16="http://schemas.microsoft.com/office/drawing/2014/chart" uri="{C3380CC4-5D6E-409C-BE32-E72D297353CC}">
                    <c16:uniqueId val="{0000000F-E20B-4F44-825E-004BA7A65194}"/>
                  </c:ext>
                </c:extLst>
              </c15:ser>
            </c15:filteredLineSeries>
            <c15:filteredLineSeries>
              <c15:ser>
                <c:idx val="13"/>
                <c:order val="18"/>
                <c:tx>
                  <c:strRef>
                    <c:extLst xmlns:c15="http://schemas.microsoft.com/office/drawing/2012/chart">
                      <c:ext xmlns:c15="http://schemas.microsoft.com/office/drawing/2012/chart" uri="{02D57815-91ED-43cb-92C2-25804820EDAC}">
                        <c15:formulaRef>
                          <c15:sqref>'Datos Aeropuerto AMS'!$A$5:$P$5</c15:sqref>
                        </c15:formulaRef>
                      </c:ext>
                    </c:extLst>
                    <c:strCache>
                      <c:ptCount val="16"/>
                      <c:pt idx="0">
                        <c:v>ARRIVING 2003</c:v>
                      </c:pt>
                    </c:strCache>
                  </c:strRef>
                </c:tx>
                <c:spPr>
                  <a:ln w="28575"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AMS'!$C$7:$N$7</c15:sqref>
                        </c15:formulaRef>
                      </c:ext>
                    </c:extLst>
                    <c:numCache>
                      <c:formatCode>_ * #,##0_ ;_ * \-#,##0_ ;_ * "-"??_ ;_ @_ </c:formatCode>
                      <c:ptCount val="12"/>
                      <c:pt idx="0">
                        <c:v>42966</c:v>
                      </c:pt>
                      <c:pt idx="1">
                        <c:v>35606</c:v>
                      </c:pt>
                      <c:pt idx="2">
                        <c:v>39609</c:v>
                      </c:pt>
                      <c:pt idx="3">
                        <c:v>37827</c:v>
                      </c:pt>
                      <c:pt idx="4">
                        <c:v>41260</c:v>
                      </c:pt>
                      <c:pt idx="5">
                        <c:v>49918</c:v>
                      </c:pt>
                      <c:pt idx="6">
                        <c:v>56513</c:v>
                      </c:pt>
                      <c:pt idx="7">
                        <c:v>57298</c:v>
                      </c:pt>
                      <c:pt idx="8">
                        <c:v>46421</c:v>
                      </c:pt>
                      <c:pt idx="9">
                        <c:v>40766</c:v>
                      </c:pt>
                      <c:pt idx="10">
                        <c:v>45811</c:v>
                      </c:pt>
                      <c:pt idx="11">
                        <c:v>48300</c:v>
                      </c:pt>
                    </c:numCache>
                  </c:numRef>
                </c:val>
                <c:smooth val="0"/>
                <c:extLst xmlns:c15="http://schemas.microsoft.com/office/drawing/2012/chart">
                  <c:ext xmlns:c16="http://schemas.microsoft.com/office/drawing/2014/chart" uri="{C3380CC4-5D6E-409C-BE32-E72D297353CC}">
                    <c16:uniqueId val="{00000010-E20B-4F44-825E-004BA7A65194}"/>
                  </c:ext>
                </c:extLst>
              </c15:ser>
            </c15:filteredLineSeries>
          </c:ext>
        </c:extLst>
      </c:lineChart>
      <c:catAx>
        <c:axId val="-957749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752128"/>
        <c:crosses val="autoZero"/>
        <c:auto val="1"/>
        <c:lblAlgn val="ctr"/>
        <c:lblOffset val="100"/>
        <c:noMultiLvlLbl val="0"/>
      </c:catAx>
      <c:valAx>
        <c:axId val="-957752128"/>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749408"/>
        <c:crosses val="autoZero"/>
        <c:crossBetween val="between"/>
        <c:majorUnit val="10000"/>
        <c:minorUnit val="10000"/>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'Datos Aeropuerto AMS'!$A$243</c:f>
          <c:strCache>
            <c:ptCount val="1"/>
            <c:pt idx="0">
              <c:v>DOMESTICO</c:v>
            </c:pt>
          </c:strCache>
        </c:strRef>
      </c:tx>
      <c:overlay val="0"/>
      <c:spPr>
        <a:noFill/>
        <a:ln>
          <a:noFill/>
        </a:ln>
        <a:effectLst/>
      </c:spPr>
      <c:txPr>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5.0601972535003092E-2"/>
          <c:y val="0.18243110236220472"/>
          <c:w val="0.8379076975446329"/>
          <c:h val="0.7187645815106446"/>
        </c:manualLayout>
      </c:layout>
      <c:lineChart>
        <c:grouping val="standard"/>
        <c:varyColors val="0"/>
        <c:ser>
          <c:idx val="18"/>
          <c:order val="0"/>
          <c:tx>
            <c:strRef>
              <c:f>'Datos Aeropuerto AMS'!$A$221:$O$221</c:f>
              <c:strCache>
                <c:ptCount val="15"/>
                <c:pt idx="0">
                  <c:v>ARRIVING 2021</c:v>
                </c:pt>
              </c:strCache>
            </c:strRef>
          </c:tx>
          <c:spPr>
            <a:ln w="76200" cap="rnd">
              <a:solidFill>
                <a:schemeClr val="accent1">
                  <a:lumMod val="80000"/>
                </a:schemeClr>
              </a:solidFill>
              <a:round/>
            </a:ln>
            <a:effectLst/>
          </c:spPr>
          <c:marker>
            <c:symbol val="diamond"/>
            <c:size val="6"/>
            <c:spPr>
              <a:solidFill>
                <a:schemeClr val="accent1">
                  <a:lumMod val="80000"/>
                </a:schemeClr>
              </a:solidFill>
              <a:ln w="76200">
                <a:solidFill>
                  <a:schemeClr val="accent1">
                    <a:lumMod val="80000"/>
                  </a:schemeClr>
                </a:solidFill>
                <a:round/>
              </a:ln>
              <a:effectLst/>
            </c:spPr>
          </c:marker>
          <c:dLbls>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val>
            <c:numRef>
              <c:f>'Datos Aeropuerto AMS'!$C$225:$N$225</c:f>
              <c:numCache>
                <c:formatCode>#,##0</c:formatCode>
                <c:ptCount val="12"/>
                <c:pt idx="0">
                  <c:v>25394</c:v>
                </c:pt>
                <c:pt idx="1">
                  <c:v>25977</c:v>
                </c:pt>
                <c:pt idx="2">
                  <c:v>34073</c:v>
                </c:pt>
                <c:pt idx="3">
                  <c:v>28775</c:v>
                </c:pt>
                <c:pt idx="4">
                  <c:v>31366</c:v>
                </c:pt>
                <c:pt idx="5">
                  <c:v>40399</c:v>
                </c:pt>
                <c:pt idx="6">
                  <c:v>52584</c:v>
                </c:pt>
                <c:pt idx="7">
                  <c:v>60152</c:v>
                </c:pt>
                <c:pt idx="8">
                  <c:v>60130</c:v>
                </c:pt>
                <c:pt idx="9">
                  <c:v>68918</c:v>
                </c:pt>
                <c:pt idx="10">
                  <c:v>68353</c:v>
                </c:pt>
                <c:pt idx="11">
                  <c:v>80496</c:v>
                </c:pt>
              </c:numCache>
            </c:numRef>
          </c:val>
          <c:smooth val="0"/>
          <c:extLst>
            <c:ext xmlns:c16="http://schemas.microsoft.com/office/drawing/2014/chart" uri="{C3380CC4-5D6E-409C-BE32-E72D297353CC}">
              <c16:uniqueId val="{00000000-C740-408F-A2FD-E9E133E8F56A}"/>
            </c:ext>
          </c:extLst>
        </c:ser>
        <c:ser>
          <c:idx val="17"/>
          <c:order val="1"/>
          <c:tx>
            <c:strRef>
              <c:f>'Datos Aeropuerto AMS'!$A$209:$O$209</c:f>
              <c:strCache>
                <c:ptCount val="15"/>
                <c:pt idx="0">
                  <c:v>ARRIVING 2020</c:v>
                </c:pt>
              </c:strCache>
            </c:strRef>
          </c:tx>
          <c:spPr>
            <a:ln w="22225" cap="rnd">
              <a:solidFill>
                <a:schemeClr val="accent6">
                  <a:lumMod val="80000"/>
                  <a:lumOff val="20000"/>
                </a:schemeClr>
              </a:solidFill>
              <a:round/>
            </a:ln>
            <a:effectLst/>
          </c:spPr>
          <c:marker>
            <c:symbol val="dash"/>
            <c:size val="6"/>
            <c:spPr>
              <a:solidFill>
                <a:schemeClr val="accent6">
                  <a:lumMod val="80000"/>
                  <a:lumOff val="20000"/>
                </a:schemeClr>
              </a:solidFill>
              <a:ln w="9525">
                <a:solidFill>
                  <a:schemeClr val="accent6">
                    <a:lumMod val="80000"/>
                    <a:lumOff val="20000"/>
                  </a:schemeClr>
                </a:solidFill>
                <a:round/>
              </a:ln>
              <a:effectLst/>
            </c:spPr>
          </c:marker>
          <c:dLbls>
            <c:spPr>
              <a:solidFill>
                <a:schemeClr val="lt1"/>
              </a:solidFill>
              <a:ln w="25400" cap="flat" cmpd="sng" algn="ctr">
                <a:solidFill>
                  <a:schemeClr val="accent6"/>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'Datos Aeropuerto AMS'!$C$210:$N$210</c:f>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f>'Datos Aeropuerto AMS'!$C$213:$N$213</c:f>
              <c:numCache>
                <c:formatCode>#,##0</c:formatCode>
                <c:ptCount val="12"/>
                <c:pt idx="0">
                  <c:v>109314</c:v>
                </c:pt>
                <c:pt idx="1">
                  <c:v>106949</c:v>
                </c:pt>
                <c:pt idx="2">
                  <c:v>50067</c:v>
                </c:pt>
                <c:pt idx="3">
                  <c:v>1133</c:v>
                </c:pt>
                <c:pt idx="4">
                  <c:v>2062</c:v>
                </c:pt>
                <c:pt idx="5">
                  <c:v>5984</c:v>
                </c:pt>
                <c:pt idx="6">
                  <c:v>10005</c:v>
                </c:pt>
                <c:pt idx="7">
                  <c:v>11008</c:v>
                </c:pt>
                <c:pt idx="8">
                  <c:v>17066</c:v>
                </c:pt>
                <c:pt idx="9">
                  <c:v>26468</c:v>
                </c:pt>
                <c:pt idx="10">
                  <c:v>27481</c:v>
                </c:pt>
                <c:pt idx="11">
                  <c:v>36220</c:v>
                </c:pt>
              </c:numCache>
            </c:numRef>
          </c:val>
          <c:smooth val="0"/>
          <c:extLst>
            <c:ext xmlns:c16="http://schemas.microsoft.com/office/drawing/2014/chart" uri="{C3380CC4-5D6E-409C-BE32-E72D297353CC}">
              <c16:uniqueId val="{00000000-8FDE-4479-AA9B-FF751F225B8D}"/>
            </c:ext>
          </c:extLst>
        </c:ser>
        <c:ser>
          <c:idx val="16"/>
          <c:order val="2"/>
          <c:tx>
            <c:strRef>
              <c:f>'Datos Aeropuerto AMS'!$A$197:$O$197</c:f>
              <c:strCache>
                <c:ptCount val="15"/>
                <c:pt idx="0">
                  <c:v>ARRIVING 2019</c:v>
                </c:pt>
              </c:strCache>
            </c:strRef>
          </c:tx>
          <c:spPr>
            <a:ln w="22225" cap="rnd">
              <a:solidFill>
                <a:schemeClr val="accent5">
                  <a:lumMod val="80000"/>
                  <a:lumOff val="20000"/>
                </a:schemeClr>
              </a:solidFill>
              <a:round/>
            </a:ln>
            <a:effectLst/>
          </c:spPr>
          <c:marker>
            <c:symbol val="dot"/>
            <c:size val="6"/>
            <c:spPr>
              <a:solidFill>
                <a:schemeClr val="accent5">
                  <a:lumMod val="80000"/>
                  <a:lumOff val="20000"/>
                </a:schemeClr>
              </a:solidFill>
              <a:ln w="9525">
                <a:solidFill>
                  <a:schemeClr val="accent5">
                    <a:lumMod val="80000"/>
                    <a:lumOff val="20000"/>
                  </a:schemeClr>
                </a:solidFill>
                <a:round/>
              </a:ln>
              <a:effectLst/>
            </c:spPr>
          </c:marker>
          <c:dLbls>
            <c:dLbl>
              <c:idx val="0"/>
              <c:layout>
                <c:manualLayout>
                  <c:x val="-3.4075295410827149E-2"/>
                  <c:y val="-4.6756239600991559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1F6-4856-938D-56BC6454AB05}"/>
                </c:ext>
              </c:extLst>
            </c:dLbl>
            <c:dLbl>
              <c:idx val="1"/>
              <c:layout>
                <c:manualLayout>
                  <c:x val="-3.2976092333058733E-3"/>
                  <c:y val="-4.590665646518740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1F6-4856-938D-56BC6454AB05}"/>
                </c:ext>
              </c:extLst>
            </c:dLbl>
            <c:dLbl>
              <c:idx val="2"/>
              <c:layout>
                <c:manualLayout>
                  <c:x val="-3.2976092333058533E-3"/>
                  <c:y val="8.161183371588880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32E-4A96-9207-CFC2334AC2D8}"/>
                </c:ext>
              </c:extLst>
            </c:dLbl>
            <c:dLbl>
              <c:idx val="6"/>
              <c:layout>
                <c:manualLayout>
                  <c:x val="-1.0992030777686177E-3"/>
                  <c:y val="-9.181331293037492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DDC-4B23-9772-D43873D2C7DF}"/>
                </c:ext>
              </c:extLst>
            </c:dLbl>
            <c:spPr>
              <a:gradFill rotWithShape="1">
                <a:gsLst>
                  <a:gs pos="0">
                    <a:schemeClr val="accent5">
                      <a:tint val="50000"/>
                      <a:satMod val="300000"/>
                    </a:schemeClr>
                  </a:gs>
                  <a:gs pos="35000">
                    <a:schemeClr val="accent5">
                      <a:tint val="37000"/>
                      <a:satMod val="300000"/>
                    </a:schemeClr>
                  </a:gs>
                  <a:gs pos="100000">
                    <a:schemeClr val="accent5">
                      <a:tint val="15000"/>
                      <a:satMod val="350000"/>
                    </a:schemeClr>
                  </a:gs>
                </a:gsLst>
                <a:lin ang="16200000" scaled="1"/>
              </a:gradFill>
              <a:ln w="9525" cap="flat" cmpd="sng" algn="ctr">
                <a:solidFill>
                  <a:schemeClr val="accent5">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'Datos Aeropuerto AMS'!$C$210:$N$210</c:f>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f>'Datos Aeropuerto AMS'!$C$201:$N$201</c:f>
              <c:numCache>
                <c:formatCode>#,##0</c:formatCode>
                <c:ptCount val="12"/>
                <c:pt idx="0">
                  <c:v>117380</c:v>
                </c:pt>
                <c:pt idx="1">
                  <c:v>104892</c:v>
                </c:pt>
                <c:pt idx="2">
                  <c:v>115676</c:v>
                </c:pt>
                <c:pt idx="3">
                  <c:v>110792</c:v>
                </c:pt>
                <c:pt idx="4">
                  <c:v>110262</c:v>
                </c:pt>
                <c:pt idx="5">
                  <c:v>109741</c:v>
                </c:pt>
                <c:pt idx="6">
                  <c:v>117354</c:v>
                </c:pt>
                <c:pt idx="7">
                  <c:v>120253</c:v>
                </c:pt>
                <c:pt idx="8">
                  <c:v>104782</c:v>
                </c:pt>
                <c:pt idx="9">
                  <c:v>97917</c:v>
                </c:pt>
                <c:pt idx="10">
                  <c:v>108502</c:v>
                </c:pt>
                <c:pt idx="11">
                  <c:v>104324</c:v>
                </c:pt>
              </c:numCache>
            </c:numRef>
          </c:val>
          <c:smooth val="0"/>
          <c:extLst>
            <c:ext xmlns:c16="http://schemas.microsoft.com/office/drawing/2014/chart" uri="{C3380CC4-5D6E-409C-BE32-E72D297353CC}">
              <c16:uniqueId val="{00000000-91F6-4856-938D-56BC6454AB05}"/>
            </c:ext>
          </c:extLst>
        </c:ser>
        <c:ser>
          <c:idx val="15"/>
          <c:order val="3"/>
          <c:tx>
            <c:strRef>
              <c:f>'Datos Aeropuerto AMS'!$A$185:$O$185</c:f>
              <c:strCache>
                <c:ptCount val="15"/>
                <c:pt idx="0">
                  <c:v>ARRIVING 2018</c:v>
                </c:pt>
              </c:strCache>
            </c:strRef>
          </c:tx>
          <c:spPr>
            <a:ln w="22225" cap="rnd">
              <a:solidFill>
                <a:schemeClr val="accent4">
                  <a:lumMod val="80000"/>
                  <a:lumOff val="20000"/>
                </a:schemeClr>
              </a:solidFill>
              <a:round/>
            </a:ln>
            <a:effectLst/>
          </c:spPr>
          <c:marker>
            <c:symbol val="plus"/>
            <c:size val="6"/>
            <c:spPr>
              <a:noFill/>
              <a:ln w="9525">
                <a:solidFill>
                  <a:schemeClr val="accent4">
                    <a:lumMod val="80000"/>
                    <a:lumOff val="20000"/>
                  </a:schemeClr>
                </a:solidFill>
                <a:round/>
              </a:ln>
              <a:effectLst/>
            </c:spPr>
          </c:marker>
          <c:dLbls>
            <c:dLbl>
              <c:idx val="0"/>
              <c:layout>
                <c:manualLayout>
                  <c:x val="-2.4182467710909591E-2"/>
                  <c:y val="8.16118337158887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1F6-4856-938D-56BC6454AB05}"/>
                </c:ext>
              </c:extLst>
            </c:dLbl>
            <c:dLbl>
              <c:idx val="1"/>
              <c:layout>
                <c:manualLayout>
                  <c:x val="-4.0303647260343588E-17"/>
                  <c:y val="5.100739607242956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91F6-4856-938D-56BC6454AB05}"/>
                </c:ext>
              </c:extLst>
            </c:dLbl>
            <c:dLbl>
              <c:idx val="2"/>
              <c:layout>
                <c:manualLayout>
                  <c:x val="-2.1984061555372354E-3"/>
                  <c:y val="4.59066564651874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91F6-4856-938D-56BC6454AB05}"/>
                </c:ext>
              </c:extLst>
            </c:dLbl>
            <c:dLbl>
              <c:idx val="3"/>
              <c:layout>
                <c:manualLayout>
                  <c:x val="1.0992030777686177E-3"/>
                  <c:y val="-9.691405253761795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32E-4A96-9207-CFC2334AC2D8}"/>
                </c:ext>
              </c:extLst>
            </c:dLbl>
            <c:dLbl>
              <c:idx val="4"/>
              <c:layout>
                <c:manualLayout>
                  <c:x val="1.099203077768537E-3"/>
                  <c:y val="-6.120887528691665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9DDC-4B23-9772-D43873D2C7DF}"/>
                </c:ext>
              </c:extLst>
            </c:dLbl>
            <c:dLbl>
              <c:idx val="5"/>
              <c:layout>
                <c:manualLayout>
                  <c:x val="0"/>
                  <c:y val="-4.590665646518749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B94-4ED1-B484-BED0147D582B}"/>
                </c:ext>
              </c:extLst>
            </c:dLbl>
            <c:dLbl>
              <c:idx val="6"/>
              <c:layout>
                <c:manualLayout>
                  <c:x val="0"/>
                  <c:y val="-1.530221882172919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DDC-4B23-9772-D43873D2C7DF}"/>
                </c:ext>
              </c:extLst>
            </c:dLbl>
            <c:dLbl>
              <c:idx val="11"/>
              <c:layout>
                <c:manualLayout>
                  <c:x val="0"/>
                  <c:y val="-6.120887528691665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9DDC-4B23-9772-D43873D2C7DF}"/>
                </c:ext>
              </c:extLst>
            </c:dLbl>
            <c:spPr>
              <a:solidFill>
                <a:schemeClr val="lt1"/>
              </a:solidFill>
              <a:ln w="25400" cap="flat" cmpd="sng" algn="ctr">
                <a:solidFill>
                  <a:schemeClr val="accent4"/>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'Datos Aeropuerto AMS'!$C$210:$N$210</c:f>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f>'Datos Aeropuerto AMS'!$C$189:$N$189</c:f>
              <c:numCache>
                <c:formatCode>#,##0</c:formatCode>
                <c:ptCount val="12"/>
                <c:pt idx="0">
                  <c:v>109076</c:v>
                </c:pt>
                <c:pt idx="1">
                  <c:v>102625</c:v>
                </c:pt>
                <c:pt idx="2">
                  <c:v>117488</c:v>
                </c:pt>
                <c:pt idx="3">
                  <c:v>115321</c:v>
                </c:pt>
                <c:pt idx="4">
                  <c:v>119411</c:v>
                </c:pt>
                <c:pt idx="5">
                  <c:v>117791</c:v>
                </c:pt>
                <c:pt idx="6">
                  <c:v>122909</c:v>
                </c:pt>
                <c:pt idx="7">
                  <c:v>131271</c:v>
                </c:pt>
                <c:pt idx="8">
                  <c:v>123118</c:v>
                </c:pt>
                <c:pt idx="9">
                  <c:v>117449</c:v>
                </c:pt>
                <c:pt idx="10">
                  <c:v>115572</c:v>
                </c:pt>
                <c:pt idx="11">
                  <c:v>107076</c:v>
                </c:pt>
              </c:numCache>
            </c:numRef>
          </c:val>
          <c:smooth val="0"/>
          <c:extLst>
            <c:ext xmlns:c16="http://schemas.microsoft.com/office/drawing/2014/chart" uri="{C3380CC4-5D6E-409C-BE32-E72D297353CC}">
              <c16:uniqueId val="{00000000-6C07-44BB-8AD6-2872F2A19E68}"/>
            </c:ext>
          </c:extLst>
        </c:ser>
        <c:dLbls>
          <c:showLegendKey val="0"/>
          <c:showVal val="0"/>
          <c:showCatName val="0"/>
          <c:showSerName val="0"/>
          <c:showPercent val="0"/>
          <c:showBubbleSize val="0"/>
        </c:dLbls>
        <c:marker val="1"/>
        <c:smooth val="0"/>
        <c:axId val="-957752672"/>
        <c:axId val="-957748320"/>
        <c:extLst>
          <c:ext xmlns:c15="http://schemas.microsoft.com/office/drawing/2012/chart" uri="{02D57815-91ED-43cb-92C2-25804820EDAC}">
            <c15:filteredLineSeries>
              <c15:ser>
                <c:idx val="14"/>
                <c:order val="4"/>
                <c:tx>
                  <c:strRef>
                    <c:extLst>
                      <c:ext uri="{02D57815-91ED-43cb-92C2-25804820EDAC}">
                        <c15:formulaRef>
                          <c15:sqref>'Datos Aeropuerto AMS'!$A$173:$P$173</c15:sqref>
                        </c15:formulaRef>
                      </c:ext>
                    </c:extLst>
                    <c:strCache>
                      <c:ptCount val="16"/>
                      <c:pt idx="0">
                        <c:v>ARRIVING 2017</c:v>
                      </c:pt>
                    </c:strCache>
                  </c:strRef>
                </c:tx>
                <c:spPr>
                  <a:ln w="22225" cap="rnd">
                    <a:solidFill>
                      <a:schemeClr val="accent3">
                        <a:lumMod val="80000"/>
                        <a:lumOff val="20000"/>
                      </a:schemeClr>
                    </a:solidFill>
                    <a:round/>
                  </a:ln>
                  <a:effectLst/>
                </c:spPr>
                <c:marker>
                  <c:symbol val="circle"/>
                  <c:size val="6"/>
                  <c:spPr>
                    <a:solidFill>
                      <a:schemeClr val="accent3">
                        <a:lumMod val="80000"/>
                        <a:lumOff val="20000"/>
                      </a:schemeClr>
                    </a:solidFill>
                    <a:ln w="9525">
                      <a:solidFill>
                        <a:schemeClr val="accent3">
                          <a:lumMod val="80000"/>
                          <a:lumOff val="20000"/>
                        </a:schemeClr>
                      </a:solidFill>
                      <a:round/>
                    </a:ln>
                    <a:effectLst/>
                  </c:spPr>
                </c:marker>
                <c:dLbls>
                  <c:dLbl>
                    <c:idx val="0"/>
                    <c:layout>
                      <c:manualLayout>
                        <c:x val="-1.4289640010992031E-2"/>
                        <c:y val="-6.6309614894159652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3-91F6-4856-938D-56BC6454AB05}"/>
                      </c:ext>
                    </c:extLst>
                  </c:dLbl>
                  <c:dLbl>
                    <c:idx val="1"/>
                    <c:layout>
                      <c:manualLayout>
                        <c:x val="-7.6944215443803445E-3"/>
                        <c:y val="8.6712573323131856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6-91F6-4856-938D-56BC6454AB05}"/>
                      </c:ext>
                    </c:extLst>
                  </c:dLbl>
                  <c:dLbl>
                    <c:idx val="2"/>
                    <c:layout>
                      <c:manualLayout>
                        <c:x val="-2.1984061555372354E-3"/>
                        <c:y val="-3.0604437643458347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8-91F6-4856-938D-56BC6454AB05}"/>
                      </c:ext>
                    </c:extLst>
                  </c:dLbl>
                  <c:dLbl>
                    <c:idx val="3"/>
                    <c:layout>
                      <c:manualLayout>
                        <c:x val="-1.099203077768658E-3"/>
                        <c:y val="3.0604437643458302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7-9DDC-4B23-9772-D43873D2C7DF}"/>
                      </c:ext>
                    </c:extLst>
                  </c:dLbl>
                  <c:dLbl>
                    <c:idx val="4"/>
                    <c:layout>
                      <c:manualLayout>
                        <c:x val="-4.3968123110745515E-3"/>
                        <c:y val="4.5906656465187455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6-9DDC-4B23-9772-D43873D2C7DF}"/>
                      </c:ext>
                    </c:extLst>
                  </c:dLbl>
                  <c:dLbl>
                    <c:idx val="6"/>
                    <c:layout>
                      <c:manualLayout>
                        <c:x val="-4.3968123110744708E-3"/>
                        <c:y val="6.1208875286916604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2-9DDC-4B23-9772-D43873D2C7DF}"/>
                      </c:ext>
                    </c:extLst>
                  </c:dLbl>
                  <c:dLbl>
                    <c:idx val="7"/>
                    <c:layout>
                      <c:manualLayout>
                        <c:x val="-1.7587249244297883E-2"/>
                        <c:y val="9.181331293037491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1-9DDC-4B23-9772-D43873D2C7DF}"/>
                      </c:ext>
                    </c:extLst>
                  </c:dLbl>
                  <c:dLbl>
                    <c:idx val="8"/>
                    <c:layout>
                      <c:manualLayout>
                        <c:x val="-4.3968123110744708E-3"/>
                        <c:y val="7.6511094108645747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0-9DDC-4B23-9772-D43873D2C7DF}"/>
                      </c:ext>
                    </c:extLst>
                  </c:dLbl>
                  <c:dLbl>
                    <c:idx val="9"/>
                    <c:layout>
                      <c:manualLayout>
                        <c:x val="-3.297609233305934E-3"/>
                        <c:y val="4.5906656465187455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8-9DDC-4B23-9772-D43873D2C7DF}"/>
                      </c:ext>
                    </c:extLst>
                  </c:dLbl>
                  <c:dLbl>
                    <c:idx val="10"/>
                    <c:layout>
                      <c:manualLayout>
                        <c:x val="-4.3968123110744708E-3"/>
                        <c:y val="6.6309614894159652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9-9DDC-4B23-9772-D43873D2C7DF}"/>
                      </c:ext>
                    </c:extLst>
                  </c:dLbl>
                  <c:dLbl>
                    <c:idx val="11"/>
                    <c:layout>
                      <c:manualLayout>
                        <c:x val="-1.0992030777686177E-3"/>
                        <c:y val="4.5906656465187455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B-9DDC-4B23-9772-D43873D2C7D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s-EC"/>
                    </a:p>
                  </c:txPr>
                  <c:showLegendKey val="0"/>
                  <c:showVal val="1"/>
                  <c:showCatName val="0"/>
                  <c:showSerName val="0"/>
                  <c:showPercent val="0"/>
                  <c:showBubbleSize val="0"/>
                  <c:showLeaderLines val="0"/>
                  <c:extLst>
                    <c:ext uri="{CE6537A1-D6FC-4f65-9D91-7224C49458BB}">
                      <c15:showLeaderLines val="1"/>
                      <c15:leaderLines>
                        <c:spPr>
                          <a:ln w="9525">
                            <a:solidFill>
                              <a:schemeClr val="tx1">
                                <a:lumMod val="35000"/>
                                <a:lumOff val="65000"/>
                              </a:schemeClr>
                            </a:solidFill>
                          </a:ln>
                          <a:effectLst/>
                        </c:spPr>
                      </c15:leaderLines>
                    </c:ext>
                  </c:extLst>
                </c:dLbls>
                <c:cat>
                  <c:strRef>
                    <c:extLst>
                      <c:ex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c:ext uri="{02D57815-91ED-43cb-92C2-25804820EDAC}">
                        <c15:formulaRef>
                          <c15:sqref>'Datos Aeropuerto AMS'!$C$177:$N$177</c15:sqref>
                        </c15:formulaRef>
                      </c:ext>
                    </c:extLst>
                    <c:numCache>
                      <c:formatCode>#,##0</c:formatCode>
                      <c:ptCount val="12"/>
                      <c:pt idx="0">
                        <c:v>114740</c:v>
                      </c:pt>
                      <c:pt idx="1">
                        <c:v>99942</c:v>
                      </c:pt>
                      <c:pt idx="2">
                        <c:v>118558</c:v>
                      </c:pt>
                      <c:pt idx="3">
                        <c:v>106528</c:v>
                      </c:pt>
                      <c:pt idx="4">
                        <c:v>109519</c:v>
                      </c:pt>
                      <c:pt idx="5">
                        <c:v>104030</c:v>
                      </c:pt>
                      <c:pt idx="6">
                        <c:v>117847</c:v>
                      </c:pt>
                      <c:pt idx="7">
                        <c:v>120681</c:v>
                      </c:pt>
                      <c:pt idx="8">
                        <c:v>104295</c:v>
                      </c:pt>
                      <c:pt idx="9">
                        <c:v>100926</c:v>
                      </c:pt>
                      <c:pt idx="10">
                        <c:v>102365</c:v>
                      </c:pt>
                      <c:pt idx="11">
                        <c:v>103932</c:v>
                      </c:pt>
                    </c:numCache>
                  </c:numRef>
                </c:val>
                <c:smooth val="0"/>
                <c:extLst>
                  <c:ext xmlns:c16="http://schemas.microsoft.com/office/drawing/2014/chart" uri="{C3380CC4-5D6E-409C-BE32-E72D297353CC}">
                    <c16:uniqueId val="{00000001-6C07-44BB-8AD6-2872F2A19E68}"/>
                  </c:ext>
                </c:extLst>
              </c15:ser>
            </c15:filteredLineSeries>
            <c15:filteredLineSeries>
              <c15:ser>
                <c:idx val="0"/>
                <c:order val="5"/>
                <c:tx>
                  <c:strRef>
                    <c:extLst xmlns:c15="http://schemas.microsoft.com/office/drawing/2012/chart">
                      <c:ext xmlns:c15="http://schemas.microsoft.com/office/drawing/2012/chart" uri="{02D57815-91ED-43cb-92C2-25804820EDAC}">
                        <c15:formulaRef>
                          <c15:sqref>'Datos Aeropuerto AMS'!$A$161:$P$161</c15:sqref>
                        </c15:formulaRef>
                      </c:ext>
                    </c:extLst>
                    <c:strCache>
                      <c:ptCount val="16"/>
                      <c:pt idx="0">
                        <c:v>ARRIVING 2016</c:v>
                      </c:pt>
                    </c:strCache>
                  </c:strRef>
                </c:tx>
                <c:spPr>
                  <a:ln w="22225" cap="rnd">
                    <a:solidFill>
                      <a:schemeClr val="accent1">
                        <a:lumMod val="20000"/>
                        <a:lumOff val="80000"/>
                      </a:schemeClr>
                    </a:solidFill>
                    <a:round/>
                  </a:ln>
                  <a:effectLst/>
                </c:spPr>
                <c:marker>
                  <c:symbol val="diamond"/>
                  <c:size val="6"/>
                  <c:spPr>
                    <a:solidFill>
                      <a:schemeClr val="accent1"/>
                    </a:solidFill>
                    <a:ln w="9525">
                      <a:solidFill>
                        <a:schemeClr val="accent1"/>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AMS'!$C$165:$N$165</c15:sqref>
                        </c15:formulaRef>
                      </c:ext>
                    </c:extLst>
                    <c:numCache>
                      <c:formatCode>#,##0</c:formatCode>
                      <c:ptCount val="12"/>
                      <c:pt idx="0">
                        <c:v>111070</c:v>
                      </c:pt>
                      <c:pt idx="1">
                        <c:v>107374</c:v>
                      </c:pt>
                      <c:pt idx="2">
                        <c:v>117081</c:v>
                      </c:pt>
                      <c:pt idx="3">
                        <c:v>99773</c:v>
                      </c:pt>
                      <c:pt idx="4">
                        <c:v>103633</c:v>
                      </c:pt>
                      <c:pt idx="5">
                        <c:v>105930</c:v>
                      </c:pt>
                      <c:pt idx="6">
                        <c:v>115522</c:v>
                      </c:pt>
                      <c:pt idx="7">
                        <c:v>116655</c:v>
                      </c:pt>
                      <c:pt idx="8">
                        <c:v>105556</c:v>
                      </c:pt>
                      <c:pt idx="9">
                        <c:v>112366</c:v>
                      </c:pt>
                      <c:pt idx="10">
                        <c:v>109793</c:v>
                      </c:pt>
                      <c:pt idx="11">
                        <c:v>108669</c:v>
                      </c:pt>
                    </c:numCache>
                  </c:numRef>
                </c:val>
                <c:smooth val="0"/>
                <c:extLst xmlns:c15="http://schemas.microsoft.com/office/drawing/2012/chart">
                  <c:ext xmlns:c16="http://schemas.microsoft.com/office/drawing/2014/chart" uri="{C3380CC4-5D6E-409C-BE32-E72D297353CC}">
                    <c16:uniqueId val="{00000002-6C07-44BB-8AD6-2872F2A19E68}"/>
                  </c:ext>
                </c:extLst>
              </c15:ser>
            </c15:filteredLineSeries>
            <c15:filteredLineSeries>
              <c15:ser>
                <c:idx val="1"/>
                <c:order val="6"/>
                <c:tx>
                  <c:strRef>
                    <c:extLst xmlns:c15="http://schemas.microsoft.com/office/drawing/2012/chart">
                      <c:ext xmlns:c15="http://schemas.microsoft.com/office/drawing/2012/chart" uri="{02D57815-91ED-43cb-92C2-25804820EDAC}">
                        <c15:formulaRef>
                          <c15:sqref>'Datos Aeropuerto AMS'!$A$149:$P$149</c15:sqref>
                        </c15:formulaRef>
                      </c:ext>
                    </c:extLst>
                    <c:strCache>
                      <c:ptCount val="16"/>
                      <c:pt idx="0">
                        <c:v>ARRIVING 2015</c:v>
                      </c:pt>
                    </c:strCache>
                  </c:strRef>
                </c:tx>
                <c:spPr>
                  <a:ln w="22225" cap="rnd">
                    <a:solidFill>
                      <a:schemeClr val="accent2">
                        <a:lumMod val="20000"/>
                        <a:lumOff val="80000"/>
                      </a:schemeClr>
                    </a:solidFill>
                    <a:round/>
                  </a:ln>
                  <a:effectLst/>
                </c:spPr>
                <c:marker>
                  <c:symbol val="square"/>
                  <c:size val="6"/>
                  <c:spPr>
                    <a:solidFill>
                      <a:schemeClr val="accent2"/>
                    </a:solidFill>
                    <a:ln w="9525">
                      <a:solidFill>
                        <a:schemeClr val="accent2"/>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AMS'!$C$153:$N$153</c15:sqref>
                        </c15:formulaRef>
                      </c:ext>
                    </c:extLst>
                    <c:numCache>
                      <c:formatCode>#,##0</c:formatCode>
                      <c:ptCount val="12"/>
                      <c:pt idx="0">
                        <c:v>125659</c:v>
                      </c:pt>
                      <c:pt idx="1">
                        <c:v>116344</c:v>
                      </c:pt>
                      <c:pt idx="2">
                        <c:v>134086</c:v>
                      </c:pt>
                      <c:pt idx="3">
                        <c:v>128202</c:v>
                      </c:pt>
                      <c:pt idx="4">
                        <c:v>122503</c:v>
                      </c:pt>
                      <c:pt idx="5">
                        <c:v>121181</c:v>
                      </c:pt>
                      <c:pt idx="6">
                        <c:v>129387</c:v>
                      </c:pt>
                      <c:pt idx="7">
                        <c:v>131167</c:v>
                      </c:pt>
                      <c:pt idx="8">
                        <c:v>119256</c:v>
                      </c:pt>
                      <c:pt idx="9">
                        <c:v>123219</c:v>
                      </c:pt>
                      <c:pt idx="10">
                        <c:v>116177</c:v>
                      </c:pt>
                      <c:pt idx="11">
                        <c:v>111502</c:v>
                      </c:pt>
                    </c:numCache>
                  </c:numRef>
                </c:val>
                <c:smooth val="0"/>
                <c:extLst xmlns:c15="http://schemas.microsoft.com/office/drawing/2012/chart">
                  <c:ext xmlns:c16="http://schemas.microsoft.com/office/drawing/2014/chart" uri="{C3380CC4-5D6E-409C-BE32-E72D297353CC}">
                    <c16:uniqueId val="{00000003-6C07-44BB-8AD6-2872F2A19E68}"/>
                  </c:ext>
                </c:extLst>
              </c15:ser>
            </c15:filteredLineSeries>
            <c15:filteredLineSeries>
              <c15:ser>
                <c:idx val="2"/>
                <c:order val="7"/>
                <c:tx>
                  <c:strRef>
                    <c:extLst xmlns:c15="http://schemas.microsoft.com/office/drawing/2012/chart">
                      <c:ext xmlns:c15="http://schemas.microsoft.com/office/drawing/2012/chart" uri="{02D57815-91ED-43cb-92C2-25804820EDAC}">
                        <c15:formulaRef>
                          <c15:sqref>'Datos Aeropuerto AMS'!$A$137:$P$137</c15:sqref>
                        </c15:formulaRef>
                      </c:ext>
                    </c:extLst>
                    <c:strCache>
                      <c:ptCount val="16"/>
                      <c:pt idx="0">
                        <c:v>ARRIVING 2014</c:v>
                      </c:pt>
                    </c:strCache>
                  </c:strRef>
                </c:tx>
                <c:spPr>
                  <a:ln w="22225" cap="rnd">
                    <a:solidFill>
                      <a:schemeClr val="accent3"/>
                    </a:solidFill>
                    <a:round/>
                  </a:ln>
                  <a:effectLst/>
                </c:spPr>
                <c:marker>
                  <c:symbol val="triangle"/>
                  <c:size val="6"/>
                  <c:spPr>
                    <a:solidFill>
                      <a:schemeClr val="accent3"/>
                    </a:solidFill>
                    <a:ln w="9525">
                      <a:solidFill>
                        <a:schemeClr val="accent3"/>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AMS'!$C$141:$N$141</c15:sqref>
                        </c15:formulaRef>
                      </c:ext>
                    </c:extLst>
                    <c:numCache>
                      <c:formatCode>#,##0</c:formatCode>
                      <c:ptCount val="12"/>
                      <c:pt idx="0">
                        <c:v>138579</c:v>
                      </c:pt>
                      <c:pt idx="1">
                        <c:v>129738</c:v>
                      </c:pt>
                      <c:pt idx="2">
                        <c:v>139637</c:v>
                      </c:pt>
                      <c:pt idx="3">
                        <c:v>137090</c:v>
                      </c:pt>
                      <c:pt idx="4">
                        <c:v>134579</c:v>
                      </c:pt>
                      <c:pt idx="5">
                        <c:v>127939</c:v>
                      </c:pt>
                      <c:pt idx="6">
                        <c:v>141322</c:v>
                      </c:pt>
                      <c:pt idx="7">
                        <c:v>148226</c:v>
                      </c:pt>
                      <c:pt idx="8">
                        <c:v>135744</c:v>
                      </c:pt>
                      <c:pt idx="9">
                        <c:v>137316</c:v>
                      </c:pt>
                      <c:pt idx="10">
                        <c:v>133258</c:v>
                      </c:pt>
                      <c:pt idx="11">
                        <c:v>123288</c:v>
                      </c:pt>
                    </c:numCache>
                  </c:numRef>
                </c:val>
                <c:smooth val="0"/>
                <c:extLst xmlns:c15="http://schemas.microsoft.com/office/drawing/2012/chart">
                  <c:ext xmlns:c16="http://schemas.microsoft.com/office/drawing/2014/chart" uri="{C3380CC4-5D6E-409C-BE32-E72D297353CC}">
                    <c16:uniqueId val="{00000004-6C07-44BB-8AD6-2872F2A19E68}"/>
                  </c:ext>
                </c:extLst>
              </c15:ser>
            </c15:filteredLineSeries>
            <c15:filteredLineSeries>
              <c15:ser>
                <c:idx val="3"/>
                <c:order val="8"/>
                <c:tx>
                  <c:strRef>
                    <c:extLst xmlns:c15="http://schemas.microsoft.com/office/drawing/2012/chart">
                      <c:ext xmlns:c15="http://schemas.microsoft.com/office/drawing/2012/chart" uri="{02D57815-91ED-43cb-92C2-25804820EDAC}">
                        <c15:formulaRef>
                          <c15:sqref>'Datos Aeropuerto AMS'!$A$125:$P$125</c15:sqref>
                        </c15:formulaRef>
                      </c:ext>
                    </c:extLst>
                    <c:strCache>
                      <c:ptCount val="16"/>
                      <c:pt idx="0">
                        <c:v>ARRIVING 2013</c:v>
                      </c:pt>
                    </c:strCache>
                  </c:strRef>
                </c:tx>
                <c:spPr>
                  <a:ln w="22225" cap="rnd">
                    <a:solidFill>
                      <a:schemeClr val="accent4"/>
                    </a:solidFill>
                    <a:round/>
                  </a:ln>
                  <a:effectLst/>
                </c:spPr>
                <c:marker>
                  <c:symbol val="x"/>
                  <c:size val="6"/>
                  <c:spPr>
                    <a:noFill/>
                    <a:ln w="9525">
                      <a:solidFill>
                        <a:schemeClr val="accent4"/>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AMS'!$C$129:$N$129</c15:sqref>
                        </c15:formulaRef>
                      </c:ext>
                    </c:extLst>
                    <c:numCache>
                      <c:formatCode>#,##0</c:formatCode>
                      <c:ptCount val="12"/>
                      <c:pt idx="0">
                        <c:v>149505</c:v>
                      </c:pt>
                      <c:pt idx="1">
                        <c:v>127669</c:v>
                      </c:pt>
                      <c:pt idx="2">
                        <c:v>129382</c:v>
                      </c:pt>
                      <c:pt idx="3">
                        <c:v>131573</c:v>
                      </c:pt>
                      <c:pt idx="4">
                        <c:v>136238</c:v>
                      </c:pt>
                      <c:pt idx="5">
                        <c:v>136834</c:v>
                      </c:pt>
                      <c:pt idx="6">
                        <c:v>149917</c:v>
                      </c:pt>
                      <c:pt idx="7">
                        <c:v>155729</c:v>
                      </c:pt>
                      <c:pt idx="8">
                        <c:v>127961</c:v>
                      </c:pt>
                      <c:pt idx="9">
                        <c:v>142034</c:v>
                      </c:pt>
                      <c:pt idx="10">
                        <c:v>135083</c:v>
                      </c:pt>
                      <c:pt idx="11">
                        <c:v>125742</c:v>
                      </c:pt>
                    </c:numCache>
                  </c:numRef>
                </c:val>
                <c:smooth val="0"/>
                <c:extLst xmlns:c15="http://schemas.microsoft.com/office/drawing/2012/chart">
                  <c:ext xmlns:c16="http://schemas.microsoft.com/office/drawing/2014/chart" uri="{C3380CC4-5D6E-409C-BE32-E72D297353CC}">
                    <c16:uniqueId val="{00000005-6C07-44BB-8AD6-2872F2A19E68}"/>
                  </c:ext>
                </c:extLst>
              </c15:ser>
            </c15:filteredLineSeries>
            <c15:filteredLineSeries>
              <c15:ser>
                <c:idx val="4"/>
                <c:order val="9"/>
                <c:tx>
                  <c:strRef>
                    <c:extLst xmlns:c15="http://schemas.microsoft.com/office/drawing/2012/chart">
                      <c:ext xmlns:c15="http://schemas.microsoft.com/office/drawing/2012/chart" uri="{02D57815-91ED-43cb-92C2-25804820EDAC}">
                        <c15:formulaRef>
                          <c15:sqref>'Datos Aeropuerto AMS'!$A$113:$P$113</c15:sqref>
                        </c15:formulaRef>
                      </c:ext>
                    </c:extLst>
                    <c:strCache>
                      <c:ptCount val="16"/>
                      <c:pt idx="0">
                        <c:v>ARRIVING 2012</c:v>
                      </c:pt>
                    </c:strCache>
                  </c:strRef>
                </c:tx>
                <c:spPr>
                  <a:ln w="22225" cap="rnd">
                    <a:solidFill>
                      <a:schemeClr val="accent5"/>
                    </a:solidFill>
                    <a:round/>
                  </a:ln>
                  <a:effectLst/>
                </c:spPr>
                <c:marker>
                  <c:symbol val="star"/>
                  <c:size val="6"/>
                  <c:spPr>
                    <a:noFill/>
                    <a:ln w="9525">
                      <a:solidFill>
                        <a:schemeClr val="accent5"/>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AMS'!$C$117:$N$117</c15:sqref>
                        </c15:formulaRef>
                      </c:ext>
                    </c:extLst>
                    <c:numCache>
                      <c:formatCode>#,##0</c:formatCode>
                      <c:ptCount val="12"/>
                      <c:pt idx="0">
                        <c:v>134226</c:v>
                      </c:pt>
                      <c:pt idx="1">
                        <c:v>125740</c:v>
                      </c:pt>
                      <c:pt idx="2">
                        <c:v>143027</c:v>
                      </c:pt>
                      <c:pt idx="3">
                        <c:v>131782</c:v>
                      </c:pt>
                      <c:pt idx="4">
                        <c:v>139770</c:v>
                      </c:pt>
                      <c:pt idx="5">
                        <c:v>136606</c:v>
                      </c:pt>
                      <c:pt idx="6">
                        <c:v>147934</c:v>
                      </c:pt>
                      <c:pt idx="7">
                        <c:v>153470</c:v>
                      </c:pt>
                      <c:pt idx="8">
                        <c:v>135789</c:v>
                      </c:pt>
                      <c:pt idx="9">
                        <c:v>142987</c:v>
                      </c:pt>
                      <c:pt idx="10">
                        <c:v>142581</c:v>
                      </c:pt>
                      <c:pt idx="11">
                        <c:v>130777</c:v>
                      </c:pt>
                    </c:numCache>
                  </c:numRef>
                </c:val>
                <c:smooth val="0"/>
                <c:extLst xmlns:c15="http://schemas.microsoft.com/office/drawing/2012/chart">
                  <c:ext xmlns:c16="http://schemas.microsoft.com/office/drawing/2014/chart" uri="{C3380CC4-5D6E-409C-BE32-E72D297353CC}">
                    <c16:uniqueId val="{00000006-6C07-44BB-8AD6-2872F2A19E68}"/>
                  </c:ext>
                </c:extLst>
              </c15:ser>
            </c15:filteredLineSeries>
            <c15:filteredLineSeries>
              <c15:ser>
                <c:idx val="5"/>
                <c:order val="10"/>
                <c:tx>
                  <c:strRef>
                    <c:extLst xmlns:c15="http://schemas.microsoft.com/office/drawing/2012/chart">
                      <c:ext xmlns:c15="http://schemas.microsoft.com/office/drawing/2012/chart" uri="{02D57815-91ED-43cb-92C2-25804820EDAC}">
                        <c15:formulaRef>
                          <c15:sqref>'Datos Aeropuerto AMS'!$A$101:$P$101</c15:sqref>
                        </c15:formulaRef>
                      </c:ext>
                    </c:extLst>
                    <c:strCache>
                      <c:ptCount val="16"/>
                      <c:pt idx="0">
                        <c:v>ARRIVING 2011</c:v>
                      </c:pt>
                    </c:strCache>
                  </c:strRef>
                </c:tx>
                <c:spPr>
                  <a:ln w="22225" cap="rnd">
                    <a:solidFill>
                      <a:schemeClr val="accent6"/>
                    </a:solidFill>
                    <a:round/>
                  </a:ln>
                  <a:effectLst/>
                </c:spPr>
                <c:marker>
                  <c:symbol val="circle"/>
                  <c:size val="6"/>
                  <c:spPr>
                    <a:solidFill>
                      <a:schemeClr val="accent6"/>
                    </a:solidFill>
                    <a:ln w="9525">
                      <a:solidFill>
                        <a:schemeClr val="accent6"/>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AMS'!$C$105:$N$105</c15:sqref>
                        </c15:formulaRef>
                      </c:ext>
                    </c:extLst>
                    <c:numCache>
                      <c:formatCode>#,##0</c:formatCode>
                      <c:ptCount val="12"/>
                      <c:pt idx="0">
                        <c:v>146098</c:v>
                      </c:pt>
                      <c:pt idx="1">
                        <c:v>137332</c:v>
                      </c:pt>
                      <c:pt idx="2">
                        <c:v>146888</c:v>
                      </c:pt>
                      <c:pt idx="3">
                        <c:v>144977</c:v>
                      </c:pt>
                      <c:pt idx="4">
                        <c:v>154928</c:v>
                      </c:pt>
                      <c:pt idx="5">
                        <c:v>155364</c:v>
                      </c:pt>
                      <c:pt idx="6">
                        <c:v>171808</c:v>
                      </c:pt>
                      <c:pt idx="7">
                        <c:v>174975</c:v>
                      </c:pt>
                      <c:pt idx="8">
                        <c:v>148989</c:v>
                      </c:pt>
                      <c:pt idx="9">
                        <c:v>149114</c:v>
                      </c:pt>
                      <c:pt idx="10">
                        <c:v>146963</c:v>
                      </c:pt>
                      <c:pt idx="11">
                        <c:v>147356</c:v>
                      </c:pt>
                    </c:numCache>
                  </c:numRef>
                </c:val>
                <c:smooth val="0"/>
                <c:extLst xmlns:c15="http://schemas.microsoft.com/office/drawing/2012/chart">
                  <c:ext xmlns:c16="http://schemas.microsoft.com/office/drawing/2014/chart" uri="{C3380CC4-5D6E-409C-BE32-E72D297353CC}">
                    <c16:uniqueId val="{00000007-6C07-44BB-8AD6-2872F2A19E68}"/>
                  </c:ext>
                </c:extLst>
              </c15:ser>
            </c15:filteredLineSeries>
            <c15:filteredLineSeries>
              <c15:ser>
                <c:idx val="6"/>
                <c:order val="11"/>
                <c:tx>
                  <c:strRef>
                    <c:extLst xmlns:c15="http://schemas.microsoft.com/office/drawing/2012/chart">
                      <c:ext xmlns:c15="http://schemas.microsoft.com/office/drawing/2012/chart" uri="{02D57815-91ED-43cb-92C2-25804820EDAC}">
                        <c15:formulaRef>
                          <c15:sqref>'Datos Aeropuerto AMS'!$A$89:$P$89</c15:sqref>
                        </c15:formulaRef>
                      </c:ext>
                    </c:extLst>
                    <c:strCache>
                      <c:ptCount val="16"/>
                      <c:pt idx="0">
                        <c:v>ARRIVING 2010</c:v>
                      </c:pt>
                    </c:strCache>
                  </c:strRef>
                </c:tx>
                <c:spPr>
                  <a:ln w="22225" cap="rnd">
                    <a:solidFill>
                      <a:schemeClr val="accent1">
                        <a:lumMod val="60000"/>
                      </a:schemeClr>
                    </a:solidFill>
                    <a:round/>
                  </a:ln>
                  <a:effectLst/>
                </c:spPr>
                <c:marker>
                  <c:symbol val="plus"/>
                  <c:size val="6"/>
                  <c:spPr>
                    <a:noFill/>
                    <a:ln w="9525">
                      <a:solidFill>
                        <a:schemeClr val="accent1">
                          <a:lumMod val="60000"/>
                        </a:schemeClr>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AMS'!$C$93:$N$93</c15:sqref>
                        </c15:formulaRef>
                      </c:ext>
                    </c:extLst>
                    <c:numCache>
                      <c:formatCode>#,##0</c:formatCode>
                      <c:ptCount val="12"/>
                      <c:pt idx="0">
                        <c:v>129890</c:v>
                      </c:pt>
                      <c:pt idx="1">
                        <c:v>124766</c:v>
                      </c:pt>
                      <c:pt idx="2">
                        <c:v>135618</c:v>
                      </c:pt>
                      <c:pt idx="3">
                        <c:v>134178</c:v>
                      </c:pt>
                      <c:pt idx="4">
                        <c:v>135212</c:v>
                      </c:pt>
                      <c:pt idx="5">
                        <c:v>134654</c:v>
                      </c:pt>
                      <c:pt idx="6">
                        <c:v>149272</c:v>
                      </c:pt>
                      <c:pt idx="7">
                        <c:v>155081</c:v>
                      </c:pt>
                      <c:pt idx="8">
                        <c:v>138378</c:v>
                      </c:pt>
                      <c:pt idx="9">
                        <c:v>143352</c:v>
                      </c:pt>
                      <c:pt idx="10">
                        <c:v>119713</c:v>
                      </c:pt>
                      <c:pt idx="11">
                        <c:v>142814</c:v>
                      </c:pt>
                    </c:numCache>
                  </c:numRef>
                </c:val>
                <c:smooth val="0"/>
                <c:extLst xmlns:c15="http://schemas.microsoft.com/office/drawing/2012/chart">
                  <c:ext xmlns:c16="http://schemas.microsoft.com/office/drawing/2014/chart" uri="{C3380CC4-5D6E-409C-BE32-E72D297353CC}">
                    <c16:uniqueId val="{00000008-6C07-44BB-8AD6-2872F2A19E68}"/>
                  </c:ext>
                </c:extLst>
              </c15:ser>
            </c15:filteredLineSeries>
            <c15:filteredLineSeries>
              <c15:ser>
                <c:idx val="7"/>
                <c:order val="12"/>
                <c:tx>
                  <c:strRef>
                    <c:extLst xmlns:c15="http://schemas.microsoft.com/office/drawing/2012/chart">
                      <c:ext xmlns:c15="http://schemas.microsoft.com/office/drawing/2012/chart" uri="{02D57815-91ED-43cb-92C2-25804820EDAC}">
                        <c15:formulaRef>
                          <c15:sqref>'Datos Aeropuerto AMS'!$A$76:$P$76</c15:sqref>
                        </c15:formulaRef>
                      </c:ext>
                    </c:extLst>
                    <c:strCache>
                      <c:ptCount val="16"/>
                      <c:pt idx="0">
                        <c:v>ARRIVING 2009</c:v>
                      </c:pt>
                    </c:strCache>
                  </c:strRef>
                </c:tx>
                <c:spPr>
                  <a:ln w="22225" cap="rnd">
                    <a:solidFill>
                      <a:schemeClr val="accent2">
                        <a:lumMod val="60000"/>
                      </a:schemeClr>
                    </a:solidFill>
                    <a:round/>
                  </a:ln>
                  <a:effectLst/>
                </c:spPr>
                <c:marker>
                  <c:symbol val="dot"/>
                  <c:size val="6"/>
                  <c:spPr>
                    <a:solidFill>
                      <a:schemeClr val="accent2">
                        <a:lumMod val="60000"/>
                      </a:schemeClr>
                    </a:solidFill>
                    <a:ln w="9525">
                      <a:solidFill>
                        <a:schemeClr val="accent2">
                          <a:lumMod val="60000"/>
                        </a:schemeClr>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AMS'!$C$80:$N$80</c15:sqref>
                        </c15:formulaRef>
                      </c:ext>
                    </c:extLst>
                    <c:numCache>
                      <c:formatCode>#,##0</c:formatCode>
                      <c:ptCount val="12"/>
                      <c:pt idx="0">
                        <c:v>120475</c:v>
                      </c:pt>
                      <c:pt idx="1">
                        <c:v>113239</c:v>
                      </c:pt>
                      <c:pt idx="2">
                        <c:v>124746</c:v>
                      </c:pt>
                      <c:pt idx="3">
                        <c:v>128488</c:v>
                      </c:pt>
                      <c:pt idx="4">
                        <c:v>124971</c:v>
                      </c:pt>
                      <c:pt idx="5">
                        <c:v>122153</c:v>
                      </c:pt>
                      <c:pt idx="6">
                        <c:v>140710</c:v>
                      </c:pt>
                      <c:pt idx="7">
                        <c:v>144489</c:v>
                      </c:pt>
                      <c:pt idx="8">
                        <c:v>126553</c:v>
                      </c:pt>
                      <c:pt idx="9">
                        <c:v>132533</c:v>
                      </c:pt>
                      <c:pt idx="10">
                        <c:v>125655</c:v>
                      </c:pt>
                      <c:pt idx="11">
                        <c:v>129201</c:v>
                      </c:pt>
                    </c:numCache>
                  </c:numRef>
                </c:val>
                <c:smooth val="0"/>
                <c:extLst xmlns:c15="http://schemas.microsoft.com/office/drawing/2012/chart">
                  <c:ext xmlns:c16="http://schemas.microsoft.com/office/drawing/2014/chart" uri="{C3380CC4-5D6E-409C-BE32-E72D297353CC}">
                    <c16:uniqueId val="{00000009-6C07-44BB-8AD6-2872F2A19E68}"/>
                  </c:ext>
                </c:extLst>
              </c15:ser>
            </c15:filteredLineSeries>
            <c15:filteredLineSeries>
              <c15:ser>
                <c:idx val="8"/>
                <c:order val="13"/>
                <c:tx>
                  <c:strRef>
                    <c:extLst xmlns:c15="http://schemas.microsoft.com/office/drawing/2012/chart">
                      <c:ext xmlns:c15="http://schemas.microsoft.com/office/drawing/2012/chart" uri="{02D57815-91ED-43cb-92C2-25804820EDAC}">
                        <c15:formulaRef>
                          <c15:sqref>'Datos Aeropuerto AMS'!$A$63:$P$63</c15:sqref>
                        </c15:formulaRef>
                      </c:ext>
                    </c:extLst>
                    <c:strCache>
                      <c:ptCount val="16"/>
                      <c:pt idx="0">
                        <c:v>ARRIVING 2008</c:v>
                      </c:pt>
                    </c:strCache>
                  </c:strRef>
                </c:tx>
                <c:spPr>
                  <a:ln w="22225" cap="rnd">
                    <a:solidFill>
                      <a:schemeClr val="accent3">
                        <a:lumMod val="60000"/>
                      </a:schemeClr>
                    </a:solidFill>
                    <a:round/>
                  </a:ln>
                  <a:effectLst/>
                </c:spPr>
                <c:marker>
                  <c:symbol val="dash"/>
                  <c:size val="6"/>
                  <c:spPr>
                    <a:solidFill>
                      <a:schemeClr val="accent3">
                        <a:lumMod val="60000"/>
                      </a:schemeClr>
                    </a:solidFill>
                    <a:ln w="9525">
                      <a:solidFill>
                        <a:schemeClr val="accent3">
                          <a:lumMod val="60000"/>
                        </a:schemeClr>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AMS'!$C$67:$N$67</c15:sqref>
                        </c15:formulaRef>
                      </c:ext>
                    </c:extLst>
                    <c:numCache>
                      <c:formatCode>#,##0</c:formatCode>
                      <c:ptCount val="12"/>
                      <c:pt idx="0">
                        <c:v>119642</c:v>
                      </c:pt>
                      <c:pt idx="1">
                        <c:v>103529</c:v>
                      </c:pt>
                      <c:pt idx="2">
                        <c:v>123646</c:v>
                      </c:pt>
                      <c:pt idx="3">
                        <c:v>118447</c:v>
                      </c:pt>
                      <c:pt idx="4">
                        <c:v>123649</c:v>
                      </c:pt>
                      <c:pt idx="5">
                        <c:v>110311</c:v>
                      </c:pt>
                      <c:pt idx="6">
                        <c:v>135864</c:v>
                      </c:pt>
                      <c:pt idx="7">
                        <c:v>140220</c:v>
                      </c:pt>
                      <c:pt idx="8">
                        <c:v>114928</c:v>
                      </c:pt>
                      <c:pt idx="9">
                        <c:v>126769</c:v>
                      </c:pt>
                      <c:pt idx="10">
                        <c:v>121935</c:v>
                      </c:pt>
                      <c:pt idx="11">
                        <c:v>120610</c:v>
                      </c:pt>
                    </c:numCache>
                  </c:numRef>
                </c:val>
                <c:smooth val="0"/>
                <c:extLst xmlns:c15="http://schemas.microsoft.com/office/drawing/2012/chart">
                  <c:ext xmlns:c16="http://schemas.microsoft.com/office/drawing/2014/chart" uri="{C3380CC4-5D6E-409C-BE32-E72D297353CC}">
                    <c16:uniqueId val="{0000000A-6C07-44BB-8AD6-2872F2A19E68}"/>
                  </c:ext>
                </c:extLst>
              </c15:ser>
            </c15:filteredLineSeries>
            <c15:filteredLineSeries>
              <c15:ser>
                <c:idx val="9"/>
                <c:order val="14"/>
                <c:tx>
                  <c:strRef>
                    <c:extLst xmlns:c15="http://schemas.microsoft.com/office/drawing/2012/chart">
                      <c:ext xmlns:c15="http://schemas.microsoft.com/office/drawing/2012/chart" uri="{02D57815-91ED-43cb-92C2-25804820EDAC}">
                        <c15:formulaRef>
                          <c15:sqref>'Datos Aeropuerto AMS'!$A$51:$P$51</c15:sqref>
                        </c15:formulaRef>
                      </c:ext>
                    </c:extLst>
                    <c:strCache>
                      <c:ptCount val="16"/>
                      <c:pt idx="0">
                        <c:v>ARRIVING 2007</c:v>
                      </c:pt>
                    </c:strCache>
                  </c:strRef>
                </c:tx>
                <c:spPr>
                  <a:ln w="22225" cap="rnd">
                    <a:solidFill>
                      <a:schemeClr val="accent4">
                        <a:lumMod val="60000"/>
                      </a:schemeClr>
                    </a:solidFill>
                    <a:round/>
                  </a:ln>
                  <a:effectLst/>
                </c:spPr>
                <c:marker>
                  <c:symbol val="diamond"/>
                  <c:size val="6"/>
                  <c:spPr>
                    <a:solidFill>
                      <a:schemeClr val="accent4">
                        <a:lumMod val="60000"/>
                      </a:schemeClr>
                    </a:solidFill>
                    <a:ln w="9525">
                      <a:solidFill>
                        <a:schemeClr val="accent4">
                          <a:lumMod val="60000"/>
                        </a:schemeClr>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AMS'!$C$55:$N$55</c15:sqref>
                        </c15:formulaRef>
                      </c:ext>
                    </c:extLst>
                    <c:numCache>
                      <c:formatCode>#,##0</c:formatCode>
                      <c:ptCount val="12"/>
                      <c:pt idx="0">
                        <c:v>113451</c:v>
                      </c:pt>
                      <c:pt idx="1">
                        <c:v>97757</c:v>
                      </c:pt>
                      <c:pt idx="2">
                        <c:v>113475</c:v>
                      </c:pt>
                      <c:pt idx="3">
                        <c:v>110548</c:v>
                      </c:pt>
                      <c:pt idx="4">
                        <c:v>113501</c:v>
                      </c:pt>
                      <c:pt idx="5">
                        <c:v>114087</c:v>
                      </c:pt>
                      <c:pt idx="6">
                        <c:v>125297</c:v>
                      </c:pt>
                      <c:pt idx="7">
                        <c:v>129649</c:v>
                      </c:pt>
                      <c:pt idx="8">
                        <c:v>106973</c:v>
                      </c:pt>
                      <c:pt idx="9">
                        <c:v>116721</c:v>
                      </c:pt>
                      <c:pt idx="10">
                        <c:v>109419</c:v>
                      </c:pt>
                      <c:pt idx="11">
                        <c:v>102167</c:v>
                      </c:pt>
                    </c:numCache>
                  </c:numRef>
                </c:val>
                <c:smooth val="0"/>
                <c:extLst xmlns:c15="http://schemas.microsoft.com/office/drawing/2012/chart">
                  <c:ext xmlns:c16="http://schemas.microsoft.com/office/drawing/2014/chart" uri="{C3380CC4-5D6E-409C-BE32-E72D297353CC}">
                    <c16:uniqueId val="{0000000B-6C07-44BB-8AD6-2872F2A19E68}"/>
                  </c:ext>
                </c:extLst>
              </c15:ser>
            </c15:filteredLineSeries>
            <c15:filteredLineSeries>
              <c15:ser>
                <c:idx val="10"/>
                <c:order val="15"/>
                <c:tx>
                  <c:strRef>
                    <c:extLst xmlns:c15="http://schemas.microsoft.com/office/drawing/2012/chart">
                      <c:ext xmlns:c15="http://schemas.microsoft.com/office/drawing/2012/chart" uri="{02D57815-91ED-43cb-92C2-25804820EDAC}">
                        <c15:formulaRef>
                          <c15:sqref>'Datos Aeropuerto AMS'!$A$38:$P$38</c15:sqref>
                        </c15:formulaRef>
                      </c:ext>
                    </c:extLst>
                    <c:strCache>
                      <c:ptCount val="16"/>
                      <c:pt idx="0">
                        <c:v>ARRIVING 2006</c:v>
                      </c:pt>
                    </c:strCache>
                  </c:strRef>
                </c:tx>
                <c:spPr>
                  <a:ln w="22225" cap="rnd">
                    <a:solidFill>
                      <a:schemeClr val="accent5">
                        <a:lumMod val="60000"/>
                      </a:schemeClr>
                    </a:solidFill>
                    <a:round/>
                  </a:ln>
                  <a:effectLst/>
                </c:spPr>
                <c:marker>
                  <c:symbol val="square"/>
                  <c:size val="6"/>
                  <c:spPr>
                    <a:solidFill>
                      <a:schemeClr val="accent5">
                        <a:lumMod val="60000"/>
                      </a:schemeClr>
                    </a:solidFill>
                    <a:ln w="9525">
                      <a:solidFill>
                        <a:schemeClr val="accent5">
                          <a:lumMod val="60000"/>
                        </a:schemeClr>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AMS'!$C$42:$N$42</c15:sqref>
                        </c15:formulaRef>
                      </c:ext>
                    </c:extLst>
                    <c:numCache>
                      <c:formatCode>#,##0</c:formatCode>
                      <c:ptCount val="12"/>
                      <c:pt idx="0">
                        <c:v>90281</c:v>
                      </c:pt>
                      <c:pt idx="1">
                        <c:v>80848</c:v>
                      </c:pt>
                      <c:pt idx="2">
                        <c:v>97554</c:v>
                      </c:pt>
                      <c:pt idx="3">
                        <c:v>90948</c:v>
                      </c:pt>
                      <c:pt idx="4">
                        <c:v>98614</c:v>
                      </c:pt>
                      <c:pt idx="5">
                        <c:v>95134</c:v>
                      </c:pt>
                      <c:pt idx="6">
                        <c:v>112459</c:v>
                      </c:pt>
                      <c:pt idx="7">
                        <c:v>118122</c:v>
                      </c:pt>
                      <c:pt idx="8">
                        <c:v>105285</c:v>
                      </c:pt>
                      <c:pt idx="9">
                        <c:v>102931</c:v>
                      </c:pt>
                      <c:pt idx="10">
                        <c:v>104495</c:v>
                      </c:pt>
                      <c:pt idx="11">
                        <c:v>119162</c:v>
                      </c:pt>
                    </c:numCache>
                  </c:numRef>
                </c:val>
                <c:smooth val="0"/>
                <c:extLst xmlns:c15="http://schemas.microsoft.com/office/drawing/2012/chart">
                  <c:ext xmlns:c16="http://schemas.microsoft.com/office/drawing/2014/chart" uri="{C3380CC4-5D6E-409C-BE32-E72D297353CC}">
                    <c16:uniqueId val="{0000000C-6C07-44BB-8AD6-2872F2A19E68}"/>
                  </c:ext>
                </c:extLst>
              </c15:ser>
            </c15:filteredLineSeries>
            <c15:filteredLineSeries>
              <c15:ser>
                <c:idx val="11"/>
                <c:order val="16"/>
                <c:tx>
                  <c:strRef>
                    <c:extLst xmlns:c15="http://schemas.microsoft.com/office/drawing/2012/chart">
                      <c:ext xmlns:c15="http://schemas.microsoft.com/office/drawing/2012/chart" uri="{02D57815-91ED-43cb-92C2-25804820EDAC}">
                        <c15:formulaRef>
                          <c15:sqref>'Datos Aeropuerto AMS'!$A$25:$P$25</c15:sqref>
                        </c15:formulaRef>
                      </c:ext>
                    </c:extLst>
                    <c:strCache>
                      <c:ptCount val="16"/>
                      <c:pt idx="0">
                        <c:v>ARRIVING 2005</c:v>
                      </c:pt>
                    </c:strCache>
                  </c:strRef>
                </c:tx>
                <c:spPr>
                  <a:ln w="22225" cap="rnd">
                    <a:solidFill>
                      <a:schemeClr val="accent6">
                        <a:lumMod val="60000"/>
                      </a:schemeClr>
                    </a:solidFill>
                    <a:round/>
                  </a:ln>
                  <a:effectLst/>
                </c:spPr>
                <c:marker>
                  <c:symbol val="triangle"/>
                  <c:size val="6"/>
                  <c:spPr>
                    <a:solidFill>
                      <a:schemeClr val="accent6">
                        <a:lumMod val="60000"/>
                      </a:schemeClr>
                    </a:solidFill>
                    <a:ln w="9525">
                      <a:solidFill>
                        <a:schemeClr val="accent6">
                          <a:lumMod val="60000"/>
                        </a:schemeClr>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AMS'!$C$29:$N$29</c15:sqref>
                        </c15:formulaRef>
                      </c:ext>
                    </c:extLst>
                    <c:numCache>
                      <c:formatCode>#,##0</c:formatCode>
                      <c:ptCount val="12"/>
                      <c:pt idx="0">
                        <c:v>77668</c:v>
                      </c:pt>
                      <c:pt idx="1">
                        <c:v>71539</c:v>
                      </c:pt>
                      <c:pt idx="2">
                        <c:v>82054</c:v>
                      </c:pt>
                      <c:pt idx="3" formatCode="_ * #,##0_ ;_ * \-#,##0_ ;_ * &quot;-&quot;??_ ;_ @_ ">
                        <c:v>72138</c:v>
                      </c:pt>
                      <c:pt idx="4" formatCode="_ * #,##0_ ;_ * \-#,##0_ ;_ * &quot;-&quot;??_ ;_ @_ ">
                        <c:v>78296</c:v>
                      </c:pt>
                      <c:pt idx="5">
                        <c:v>82716</c:v>
                      </c:pt>
                      <c:pt idx="6">
                        <c:v>78580</c:v>
                      </c:pt>
                      <c:pt idx="7">
                        <c:v>85731</c:v>
                      </c:pt>
                      <c:pt idx="8">
                        <c:v>83409</c:v>
                      </c:pt>
                      <c:pt idx="9">
                        <c:v>85215</c:v>
                      </c:pt>
                      <c:pt idx="10">
                        <c:v>87739</c:v>
                      </c:pt>
                      <c:pt idx="11" formatCode="0">
                        <c:v>89220</c:v>
                      </c:pt>
                    </c:numCache>
                  </c:numRef>
                </c:val>
                <c:smooth val="0"/>
                <c:extLst xmlns:c15="http://schemas.microsoft.com/office/drawing/2012/chart">
                  <c:ext xmlns:c16="http://schemas.microsoft.com/office/drawing/2014/chart" uri="{C3380CC4-5D6E-409C-BE32-E72D297353CC}">
                    <c16:uniqueId val="{0000000D-6C07-44BB-8AD6-2872F2A19E68}"/>
                  </c:ext>
                </c:extLst>
              </c15:ser>
            </c15:filteredLineSeries>
            <c15:filteredLineSeries>
              <c15:ser>
                <c:idx val="12"/>
                <c:order val="17"/>
                <c:tx>
                  <c:strRef>
                    <c:extLst xmlns:c15="http://schemas.microsoft.com/office/drawing/2012/chart">
                      <c:ext xmlns:c15="http://schemas.microsoft.com/office/drawing/2012/chart" uri="{02D57815-91ED-43cb-92C2-25804820EDAC}">
                        <c15:formulaRef>
                          <c15:sqref>'Datos Aeropuerto AMS'!$A$13:$P$13</c15:sqref>
                        </c15:formulaRef>
                      </c:ext>
                    </c:extLst>
                    <c:strCache>
                      <c:ptCount val="16"/>
                      <c:pt idx="0">
                        <c:v>ARRIVING 2004</c:v>
                      </c:pt>
                    </c:strCache>
                  </c:strRef>
                </c:tx>
                <c:spPr>
                  <a:ln w="22225" cap="rnd">
                    <a:solidFill>
                      <a:schemeClr val="accent1">
                        <a:lumMod val="80000"/>
                        <a:lumOff val="20000"/>
                      </a:schemeClr>
                    </a:solidFill>
                    <a:round/>
                  </a:ln>
                  <a:effectLst/>
                </c:spPr>
                <c:marker>
                  <c:symbol val="x"/>
                  <c:size val="6"/>
                  <c:spPr>
                    <a:noFill/>
                    <a:ln w="9525">
                      <a:solidFill>
                        <a:schemeClr val="accent1">
                          <a:lumMod val="80000"/>
                          <a:lumOff val="20000"/>
                        </a:schemeClr>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AMS'!$C$16:$N$16</c15:sqref>
                        </c15:formulaRef>
                      </c:ext>
                    </c:extLst>
                    <c:numCache>
                      <c:formatCode>#,##0</c:formatCode>
                      <c:ptCount val="12"/>
                      <c:pt idx="0">
                        <c:v>65458</c:v>
                      </c:pt>
                      <c:pt idx="1">
                        <c:v>62786</c:v>
                      </c:pt>
                      <c:pt idx="2">
                        <c:v>72756</c:v>
                      </c:pt>
                      <c:pt idx="3">
                        <c:v>68331</c:v>
                      </c:pt>
                      <c:pt idx="4">
                        <c:v>69782</c:v>
                      </c:pt>
                      <c:pt idx="5">
                        <c:v>71084</c:v>
                      </c:pt>
                      <c:pt idx="6">
                        <c:v>79716</c:v>
                      </c:pt>
                      <c:pt idx="7">
                        <c:v>79774</c:v>
                      </c:pt>
                      <c:pt idx="8">
                        <c:v>70725</c:v>
                      </c:pt>
                      <c:pt idx="9">
                        <c:v>74138</c:v>
                      </c:pt>
                      <c:pt idx="10">
                        <c:v>72607</c:v>
                      </c:pt>
                      <c:pt idx="11">
                        <c:v>76466</c:v>
                      </c:pt>
                    </c:numCache>
                  </c:numRef>
                </c:val>
                <c:smooth val="0"/>
                <c:extLst xmlns:c15="http://schemas.microsoft.com/office/drawing/2012/chart">
                  <c:ext xmlns:c16="http://schemas.microsoft.com/office/drawing/2014/chart" uri="{C3380CC4-5D6E-409C-BE32-E72D297353CC}">
                    <c16:uniqueId val="{0000000E-6C07-44BB-8AD6-2872F2A19E68}"/>
                  </c:ext>
                </c:extLst>
              </c15:ser>
            </c15:filteredLineSeries>
            <c15:filteredLineSeries>
              <c15:ser>
                <c:idx val="13"/>
                <c:order val="18"/>
                <c:tx>
                  <c:strRef>
                    <c:extLst xmlns:c15="http://schemas.microsoft.com/office/drawing/2012/chart">
                      <c:ext xmlns:c15="http://schemas.microsoft.com/office/drawing/2012/chart" uri="{02D57815-91ED-43cb-92C2-25804820EDAC}">
                        <c15:formulaRef>
                          <c15:sqref>'Datos Aeropuerto AMS'!$A$5:$P$5</c15:sqref>
                        </c15:formulaRef>
                      </c:ext>
                    </c:extLst>
                    <c:strCache>
                      <c:ptCount val="16"/>
                      <c:pt idx="0">
                        <c:v>ARRIVING 2003</c:v>
                      </c:pt>
                    </c:strCache>
                  </c:strRef>
                </c:tx>
                <c:spPr>
                  <a:ln w="22225" cap="rnd">
                    <a:solidFill>
                      <a:schemeClr val="accent2">
                        <a:lumMod val="80000"/>
                        <a:lumOff val="20000"/>
                      </a:schemeClr>
                    </a:solidFill>
                    <a:round/>
                  </a:ln>
                  <a:effectLst/>
                </c:spPr>
                <c:marker>
                  <c:symbol val="star"/>
                  <c:size val="6"/>
                  <c:spPr>
                    <a:noFill/>
                    <a:ln w="9525">
                      <a:solidFill>
                        <a:schemeClr val="accent2">
                          <a:lumMod val="80000"/>
                          <a:lumOff val="20000"/>
                        </a:schemeClr>
                      </a:solidFill>
                      <a:round/>
                    </a:ln>
                    <a:effectLst/>
                  </c:spPr>
                </c:marker>
                <c:cat>
                  <c:strRef>
                    <c:extLst xmlns:c15="http://schemas.microsoft.com/office/drawing/2012/chart">
                      <c:ext xmlns:c15="http://schemas.microsoft.com/office/drawing/2012/chart" uri="{02D57815-91ED-43cb-92C2-25804820EDAC}">
                        <c15:formulaRef>
                          <c15:sqref>'Datos Aeropuerto AMS'!$C$210:$N$210</c15:sqref>
                        </c15:formulaRef>
                      </c:ext>
                    </c:extLst>
                    <c:strCache>
                      <c:ptCount val="12"/>
                      <c:pt idx="0">
                        <c:v>JAN</c:v>
                      </c:pt>
                      <c:pt idx="1">
                        <c:v>FEB</c:v>
                      </c:pt>
                      <c:pt idx="2">
                        <c:v>MAR</c:v>
                      </c:pt>
                      <c:pt idx="3">
                        <c:v>APRIL</c:v>
                      </c:pt>
                      <c:pt idx="4">
                        <c:v>MAY</c:v>
                      </c:pt>
                      <c:pt idx="5">
                        <c:v>JUN</c:v>
                      </c:pt>
                      <c:pt idx="6">
                        <c:v>JULY</c:v>
                      </c:pt>
                      <c:pt idx="7">
                        <c:v>AUG</c:v>
                      </c:pt>
                      <c:pt idx="8">
                        <c:v>SEP</c:v>
                      </c:pt>
                      <c:pt idx="9">
                        <c:v>OCT</c:v>
                      </c:pt>
                      <c:pt idx="10">
                        <c:v>NOV</c:v>
                      </c:pt>
                      <c:pt idx="11">
                        <c:v>DEC</c:v>
                      </c:pt>
                    </c:strCache>
                  </c:strRef>
                </c:cat>
                <c:val>
                  <c:numRef>
                    <c:extLst xmlns:c15="http://schemas.microsoft.com/office/drawing/2012/chart">
                      <c:ext xmlns:c15="http://schemas.microsoft.com/office/drawing/2012/chart" uri="{02D57815-91ED-43cb-92C2-25804820EDAC}">
                        <c15:formulaRef>
                          <c15:sqref>'Datos Aeropuerto AMS'!$C$8:$N$8</c15:sqref>
                        </c15:formulaRef>
                      </c:ext>
                    </c:extLst>
                    <c:numCache>
                      <c:formatCode>_ * #,##0_ ;_ * \-#,##0_ ;_ * "-"??_ ;_ @_ </c:formatCode>
                      <c:ptCount val="12"/>
                      <c:pt idx="0">
                        <c:v>60720</c:v>
                      </c:pt>
                      <c:pt idx="1">
                        <c:v>56388</c:v>
                      </c:pt>
                      <c:pt idx="2">
                        <c:v>55866</c:v>
                      </c:pt>
                      <c:pt idx="3">
                        <c:v>59180</c:v>
                      </c:pt>
                      <c:pt idx="4">
                        <c:v>66245</c:v>
                      </c:pt>
                      <c:pt idx="5">
                        <c:v>63734</c:v>
                      </c:pt>
                      <c:pt idx="6">
                        <c:v>72545</c:v>
                      </c:pt>
                      <c:pt idx="7">
                        <c:v>72575</c:v>
                      </c:pt>
                      <c:pt idx="8">
                        <c:v>64663</c:v>
                      </c:pt>
                      <c:pt idx="9">
                        <c:v>67901</c:v>
                      </c:pt>
                      <c:pt idx="10">
                        <c:v>66498</c:v>
                      </c:pt>
                      <c:pt idx="11">
                        <c:v>66128</c:v>
                      </c:pt>
                    </c:numCache>
                  </c:numRef>
                </c:val>
                <c:smooth val="0"/>
                <c:extLst xmlns:c15="http://schemas.microsoft.com/office/drawing/2012/chart">
                  <c:ext xmlns:c16="http://schemas.microsoft.com/office/drawing/2014/chart" uri="{C3380CC4-5D6E-409C-BE32-E72D297353CC}">
                    <c16:uniqueId val="{0000000F-6C07-44BB-8AD6-2872F2A19E68}"/>
                  </c:ext>
                </c:extLst>
              </c15:ser>
            </c15:filteredLineSeries>
          </c:ext>
        </c:extLst>
      </c:lineChart>
      <c:catAx>
        <c:axId val="-957752672"/>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es-EC"/>
          </a:p>
        </c:txPr>
        <c:crossAx val="-957748320"/>
        <c:crosses val="autoZero"/>
        <c:auto val="1"/>
        <c:lblAlgn val="ctr"/>
        <c:lblOffset val="100"/>
        <c:noMultiLvlLbl val="0"/>
      </c:catAx>
      <c:valAx>
        <c:axId val="-957748320"/>
        <c:scaling>
          <c:orientation val="minMax"/>
          <c:min val="0"/>
        </c:scaling>
        <c:delete val="0"/>
        <c:axPos val="l"/>
        <c:numFmt formatCode="#,##0"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752672"/>
        <c:crosses val="autoZero"/>
        <c:crossBetween val="between"/>
        <c:majorUnit val="10000"/>
        <c:minorUnit val="10000"/>
      </c:valAx>
      <c:spPr>
        <a:noFill/>
        <a:ln>
          <a:noFill/>
        </a:ln>
        <a:effectLst/>
      </c:spPr>
    </c:plotArea>
    <c:legend>
      <c:legendPos val="t"/>
      <c:layout>
        <c:manualLayout>
          <c:xMode val="edge"/>
          <c:yMode val="edge"/>
          <c:x val="0.90269395633047933"/>
          <c:y val="5.477511562011135E-2"/>
          <c:w val="9.7306043669520698E-2"/>
          <c:h val="8.60755833217864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'Datos Aeropuerto AMS'!$A$2:$P$2</c:f>
          <c:strCache>
            <c:ptCount val="16"/>
            <c:pt idx="0">
              <c:v>ARRIVING PASSENGERS STATISTICS</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0"/>
          <c:order val="0"/>
          <c:tx>
            <c:strRef>
              <c:f>'Datos Aeropuerto AMS'!$A$223</c:f>
              <c:strCache>
                <c:ptCount val="1"/>
                <c:pt idx="0">
                  <c:v>INTERNATIONAL</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extLst>
                <c:ext xmlns:c15="http://schemas.microsoft.com/office/drawing/2012/chart" uri="{02D57815-91ED-43cb-92C2-25804820EDAC}">
                  <c15:fullRef>
                    <c15:sqref>('Datos Aeropuerto AMS'!$A$51:$P$51,'Datos Aeropuerto AMS'!$A$63:$P$63,'Datos Aeropuerto AMS'!$A$76:$P$76,'Datos Aeropuerto AMS'!$A$89:$P$89,'Datos Aeropuerto AMS'!$A$101:$P$101,'Datos Aeropuerto AMS'!$A$113:$P$113,'Datos Aeropuerto AMS'!$A$125:$P$125,'Datos Aeropuerto AMS'!$A$137:$P$137,'Datos Aeropuerto AMS'!$A$149:$P$149,'Datos Aeropuerto AMS'!$A$161:$P$161,'Datos Aeropuerto AMS'!$A$173:$P$173,'Datos Aeropuerto AMS'!$A$185:$O$185,'Datos Aeropuerto AMS'!$A$197:$O$197,'Datos Aeropuerto AMS'!$A$209:$O$209,'Datos Aeropuerto AMS'!$A$221:$O$221)</c15:sqref>
                  </c15:fullRef>
                </c:ext>
              </c:extLst>
              <c:f>('Datos Aeropuerto AMS'!$A$51:$F$51,'Datos Aeropuerto AMS'!$H$51:$P$51,'Datos Aeropuerto AMS'!$A$63:$P$63,'Datos Aeropuerto AMS'!$A$76:$P$76,'Datos Aeropuerto AMS'!$A$89:$P$89,'Datos Aeropuerto AMS'!$A$101:$P$101,'Datos Aeropuerto AMS'!$A$113:$P$113,'Datos Aeropuerto AMS'!$A$125:$P$125,'Datos Aeropuerto AMS'!$A$137:$P$137,'Datos Aeropuerto AMS'!$A$149:$P$149,'Datos Aeropuerto AMS'!$A$161:$P$161,'Datos Aeropuerto AMS'!$A$173:$P$173,'Datos Aeropuerto AMS'!$A$185:$O$185,'Datos Aeropuerto AMS'!$A$197:$O$197,'Datos Aeropuerto AMS'!$A$209:$O$209,'Datos Aeropuerto AMS'!$A$221:$O$221)</c:f>
              <c:strCache>
                <c:ptCount val="14"/>
                <c:pt idx="0">
                  <c:v>ARRIVING 2007</c:v>
                </c:pt>
                <c:pt idx="1">
                  <c:v>ARRIVING 2008</c:v>
                </c:pt>
                <c:pt idx="2">
                  <c:v>ARRIVING 2009</c:v>
                </c:pt>
                <c:pt idx="3">
                  <c:v>ARRIVING 2010</c:v>
                </c:pt>
                <c:pt idx="4">
                  <c:v>ARRIVING 2011</c:v>
                </c:pt>
                <c:pt idx="5">
                  <c:v>ARRIVING 2012</c:v>
                </c:pt>
                <c:pt idx="6">
                  <c:v>ARRIVING 2014</c:v>
                </c:pt>
                <c:pt idx="7">
                  <c:v>ARRIVING 2015</c:v>
                </c:pt>
                <c:pt idx="8">
                  <c:v>ARRIVING 2016</c:v>
                </c:pt>
                <c:pt idx="9">
                  <c:v>ARRIVING 2017</c:v>
                </c:pt>
                <c:pt idx="10">
                  <c:v>ARRIVING 2018</c:v>
                </c:pt>
                <c:pt idx="11">
                  <c:v>ARRIVING 2019</c:v>
                </c:pt>
                <c:pt idx="12">
                  <c:v>ARRIVING 2020</c:v>
                </c:pt>
                <c:pt idx="13">
                  <c:v>ARRIVING 2021</c:v>
                </c:pt>
              </c:strCache>
            </c:strRef>
          </c:cat>
          <c:val>
            <c:numRef>
              <c:extLst>
                <c:ext xmlns:c15="http://schemas.microsoft.com/office/drawing/2012/chart" uri="{02D57815-91ED-43cb-92C2-25804820EDAC}">
                  <c15:fullRef>
                    <c15:sqref>('Datos Aeropuerto AMS'!$P$53,'Datos Aeropuerto AMS'!$P$65,'Datos Aeropuerto AMS'!$P$78,'Datos Aeropuerto AMS'!$P$91,'Datos Aeropuerto AMS'!$P$103,'Datos Aeropuerto AMS'!$P$115,'Datos Aeropuerto AMS'!$P$127,'Datos Aeropuerto AMS'!$P$139,'Datos Aeropuerto AMS'!$P$151,'Datos Aeropuerto AMS'!$P$163,'Datos Aeropuerto AMS'!$P$175,'Datos Aeropuerto AMS'!$P$187,'Datos Aeropuerto AMS'!$P$199,'Datos Aeropuerto AMS'!$P$211,'Datos Aeropuerto AMS'!$P$223)</c15:sqref>
                  </c15:fullRef>
                </c:ext>
              </c:extLst>
              <c:f>('Datos Aeropuerto AMS'!$P$53,'Datos Aeropuerto AMS'!$P$65,'Datos Aeropuerto AMS'!$P$78,'Datos Aeropuerto AMS'!$P$91,'Datos Aeropuerto AMS'!$P$103,'Datos Aeropuerto AMS'!$P$115,'Datos Aeropuerto AMS'!$P$139,'Datos Aeropuerto AMS'!$P$151,'Datos Aeropuerto AMS'!$P$163,'Datos Aeropuerto AMS'!$P$175,'Datos Aeropuerto AMS'!$P$187,'Datos Aeropuerto AMS'!$P$199,'Datos Aeropuerto AMS'!$P$211,'Datos Aeropuerto AMS'!$P$223)</c:f>
              <c:numCache>
                <c:formatCode>_ * #,##0_ ;_ * \-#,##0_ ;_ * "-"??_ ;_ @_ </c:formatCode>
                <c:ptCount val="14"/>
                <c:pt idx="0">
                  <c:v>775494</c:v>
                </c:pt>
                <c:pt idx="1">
                  <c:v>791950</c:v>
                </c:pt>
                <c:pt idx="2">
                  <c:v>818875</c:v>
                </c:pt>
                <c:pt idx="3">
                  <c:v>865470</c:v>
                </c:pt>
                <c:pt idx="4">
                  <c:v>861811</c:v>
                </c:pt>
                <c:pt idx="5">
                  <c:v>962752</c:v>
                </c:pt>
                <c:pt idx="6">
                  <c:v>1190692</c:v>
                </c:pt>
                <c:pt idx="7">
                  <c:v>1215331</c:v>
                </c:pt>
                <c:pt idx="8">
                  <c:v>1095108</c:v>
                </c:pt>
                <c:pt idx="9">
                  <c:v>1144115</c:v>
                </c:pt>
                <c:pt idx="10">
                  <c:v>1217197</c:v>
                </c:pt>
                <c:pt idx="11">
                  <c:v>1180914</c:v>
                </c:pt>
                <c:pt idx="12">
                  <c:v>344539</c:v>
                </c:pt>
                <c:pt idx="13">
                  <c:v>577049</c:v>
                </c:pt>
              </c:numCache>
            </c:numRef>
          </c:val>
          <c:smooth val="0"/>
          <c:extLst>
            <c:ext xmlns:c16="http://schemas.microsoft.com/office/drawing/2014/chart" uri="{C3380CC4-5D6E-409C-BE32-E72D297353CC}">
              <c16:uniqueId val="{00000000-B43D-40A9-91F8-62292B641B96}"/>
            </c:ext>
          </c:extLst>
        </c:ser>
        <c:ser>
          <c:idx val="1"/>
          <c:order val="1"/>
          <c:tx>
            <c:strRef>
              <c:f>'Datos Aeropuerto AMS'!$A$230</c:f>
              <c:strCache>
                <c:ptCount val="1"/>
                <c:pt idx="0">
                  <c:v>DOMESTIC</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Ref>
              <c:extLst>
                <c:ext xmlns:c15="http://schemas.microsoft.com/office/drawing/2012/chart" uri="{02D57815-91ED-43cb-92C2-25804820EDAC}">
                  <c15:fullRef>
                    <c15:sqref>('Datos Aeropuerto AMS'!$A$51:$P$51,'Datos Aeropuerto AMS'!$A$63:$P$63,'Datos Aeropuerto AMS'!$A$76:$P$76,'Datos Aeropuerto AMS'!$A$89:$P$89,'Datos Aeropuerto AMS'!$A$101:$P$101,'Datos Aeropuerto AMS'!$A$113:$P$113,'Datos Aeropuerto AMS'!$A$125:$P$125,'Datos Aeropuerto AMS'!$A$137:$P$137,'Datos Aeropuerto AMS'!$A$149:$P$149,'Datos Aeropuerto AMS'!$A$161:$P$161,'Datos Aeropuerto AMS'!$A$173:$P$173,'Datos Aeropuerto AMS'!$A$185:$O$185,'Datos Aeropuerto AMS'!$A$197:$O$197,'Datos Aeropuerto AMS'!$A$209:$O$209,'Datos Aeropuerto AMS'!$A$221:$O$221)</c15:sqref>
                  </c15:fullRef>
                </c:ext>
              </c:extLst>
              <c:f>('Datos Aeropuerto AMS'!$A$51:$F$51,'Datos Aeropuerto AMS'!$H$51:$P$51,'Datos Aeropuerto AMS'!$A$63:$P$63,'Datos Aeropuerto AMS'!$A$76:$P$76,'Datos Aeropuerto AMS'!$A$89:$P$89,'Datos Aeropuerto AMS'!$A$101:$P$101,'Datos Aeropuerto AMS'!$A$113:$P$113,'Datos Aeropuerto AMS'!$A$125:$P$125,'Datos Aeropuerto AMS'!$A$137:$P$137,'Datos Aeropuerto AMS'!$A$149:$P$149,'Datos Aeropuerto AMS'!$A$161:$P$161,'Datos Aeropuerto AMS'!$A$173:$P$173,'Datos Aeropuerto AMS'!$A$185:$O$185,'Datos Aeropuerto AMS'!$A$197:$O$197,'Datos Aeropuerto AMS'!$A$209:$O$209,'Datos Aeropuerto AMS'!$A$221:$O$221)</c:f>
              <c:strCache>
                <c:ptCount val="14"/>
                <c:pt idx="0">
                  <c:v>ARRIVING 2007</c:v>
                </c:pt>
                <c:pt idx="1">
                  <c:v>ARRIVING 2008</c:v>
                </c:pt>
                <c:pt idx="2">
                  <c:v>ARRIVING 2009</c:v>
                </c:pt>
                <c:pt idx="3">
                  <c:v>ARRIVING 2010</c:v>
                </c:pt>
                <c:pt idx="4">
                  <c:v>ARRIVING 2011</c:v>
                </c:pt>
                <c:pt idx="5">
                  <c:v>ARRIVING 2012</c:v>
                </c:pt>
                <c:pt idx="6">
                  <c:v>ARRIVING 2014</c:v>
                </c:pt>
                <c:pt idx="7">
                  <c:v>ARRIVING 2015</c:v>
                </c:pt>
                <c:pt idx="8">
                  <c:v>ARRIVING 2016</c:v>
                </c:pt>
                <c:pt idx="9">
                  <c:v>ARRIVING 2017</c:v>
                </c:pt>
                <c:pt idx="10">
                  <c:v>ARRIVING 2018</c:v>
                </c:pt>
                <c:pt idx="11">
                  <c:v>ARRIVING 2019</c:v>
                </c:pt>
                <c:pt idx="12">
                  <c:v>ARRIVING 2020</c:v>
                </c:pt>
                <c:pt idx="13">
                  <c:v>ARRIVING 2021</c:v>
                </c:pt>
              </c:strCache>
            </c:strRef>
          </c:cat>
          <c:val>
            <c:numRef>
              <c:extLst>
                <c:ext xmlns:c15="http://schemas.microsoft.com/office/drawing/2012/chart" uri="{02D57815-91ED-43cb-92C2-25804820EDAC}">
                  <c15:fullRef>
                    <c15:sqref>('Datos Aeropuerto AMS'!$P$55,'Datos Aeropuerto AMS'!$P$67,'Datos Aeropuerto AMS'!$P$80,'Datos Aeropuerto AMS'!$P$93,'Datos Aeropuerto AMS'!$P$105,'Datos Aeropuerto AMS'!$P$117,'Datos Aeropuerto AMS'!$P$129,'Datos Aeropuerto AMS'!$P$141,'Datos Aeropuerto AMS'!$P$153,'Datos Aeropuerto AMS'!$P$165,'Datos Aeropuerto AMS'!$P$177,'Datos Aeropuerto AMS'!$P$189,'Datos Aeropuerto AMS'!$P$201,'Datos Aeropuerto AMS'!$P$213,'Datos Aeropuerto AMS'!$P$225)</c15:sqref>
                  </c15:fullRef>
                </c:ext>
              </c:extLst>
              <c:f>('Datos Aeropuerto AMS'!$P$55,'Datos Aeropuerto AMS'!$P$67,'Datos Aeropuerto AMS'!$P$80,'Datos Aeropuerto AMS'!$P$93,'Datos Aeropuerto AMS'!$P$105,'Datos Aeropuerto AMS'!$P$117,'Datos Aeropuerto AMS'!$P$141,'Datos Aeropuerto AMS'!$P$153,'Datos Aeropuerto AMS'!$P$165,'Datos Aeropuerto AMS'!$P$177,'Datos Aeropuerto AMS'!$P$189,'Datos Aeropuerto AMS'!$P$201,'Datos Aeropuerto AMS'!$P$213,'Datos Aeropuerto AMS'!$P$225)</c:f>
              <c:numCache>
                <c:formatCode>_ * #,##0_ ;_ * \-#,##0_ ;_ * "-"??_ ;_ @_ </c:formatCode>
                <c:ptCount val="14"/>
                <c:pt idx="0">
                  <c:v>1353045</c:v>
                </c:pt>
                <c:pt idx="1">
                  <c:v>1459550</c:v>
                </c:pt>
                <c:pt idx="2">
                  <c:v>1533213</c:v>
                </c:pt>
                <c:pt idx="3">
                  <c:v>1642928</c:v>
                </c:pt>
                <c:pt idx="4">
                  <c:v>1824792</c:v>
                </c:pt>
                <c:pt idx="5">
                  <c:v>1664689</c:v>
                </c:pt>
                <c:pt idx="6">
                  <c:v>1626716</c:v>
                </c:pt>
                <c:pt idx="7">
                  <c:v>1478683</c:v>
                </c:pt>
                <c:pt idx="8">
                  <c:v>1313422</c:v>
                </c:pt>
                <c:pt idx="9">
                  <c:v>1303363</c:v>
                </c:pt>
                <c:pt idx="10">
                  <c:v>1399107</c:v>
                </c:pt>
                <c:pt idx="11">
                  <c:v>1321875</c:v>
                </c:pt>
                <c:pt idx="12">
                  <c:v>403757</c:v>
                </c:pt>
                <c:pt idx="13">
                  <c:v>576617</c:v>
                </c:pt>
              </c:numCache>
            </c:numRef>
          </c:val>
          <c:smooth val="0"/>
          <c:extLst>
            <c:ext xmlns:c16="http://schemas.microsoft.com/office/drawing/2014/chart" uri="{C3380CC4-5D6E-409C-BE32-E72D297353CC}">
              <c16:uniqueId val="{00000001-B43D-40A9-91F8-62292B641B96}"/>
            </c:ext>
          </c:extLst>
        </c:ser>
        <c:ser>
          <c:idx val="2"/>
          <c:order val="2"/>
          <c:tx>
            <c:strRef>
              <c:f>'Datos Aeropuerto AMS'!$A$231</c:f>
              <c:strCache>
                <c:ptCount val="1"/>
                <c:pt idx="0">
                  <c:v>TOTAL</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extLst>
                <c:ext xmlns:c15="http://schemas.microsoft.com/office/drawing/2012/chart" uri="{02D57815-91ED-43cb-92C2-25804820EDAC}">
                  <c15:fullRef>
                    <c15:sqref>('Datos Aeropuerto AMS'!$A$51:$P$51,'Datos Aeropuerto AMS'!$A$63:$P$63,'Datos Aeropuerto AMS'!$A$76:$P$76,'Datos Aeropuerto AMS'!$A$89:$P$89,'Datos Aeropuerto AMS'!$A$101:$P$101,'Datos Aeropuerto AMS'!$A$113:$P$113,'Datos Aeropuerto AMS'!$A$125:$P$125,'Datos Aeropuerto AMS'!$A$137:$P$137,'Datos Aeropuerto AMS'!$A$149:$P$149,'Datos Aeropuerto AMS'!$A$161:$P$161,'Datos Aeropuerto AMS'!$A$173:$P$173,'Datos Aeropuerto AMS'!$A$185:$O$185,'Datos Aeropuerto AMS'!$A$197:$O$197,'Datos Aeropuerto AMS'!$A$209:$O$209,'Datos Aeropuerto AMS'!$A$221:$O$221)</c15:sqref>
                  </c15:fullRef>
                </c:ext>
              </c:extLst>
              <c:f>('Datos Aeropuerto AMS'!$A$51:$F$51,'Datos Aeropuerto AMS'!$H$51:$P$51,'Datos Aeropuerto AMS'!$A$63:$P$63,'Datos Aeropuerto AMS'!$A$76:$P$76,'Datos Aeropuerto AMS'!$A$89:$P$89,'Datos Aeropuerto AMS'!$A$101:$P$101,'Datos Aeropuerto AMS'!$A$113:$P$113,'Datos Aeropuerto AMS'!$A$125:$P$125,'Datos Aeropuerto AMS'!$A$137:$P$137,'Datos Aeropuerto AMS'!$A$149:$P$149,'Datos Aeropuerto AMS'!$A$161:$P$161,'Datos Aeropuerto AMS'!$A$173:$P$173,'Datos Aeropuerto AMS'!$A$185:$O$185,'Datos Aeropuerto AMS'!$A$197:$O$197,'Datos Aeropuerto AMS'!$A$209:$O$209,'Datos Aeropuerto AMS'!$A$221:$O$221)</c:f>
              <c:strCache>
                <c:ptCount val="14"/>
                <c:pt idx="0">
                  <c:v>ARRIVING 2007</c:v>
                </c:pt>
                <c:pt idx="1">
                  <c:v>ARRIVING 2008</c:v>
                </c:pt>
                <c:pt idx="2">
                  <c:v>ARRIVING 2009</c:v>
                </c:pt>
                <c:pt idx="3">
                  <c:v>ARRIVING 2010</c:v>
                </c:pt>
                <c:pt idx="4">
                  <c:v>ARRIVING 2011</c:v>
                </c:pt>
                <c:pt idx="5">
                  <c:v>ARRIVING 2012</c:v>
                </c:pt>
                <c:pt idx="6">
                  <c:v>ARRIVING 2014</c:v>
                </c:pt>
                <c:pt idx="7">
                  <c:v>ARRIVING 2015</c:v>
                </c:pt>
                <c:pt idx="8">
                  <c:v>ARRIVING 2016</c:v>
                </c:pt>
                <c:pt idx="9">
                  <c:v>ARRIVING 2017</c:v>
                </c:pt>
                <c:pt idx="10">
                  <c:v>ARRIVING 2018</c:v>
                </c:pt>
                <c:pt idx="11">
                  <c:v>ARRIVING 2019</c:v>
                </c:pt>
                <c:pt idx="12">
                  <c:v>ARRIVING 2020</c:v>
                </c:pt>
                <c:pt idx="13">
                  <c:v>ARRIVING 2021</c:v>
                </c:pt>
              </c:strCache>
            </c:strRef>
          </c:cat>
          <c:val>
            <c:numRef>
              <c:extLst>
                <c:ext xmlns:c15="http://schemas.microsoft.com/office/drawing/2012/chart" uri="{02D57815-91ED-43cb-92C2-25804820EDAC}">
                  <c15:fullRef>
                    <c15:sqref>('Datos Aeropuerto AMS'!$P$56,'Datos Aeropuerto AMS'!$P$68,'Datos Aeropuerto AMS'!$P$81,'Datos Aeropuerto AMS'!$P$94,'Datos Aeropuerto AMS'!$P$106,'Datos Aeropuerto AMS'!$P$118,'Datos Aeropuerto AMS'!$P$130,'Datos Aeropuerto AMS'!$P$142,'Datos Aeropuerto AMS'!$P$154,'Datos Aeropuerto AMS'!$P$166,'Datos Aeropuerto AMS'!$P$178,'Datos Aeropuerto AMS'!$P$190,'Datos Aeropuerto AMS'!$P$202,'Datos Aeropuerto AMS'!$P$214,'Datos Aeropuerto AMS'!$P$226)</c15:sqref>
                  </c15:fullRef>
                </c:ext>
              </c:extLst>
              <c:f>('Datos Aeropuerto AMS'!$P$56,'Datos Aeropuerto AMS'!$P$68,'Datos Aeropuerto AMS'!$P$81,'Datos Aeropuerto AMS'!$P$94,'Datos Aeropuerto AMS'!$P$106,'Datos Aeropuerto AMS'!$P$118,'Datos Aeropuerto AMS'!$P$142,'Datos Aeropuerto AMS'!$P$154,'Datos Aeropuerto AMS'!$P$166,'Datos Aeropuerto AMS'!$P$178,'Datos Aeropuerto AMS'!$P$190,'Datos Aeropuerto AMS'!$P$202,'Datos Aeropuerto AMS'!$P$214,'Datos Aeropuerto AMS'!$P$226)</c:f>
              <c:numCache>
                <c:formatCode>#,##0</c:formatCode>
                <c:ptCount val="14"/>
                <c:pt idx="0">
                  <c:v>2128539</c:v>
                </c:pt>
                <c:pt idx="1">
                  <c:v>2251500</c:v>
                </c:pt>
                <c:pt idx="2">
                  <c:v>2352088</c:v>
                </c:pt>
                <c:pt idx="3">
                  <c:v>2508398</c:v>
                </c:pt>
                <c:pt idx="4">
                  <c:v>2686603</c:v>
                </c:pt>
                <c:pt idx="5">
                  <c:v>2627441</c:v>
                </c:pt>
                <c:pt idx="6">
                  <c:v>2817408</c:v>
                </c:pt>
                <c:pt idx="7">
                  <c:v>2694014</c:v>
                </c:pt>
                <c:pt idx="8">
                  <c:v>2408530</c:v>
                </c:pt>
                <c:pt idx="9">
                  <c:v>2447478</c:v>
                </c:pt>
                <c:pt idx="10">
                  <c:v>2616304</c:v>
                </c:pt>
                <c:pt idx="11">
                  <c:v>2502789</c:v>
                </c:pt>
                <c:pt idx="12">
                  <c:v>748296</c:v>
                </c:pt>
                <c:pt idx="13">
                  <c:v>1153666</c:v>
                </c:pt>
              </c:numCache>
            </c:numRef>
          </c:val>
          <c:smooth val="0"/>
          <c:extLst>
            <c:ext xmlns:c16="http://schemas.microsoft.com/office/drawing/2014/chart" uri="{C3380CC4-5D6E-409C-BE32-E72D297353CC}">
              <c16:uniqueId val="{00000002-B43D-40A9-91F8-62292B641B96}"/>
            </c:ext>
          </c:extLst>
        </c:ser>
        <c:dLbls>
          <c:showLegendKey val="0"/>
          <c:showVal val="0"/>
          <c:showCatName val="0"/>
          <c:showSerName val="0"/>
          <c:showPercent val="0"/>
          <c:showBubbleSize val="0"/>
        </c:dLbls>
        <c:marker val="1"/>
        <c:smooth val="0"/>
        <c:axId val="-957761376"/>
        <c:axId val="-957759200"/>
      </c:lineChart>
      <c:catAx>
        <c:axId val="-9577613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mn-ea"/>
                <a:cs typeface="+mn-cs"/>
              </a:defRPr>
            </a:pPr>
            <a:endParaRPr lang="es-EC"/>
          </a:p>
        </c:txPr>
        <c:crossAx val="-957759200"/>
        <c:crosses val="autoZero"/>
        <c:auto val="1"/>
        <c:lblAlgn val="ctr"/>
        <c:lblOffset val="100"/>
        <c:noMultiLvlLbl val="0"/>
      </c:catAx>
      <c:valAx>
        <c:axId val="-957759200"/>
        <c:scaling>
          <c:orientation val="minMax"/>
        </c:scaling>
        <c:delete val="0"/>
        <c:axPos val="l"/>
        <c:majorGridlines>
          <c:spPr>
            <a:ln w="9525" cap="flat" cmpd="sng" algn="ctr">
              <a:solidFill>
                <a:schemeClr val="tx1">
                  <a:lumMod val="15000"/>
                  <a:lumOff val="85000"/>
                </a:schemeClr>
              </a:solidFill>
              <a:round/>
            </a:ln>
            <a:effectLst/>
          </c:spPr>
        </c:majorGridlines>
        <c:numFmt formatCode="_ * #,##0_ ;_ * \-#,##0_ ;_ * &quot;-&quot;??_ ;_ @_ "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mn-ea"/>
                <a:cs typeface="+mn-cs"/>
              </a:defRPr>
            </a:pPr>
            <a:endParaRPr lang="es-EC"/>
          </a:p>
        </c:txPr>
        <c:crossAx val="-95776137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'Ventas locales tur uio'!$B$1</c:f>
              <c:strCache>
                <c:ptCount val="1"/>
                <c:pt idx="0">
                  <c:v>VENTAS</c:v>
                </c:pt>
              </c:strCache>
            </c:strRef>
          </c:tx>
          <c:spPr>
            <a:solidFill>
              <a:schemeClr val="accent1"/>
            </a:solidFill>
            <a:ln>
              <a:noFill/>
            </a:ln>
            <a:effectLst/>
          </c:spPr>
          <c:invertIfNegative val="0"/>
          <c:cat>
            <c:numRef>
              <c:f>'Ventas locales tur uio'!$A$2:$A$37</c:f>
              <c:numCache>
                <c:formatCode>mmm\-yy</c:formatCode>
                <c:ptCount val="36"/>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pt idx="29">
                  <c:v>44348</c:v>
                </c:pt>
                <c:pt idx="30">
                  <c:v>44378</c:v>
                </c:pt>
                <c:pt idx="31">
                  <c:v>44409</c:v>
                </c:pt>
                <c:pt idx="32">
                  <c:v>44440</c:v>
                </c:pt>
                <c:pt idx="33">
                  <c:v>44470</c:v>
                </c:pt>
                <c:pt idx="34">
                  <c:v>44501</c:v>
                </c:pt>
                <c:pt idx="35">
                  <c:v>44531</c:v>
                </c:pt>
              </c:numCache>
            </c:numRef>
          </c:cat>
          <c:val>
            <c:numRef>
              <c:f>'Ventas locales tur uio'!$B$2:$B$37</c:f>
              <c:numCache>
                <c:formatCode>_(* #,##0.00_);_(* \(#,##0.00\);_(* "-"??_);_(@_)</c:formatCode>
                <c:ptCount val="36"/>
                <c:pt idx="0">
                  <c:v>185.93583840000002</c:v>
                </c:pt>
                <c:pt idx="1">
                  <c:v>177.49347239999997</c:v>
                </c:pt>
                <c:pt idx="2">
                  <c:v>190.69881953999996</c:v>
                </c:pt>
                <c:pt idx="3">
                  <c:v>188.87984379999997</c:v>
                </c:pt>
                <c:pt idx="4">
                  <c:v>193.25981892000001</c:v>
                </c:pt>
                <c:pt idx="5">
                  <c:v>193.91734918999998</c:v>
                </c:pt>
                <c:pt idx="6">
                  <c:v>201.11121925999998</c:v>
                </c:pt>
                <c:pt idx="7">
                  <c:v>196.50047155000004</c:v>
                </c:pt>
                <c:pt idx="8">
                  <c:v>183.39277358999999</c:v>
                </c:pt>
                <c:pt idx="9">
                  <c:v>166.55519826999998</c:v>
                </c:pt>
                <c:pt idx="10">
                  <c:v>183.10376754000004</c:v>
                </c:pt>
                <c:pt idx="11">
                  <c:v>211.50998087000002</c:v>
                </c:pt>
                <c:pt idx="12">
                  <c:v>187.33575468000001</c:v>
                </c:pt>
                <c:pt idx="13">
                  <c:v>174.97352861000005</c:v>
                </c:pt>
                <c:pt idx="14">
                  <c:v>97.286084200000019</c:v>
                </c:pt>
                <c:pt idx="15">
                  <c:v>32.887075919999994</c:v>
                </c:pt>
                <c:pt idx="16">
                  <c:v>43.883115529999991</c:v>
                </c:pt>
                <c:pt idx="17">
                  <c:v>59.829074529999993</c:v>
                </c:pt>
                <c:pt idx="18">
                  <c:v>56.971470939999996</c:v>
                </c:pt>
                <c:pt idx="19">
                  <c:v>67.450219140000016</c:v>
                </c:pt>
                <c:pt idx="20">
                  <c:v>78.645978809999988</c:v>
                </c:pt>
                <c:pt idx="21">
                  <c:v>93.410569959999989</c:v>
                </c:pt>
                <c:pt idx="22">
                  <c:v>92.584608240000009</c:v>
                </c:pt>
                <c:pt idx="23">
                  <c:v>123.71141964</c:v>
                </c:pt>
                <c:pt idx="24">
                  <c:v>85.052170509999996</c:v>
                </c:pt>
                <c:pt idx="25">
                  <c:v>83.981924929999977</c:v>
                </c:pt>
                <c:pt idx="26">
                  <c:v>108.83709476999998</c:v>
                </c:pt>
                <c:pt idx="27">
                  <c:v>101.55051985999998</c:v>
                </c:pt>
                <c:pt idx="28">
                  <c:v>122.20157588999999</c:v>
                </c:pt>
                <c:pt idx="29">
                  <c:v>100.324657192</c:v>
                </c:pt>
                <c:pt idx="30">
                  <c:v>103.37915452839999</c:v>
                </c:pt>
                <c:pt idx="31">
                  <c:v>107.25860044807999</c:v>
                </c:pt>
                <c:pt idx="32">
                  <c:v>106.942901583696</c:v>
                </c:pt>
                <c:pt idx="33">
                  <c:v>108.02137792843519</c:v>
                </c:pt>
                <c:pt idx="34">
                  <c:v>105.18533833612226</c:v>
                </c:pt>
                <c:pt idx="35">
                  <c:v>106.15747456494667</c:v>
                </c:pt>
              </c:numCache>
            </c:numRef>
          </c:val>
          <c:extLst>
            <c:ext xmlns:c16="http://schemas.microsoft.com/office/drawing/2014/chart" uri="{C3380CC4-5D6E-409C-BE32-E72D297353CC}">
              <c16:uniqueId val="{00000000-A34F-4904-9A51-8CF499F6C160}"/>
            </c:ext>
          </c:extLst>
        </c:ser>
        <c:ser>
          <c:idx val="1"/>
          <c:order val="1"/>
          <c:tx>
            <c:strRef>
              <c:f>[5]COMPARATIVO!$C$1</c:f>
              <c:strCache>
                <c:ptCount val="1"/>
                <c:pt idx="0">
                  <c:v>EXPORTACIONES  PETROLERAS</c:v>
                </c:pt>
              </c:strCache>
            </c:strRef>
          </c:tx>
          <c:spPr>
            <a:solidFill>
              <a:schemeClr val="accent2"/>
            </a:solidFill>
            <a:ln>
              <a:noFill/>
            </a:ln>
            <a:effectLst/>
          </c:spPr>
          <c:invertIfNegative val="0"/>
          <c:cat>
            <c:numRef>
              <c:f>[5]COMPARATIVO!$A$2:$A$37</c:f>
              <c:numCache>
                <c:formatCode>General</c:formatCode>
                <c:ptCount val="36"/>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pt idx="29">
                  <c:v>44348</c:v>
                </c:pt>
                <c:pt idx="30">
                  <c:v>44378</c:v>
                </c:pt>
                <c:pt idx="31">
                  <c:v>44409</c:v>
                </c:pt>
                <c:pt idx="32">
                  <c:v>44440</c:v>
                </c:pt>
                <c:pt idx="33">
                  <c:v>44470</c:v>
                </c:pt>
                <c:pt idx="34">
                  <c:v>44501</c:v>
                </c:pt>
                <c:pt idx="35">
                  <c:v>44531</c:v>
                </c:pt>
              </c:numCache>
            </c:numRef>
          </c:cat>
          <c:val>
            <c:numRef>
              <c:f>[5]COMPARATIVO!$C$2:$C$29</c:f>
              <c:numCache>
                <c:formatCode>General</c:formatCode>
                <c:ptCount val="28"/>
              </c:numCache>
            </c:numRef>
          </c:val>
          <c:extLst>
            <c:ext xmlns:c16="http://schemas.microsoft.com/office/drawing/2014/chart" uri="{C3380CC4-5D6E-409C-BE32-E72D297353CC}">
              <c16:uniqueId val="{00000001-A34F-4904-9A51-8CF499F6C160}"/>
            </c:ext>
          </c:extLst>
        </c:ser>
        <c:dLbls>
          <c:showLegendKey val="0"/>
          <c:showVal val="0"/>
          <c:showCatName val="0"/>
          <c:showSerName val="0"/>
          <c:showPercent val="0"/>
          <c:showBubbleSize val="0"/>
        </c:dLbls>
        <c:gapWidth val="150"/>
        <c:overlap val="100"/>
        <c:axId val="594613288"/>
        <c:axId val="594610152"/>
      </c:barChart>
      <c:lineChart>
        <c:grouping val="standard"/>
        <c:varyColors val="0"/>
        <c:ser>
          <c:idx val="2"/>
          <c:order val="2"/>
          <c:tx>
            <c:strRef>
              <c:f>'Ventas locales tur uio'!$E$1</c:f>
              <c:strCache>
                <c:ptCount val="1"/>
                <c:pt idx="0">
                  <c:v>TASA DE CRECIMIENTO MENSUAL</c:v>
                </c:pt>
              </c:strCache>
            </c:strRef>
          </c:tx>
          <c:spPr>
            <a:ln w="19050" cap="rnd">
              <a:solidFill>
                <a:schemeClr val="accent3"/>
              </a:solidFill>
              <a:prstDash val="sysDash"/>
              <a:round/>
            </a:ln>
            <a:effectLst/>
          </c:spPr>
          <c:marker>
            <c:symbol val="circle"/>
            <c:size val="5"/>
            <c:spPr>
              <a:solidFill>
                <a:schemeClr val="accent3"/>
              </a:solidFill>
              <a:ln w="9525">
                <a:solidFill>
                  <a:schemeClr val="accent3"/>
                </a:solidFill>
              </a:ln>
              <a:effectLst/>
            </c:spPr>
          </c:marker>
          <c:cat>
            <c:numRef>
              <c:f>'Ventas locales tur uio'!$A$2:$A$37</c:f>
              <c:numCache>
                <c:formatCode>mmm\-yy</c:formatCode>
                <c:ptCount val="36"/>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pt idx="29">
                  <c:v>44348</c:v>
                </c:pt>
                <c:pt idx="30">
                  <c:v>44378</c:v>
                </c:pt>
                <c:pt idx="31">
                  <c:v>44409</c:v>
                </c:pt>
                <c:pt idx="32">
                  <c:v>44440</c:v>
                </c:pt>
                <c:pt idx="33">
                  <c:v>44470</c:v>
                </c:pt>
                <c:pt idx="34">
                  <c:v>44501</c:v>
                </c:pt>
                <c:pt idx="35">
                  <c:v>44531</c:v>
                </c:pt>
              </c:numCache>
            </c:numRef>
          </c:cat>
          <c:val>
            <c:numRef>
              <c:f>'Ventas locales tur uio'!$E$2:$E$37</c:f>
              <c:numCache>
                <c:formatCode>0.0%</c:formatCode>
                <c:ptCount val="36"/>
                <c:pt idx="1">
                  <c:v>-4.54047270964415E-2</c:v>
                </c:pt>
                <c:pt idx="2">
                  <c:v>7.4399057956567427E-2</c:v>
                </c:pt>
                <c:pt idx="3">
                  <c:v>-9.538474041882794E-3</c:v>
                </c:pt>
                <c:pt idx="4">
                  <c:v>2.3189214009716519E-2</c:v>
                </c:pt>
                <c:pt idx="5">
                  <c:v>3.402312356880266E-3</c:v>
                </c:pt>
                <c:pt idx="6">
                  <c:v>3.7097609368367923E-2</c:v>
                </c:pt>
                <c:pt idx="7">
                  <c:v>-2.292635749992189E-2</c:v>
                </c:pt>
                <c:pt idx="8">
                  <c:v>-6.6705681958960428E-2</c:v>
                </c:pt>
                <c:pt idx="9">
                  <c:v>-9.1811552824010101E-2</c:v>
                </c:pt>
                <c:pt idx="10">
                  <c:v>9.9357867192913618E-2</c:v>
                </c:pt>
                <c:pt idx="11">
                  <c:v>0.15513724109360272</c:v>
                </c:pt>
                <c:pt idx="12">
                  <c:v>-0.11429354818417847</c:v>
                </c:pt>
                <c:pt idx="13">
                  <c:v>-6.5989677683881864E-2</c:v>
                </c:pt>
                <c:pt idx="14">
                  <c:v>-0.44399541477590143</c:v>
                </c:pt>
                <c:pt idx="15">
                  <c:v>-0.66195498369128536</c:v>
                </c:pt>
                <c:pt idx="16">
                  <c:v>0.33435747333537935</c:v>
                </c:pt>
                <c:pt idx="17">
                  <c:v>0.36337344802008875</c:v>
                </c:pt>
                <c:pt idx="18">
                  <c:v>-4.7762791125360193E-2</c:v>
                </c:pt>
                <c:pt idx="19">
                  <c:v>0.18392974636438297</c:v>
                </c:pt>
                <c:pt idx="20">
                  <c:v>0.16598551958388752</c:v>
                </c:pt>
                <c:pt idx="21">
                  <c:v>0.18773485146226765</c:v>
                </c:pt>
                <c:pt idx="22">
                  <c:v>-8.8422725645895817E-3</c:v>
                </c:pt>
                <c:pt idx="23">
                  <c:v>0.33619855386018749</c:v>
                </c:pt>
                <c:pt idx="24">
                  <c:v>-0.3124953964839976</c:v>
                </c:pt>
                <c:pt idx="25">
                  <c:v>-1.2583401147583717E-2</c:v>
                </c:pt>
                <c:pt idx="26">
                  <c:v>0.29595856323509029</c:v>
                </c:pt>
                <c:pt idx="27">
                  <c:v>-6.6949369839376494E-2</c:v>
                </c:pt>
                <c:pt idx="28">
                  <c:v>0.20335746245779984</c:v>
                </c:pt>
                <c:pt idx="29">
                  <c:v>-0.17902321257863762</c:v>
                </c:pt>
                <c:pt idx="30">
                  <c:v>3.0446127820345614E-2</c:v>
                </c:pt>
                <c:pt idx="31">
                  <c:v>3.7526384669882784E-2</c:v>
                </c:pt>
                <c:pt idx="32">
                  <c:v>-2.9423460698163595E-3</c:v>
                </c:pt>
                <c:pt idx="33">
                  <c:v>1.0084599620622248E-2</c:v>
                </c:pt>
                <c:pt idx="34">
                  <c:v>-2.625442895379293E-2</c:v>
                </c:pt>
                <c:pt idx="35">
                  <c:v>9.2421267469608992E-3</c:v>
                </c:pt>
              </c:numCache>
            </c:numRef>
          </c:val>
          <c:smooth val="0"/>
          <c:extLst>
            <c:ext xmlns:c16="http://schemas.microsoft.com/office/drawing/2014/chart" uri="{C3380CC4-5D6E-409C-BE32-E72D297353CC}">
              <c16:uniqueId val="{00000002-A34F-4904-9A51-8CF499F6C160}"/>
            </c:ext>
          </c:extLst>
        </c:ser>
        <c:ser>
          <c:idx val="3"/>
          <c:order val="3"/>
          <c:tx>
            <c:strRef>
              <c:f>'Ventas locales tur uio'!$F$1</c:f>
              <c:strCache>
                <c:ptCount val="1"/>
                <c:pt idx="0">
                  <c:v>TASA DE CRECIMIENTO ANUAL</c:v>
                </c:pt>
              </c:strCache>
            </c:strRef>
          </c:tx>
          <c:spPr>
            <a:ln w="19050" cap="rnd">
              <a:solidFill>
                <a:schemeClr val="accent4"/>
              </a:solidFill>
              <a:prstDash val="sysDash"/>
              <a:round/>
            </a:ln>
            <a:effectLst/>
          </c:spPr>
          <c:marker>
            <c:symbol val="circle"/>
            <c:size val="5"/>
            <c:spPr>
              <a:solidFill>
                <a:schemeClr val="accent4"/>
              </a:solidFill>
              <a:ln w="9525">
                <a:solidFill>
                  <a:schemeClr val="accent4"/>
                </a:solidFill>
              </a:ln>
              <a:effectLst/>
            </c:spPr>
          </c:marker>
          <c:cat>
            <c:numRef>
              <c:f>'Ventas locales tur uio'!$A$2:$A$37</c:f>
              <c:numCache>
                <c:formatCode>mmm\-yy</c:formatCode>
                <c:ptCount val="36"/>
                <c:pt idx="0">
                  <c:v>43466</c:v>
                </c:pt>
                <c:pt idx="1">
                  <c:v>43497</c:v>
                </c:pt>
                <c:pt idx="2">
                  <c:v>43525</c:v>
                </c:pt>
                <c:pt idx="3">
                  <c:v>43556</c:v>
                </c:pt>
                <c:pt idx="4">
                  <c:v>43586</c:v>
                </c:pt>
                <c:pt idx="5">
                  <c:v>43617</c:v>
                </c:pt>
                <c:pt idx="6">
                  <c:v>43647</c:v>
                </c:pt>
                <c:pt idx="7">
                  <c:v>43678</c:v>
                </c:pt>
                <c:pt idx="8">
                  <c:v>43709</c:v>
                </c:pt>
                <c:pt idx="9">
                  <c:v>43739</c:v>
                </c:pt>
                <c:pt idx="10">
                  <c:v>43770</c:v>
                </c:pt>
                <c:pt idx="11">
                  <c:v>43800</c:v>
                </c:pt>
                <c:pt idx="12">
                  <c:v>43831</c:v>
                </c:pt>
                <c:pt idx="13">
                  <c:v>43862</c:v>
                </c:pt>
                <c:pt idx="14">
                  <c:v>43891</c:v>
                </c:pt>
                <c:pt idx="15">
                  <c:v>43922</c:v>
                </c:pt>
                <c:pt idx="16">
                  <c:v>43952</c:v>
                </c:pt>
                <c:pt idx="17">
                  <c:v>43983</c:v>
                </c:pt>
                <c:pt idx="18">
                  <c:v>44013</c:v>
                </c:pt>
                <c:pt idx="19">
                  <c:v>44044</c:v>
                </c:pt>
                <c:pt idx="20">
                  <c:v>44075</c:v>
                </c:pt>
                <c:pt idx="21">
                  <c:v>44105</c:v>
                </c:pt>
                <c:pt idx="22">
                  <c:v>44136</c:v>
                </c:pt>
                <c:pt idx="23">
                  <c:v>44166</c:v>
                </c:pt>
                <c:pt idx="24">
                  <c:v>44197</c:v>
                </c:pt>
                <c:pt idx="25">
                  <c:v>44228</c:v>
                </c:pt>
                <c:pt idx="26">
                  <c:v>44256</c:v>
                </c:pt>
                <c:pt idx="27">
                  <c:v>44287</c:v>
                </c:pt>
                <c:pt idx="28">
                  <c:v>44317</c:v>
                </c:pt>
                <c:pt idx="29">
                  <c:v>44348</c:v>
                </c:pt>
                <c:pt idx="30">
                  <c:v>44378</c:v>
                </c:pt>
                <c:pt idx="31">
                  <c:v>44409</c:v>
                </c:pt>
                <c:pt idx="32">
                  <c:v>44440</c:v>
                </c:pt>
                <c:pt idx="33">
                  <c:v>44470</c:v>
                </c:pt>
                <c:pt idx="34">
                  <c:v>44501</c:v>
                </c:pt>
                <c:pt idx="35">
                  <c:v>44531</c:v>
                </c:pt>
              </c:numCache>
            </c:numRef>
          </c:cat>
          <c:val>
            <c:numRef>
              <c:f>'Ventas locales tur uio'!$F$2:$F$37</c:f>
              <c:numCache>
                <c:formatCode>0.0%</c:formatCode>
                <c:ptCount val="36"/>
                <c:pt idx="12">
                  <c:v>7.5290287878142514E-3</c:v>
                </c:pt>
                <c:pt idx="13">
                  <c:v>-1.419738853449759E-2</c:v>
                </c:pt>
                <c:pt idx="14">
                  <c:v>-0.48984432921676369</c:v>
                </c:pt>
                <c:pt idx="15">
                  <c:v>-0.82588361331544047</c:v>
                </c:pt>
                <c:pt idx="16">
                  <c:v>-0.77293202604021161</c:v>
                </c:pt>
                <c:pt idx="17">
                  <c:v>-0.69147126453662722</c:v>
                </c:pt>
                <c:pt idx="18">
                  <c:v>-0.7167165951773864</c:v>
                </c:pt>
                <c:pt idx="19">
                  <c:v>-0.65674271105839499</c:v>
                </c:pt>
                <c:pt idx="20">
                  <c:v>-0.57116097177403513</c:v>
                </c:pt>
                <c:pt idx="21">
                  <c:v>-0.43916148562007895</c:v>
                </c:pt>
                <c:pt idx="22">
                  <c:v>-0.49435989502633038</c:v>
                </c:pt>
                <c:pt idx="23">
                  <c:v>-0.41510363184214694</c:v>
                </c:pt>
                <c:pt idx="24">
                  <c:v>-0.54599072315221964</c:v>
                </c:pt>
                <c:pt idx="25">
                  <c:v>-0.52003068351448756</c:v>
                </c:pt>
                <c:pt idx="26">
                  <c:v>0.11873240314877376</c:v>
                </c:pt>
                <c:pt idx="27">
                  <c:v>2.0878549405556273</c:v>
                </c:pt>
                <c:pt idx="28">
                  <c:v>1.7847060176586331</c:v>
                </c:pt>
                <c:pt idx="29">
                  <c:v>0.67685457246533831</c:v>
                </c:pt>
                <c:pt idx="30">
                  <c:v>0.81457759160325449</c:v>
                </c:pt>
                <c:pt idx="31">
                  <c:v>0.59018905817716472</c:v>
                </c:pt>
                <c:pt idx="32">
                  <c:v>0.35980262620877412</c:v>
                </c:pt>
                <c:pt idx="33">
                  <c:v>0.15641608862968903</c:v>
                </c:pt>
                <c:pt idx="34">
                  <c:v>0.1361007571452526</c:v>
                </c:pt>
                <c:pt idx="35">
                  <c:v>-0.14189344014206939</c:v>
                </c:pt>
              </c:numCache>
            </c:numRef>
          </c:val>
          <c:smooth val="0"/>
          <c:extLst>
            <c:ext xmlns:c16="http://schemas.microsoft.com/office/drawing/2014/chart" uri="{C3380CC4-5D6E-409C-BE32-E72D297353CC}">
              <c16:uniqueId val="{00000003-A34F-4904-9A51-8CF499F6C160}"/>
            </c:ext>
          </c:extLst>
        </c:ser>
        <c:dLbls>
          <c:showLegendKey val="0"/>
          <c:showVal val="0"/>
          <c:showCatName val="0"/>
          <c:showSerName val="0"/>
          <c:showPercent val="0"/>
          <c:showBubbleSize val="0"/>
        </c:dLbls>
        <c:marker val="1"/>
        <c:smooth val="0"/>
        <c:axId val="534335864"/>
        <c:axId val="534335080"/>
      </c:lineChart>
      <c:dateAx>
        <c:axId val="594613288"/>
        <c:scaling>
          <c:orientation val="minMax"/>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594610152"/>
        <c:crosses val="autoZero"/>
        <c:auto val="1"/>
        <c:lblOffset val="100"/>
        <c:baseTimeUnit val="months"/>
      </c:dateAx>
      <c:valAx>
        <c:axId val="594610152"/>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594613288"/>
        <c:crosses val="autoZero"/>
        <c:crossBetween val="between"/>
      </c:valAx>
      <c:valAx>
        <c:axId val="534335080"/>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534335864"/>
        <c:crosses val="max"/>
        <c:crossBetween val="between"/>
      </c:valAx>
      <c:dateAx>
        <c:axId val="534335864"/>
        <c:scaling>
          <c:orientation val="minMax"/>
        </c:scaling>
        <c:delete val="1"/>
        <c:axPos val="b"/>
        <c:numFmt formatCode="mmm\-yy" sourceLinked="1"/>
        <c:majorTickMark val="out"/>
        <c:minorTickMark val="none"/>
        <c:tickLblPos val="nextTo"/>
        <c:crossAx val="534335080"/>
        <c:crosses val="autoZero"/>
        <c:auto val="1"/>
        <c:lblOffset val="100"/>
        <c:baseTimeUnit val="months"/>
      </c:date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EC"/>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1">
                    <a:lumMod val="65000"/>
                    <a:lumOff val="35000"/>
                  </a:schemeClr>
                </a:solidFill>
                <a:latin typeface="+mn-lt"/>
                <a:ea typeface="+mn-ea"/>
                <a:cs typeface="+mn-cs"/>
              </a:defRPr>
            </a:pPr>
            <a:r>
              <a:rPr lang="es-EC"/>
              <a:t>FLUCTUACIONES POR AÑO </a:t>
            </a:r>
          </a:p>
        </c:rich>
      </c:tx>
      <c:overlay val="0"/>
      <c:spPr>
        <a:noFill/>
        <a:ln>
          <a:noFill/>
        </a:ln>
        <a:effectLst/>
      </c:spPr>
      <c:txPr>
        <a:bodyPr rot="0" spcFirstLastPara="1" vertOverflow="ellipsis" vert="horz" wrap="square" anchor="ctr" anchorCtr="1"/>
        <a:lstStyle/>
        <a:p>
          <a:pPr>
            <a:defRPr sz="1600" b="1" i="0" u="none" strike="noStrike" kern="120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5.0929467800094616E-3"/>
          <c:y val="0.14451043673188921"/>
          <c:w val="0.9809014495749645"/>
          <c:h val="0.74038474536176535"/>
        </c:manualLayout>
      </c:layout>
      <c:barChart>
        <c:barDir val="col"/>
        <c:grouping val="clustered"/>
        <c:varyColors val="0"/>
        <c:ser>
          <c:idx val="0"/>
          <c:order val="0"/>
          <c:tx>
            <c:strRef>
              <c:f>Puntos_información_QT!$C$7</c:f>
              <c:strCache>
                <c:ptCount val="1"/>
                <c:pt idx="0">
                  <c:v>AEROPUERTO INTERNACIONAL</c:v>
                </c:pt>
              </c:strCache>
            </c:strRef>
          </c:tx>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57150" dist="19050" dir="5400000" algn="ctr" rotWithShape="0">
                <a:srgbClr val="000000">
                  <a:alpha val="63000"/>
                </a:srgbClr>
              </a:outerShdw>
            </a:effectLst>
            <a:scene3d>
              <a:camera prst="orthographicFront">
                <a:rot lat="0" lon="0" rev="0"/>
              </a:camera>
              <a:lightRig rig="threePt" dir="t">
                <a:rot lat="0" lon="0" rev="1200000"/>
              </a:lightRig>
            </a:scene3d>
            <a:sp3d>
              <a:bevelT w="63500" h="25400"/>
            </a:sp3d>
          </c:spPr>
          <c:invertIfNegative val="0"/>
          <c:dLbls>
            <c:dLbl>
              <c:idx val="0"/>
              <c:layout>
                <c:manualLayout>
                  <c:x val="-6.3661834750118287E-2"/>
                  <c:y val="-1.072961373390564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FF8-429D-A966-4CAD0FFFDCF7}"/>
                </c:ext>
              </c:extLst>
            </c:dLbl>
            <c:dLbl>
              <c:idx val="1"/>
              <c:layout>
                <c:manualLayout>
                  <c:x val="-4.1220119875898225E-3"/>
                  <c:y val="-6.437768240343347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CFF8-429D-A966-4CAD0FFFDCF7}"/>
                </c:ext>
              </c:extLst>
            </c:dLbl>
            <c:dLbl>
              <c:idx val="3"/>
              <c:layout>
                <c:manualLayout>
                  <c:x val="5.0929467800093688E-3"/>
                  <c:y val="-4.291845493562231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CFF8-429D-A966-4CAD0FFFDCF7}"/>
                </c:ext>
              </c:extLst>
            </c:dLbl>
            <c:dLbl>
              <c:idx val="4"/>
              <c:layout>
                <c:manualLayout>
                  <c:x val="1.2732366950023654E-3"/>
                  <c:y val="-3.21888412017168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CFF8-429D-A966-4CAD0FFFDCF7}"/>
                </c:ext>
              </c:extLst>
            </c:dLbl>
            <c:spPr>
              <a:solidFill>
                <a:schemeClr val="lt1"/>
              </a:solidFill>
              <a:ln w="25400" cap="flat" cmpd="sng" algn="ctr">
                <a:solidFill>
                  <a:schemeClr val="accent6"/>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Puntos_información_QT!$B$8:$B$12</c:f>
              <c:strCache>
                <c:ptCount val="5"/>
                <c:pt idx="0">
                  <c:v>AÑO 2017</c:v>
                </c:pt>
                <c:pt idx="1">
                  <c:v>AÑO 2018</c:v>
                </c:pt>
                <c:pt idx="2">
                  <c:v>AÑO 2019</c:v>
                </c:pt>
                <c:pt idx="3">
                  <c:v>AÑO 2020</c:v>
                </c:pt>
                <c:pt idx="4">
                  <c:v>AÑO 2021 CON CORTE HASTA SEPTIEMBRE 2021 </c:v>
                </c:pt>
              </c:strCache>
            </c:strRef>
          </c:cat>
          <c:val>
            <c:numRef>
              <c:f>Puntos_información_QT!$C$8:$C$12</c:f>
              <c:numCache>
                <c:formatCode>_(* #,##0_);_(* \(#,##0\);_(* "-"??_);_(@_)</c:formatCode>
                <c:ptCount val="5"/>
                <c:pt idx="0">
                  <c:v>36753</c:v>
                </c:pt>
                <c:pt idx="1">
                  <c:v>41156</c:v>
                </c:pt>
                <c:pt idx="2">
                  <c:v>44477</c:v>
                </c:pt>
                <c:pt idx="3">
                  <c:v>7673</c:v>
                </c:pt>
                <c:pt idx="4">
                  <c:v>0</c:v>
                </c:pt>
              </c:numCache>
            </c:numRef>
          </c:val>
          <c:extLst>
            <c:ext xmlns:c16="http://schemas.microsoft.com/office/drawing/2014/chart" uri="{C3380CC4-5D6E-409C-BE32-E72D297353CC}">
              <c16:uniqueId val="{00000000-0F62-4547-8BB9-3BDD30161DC8}"/>
            </c:ext>
          </c:extLst>
        </c:ser>
        <c:ser>
          <c:idx val="1"/>
          <c:order val="1"/>
          <c:tx>
            <c:strRef>
              <c:f>Puntos_información_QT!$D$7</c:f>
              <c:strCache>
                <c:ptCount val="1"/>
                <c:pt idx="0">
                  <c:v>MARISCAL / OPC</c:v>
                </c:pt>
              </c:strCache>
            </c:strRef>
          </c:tx>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57150" dist="19050" dir="5400000" algn="ctr" rotWithShape="0">
                <a:srgbClr val="000000">
                  <a:alpha val="63000"/>
                </a:srgbClr>
              </a:outerShdw>
            </a:effectLst>
            <a:scene3d>
              <a:camera prst="orthographicFront">
                <a:rot lat="0" lon="0" rev="0"/>
              </a:camera>
              <a:lightRig rig="threePt" dir="t">
                <a:rot lat="0" lon="0" rev="1200000"/>
              </a:lightRig>
            </a:scene3d>
            <a:sp3d>
              <a:bevelT w="63500" h="25400"/>
            </a:sp3d>
          </c:spPr>
          <c:invertIfNegative val="0"/>
          <c:dLbls>
            <c:dLbl>
              <c:idx val="1"/>
              <c:layout>
                <c:manualLayout>
                  <c:x val="0"/>
                  <c:y val="-3.21888412017168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CFF8-429D-A966-4CAD0FFFDCF7}"/>
                </c:ext>
              </c:extLst>
            </c:dLbl>
            <c:dLbl>
              <c:idx val="3"/>
              <c:layout>
                <c:manualLayout>
                  <c:x val="-4.4148803983616244E-3"/>
                  <c:y val="-3.576537911301990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CFF8-429D-A966-4CAD0FFFDCF7}"/>
                </c:ext>
              </c:extLst>
            </c:dLbl>
            <c:dLbl>
              <c:idx val="4"/>
              <c:layout>
                <c:manualLayout>
                  <c:x val="-3.0870732297608402E-3"/>
                  <c:y val="-7.153075822603719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CFF8-429D-A966-4CAD0FFFDCF7}"/>
                </c:ext>
              </c:extLst>
            </c:dLbl>
            <c:spPr>
              <a:solidFill>
                <a:schemeClr val="lt1"/>
              </a:solidFill>
              <a:ln w="25400" cap="flat" cmpd="sng" algn="ctr">
                <a:solidFill>
                  <a:schemeClr val="accent5"/>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Puntos_información_QT!$B$8:$B$12</c:f>
              <c:strCache>
                <c:ptCount val="5"/>
                <c:pt idx="0">
                  <c:v>AÑO 2017</c:v>
                </c:pt>
                <c:pt idx="1">
                  <c:v>AÑO 2018</c:v>
                </c:pt>
                <c:pt idx="2">
                  <c:v>AÑO 2019</c:v>
                </c:pt>
                <c:pt idx="3">
                  <c:v>AÑO 2020</c:v>
                </c:pt>
                <c:pt idx="4">
                  <c:v>AÑO 2021 CON CORTE HASTA SEPTIEMBRE 2021 </c:v>
                </c:pt>
              </c:strCache>
            </c:strRef>
          </c:cat>
          <c:val>
            <c:numRef>
              <c:f>Puntos_información_QT!$D$8:$D$12</c:f>
              <c:numCache>
                <c:formatCode>_(* #,##0_);_(* \(#,##0\);_(* "-"??_);_(@_)</c:formatCode>
                <c:ptCount val="5"/>
                <c:pt idx="0">
                  <c:v>16969</c:v>
                </c:pt>
                <c:pt idx="1">
                  <c:v>31570</c:v>
                </c:pt>
                <c:pt idx="2">
                  <c:v>12421</c:v>
                </c:pt>
                <c:pt idx="3">
                  <c:v>2923</c:v>
                </c:pt>
                <c:pt idx="4">
                  <c:v>1797</c:v>
                </c:pt>
              </c:numCache>
            </c:numRef>
          </c:val>
          <c:extLst>
            <c:ext xmlns:c16="http://schemas.microsoft.com/office/drawing/2014/chart" uri="{C3380CC4-5D6E-409C-BE32-E72D297353CC}">
              <c16:uniqueId val="{00000001-0F62-4547-8BB9-3BDD30161DC8}"/>
            </c:ext>
          </c:extLst>
        </c:ser>
        <c:ser>
          <c:idx val="2"/>
          <c:order val="2"/>
          <c:tx>
            <c:strRef>
              <c:f>Puntos_información_QT!$E$7</c:f>
              <c:strCache>
                <c:ptCount val="1"/>
                <c:pt idx="0">
                  <c:v>  EL QUINDE</c:v>
                </c:pt>
              </c:strCache>
            </c:strRef>
          </c:tx>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57150" dist="19050" dir="5400000" algn="ctr" rotWithShape="0">
                <a:srgbClr val="000000">
                  <a:alpha val="63000"/>
                </a:srgbClr>
              </a:outerShdw>
            </a:effectLst>
            <a:scene3d>
              <a:camera prst="orthographicFront">
                <a:rot lat="0" lon="0" rev="0"/>
              </a:camera>
              <a:lightRig rig="threePt" dir="t">
                <a:rot lat="0" lon="0" rev="1200000"/>
              </a:lightRig>
            </a:scene3d>
            <a:sp3d>
              <a:bevelT w="63500" h="25400"/>
            </a:sp3d>
          </c:spPr>
          <c:invertIfNegative val="0"/>
          <c:dLbls>
            <c:dLbl>
              <c:idx val="0"/>
              <c:layout>
                <c:manualLayout>
                  <c:x val="-3.8197100850071199E-3"/>
                  <c:y val="-4.29184549356223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FF8-429D-A966-4CAD0FFFDCF7}"/>
                </c:ext>
              </c:extLst>
            </c:dLbl>
            <c:dLbl>
              <c:idx val="1"/>
              <c:layout>
                <c:manualLayout>
                  <c:x val="9.0695082656077383E-4"/>
                  <c:y val="-7.153075822603850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CFF8-429D-A966-4CAD0FFFDCF7}"/>
                </c:ext>
              </c:extLst>
            </c:dLbl>
            <c:dLbl>
              <c:idx val="2"/>
              <c:layout>
                <c:manualLayout>
                  <c:x val="-4.689897576116305E-3"/>
                  <c:y val="-3.576537911301860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FF8-429D-A966-4CAD0FFFDCF7}"/>
                </c:ext>
              </c:extLst>
            </c:dLbl>
            <c:dLbl>
              <c:idx val="4"/>
              <c:layout>
                <c:manualLayout>
                  <c:x val="6.4048060279510137E-5"/>
                  <c:y val="-7.153075822603719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CFF8-429D-A966-4CAD0FFFDCF7}"/>
                </c:ext>
              </c:extLst>
            </c:dLbl>
            <c:spPr>
              <a:solidFill>
                <a:schemeClr val="lt1"/>
              </a:solidFill>
              <a:ln w="25400" cap="flat" cmpd="sng" algn="ctr">
                <a:solidFill>
                  <a:schemeClr val="accent4"/>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Puntos_información_QT!$B$8:$B$12</c:f>
              <c:strCache>
                <c:ptCount val="5"/>
                <c:pt idx="0">
                  <c:v>AÑO 2017</c:v>
                </c:pt>
                <c:pt idx="1">
                  <c:v>AÑO 2018</c:v>
                </c:pt>
                <c:pt idx="2">
                  <c:v>AÑO 2019</c:v>
                </c:pt>
                <c:pt idx="3">
                  <c:v>AÑO 2020</c:v>
                </c:pt>
                <c:pt idx="4">
                  <c:v>AÑO 2021 CON CORTE HASTA SEPTIEMBRE 2021 </c:v>
                </c:pt>
              </c:strCache>
            </c:strRef>
          </c:cat>
          <c:val>
            <c:numRef>
              <c:f>Puntos_información_QT!$E$8:$E$12</c:f>
              <c:numCache>
                <c:formatCode>_(* #,##0_);_(* \(#,##0\);_(* "-"??_);_(@_)</c:formatCode>
                <c:ptCount val="5"/>
                <c:pt idx="0">
                  <c:v>38301</c:v>
                </c:pt>
                <c:pt idx="1">
                  <c:v>31570</c:v>
                </c:pt>
                <c:pt idx="2">
                  <c:v>27018</c:v>
                </c:pt>
                <c:pt idx="3">
                  <c:v>5893</c:v>
                </c:pt>
                <c:pt idx="4">
                  <c:v>4799</c:v>
                </c:pt>
              </c:numCache>
            </c:numRef>
          </c:val>
          <c:extLst>
            <c:ext xmlns:c16="http://schemas.microsoft.com/office/drawing/2014/chart" uri="{C3380CC4-5D6E-409C-BE32-E72D297353CC}">
              <c16:uniqueId val="{00000002-0F62-4547-8BB9-3BDD30161DC8}"/>
            </c:ext>
          </c:extLst>
        </c:ser>
        <c:ser>
          <c:idx val="3"/>
          <c:order val="3"/>
          <c:tx>
            <c:strRef>
              <c:f>Puntos_información_QT!$F$7</c:f>
              <c:strCache>
                <c:ptCount val="1"/>
                <c:pt idx="0">
                  <c:v>QUITUMBE</c:v>
                </c:pt>
              </c:strCache>
            </c:strRef>
          </c:tx>
          <c:spPr>
            <a:gradFill rotWithShape="1">
              <a:gsLst>
                <a:gs pos="0">
                  <a:schemeClr val="accent6">
                    <a:lumMod val="60000"/>
                    <a:shade val="51000"/>
                    <a:satMod val="130000"/>
                  </a:schemeClr>
                </a:gs>
                <a:gs pos="80000">
                  <a:schemeClr val="accent6">
                    <a:lumMod val="60000"/>
                    <a:shade val="93000"/>
                    <a:satMod val="130000"/>
                  </a:schemeClr>
                </a:gs>
                <a:gs pos="100000">
                  <a:schemeClr val="accent6">
                    <a:lumMod val="60000"/>
                    <a:shade val="94000"/>
                    <a:satMod val="135000"/>
                  </a:schemeClr>
                </a:gs>
              </a:gsLst>
              <a:lin ang="16200000" scaled="0"/>
            </a:gradFill>
            <a:ln>
              <a:noFill/>
            </a:ln>
            <a:effectLst>
              <a:outerShdw blurRad="57150" dist="19050" dir="5400000" algn="ctr" rotWithShape="0">
                <a:srgbClr val="000000">
                  <a:alpha val="63000"/>
                </a:srgbClr>
              </a:outerShdw>
            </a:effectLst>
            <a:scene3d>
              <a:camera prst="orthographicFront">
                <a:rot lat="0" lon="0" rev="0"/>
              </a:camera>
              <a:lightRig rig="threePt" dir="t">
                <a:rot lat="0" lon="0" rev="1200000"/>
              </a:lightRig>
            </a:scene3d>
            <a:sp3d>
              <a:bevelT w="63500" h="25400"/>
            </a:sp3d>
          </c:spPr>
          <c:invertIfNegative val="0"/>
          <c:dLbls>
            <c:dLbl>
              <c:idx val="0"/>
              <c:layout>
                <c:manualLayout>
                  <c:x val="3.9299759960420028E-3"/>
                  <c:y val="-1.430615164520743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FF8-429D-A966-4CAD0FFFDCF7}"/>
                </c:ext>
              </c:extLst>
            </c:dLbl>
            <c:dLbl>
              <c:idx val="1"/>
              <c:layout>
                <c:manualLayout>
                  <c:x val="6.8059719190367608E-3"/>
                  <c:y val="-1.07296137339055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CFF8-429D-A966-4CAD0FFFDCF7}"/>
                </c:ext>
              </c:extLst>
            </c:dLbl>
            <c:dLbl>
              <c:idx val="3"/>
              <c:layout>
                <c:manualLayout>
                  <c:x val="-1.5660399874110941E-3"/>
                  <c:y val="-1.430615164520743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CFF8-429D-A966-4CAD0FFFDCF7}"/>
                </c:ext>
              </c:extLst>
            </c:dLbl>
            <c:dLbl>
              <c:idx val="4"/>
              <c:layout>
                <c:manualLayout>
                  <c:x val="-4.6705316930250039E-4"/>
                  <c:y val="-7.153075822603719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CFF8-429D-A966-4CAD0FFFDCF7}"/>
                </c:ext>
              </c:extLst>
            </c:dLbl>
            <c:spPr>
              <a:solidFill>
                <a:schemeClr val="lt1"/>
              </a:solidFill>
              <a:ln w="25400" cap="flat" cmpd="sng" algn="ctr">
                <a:solidFill>
                  <a:schemeClr val="accent2"/>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Puntos_información_QT!$B$8:$B$12</c:f>
              <c:strCache>
                <c:ptCount val="5"/>
                <c:pt idx="0">
                  <c:v>AÑO 2017</c:v>
                </c:pt>
                <c:pt idx="1">
                  <c:v>AÑO 2018</c:v>
                </c:pt>
                <c:pt idx="2">
                  <c:v>AÑO 2019</c:v>
                </c:pt>
                <c:pt idx="3">
                  <c:v>AÑO 2020</c:v>
                </c:pt>
                <c:pt idx="4">
                  <c:v>AÑO 2021 CON CORTE HASTA SEPTIEMBRE 2021 </c:v>
                </c:pt>
              </c:strCache>
            </c:strRef>
          </c:cat>
          <c:val>
            <c:numRef>
              <c:f>Puntos_información_QT!$F$8:$F$12</c:f>
              <c:numCache>
                <c:formatCode>_(* #,##0_);_(* \(#,##0\);_(* "-"??_);_(@_)</c:formatCode>
                <c:ptCount val="5"/>
                <c:pt idx="0">
                  <c:v>38939</c:v>
                </c:pt>
                <c:pt idx="1">
                  <c:v>30270</c:v>
                </c:pt>
                <c:pt idx="2">
                  <c:v>24607</c:v>
                </c:pt>
                <c:pt idx="3">
                  <c:v>5184</c:v>
                </c:pt>
                <c:pt idx="4">
                  <c:v>6391</c:v>
                </c:pt>
              </c:numCache>
            </c:numRef>
          </c:val>
          <c:extLst>
            <c:ext xmlns:c16="http://schemas.microsoft.com/office/drawing/2014/chart" uri="{C3380CC4-5D6E-409C-BE32-E72D297353CC}">
              <c16:uniqueId val="{00000003-0F62-4547-8BB9-3BDD30161DC8}"/>
            </c:ext>
          </c:extLst>
        </c:ser>
        <c:dLbls>
          <c:showLegendKey val="0"/>
          <c:showVal val="0"/>
          <c:showCatName val="0"/>
          <c:showSerName val="0"/>
          <c:showPercent val="0"/>
          <c:showBubbleSize val="0"/>
        </c:dLbls>
        <c:gapWidth val="75"/>
        <c:axId val="1809288880"/>
        <c:axId val="1809300304"/>
      </c:barChart>
      <c:lineChart>
        <c:grouping val="standard"/>
        <c:varyColors val="0"/>
        <c:ser>
          <c:idx val="4"/>
          <c:order val="4"/>
          <c:tx>
            <c:strRef>
              <c:f>Puntos_información_QT!$G$7</c:f>
              <c:strCache>
                <c:ptCount val="1"/>
                <c:pt idx="0">
                  <c:v>TOTAL VISITANTES</c:v>
                </c:pt>
              </c:strCache>
            </c:strRef>
          </c:tx>
          <c:spPr>
            <a:ln w="34925" cap="rnd">
              <a:solidFill>
                <a:schemeClr val="accent5">
                  <a:lumMod val="60000"/>
                </a:schemeClr>
              </a:solidFill>
              <a:round/>
            </a:ln>
            <a:effectLst>
              <a:outerShdw blurRad="40000" dist="23000" dir="5400000" rotWithShape="0">
                <a:srgbClr val="000000">
                  <a:alpha val="35000"/>
                </a:srgbClr>
              </a:outerShdw>
            </a:effectLst>
          </c:spPr>
          <c:marker>
            <c:symbol val="none"/>
          </c:marker>
          <c:dLbls>
            <c:dLbl>
              <c:idx val="3"/>
              <c:layout>
                <c:manualLayout>
                  <c:x val="-8.244023975179645E-3"/>
                  <c:y val="-4.649499284692417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CFF8-429D-A966-4CAD0FFFDCF7}"/>
                </c:ext>
              </c:extLst>
            </c:dLbl>
            <c:dLbl>
              <c:idx val="4"/>
              <c:layout>
                <c:manualLayout>
                  <c:x val="-2.7480079917266494E-3"/>
                  <c:y val="-0.1323319027181688"/>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CFF8-429D-A966-4CAD0FFFDCF7}"/>
                </c:ext>
              </c:extLst>
            </c:dLbl>
            <c:spPr>
              <a:gradFill rotWithShape="1">
                <a:gsLst>
                  <a:gs pos="0">
                    <a:schemeClr val="accent3">
                      <a:tint val="50000"/>
                      <a:satMod val="300000"/>
                    </a:schemeClr>
                  </a:gs>
                  <a:gs pos="35000">
                    <a:schemeClr val="accent3">
                      <a:tint val="37000"/>
                      <a:satMod val="300000"/>
                    </a:schemeClr>
                  </a:gs>
                  <a:gs pos="100000">
                    <a:schemeClr val="accent3">
                      <a:tint val="15000"/>
                      <a:satMod val="350000"/>
                    </a:schemeClr>
                  </a:gs>
                </a:gsLst>
                <a:lin ang="16200000" scaled="1"/>
              </a:gradFill>
              <a:ln w="9525" cap="flat" cmpd="sng" algn="ctr">
                <a:solidFill>
                  <a:schemeClr val="accent3">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Puntos_información_QT!$B$8:$B$12</c:f>
              <c:strCache>
                <c:ptCount val="5"/>
                <c:pt idx="0">
                  <c:v>AÑO 2017</c:v>
                </c:pt>
                <c:pt idx="1">
                  <c:v>AÑO 2018</c:v>
                </c:pt>
                <c:pt idx="2">
                  <c:v>AÑO 2019</c:v>
                </c:pt>
                <c:pt idx="3">
                  <c:v>AÑO 2020</c:v>
                </c:pt>
                <c:pt idx="4">
                  <c:v>AÑO 2021 CON CORTE HASTA SEPTIEMBRE 2021 </c:v>
                </c:pt>
              </c:strCache>
            </c:strRef>
          </c:cat>
          <c:val>
            <c:numRef>
              <c:f>Puntos_información_QT!$G$8:$G$12</c:f>
              <c:numCache>
                <c:formatCode>_(* #,##0_);_(* \(#,##0\);_(* "-"??_);_(@_)</c:formatCode>
                <c:ptCount val="5"/>
                <c:pt idx="0">
                  <c:v>130962</c:v>
                </c:pt>
                <c:pt idx="1">
                  <c:v>134566</c:v>
                </c:pt>
                <c:pt idx="2">
                  <c:v>108523</c:v>
                </c:pt>
                <c:pt idx="3">
                  <c:v>21673</c:v>
                </c:pt>
                <c:pt idx="4">
                  <c:v>12987</c:v>
                </c:pt>
              </c:numCache>
            </c:numRef>
          </c:val>
          <c:smooth val="0"/>
          <c:extLst>
            <c:ext xmlns:c16="http://schemas.microsoft.com/office/drawing/2014/chart" uri="{C3380CC4-5D6E-409C-BE32-E72D297353CC}">
              <c16:uniqueId val="{0000000E-CFF8-429D-A966-4CAD0FFFDCF7}"/>
            </c:ext>
          </c:extLst>
        </c:ser>
        <c:dLbls>
          <c:showLegendKey val="0"/>
          <c:showVal val="0"/>
          <c:showCatName val="0"/>
          <c:showSerName val="0"/>
          <c:showPercent val="0"/>
          <c:showBubbleSize val="0"/>
        </c:dLbls>
        <c:marker val="1"/>
        <c:smooth val="0"/>
        <c:axId val="1809288880"/>
        <c:axId val="1809300304"/>
      </c:lineChart>
      <c:catAx>
        <c:axId val="1809288880"/>
        <c:scaling>
          <c:orientation val="minMax"/>
        </c:scaling>
        <c:delete val="0"/>
        <c:axPos val="b"/>
        <c:numFmt formatCode="General" sourceLinked="1"/>
        <c:majorTickMark val="none"/>
        <c:minorTickMark val="none"/>
        <c:tickLblPos val="nextTo"/>
        <c:spPr>
          <a:noFill/>
          <a:ln w="12700"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809300304"/>
        <c:crosses val="autoZero"/>
        <c:auto val="1"/>
        <c:lblAlgn val="ctr"/>
        <c:lblOffset val="100"/>
        <c:noMultiLvlLbl val="0"/>
      </c:catAx>
      <c:valAx>
        <c:axId val="1809300304"/>
        <c:scaling>
          <c:orientation val="minMax"/>
        </c:scaling>
        <c:delete val="1"/>
        <c:axPos val="l"/>
        <c:numFmt formatCode="_(* #,##0_);_(* \(#,##0\);_(* &quot;-&quot;??_);_(@_)" sourceLinked="1"/>
        <c:majorTickMark val="none"/>
        <c:minorTickMark val="none"/>
        <c:tickLblPos val="nextTo"/>
        <c:crossAx val="180928888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'Museos UIO'!$A$32:$A$33</c:f>
          <c:strCache>
            <c:ptCount val="2"/>
            <c:pt idx="0">
              <c:v>FUNDACIÓN MUSEOS DE LA CIUDAD</c:v>
            </c:pt>
            <c:pt idx="1">
              <c:v>NÚMERO DE VISITANTES FMC</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2.2114997989545637E-2"/>
          <c:y val="0.16591785382841723"/>
          <c:w val="0.94973864093285087"/>
          <c:h val="0.6956321377203305"/>
        </c:manualLayout>
      </c:layout>
      <c:barChart>
        <c:barDir val="col"/>
        <c:grouping val="clustered"/>
        <c:varyColors val="0"/>
        <c:ser>
          <c:idx val="1"/>
          <c:order val="0"/>
          <c:tx>
            <c:strRef>
              <c:f>'Museos UIO'!$A$61</c:f>
              <c:strCache>
                <c:ptCount val="1"/>
                <c:pt idx="0">
                  <c:v>AÑO 2019</c:v>
                </c:pt>
              </c:strCache>
            </c:strRef>
          </c:tx>
          <c:spPr>
            <a:solidFill>
              <a:schemeClr val="accent3"/>
            </a:solidFill>
            <a:ln>
              <a:noFill/>
            </a:ln>
            <a:effectLst/>
          </c:spPr>
          <c:invertIfNegative val="0"/>
          <c:dLbls>
            <c:dLbl>
              <c:idx val="3"/>
              <c:layout>
                <c:manualLayout>
                  <c:x val="-4.4229995979091274E-2"/>
                  <c:y val="-3.240178209801539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B85F-422E-9155-50897916B8D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('Museos UIO'!$B$5,'Museos UIO'!$D$5,'Museos UIO'!$F$5,'Museos UIO'!$H$5,'Museos UIO'!$J$5,'Museos UIO'!$L$5)</c:f>
              <c:strCache>
                <c:ptCount val="6"/>
                <c:pt idx="0">
                  <c:v> MUSEO DE LA CIUDAD </c:v>
                </c:pt>
                <c:pt idx="1">
                  <c:v> MUSEO DEL AGUA </c:v>
                </c:pt>
                <c:pt idx="2">
                  <c:v> MUSEO INTERACTIVO DE CIENCIAS </c:v>
                </c:pt>
                <c:pt idx="3">
                  <c:v> MUSEO DEL CARMEN ALTO </c:v>
                </c:pt>
                <c:pt idx="4">
                  <c:v>CENTRO DE ARTE CONTEMPORÁNEO</c:v>
                </c:pt>
                <c:pt idx="5">
                  <c:v> TOTAL VISITANTES </c:v>
                </c:pt>
              </c:strCache>
            </c:strRef>
          </c:cat>
          <c:val>
            <c:numRef>
              <c:f>('Museos UIO'!$B$82,'Museos UIO'!$D$82,'Museos UIO'!$F$82,'Museos UIO'!$H$82,'Museos UIO'!$J$82,'Museos UIO'!$L$82)</c:f>
              <c:numCache>
                <c:formatCode>_(* #,##0_);_(* \(#,##0\);_(* "-"??_);_(@_)</c:formatCode>
                <c:ptCount val="6"/>
                <c:pt idx="0">
                  <c:v>134348</c:v>
                </c:pt>
                <c:pt idx="1">
                  <c:v>117136</c:v>
                </c:pt>
                <c:pt idx="2">
                  <c:v>62793</c:v>
                </c:pt>
                <c:pt idx="3">
                  <c:v>25402</c:v>
                </c:pt>
                <c:pt idx="5">
                  <c:v>339679</c:v>
                </c:pt>
              </c:numCache>
            </c:numRef>
          </c:val>
          <c:extLst>
            <c:ext xmlns:c16="http://schemas.microsoft.com/office/drawing/2014/chart" uri="{C3380CC4-5D6E-409C-BE32-E72D297353CC}">
              <c16:uniqueId val="{00000003-B85F-422E-9155-50897916B8DC}"/>
            </c:ext>
          </c:extLst>
        </c:ser>
        <c:ser>
          <c:idx val="0"/>
          <c:order val="1"/>
          <c:tx>
            <c:strRef>
              <c:f>'Museos UIO'!$A$35</c:f>
              <c:strCache>
                <c:ptCount val="1"/>
                <c:pt idx="0">
                  <c:v>AÑO 2020</c:v>
                </c:pt>
              </c:strCache>
            </c:strRef>
          </c:tx>
          <c:spPr>
            <a:solidFill>
              <a:schemeClr val="accent1"/>
            </a:solidFill>
            <a:ln>
              <a:noFill/>
            </a:ln>
            <a:effectLst/>
          </c:spPr>
          <c:invertIfNegative val="0"/>
          <c:dLbls>
            <c:spPr>
              <a:noFill/>
              <a:ln w="25400" cap="flat" cmpd="sng" algn="ctr">
                <a:no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('Museos UIO'!$B$5,'Museos UIO'!$D$5,'Museos UIO'!$F$5,'Museos UIO'!$H$5,'Museos UIO'!$J$5,'Museos UIO'!$L$5)</c:f>
              <c:strCache>
                <c:ptCount val="6"/>
                <c:pt idx="0">
                  <c:v> MUSEO DE LA CIUDAD </c:v>
                </c:pt>
                <c:pt idx="1">
                  <c:v> MUSEO DEL AGUA </c:v>
                </c:pt>
                <c:pt idx="2">
                  <c:v> MUSEO INTERACTIVO DE CIENCIAS </c:v>
                </c:pt>
                <c:pt idx="3">
                  <c:v> MUSEO DEL CARMEN ALTO </c:v>
                </c:pt>
                <c:pt idx="4">
                  <c:v>CENTRO DE ARTE CONTEMPORÁNEO</c:v>
                </c:pt>
                <c:pt idx="5">
                  <c:v> TOTAL VISITANTES </c:v>
                </c:pt>
              </c:strCache>
            </c:strRef>
          </c:cat>
          <c:val>
            <c:numRef>
              <c:f>('Museos UIO'!$B$57,'Museos UIO'!$D$57,'Museos UIO'!$F$57,'Museos UIO'!$H$57,'Museos UIO'!$J$57,'Museos UIO'!$L$57)</c:f>
              <c:numCache>
                <c:formatCode>_(* #,##0_);_(* \(#,##0\);_(* "-"??_);_(@_)</c:formatCode>
                <c:ptCount val="6"/>
                <c:pt idx="0">
                  <c:v>39122</c:v>
                </c:pt>
                <c:pt idx="1">
                  <c:v>67719</c:v>
                </c:pt>
                <c:pt idx="2">
                  <c:v>30202</c:v>
                </c:pt>
                <c:pt idx="3">
                  <c:v>21011</c:v>
                </c:pt>
                <c:pt idx="5">
                  <c:v>158054</c:v>
                </c:pt>
              </c:numCache>
            </c:numRef>
          </c:val>
          <c:extLst>
            <c:ext xmlns:c16="http://schemas.microsoft.com/office/drawing/2014/chart" uri="{C3380CC4-5D6E-409C-BE32-E72D297353CC}">
              <c16:uniqueId val="{00000000-B85F-422E-9155-50897916B8DC}"/>
            </c:ext>
          </c:extLst>
        </c:ser>
        <c:dLbls>
          <c:showLegendKey val="0"/>
          <c:showVal val="1"/>
          <c:showCatName val="0"/>
          <c:showSerName val="0"/>
          <c:showPercent val="0"/>
          <c:showBubbleSize val="0"/>
        </c:dLbls>
        <c:gapWidth val="150"/>
        <c:axId val="517198591"/>
        <c:axId val="517187359"/>
      </c:barChart>
      <c:lineChart>
        <c:grouping val="standard"/>
        <c:varyColors val="0"/>
        <c:ser>
          <c:idx val="2"/>
          <c:order val="2"/>
          <c:tx>
            <c:strRef>
              <c:f>'Museos UIO'!$A$4</c:f>
              <c:strCache>
                <c:ptCount val="1"/>
                <c:pt idx="0">
                  <c:v>ENERO - SEPTIEMBRE AÑO 2021</c:v>
                </c:pt>
              </c:strCache>
            </c:strRef>
          </c:tx>
          <c:spPr>
            <a:ln w="28575" cap="rnd">
              <a:solidFill>
                <a:schemeClr val="accent5"/>
              </a:solidFill>
              <a:round/>
            </a:ln>
            <a:effectLst/>
          </c:spPr>
          <c:marker>
            <c:symbol val="none"/>
          </c:marker>
          <c:dLbls>
            <c:spPr>
              <a:solidFill>
                <a:schemeClr val="lt1"/>
              </a:solidFill>
              <a:ln w="25400" cap="flat" cmpd="sng" algn="ctr">
                <a:solidFill>
                  <a:schemeClr val="accent3"/>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('Museos UIO'!$B$5,'Museos UIO'!$D$5,'Museos UIO'!$F$5,'Museos UIO'!$H$5,'Museos UIO'!$J$5,'Museos UIO'!$L$5)</c:f>
              <c:strCache>
                <c:ptCount val="6"/>
                <c:pt idx="0">
                  <c:v> MUSEO DE LA CIUDAD </c:v>
                </c:pt>
                <c:pt idx="1">
                  <c:v> MUSEO DEL AGUA </c:v>
                </c:pt>
                <c:pt idx="2">
                  <c:v> MUSEO INTERACTIVO DE CIENCIAS </c:v>
                </c:pt>
                <c:pt idx="3">
                  <c:v> MUSEO DEL CARMEN ALTO </c:v>
                </c:pt>
                <c:pt idx="4">
                  <c:v>CENTRO DE ARTE CONTEMPORÁNEO</c:v>
                </c:pt>
                <c:pt idx="5">
                  <c:v> TOTAL VISITANTES </c:v>
                </c:pt>
              </c:strCache>
            </c:strRef>
          </c:cat>
          <c:val>
            <c:numRef>
              <c:f>('Museos UIO'!$B$26,'Museos UIO'!$D$26,'Museos UIO'!$F$26,'Museos UIO'!$H$26,'Museos UIO'!$J$26,'Museos UIO'!$L$26)</c:f>
              <c:numCache>
                <c:formatCode>_(* #,##0_);_(* \(#,##0\);_(* "-"??_);_(@_)</c:formatCode>
                <c:ptCount val="6"/>
                <c:pt idx="0">
                  <c:v>6904</c:v>
                </c:pt>
                <c:pt idx="1">
                  <c:v>23363</c:v>
                </c:pt>
                <c:pt idx="2">
                  <c:v>8827</c:v>
                </c:pt>
                <c:pt idx="3">
                  <c:v>5917</c:v>
                </c:pt>
                <c:pt idx="4">
                  <c:v>36851</c:v>
                </c:pt>
                <c:pt idx="5">
                  <c:v>81862</c:v>
                </c:pt>
              </c:numCache>
            </c:numRef>
          </c:val>
          <c:smooth val="0"/>
          <c:extLst>
            <c:ext xmlns:c16="http://schemas.microsoft.com/office/drawing/2014/chart" uri="{C3380CC4-5D6E-409C-BE32-E72D297353CC}">
              <c16:uniqueId val="{00000002-B016-4785-A24E-25C087A58383}"/>
            </c:ext>
          </c:extLst>
        </c:ser>
        <c:dLbls>
          <c:showLegendKey val="0"/>
          <c:showVal val="0"/>
          <c:showCatName val="0"/>
          <c:showSerName val="0"/>
          <c:showPercent val="0"/>
          <c:showBubbleSize val="0"/>
        </c:dLbls>
        <c:marker val="1"/>
        <c:smooth val="0"/>
        <c:axId val="1692697263"/>
        <c:axId val="1692694767"/>
      </c:lineChart>
      <c:catAx>
        <c:axId val="51719859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517187359"/>
        <c:crosses val="autoZero"/>
        <c:auto val="1"/>
        <c:lblAlgn val="ctr"/>
        <c:lblOffset val="100"/>
        <c:noMultiLvlLbl val="0"/>
      </c:catAx>
      <c:valAx>
        <c:axId val="517187359"/>
        <c:scaling>
          <c:orientation val="minMax"/>
        </c:scaling>
        <c:delete val="1"/>
        <c:axPos val="l"/>
        <c:numFmt formatCode="_(* #,##0_);_(* \(#,##0\);_(* &quot;-&quot;??_);_(@_)" sourceLinked="1"/>
        <c:majorTickMark val="none"/>
        <c:minorTickMark val="none"/>
        <c:tickLblPos val="nextTo"/>
        <c:crossAx val="517198591"/>
        <c:crosses val="autoZero"/>
        <c:crossBetween val="between"/>
      </c:valAx>
      <c:valAx>
        <c:axId val="1692694767"/>
        <c:scaling>
          <c:orientation val="minMax"/>
        </c:scaling>
        <c:delete val="0"/>
        <c:axPos val="r"/>
        <c:numFmt formatCode="_(* #,##0_);_(* \(#,##0\);_(* &quot;-&quot;??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692697263"/>
        <c:crosses val="max"/>
        <c:crossBetween val="between"/>
      </c:valAx>
      <c:catAx>
        <c:axId val="1692697263"/>
        <c:scaling>
          <c:orientation val="minMax"/>
        </c:scaling>
        <c:delete val="1"/>
        <c:axPos val="b"/>
        <c:numFmt formatCode="General" sourceLinked="1"/>
        <c:majorTickMark val="out"/>
        <c:minorTickMark val="none"/>
        <c:tickLblPos val="nextTo"/>
        <c:crossAx val="1692694767"/>
        <c:crosses val="autoZero"/>
        <c:auto val="1"/>
        <c:lblAlgn val="ctr"/>
        <c:lblOffset val="100"/>
        <c:noMultiLvlLbl val="0"/>
      </c:catAx>
      <c:spPr>
        <a:noFill/>
        <a:ln>
          <a:noFill/>
        </a:ln>
        <a:effectLst/>
      </c:spPr>
    </c:plotArea>
    <c:legend>
      <c:legendPos val="t"/>
      <c:layout>
        <c:manualLayout>
          <c:xMode val="edge"/>
          <c:yMode val="edge"/>
          <c:x val="0.20534315249520629"/>
          <c:y val="0.28306893985918924"/>
          <c:w val="0.37166008116041782"/>
          <c:h val="4.2380006960703667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[UIO_cifras_2021_vr02feb2022.xlsx]MICE-ICCA !TablaDinámica1</c:name>
    <c:fmtId val="1"/>
  </c:pivotSource>
  <c:chart>
    <c:autoTitleDeleted val="1"/>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4"/>
          </a:solidFill>
          <a:ln>
            <a:noFill/>
          </a:ln>
          <a:effectLst/>
        </c:spP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pivotFmt>
      <c:pivotFmt>
        <c:idx val="9"/>
        <c:spPr>
          <a:solidFill>
            <a:schemeClr val="accent4"/>
          </a:solidFill>
          <a:ln>
            <a:noFill/>
          </a:ln>
          <a:effectLst/>
        </c:spPr>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4"/>
          </a:solidFill>
          <a:ln>
            <a:noFill/>
          </a:ln>
          <a:effectLst/>
        </c:spPr>
      </c:pivotFmt>
    </c:pivotFmts>
    <c:plotArea>
      <c:layout/>
      <c:barChart>
        <c:barDir val="col"/>
        <c:grouping val="clustered"/>
        <c:varyColors val="0"/>
        <c:ser>
          <c:idx val="0"/>
          <c:order val="0"/>
          <c:tx>
            <c:strRef>
              <c:f>'MICE-ICCA '!$H$4</c:f>
              <c:strCache>
                <c:ptCount val="1"/>
                <c:pt idx="0">
                  <c:v>Total</c:v>
                </c:pt>
              </c:strCache>
            </c:strRef>
          </c:tx>
          <c:spPr>
            <a:solidFill>
              <a:schemeClr val="accent1"/>
            </a:solidFill>
            <a:ln>
              <a:noFill/>
            </a:ln>
            <a:effectLst/>
          </c:spPr>
          <c:invertIfNegative val="0"/>
          <c:dPt>
            <c:idx val="10"/>
            <c:invertIfNegative val="0"/>
            <c:bubble3D val="0"/>
            <c:extLst>
              <c:ext xmlns:c16="http://schemas.microsoft.com/office/drawing/2014/chart" uri="{C3380CC4-5D6E-409C-BE32-E72D297353CC}">
                <c16:uniqueId val="{00000001-A35F-43D4-9566-47C0343552D6}"/>
              </c:ext>
            </c:extLst>
          </c:dPt>
          <c:dPt>
            <c:idx val="11"/>
            <c:invertIfNegative val="0"/>
            <c:bubble3D val="0"/>
            <c:spPr>
              <a:solidFill>
                <a:schemeClr val="accent4"/>
              </a:solidFill>
              <a:ln>
                <a:noFill/>
              </a:ln>
              <a:effectLst/>
            </c:spPr>
            <c:extLst>
              <c:ext xmlns:c16="http://schemas.microsoft.com/office/drawing/2014/chart" uri="{C3380CC4-5D6E-409C-BE32-E72D297353CC}">
                <c16:uniqueId val="{00000002-4922-4131-82E4-02BC999E4877}"/>
              </c:ext>
            </c:extLst>
          </c:dPt>
          <c:cat>
            <c:strRef>
              <c:f>'MICE-ICCA '!$G$5:$G$23</c:f>
              <c:strCache>
                <c:ptCount val="18"/>
                <c:pt idx="0">
                  <c:v>Buenos Aires</c:v>
                </c:pt>
                <c:pt idx="1">
                  <c:v>Lima</c:v>
                </c:pt>
                <c:pt idx="2">
                  <c:v>Santiago de Chile</c:v>
                </c:pt>
                <c:pt idx="3">
                  <c:v>Sao Paulo</c:v>
                </c:pt>
                <c:pt idx="4">
                  <c:v>Bogotá</c:v>
                </c:pt>
                <c:pt idx="5">
                  <c:v>Rio de Janeiro</c:v>
                </c:pt>
                <c:pt idx="6">
                  <c:v>Panamá</c:v>
                </c:pt>
                <c:pt idx="7">
                  <c:v>Cartagena</c:v>
                </c:pt>
                <c:pt idx="8">
                  <c:v>Montevideo</c:v>
                </c:pt>
                <c:pt idx="9">
                  <c:v>San José Costa Rica</c:v>
                </c:pt>
                <c:pt idx="10">
                  <c:v>Asunción</c:v>
                </c:pt>
                <c:pt idx="11">
                  <c:v>Quito</c:v>
                </c:pt>
                <c:pt idx="12">
                  <c:v>Havana</c:v>
                </c:pt>
                <c:pt idx="13">
                  <c:v>México City</c:v>
                </c:pt>
                <c:pt idx="14">
                  <c:v>Medellín</c:v>
                </c:pt>
                <c:pt idx="15">
                  <c:v>Santa Cruz</c:v>
                </c:pt>
                <c:pt idx="16">
                  <c:v>Guayaquil</c:v>
                </c:pt>
                <c:pt idx="17">
                  <c:v>Cuenca</c:v>
                </c:pt>
              </c:strCache>
            </c:strRef>
          </c:cat>
          <c:val>
            <c:numRef>
              <c:f>'MICE-ICCA '!$H$5:$H$23</c:f>
              <c:numCache>
                <c:formatCode>General</c:formatCode>
                <c:ptCount val="18"/>
                <c:pt idx="0">
                  <c:v>133</c:v>
                </c:pt>
                <c:pt idx="1">
                  <c:v>67</c:v>
                </c:pt>
                <c:pt idx="2">
                  <c:v>66</c:v>
                </c:pt>
                <c:pt idx="3">
                  <c:v>63</c:v>
                </c:pt>
                <c:pt idx="4">
                  <c:v>56</c:v>
                </c:pt>
                <c:pt idx="5">
                  <c:v>53</c:v>
                </c:pt>
                <c:pt idx="6">
                  <c:v>42</c:v>
                </c:pt>
                <c:pt idx="7">
                  <c:v>39</c:v>
                </c:pt>
                <c:pt idx="8">
                  <c:v>39</c:v>
                </c:pt>
                <c:pt idx="9">
                  <c:v>37</c:v>
                </c:pt>
                <c:pt idx="10">
                  <c:v>34</c:v>
                </c:pt>
                <c:pt idx="11">
                  <c:v>33</c:v>
                </c:pt>
                <c:pt idx="12">
                  <c:v>29</c:v>
                </c:pt>
                <c:pt idx="13">
                  <c:v>26</c:v>
                </c:pt>
                <c:pt idx="14">
                  <c:v>25</c:v>
                </c:pt>
                <c:pt idx="15">
                  <c:v>15</c:v>
                </c:pt>
                <c:pt idx="16">
                  <c:v>15</c:v>
                </c:pt>
                <c:pt idx="17">
                  <c:v>13</c:v>
                </c:pt>
              </c:numCache>
            </c:numRef>
          </c:val>
          <c:extLst>
            <c:ext xmlns:c16="http://schemas.microsoft.com/office/drawing/2014/chart" uri="{C3380CC4-5D6E-409C-BE32-E72D297353CC}">
              <c16:uniqueId val="{00000002-A35F-43D4-9566-47C0343552D6}"/>
            </c:ext>
          </c:extLst>
        </c:ser>
        <c:dLbls>
          <c:showLegendKey val="0"/>
          <c:showVal val="0"/>
          <c:showCatName val="0"/>
          <c:showSerName val="0"/>
          <c:showPercent val="0"/>
          <c:showBubbleSize val="0"/>
        </c:dLbls>
        <c:gapWidth val="219"/>
        <c:overlap val="-27"/>
        <c:axId val="326084640"/>
        <c:axId val="326082976"/>
      </c:barChart>
      <c:catAx>
        <c:axId val="3260846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326082976"/>
        <c:crosses val="autoZero"/>
        <c:auto val="1"/>
        <c:lblAlgn val="ctr"/>
        <c:lblOffset val="100"/>
        <c:noMultiLvlLbl val="0"/>
      </c:catAx>
      <c:valAx>
        <c:axId val="32608297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32608464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Visible val="1"/>
      </c14:pivotOptions>
    </c:ext>
    <c:ext xmlns:c16="http://schemas.microsoft.com/office/drawing/2014/chart" uri="{E28EC0CA-F0BB-4C9C-879D-F8772B89E7AC}">
      <c16:pivotOptions16>
        <c16:showExpandCollapseFieldButtons val="1"/>
      </c16:pivotOptions16>
    </c:ext>
  </c:extLst>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EC"/>
              <a:t>Número de visitantes estimados en feriados DMQ</a:t>
            </a:r>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EC"/>
        </a:p>
      </c:txPr>
    </c:title>
    <c:autoTitleDeleted val="0"/>
    <c:plotArea>
      <c:layout/>
      <c:barChart>
        <c:barDir val="col"/>
        <c:grouping val="clustered"/>
        <c:varyColors val="0"/>
        <c:ser>
          <c:idx val="2"/>
          <c:order val="2"/>
          <c:tx>
            <c:strRef>
              <c:f>Resume_FF!$D$43</c:f>
              <c:strCache>
                <c:ptCount val="1"/>
                <c:pt idx="0">
                  <c:v>Visitantes 2020</c:v>
                </c:pt>
              </c:strCache>
            </c:strRef>
          </c:tx>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gradFill rotWithShape="1">
                <a:gsLst>
                  <a:gs pos="0">
                    <a:schemeClr val="accent3">
                      <a:tint val="50000"/>
                      <a:satMod val="300000"/>
                    </a:schemeClr>
                  </a:gs>
                  <a:gs pos="35000">
                    <a:schemeClr val="accent3">
                      <a:tint val="37000"/>
                      <a:satMod val="300000"/>
                    </a:schemeClr>
                  </a:gs>
                  <a:gs pos="100000">
                    <a:schemeClr val="accent3">
                      <a:tint val="15000"/>
                      <a:satMod val="350000"/>
                    </a:schemeClr>
                  </a:gs>
                </a:gsLst>
                <a:lin ang="16200000" scaled="1"/>
              </a:gradFill>
              <a:ln w="9525" cap="flat" cmpd="sng" algn="ctr">
                <a:solidFill>
                  <a:schemeClr val="accent3">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f>Resume_FF!$E$3:$N$3</c:f>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f>Resume_FF!$E$43:$N$43</c:f>
              <c:numCache>
                <c:formatCode>_(* #,##0_);_(* \(#,##0\);_(* "-"??_);_(@_)</c:formatCode>
                <c:ptCount val="10"/>
                <c:pt idx="0">
                  <c:v>166886</c:v>
                </c:pt>
                <c:pt idx="1">
                  <c:v>0</c:v>
                </c:pt>
                <c:pt idx="2">
                  <c:v>0</c:v>
                </c:pt>
                <c:pt idx="3">
                  <c:v>0</c:v>
                </c:pt>
                <c:pt idx="4">
                  <c:v>1634</c:v>
                </c:pt>
                <c:pt idx="5">
                  <c:v>29214</c:v>
                </c:pt>
                <c:pt idx="6">
                  <c:v>54832</c:v>
                </c:pt>
                <c:pt idx="7">
                  <c:v>35155</c:v>
                </c:pt>
              </c:numCache>
            </c:numRef>
          </c:val>
          <c:extLst>
            <c:ext xmlns:c16="http://schemas.microsoft.com/office/drawing/2014/chart" uri="{C3380CC4-5D6E-409C-BE32-E72D297353CC}">
              <c16:uniqueId val="{00000002-CB2E-4B26-8271-50F607DB4BDA}"/>
            </c:ext>
          </c:extLst>
        </c:ser>
        <c:ser>
          <c:idx val="3"/>
          <c:order val="3"/>
          <c:tx>
            <c:strRef>
              <c:f>Resume_FF!$D$44</c:f>
              <c:strCache>
                <c:ptCount val="1"/>
                <c:pt idx="0">
                  <c:v>Visitantes 2021</c:v>
                </c:pt>
              </c:strCache>
            </c:strRef>
          </c:tx>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gradFill rotWithShape="1">
                <a:gsLst>
                  <a:gs pos="0">
                    <a:schemeClr val="accent4">
                      <a:tint val="50000"/>
                      <a:satMod val="300000"/>
                    </a:schemeClr>
                  </a:gs>
                  <a:gs pos="35000">
                    <a:schemeClr val="accent4">
                      <a:tint val="37000"/>
                      <a:satMod val="300000"/>
                    </a:schemeClr>
                  </a:gs>
                  <a:gs pos="100000">
                    <a:schemeClr val="accent4">
                      <a:tint val="15000"/>
                      <a:satMod val="350000"/>
                    </a:schemeClr>
                  </a:gs>
                </a:gsLst>
                <a:lin ang="16200000" scaled="1"/>
              </a:gradFill>
              <a:ln w="9525" cap="flat" cmpd="sng" algn="ctr">
                <a:solidFill>
                  <a:schemeClr val="accent4">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f>Resume_FF!$E$3:$N$3</c:f>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f>Resume_FF!$E$44:$N$44</c:f>
              <c:numCache>
                <c:formatCode>_(* #,##0_);_(* \(#,##0\);_(* "-"??_);_(@_)</c:formatCode>
                <c:ptCount val="10"/>
                <c:pt idx="0">
                  <c:v>37083</c:v>
                </c:pt>
                <c:pt idx="1">
                  <c:v>16671</c:v>
                </c:pt>
                <c:pt idx="2">
                  <c:v>33631</c:v>
                </c:pt>
                <c:pt idx="3">
                  <c:v>46692</c:v>
                </c:pt>
                <c:pt idx="4">
                  <c:v>96357</c:v>
                </c:pt>
                <c:pt idx="5">
                  <c:v>52996</c:v>
                </c:pt>
                <c:pt idx="6">
                  <c:v>90956</c:v>
                </c:pt>
                <c:pt idx="7">
                  <c:v>64599</c:v>
                </c:pt>
                <c:pt idx="8">
                  <c:v>70507</c:v>
                </c:pt>
                <c:pt idx="9">
                  <c:v>62692</c:v>
                </c:pt>
              </c:numCache>
            </c:numRef>
          </c:val>
          <c:extLst>
            <c:ext xmlns:c16="http://schemas.microsoft.com/office/drawing/2014/chart" uri="{C3380CC4-5D6E-409C-BE32-E72D297353CC}">
              <c16:uniqueId val="{00000003-CB2E-4B26-8271-50F607DB4BDA}"/>
            </c:ext>
          </c:extLst>
        </c:ser>
        <c:dLbls>
          <c:showLegendKey val="0"/>
          <c:showVal val="1"/>
          <c:showCatName val="0"/>
          <c:showSerName val="0"/>
          <c:showPercent val="0"/>
          <c:showBubbleSize val="0"/>
        </c:dLbls>
        <c:gapWidth val="100"/>
        <c:overlap val="-24"/>
        <c:axId val="18483888"/>
        <c:axId val="18498864"/>
        <c:extLst>
          <c:ext xmlns:c15="http://schemas.microsoft.com/office/drawing/2012/chart" uri="{02D57815-91ED-43cb-92C2-25804820EDAC}">
            <c15:filteredBarSeries>
              <c15:ser>
                <c:idx val="0"/>
                <c:order val="0"/>
                <c:tx>
                  <c:strRef>
                    <c:extLst>
                      <c:ext uri="{02D57815-91ED-43cb-92C2-25804820EDAC}">
                        <c15:formulaRef>
                          <c15:sqref>Resume_FF!$D$41</c15:sqref>
                        </c15:formulaRef>
                      </c:ext>
                    </c:extLst>
                    <c:strCache>
                      <c:ptCount val="1"/>
                      <c:pt idx="0">
                        <c:v>Visitantes 2018</c:v>
                      </c:pt>
                    </c:strCache>
                  </c:strRef>
                </c:tx>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EC"/>
                    </a:p>
                  </c:txPr>
                  <c:showLegendKey val="0"/>
                  <c:showVal val="1"/>
                  <c:showCatName val="0"/>
                  <c:showSerName val="0"/>
                  <c:showPercent val="0"/>
                  <c:showBubbleSize val="0"/>
                  <c:showLeaderLines val="0"/>
                  <c:extLst>
                    <c:ext uri="{CE6537A1-D6FC-4f65-9D91-7224C49458BB}">
                      <c15:showLeaderLines val="1"/>
                      <c15:leaderLines>
                        <c:spPr>
                          <a:ln w="9525">
                            <a:solidFill>
                              <a:schemeClr val="lt1">
                                <a:lumMod val="95000"/>
                                <a:alpha val="54000"/>
                              </a:schemeClr>
                            </a:solidFill>
                          </a:ln>
                          <a:effectLst/>
                        </c:spPr>
                      </c15:leaderLines>
                    </c:ext>
                  </c:extLst>
                </c:dLbls>
                <c:cat>
                  <c:strRef>
                    <c:extLst>
                      <c:ex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c:ext uri="{02D57815-91ED-43cb-92C2-25804820EDAC}">
                        <c15:formulaRef>
                          <c15:sqref>Resume_FF!$E$41:$N$41</c15:sqref>
                        </c15:formulaRef>
                      </c:ext>
                    </c:extLst>
                    <c:numCache>
                      <c:formatCode>_(* #,##0_);_(* \(#,##0\);_(* "-"??_);_(@_)</c:formatCode>
                      <c:ptCount val="10"/>
                      <c:pt idx="0">
                        <c:v>122523</c:v>
                      </c:pt>
                      <c:pt idx="1">
                        <c:v>98147</c:v>
                      </c:pt>
                      <c:pt idx="2">
                        <c:v>124767</c:v>
                      </c:pt>
                      <c:pt idx="3">
                        <c:v>96112</c:v>
                      </c:pt>
                      <c:pt idx="4">
                        <c:v>98788</c:v>
                      </c:pt>
                      <c:pt idx="6">
                        <c:v>88513</c:v>
                      </c:pt>
                      <c:pt idx="7">
                        <c:v>97095</c:v>
                      </c:pt>
                    </c:numCache>
                  </c:numRef>
                </c:val>
                <c:extLst>
                  <c:ext xmlns:c16="http://schemas.microsoft.com/office/drawing/2014/chart" uri="{C3380CC4-5D6E-409C-BE32-E72D297353CC}">
                    <c16:uniqueId val="{00000000-CB2E-4B26-8271-50F607DB4BDA}"/>
                  </c:ext>
                </c:extLst>
              </c15:ser>
            </c15:filteredBarSeries>
            <c15:filteredBarSeries>
              <c15:ser>
                <c:idx val="1"/>
                <c:order val="1"/>
                <c:tx>
                  <c:strRef>
                    <c:extLst xmlns:c15="http://schemas.microsoft.com/office/drawing/2012/chart">
                      <c:ext xmlns:c15="http://schemas.microsoft.com/office/drawing/2012/chart" uri="{02D57815-91ED-43cb-92C2-25804820EDAC}">
                        <c15:formulaRef>
                          <c15:sqref>Resume_FF!$D$42</c15:sqref>
                        </c15:formulaRef>
                      </c:ext>
                    </c:extLst>
                    <c:strCache>
                      <c:ptCount val="1"/>
                      <c:pt idx="0">
                        <c:v>Visitantes 2019</c:v>
                      </c:pt>
                    </c:strCache>
                  </c:strRef>
                </c:tx>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extLst xmlns:c15="http://schemas.microsoft.com/office/drawing/2012/chart">
                      <c:ext xmlns:c15="http://schemas.microsoft.com/office/drawing/2012/char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xmlns:c15="http://schemas.microsoft.com/office/drawing/2012/chart">
                      <c:ext xmlns:c15="http://schemas.microsoft.com/office/drawing/2012/chart" uri="{02D57815-91ED-43cb-92C2-25804820EDAC}">
                        <c15:formulaRef>
                          <c15:sqref>Resume_FF!$E$42:$N$42</c15:sqref>
                        </c15:formulaRef>
                      </c:ext>
                    </c:extLst>
                    <c:numCache>
                      <c:formatCode>_(* #,##0_);_(* \(#,##0\);_(* "-"??_);_(@_)</c:formatCode>
                      <c:ptCount val="10"/>
                      <c:pt idx="0">
                        <c:v>126886</c:v>
                      </c:pt>
                      <c:pt idx="1">
                        <c:v>88950</c:v>
                      </c:pt>
                      <c:pt idx="2">
                        <c:v>93403.01</c:v>
                      </c:pt>
                      <c:pt idx="3">
                        <c:v>94097.44</c:v>
                      </c:pt>
                      <c:pt idx="4">
                        <c:v>104598.5</c:v>
                      </c:pt>
                      <c:pt idx="6">
                        <c:v>83420.820000000007</c:v>
                      </c:pt>
                      <c:pt idx="7">
                        <c:v>104756.7</c:v>
                      </c:pt>
                    </c:numCache>
                  </c:numRef>
                </c:val>
                <c:extLst xmlns:c15="http://schemas.microsoft.com/office/drawing/2012/chart">
                  <c:ext xmlns:c16="http://schemas.microsoft.com/office/drawing/2014/chart" uri="{C3380CC4-5D6E-409C-BE32-E72D297353CC}">
                    <c16:uniqueId val="{00000001-CB2E-4B26-8271-50F607DB4BDA}"/>
                  </c:ext>
                </c:extLst>
              </c15:ser>
            </c15:filteredBarSeries>
            <c15:filteredBarSeries>
              <c15:ser>
                <c:idx val="4"/>
                <c:order val="4"/>
                <c:tx>
                  <c:strRef>
                    <c:extLst xmlns:c15="http://schemas.microsoft.com/office/drawing/2012/chart">
                      <c:ext xmlns:c15="http://schemas.microsoft.com/office/drawing/2012/chart" uri="{02D57815-91ED-43cb-92C2-25804820EDAC}">
                        <c15:formulaRef>
                          <c15:sqref>Resume_FF!$D$45</c15:sqref>
                        </c15:formulaRef>
                      </c:ext>
                    </c:extLst>
                    <c:strCache>
                      <c:ptCount val="1"/>
                      <c:pt idx="0">
                        <c:v>Visitantes 2022</c:v>
                      </c:pt>
                    </c:strCache>
                  </c:strRef>
                </c:tx>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extLst xmlns:c15="http://schemas.microsoft.com/office/drawing/2012/chart">
                      <c:ext xmlns:c15="http://schemas.microsoft.com/office/drawing/2012/char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xmlns:c15="http://schemas.microsoft.com/office/drawing/2012/chart">
                      <c:ext xmlns:c15="http://schemas.microsoft.com/office/drawing/2012/chart" uri="{02D57815-91ED-43cb-92C2-25804820EDAC}">
                        <c15:formulaRef>
                          <c15:sqref>Resume_FF!$E$45:$N$45</c15:sqref>
                        </c15:formulaRef>
                      </c:ext>
                    </c:extLst>
                    <c:numCache>
                      <c:formatCode>_(* #,##0_);_(* \(#,##0\);_(* "-"??_);_(@_)</c:formatCode>
                      <c:ptCount val="10"/>
                      <c:pt idx="0">
                        <c:v>0</c:v>
                      </c:pt>
                      <c:pt idx="1">
                        <c:v>0</c:v>
                      </c:pt>
                      <c:pt idx="2">
                        <c:v>0</c:v>
                      </c:pt>
                      <c:pt idx="3">
                        <c:v>0</c:v>
                      </c:pt>
                      <c:pt idx="4">
                        <c:v>0</c:v>
                      </c:pt>
                      <c:pt idx="5">
                        <c:v>0</c:v>
                      </c:pt>
                      <c:pt idx="6">
                        <c:v>0</c:v>
                      </c:pt>
                      <c:pt idx="7">
                        <c:v>0</c:v>
                      </c:pt>
                      <c:pt idx="8">
                        <c:v>0</c:v>
                      </c:pt>
                      <c:pt idx="9">
                        <c:v>0</c:v>
                      </c:pt>
                    </c:numCache>
                  </c:numRef>
                </c:val>
                <c:extLst xmlns:c15="http://schemas.microsoft.com/office/drawing/2012/chart">
                  <c:ext xmlns:c16="http://schemas.microsoft.com/office/drawing/2014/chart" uri="{C3380CC4-5D6E-409C-BE32-E72D297353CC}">
                    <c16:uniqueId val="{00000005-CB2E-4B26-8271-50F607DB4BDA}"/>
                  </c:ext>
                </c:extLst>
              </c15:ser>
            </c15:filteredBarSeries>
          </c:ext>
        </c:extLst>
      </c:barChart>
      <c:catAx>
        <c:axId val="18483888"/>
        <c:scaling>
          <c:orientation val="minMax"/>
        </c:scaling>
        <c:delete val="0"/>
        <c:axPos val="b"/>
        <c:numFmt formatCode="General" sourceLinked="1"/>
        <c:majorTickMark val="none"/>
        <c:minorTickMark val="none"/>
        <c:tickLblPos val="nextTo"/>
        <c:spPr>
          <a:noFill/>
          <a:ln w="12700" cap="flat" cmpd="sng" algn="ctr">
            <a:solidFill>
              <a:schemeClr val="lt1">
                <a:lumMod val="95000"/>
                <a:alpha val="54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C"/>
          </a:p>
        </c:txPr>
        <c:crossAx val="18498864"/>
        <c:crosses val="autoZero"/>
        <c:auto val="1"/>
        <c:lblAlgn val="ctr"/>
        <c:lblOffset val="100"/>
        <c:noMultiLvlLbl val="0"/>
      </c:catAx>
      <c:valAx>
        <c:axId val="18498864"/>
        <c:scaling>
          <c:orientation val="minMax"/>
        </c:scaling>
        <c:delete val="0"/>
        <c:axPos val="l"/>
        <c:majorGridlines>
          <c:spPr>
            <a:ln w="9525" cap="flat" cmpd="sng" algn="ctr">
              <a:solidFill>
                <a:schemeClr val="lt1">
                  <a:lumMod val="95000"/>
                  <a:alpha val="10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C"/>
          </a:p>
        </c:txPr>
        <c:crossAx val="18483888"/>
        <c:crosses val="autoZero"/>
        <c:crossBetween val="between"/>
        <c:majorUnit val="400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EC"/>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r>
              <a:rPr lang="es-EC"/>
              <a:t>Gasto promedio estimado en feriados DMQ</a:t>
            </a:r>
          </a:p>
        </c:rich>
      </c:tx>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EC"/>
        </a:p>
      </c:txPr>
    </c:title>
    <c:autoTitleDeleted val="0"/>
    <c:plotArea>
      <c:layout/>
      <c:lineChart>
        <c:grouping val="standard"/>
        <c:varyColors val="0"/>
        <c:ser>
          <c:idx val="2"/>
          <c:order val="2"/>
          <c:tx>
            <c:strRef>
              <c:f>Resume_FF!$D$50</c:f>
              <c:strCache>
                <c:ptCount val="1"/>
                <c:pt idx="0">
                  <c:v>Gasto promedio 2020</c:v>
                </c:pt>
              </c:strCache>
            </c:strRef>
          </c:tx>
          <c:spPr>
            <a:ln w="22225" cap="rnd">
              <a:solidFill>
                <a:schemeClr val="accent6"/>
              </a:solidFill>
            </a:ln>
            <a:effectLst>
              <a:glow rad="139700">
                <a:schemeClr val="accent6">
                  <a:satMod val="175000"/>
                  <a:alpha val="14000"/>
                </a:schemeClr>
              </a:glow>
            </a:effectLst>
          </c:spPr>
          <c:marker>
            <c:symbol val="none"/>
          </c:marker>
          <c:dLbls>
            <c:spPr>
              <a:gradFill rotWithShape="1">
                <a:gsLst>
                  <a:gs pos="0">
                    <a:schemeClr val="accent6">
                      <a:tint val="50000"/>
                      <a:satMod val="300000"/>
                    </a:schemeClr>
                  </a:gs>
                  <a:gs pos="35000">
                    <a:schemeClr val="accent6">
                      <a:tint val="37000"/>
                      <a:satMod val="300000"/>
                    </a:schemeClr>
                  </a:gs>
                  <a:gs pos="100000">
                    <a:schemeClr val="accent6">
                      <a:tint val="15000"/>
                      <a:satMod val="350000"/>
                    </a:schemeClr>
                  </a:gs>
                </a:gsLst>
                <a:lin ang="16200000" scaled="1"/>
              </a:gradFill>
              <a:ln w="9525" cap="flat" cmpd="sng" algn="ctr">
                <a:solidFill>
                  <a:schemeClr val="accent6">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cat>
            <c:strRef>
              <c:f>Resume_FF!$E$3:$N$3</c:f>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f>Resume_FF!$E$50:$N$50</c:f>
              <c:numCache>
                <c:formatCode>_(* #,##0_);_(* \(#,##0\);_(* "-"??_);_(@_)</c:formatCode>
                <c:ptCount val="10"/>
                <c:pt idx="0">
                  <c:v>16688600</c:v>
                </c:pt>
                <c:pt idx="1">
                  <c:v>0</c:v>
                </c:pt>
                <c:pt idx="2">
                  <c:v>0</c:v>
                </c:pt>
                <c:pt idx="3">
                  <c:v>0</c:v>
                </c:pt>
                <c:pt idx="4">
                  <c:v>163400</c:v>
                </c:pt>
                <c:pt idx="5">
                  <c:v>2921400</c:v>
                </c:pt>
                <c:pt idx="6">
                  <c:v>5483200</c:v>
                </c:pt>
                <c:pt idx="7">
                  <c:v>3515500</c:v>
                </c:pt>
              </c:numCache>
            </c:numRef>
          </c:val>
          <c:smooth val="0"/>
          <c:extLst>
            <c:ext xmlns:c16="http://schemas.microsoft.com/office/drawing/2014/chart" uri="{C3380CC4-5D6E-409C-BE32-E72D297353CC}">
              <c16:uniqueId val="{00000002-452E-4B0C-A495-0F128B25C71C}"/>
            </c:ext>
          </c:extLst>
        </c:ser>
        <c:ser>
          <c:idx val="3"/>
          <c:order val="3"/>
          <c:tx>
            <c:strRef>
              <c:f>Resume_FF!$D$51</c:f>
              <c:strCache>
                <c:ptCount val="1"/>
                <c:pt idx="0">
                  <c:v>Gasto promedio 2021</c:v>
                </c:pt>
              </c:strCache>
            </c:strRef>
          </c:tx>
          <c:spPr>
            <a:ln w="22225" cap="rnd">
              <a:solidFill>
                <a:schemeClr val="accent2">
                  <a:lumMod val="60000"/>
                </a:schemeClr>
              </a:solidFill>
            </a:ln>
            <a:effectLst>
              <a:glow rad="139700">
                <a:schemeClr val="accent2">
                  <a:lumMod val="60000"/>
                  <a:satMod val="175000"/>
                  <a:alpha val="14000"/>
                </a:schemeClr>
              </a:glow>
            </a:effectLst>
          </c:spPr>
          <c:marker>
            <c:symbol val="none"/>
          </c:marker>
          <c:dLbls>
            <c:spPr>
              <a:gradFill rotWithShape="1">
                <a:gsLst>
                  <a:gs pos="0">
                    <a:schemeClr val="accent2">
                      <a:tint val="50000"/>
                      <a:satMod val="300000"/>
                    </a:schemeClr>
                  </a:gs>
                  <a:gs pos="35000">
                    <a:schemeClr val="accent2">
                      <a:tint val="37000"/>
                      <a:satMod val="300000"/>
                    </a:schemeClr>
                  </a:gs>
                  <a:gs pos="100000">
                    <a:schemeClr val="accent2">
                      <a:tint val="15000"/>
                      <a:satMod val="350000"/>
                    </a:schemeClr>
                  </a:gs>
                </a:gsLst>
                <a:lin ang="16200000" scaled="1"/>
              </a:gradFill>
              <a:ln w="9525" cap="flat" cmpd="sng" algn="ctr">
                <a:solidFill>
                  <a:schemeClr val="accent2">
                    <a:shade val="95000"/>
                    <a:satMod val="105000"/>
                  </a:schemeClr>
                </a:solidFill>
                <a:prstDash val="solid"/>
              </a:ln>
              <a:effectLst>
                <a:outerShdw blurRad="40000" dist="20000" dir="5400000" rotWithShape="0">
                  <a:srgbClr val="000000">
                    <a:alpha val="38000"/>
                  </a:srgbClr>
                </a:outerShdw>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cat>
            <c:strRef>
              <c:f>Resume_FF!$E$3:$N$3</c:f>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f>Resume_FF!$E$51:$N$51</c:f>
              <c:numCache>
                <c:formatCode>_(* #,##0_);_(* \(#,##0\);_(* "-"??_);_(@_)</c:formatCode>
                <c:ptCount val="10"/>
                <c:pt idx="0">
                  <c:v>3708300</c:v>
                </c:pt>
                <c:pt idx="1">
                  <c:v>1667100</c:v>
                </c:pt>
                <c:pt idx="2">
                  <c:v>3363100</c:v>
                </c:pt>
                <c:pt idx="3">
                  <c:v>4669200</c:v>
                </c:pt>
                <c:pt idx="4">
                  <c:v>9635700</c:v>
                </c:pt>
                <c:pt idx="5">
                  <c:v>5299600</c:v>
                </c:pt>
                <c:pt idx="6">
                  <c:v>9095600</c:v>
                </c:pt>
                <c:pt idx="7">
                  <c:v>6459900</c:v>
                </c:pt>
                <c:pt idx="8">
                  <c:v>7050700</c:v>
                </c:pt>
                <c:pt idx="9">
                  <c:v>6269200</c:v>
                </c:pt>
              </c:numCache>
            </c:numRef>
          </c:val>
          <c:smooth val="0"/>
          <c:extLst>
            <c:ext xmlns:c16="http://schemas.microsoft.com/office/drawing/2014/chart" uri="{C3380CC4-5D6E-409C-BE32-E72D297353CC}">
              <c16:uniqueId val="{00000003-452E-4B0C-A495-0F128B25C71C}"/>
            </c:ext>
          </c:extLst>
        </c:ser>
        <c:dLbls>
          <c:showLegendKey val="0"/>
          <c:showVal val="1"/>
          <c:showCatName val="0"/>
          <c:showSerName val="0"/>
          <c:showPercent val="0"/>
          <c:showBubbleSize val="0"/>
        </c:dLbls>
        <c:smooth val="0"/>
        <c:axId val="18592880"/>
        <c:axId val="18607856"/>
        <c:extLst>
          <c:ext xmlns:c15="http://schemas.microsoft.com/office/drawing/2012/chart" uri="{02D57815-91ED-43cb-92C2-25804820EDAC}">
            <c15:filteredLineSeries>
              <c15:ser>
                <c:idx val="0"/>
                <c:order val="0"/>
                <c:tx>
                  <c:strRef>
                    <c:extLst>
                      <c:ext uri="{02D57815-91ED-43cb-92C2-25804820EDAC}">
                        <c15:formulaRef>
                          <c15:sqref>Resume_FF!$D$48</c15:sqref>
                        </c15:formulaRef>
                      </c:ext>
                    </c:extLst>
                    <c:strCache>
                      <c:ptCount val="1"/>
                      <c:pt idx="0">
                        <c:v>Gasto promedio 2018</c:v>
                      </c:pt>
                    </c:strCache>
                  </c:strRef>
                </c:tx>
                <c:spPr>
                  <a:ln w="22225" cap="rnd">
                    <a:solidFill>
                      <a:schemeClr val="accent2"/>
                    </a:solidFill>
                  </a:ln>
                  <a:effectLst>
                    <a:glow rad="139700">
                      <a:schemeClr val="accent2">
                        <a:satMod val="175000"/>
                        <a:alpha val="14000"/>
                      </a:schemeClr>
                    </a:glow>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s-EC"/>
                    </a:p>
                  </c:txPr>
                  <c:showLegendKey val="0"/>
                  <c:showVal val="1"/>
                  <c:showCatName val="0"/>
                  <c:showSerName val="0"/>
                  <c:showPercent val="0"/>
                  <c:showBubbleSize val="0"/>
                  <c:showLeaderLines val="0"/>
                  <c:extLst>
                    <c:ext uri="{CE6537A1-D6FC-4f65-9D91-7224C49458BB}">
                      <c15:showLeaderLines val="1"/>
                      <c15:leaderLines>
                        <c:spPr>
                          <a:ln w="9525">
                            <a:solidFill>
                              <a:schemeClr val="lt1">
                                <a:lumMod val="50000"/>
                              </a:schemeClr>
                            </a:solidFill>
                            <a:round/>
                          </a:ln>
                          <a:effectLst/>
                        </c:spPr>
                      </c15:leaderLines>
                    </c:ext>
                  </c:extLst>
                </c:dLbls>
                <c:cat>
                  <c:strRef>
                    <c:extLst>
                      <c:ex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c:ext uri="{02D57815-91ED-43cb-92C2-25804820EDAC}">
                        <c15:formulaRef>
                          <c15:sqref>Resume_FF!$E$48:$N$48</c15:sqref>
                        </c15:formulaRef>
                      </c:ext>
                    </c:extLst>
                    <c:numCache>
                      <c:formatCode>_(* #,##0_);_(* \(#,##0\);_(* "-"??_);_(@_)</c:formatCode>
                      <c:ptCount val="10"/>
                      <c:pt idx="0">
                        <c:v>12252300</c:v>
                      </c:pt>
                      <c:pt idx="1">
                        <c:v>9814700</c:v>
                      </c:pt>
                      <c:pt idx="2">
                        <c:v>12476700</c:v>
                      </c:pt>
                      <c:pt idx="3">
                        <c:v>9611200</c:v>
                      </c:pt>
                      <c:pt idx="4">
                        <c:v>9878800</c:v>
                      </c:pt>
                      <c:pt idx="5">
                        <c:v>0</c:v>
                      </c:pt>
                      <c:pt idx="6">
                        <c:v>8851300</c:v>
                      </c:pt>
                      <c:pt idx="7">
                        <c:v>9709500</c:v>
                      </c:pt>
                      <c:pt idx="8">
                        <c:v>0</c:v>
                      </c:pt>
                      <c:pt idx="9">
                        <c:v>0</c:v>
                      </c:pt>
                    </c:numCache>
                  </c:numRef>
                </c:val>
                <c:smooth val="0"/>
                <c:extLst>
                  <c:ext xmlns:c16="http://schemas.microsoft.com/office/drawing/2014/chart" uri="{C3380CC4-5D6E-409C-BE32-E72D297353CC}">
                    <c16:uniqueId val="{00000000-452E-4B0C-A495-0F128B25C71C}"/>
                  </c:ext>
                </c:extLst>
              </c15:ser>
            </c15:filteredLineSeries>
            <c15:filteredLineSeries>
              <c15:ser>
                <c:idx val="1"/>
                <c:order val="1"/>
                <c:tx>
                  <c:strRef>
                    <c:extLst xmlns:c15="http://schemas.microsoft.com/office/drawing/2012/chart">
                      <c:ext xmlns:c15="http://schemas.microsoft.com/office/drawing/2012/chart" uri="{02D57815-91ED-43cb-92C2-25804820EDAC}">
                        <c15:formulaRef>
                          <c15:sqref>Resume_FF!$D$49</c15:sqref>
                        </c15:formulaRef>
                      </c:ext>
                    </c:extLst>
                    <c:strCache>
                      <c:ptCount val="1"/>
                      <c:pt idx="0">
                        <c:v>Gasto promedio 2019</c:v>
                      </c:pt>
                    </c:strCache>
                  </c:strRef>
                </c:tx>
                <c:spPr>
                  <a:ln w="22225" cap="rnd">
                    <a:solidFill>
                      <a:schemeClr val="accent4"/>
                    </a:solidFill>
                  </a:ln>
                  <a:effectLst>
                    <a:glow rad="139700">
                      <a:schemeClr val="accent4">
                        <a:satMod val="175000"/>
                        <a:alpha val="14000"/>
                      </a:schemeClr>
                    </a:glow>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xmlns:c15="http://schemas.microsoft.com/office/drawing/2012/chart">
                      <c:ext xmlns:c15="http://schemas.microsoft.com/office/drawing/2012/chart" uri="{02D57815-91ED-43cb-92C2-25804820EDAC}">
                        <c15:formulaRef>
                          <c15:sqref>Resume_FF!$E$49:$N$49</c15:sqref>
                        </c15:formulaRef>
                      </c:ext>
                    </c:extLst>
                    <c:numCache>
                      <c:formatCode>_(* #,##0_);_(* \(#,##0\);_(* "-"??_);_(@_)</c:formatCode>
                      <c:ptCount val="10"/>
                      <c:pt idx="0">
                        <c:v>12688600</c:v>
                      </c:pt>
                      <c:pt idx="1">
                        <c:v>8895000</c:v>
                      </c:pt>
                      <c:pt idx="2">
                        <c:v>9340301</c:v>
                      </c:pt>
                      <c:pt idx="3">
                        <c:v>9409744</c:v>
                      </c:pt>
                      <c:pt idx="4">
                        <c:v>10459850</c:v>
                      </c:pt>
                      <c:pt idx="5">
                        <c:v>0</c:v>
                      </c:pt>
                      <c:pt idx="6">
                        <c:v>8342082.0000000009</c:v>
                      </c:pt>
                      <c:pt idx="7">
                        <c:v>10475670</c:v>
                      </c:pt>
                      <c:pt idx="8">
                        <c:v>0</c:v>
                      </c:pt>
                      <c:pt idx="9">
                        <c:v>0</c:v>
                      </c:pt>
                    </c:numCache>
                  </c:numRef>
                </c:val>
                <c:smooth val="0"/>
                <c:extLst xmlns:c15="http://schemas.microsoft.com/office/drawing/2012/chart">
                  <c:ext xmlns:c16="http://schemas.microsoft.com/office/drawing/2014/chart" uri="{C3380CC4-5D6E-409C-BE32-E72D297353CC}">
                    <c16:uniqueId val="{00000001-452E-4B0C-A495-0F128B25C71C}"/>
                  </c:ext>
                </c:extLst>
              </c15:ser>
            </c15:filteredLineSeries>
            <c15:filteredLineSeries>
              <c15:ser>
                <c:idx val="4"/>
                <c:order val="4"/>
                <c:tx>
                  <c:strRef>
                    <c:extLst xmlns:c15="http://schemas.microsoft.com/office/drawing/2012/chart">
                      <c:ext xmlns:c15="http://schemas.microsoft.com/office/drawing/2012/chart" uri="{02D57815-91ED-43cb-92C2-25804820EDAC}">
                        <c15:formulaRef>
                          <c15:sqref>Resume_FF!$D$52</c15:sqref>
                        </c15:formulaRef>
                      </c:ext>
                    </c:extLst>
                    <c:strCache>
                      <c:ptCount val="1"/>
                      <c:pt idx="0">
                        <c:v>Gasto promedio 2022</c:v>
                      </c:pt>
                    </c:strCache>
                  </c:strRef>
                </c:tx>
                <c:spPr>
                  <a:ln w="22225" cap="rnd">
                    <a:solidFill>
                      <a:schemeClr val="accent4">
                        <a:lumMod val="60000"/>
                      </a:schemeClr>
                    </a:solidFill>
                  </a:ln>
                  <a:effectLst>
                    <a:glow rad="139700">
                      <a:schemeClr val="accent4">
                        <a:lumMod val="60000"/>
                        <a:satMod val="175000"/>
                        <a:alpha val="14000"/>
                      </a:schemeClr>
                    </a:glow>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xmlns:c15="http://schemas.microsoft.com/office/drawing/2012/chart">
                      <c:ext xmlns:c15="http://schemas.microsoft.com/office/drawing/2012/chart" uri="{02D57815-91ED-43cb-92C2-25804820EDAC}">
                        <c15:formulaRef>
                          <c15:sqref>Resume_FF!$E$52:$N$52</c15:sqref>
                        </c15:formulaRef>
                      </c:ext>
                    </c:extLst>
                    <c:numCache>
                      <c:formatCode>_(* #,##0_);_(* \(#,##0\);_(* "-"??_);_(@_)</c:formatCode>
                      <c:ptCount val="10"/>
                      <c:pt idx="0">
                        <c:v>0</c:v>
                      </c:pt>
                      <c:pt idx="1">
                        <c:v>0</c:v>
                      </c:pt>
                      <c:pt idx="2">
                        <c:v>0</c:v>
                      </c:pt>
                      <c:pt idx="3">
                        <c:v>0</c:v>
                      </c:pt>
                      <c:pt idx="4">
                        <c:v>0</c:v>
                      </c:pt>
                      <c:pt idx="5">
                        <c:v>0</c:v>
                      </c:pt>
                      <c:pt idx="6">
                        <c:v>0</c:v>
                      </c:pt>
                      <c:pt idx="7">
                        <c:v>0</c:v>
                      </c:pt>
                      <c:pt idx="8">
                        <c:v>0</c:v>
                      </c:pt>
                      <c:pt idx="9">
                        <c:v>0</c:v>
                      </c:pt>
                    </c:numCache>
                  </c:numRef>
                </c:val>
                <c:smooth val="0"/>
                <c:extLst xmlns:c15="http://schemas.microsoft.com/office/drawing/2012/chart">
                  <c:ext xmlns:c16="http://schemas.microsoft.com/office/drawing/2014/chart" uri="{C3380CC4-5D6E-409C-BE32-E72D297353CC}">
                    <c16:uniqueId val="{00000004-452E-4B0C-A495-0F128B25C71C}"/>
                  </c:ext>
                </c:extLst>
              </c15:ser>
            </c15:filteredLineSeries>
          </c:ext>
        </c:extLst>
      </c:lineChart>
      <c:catAx>
        <c:axId val="18592880"/>
        <c:scaling>
          <c:orientation val="minMax"/>
        </c:scaling>
        <c:delete val="0"/>
        <c:axPos val="b"/>
        <c:majorGridlines>
          <c:spPr>
            <a:ln w="9525" cap="flat" cmpd="sng" algn="ctr">
              <a:gradFill>
                <a:gsLst>
                  <a:gs pos="100000">
                    <a:schemeClr val="dk1">
                      <a:lumMod val="75000"/>
                      <a:lumOff val="25000"/>
                    </a:schemeClr>
                  </a:gs>
                  <a:gs pos="0">
                    <a:schemeClr val="dk1">
                      <a:lumMod val="65000"/>
                      <a:lumOff val="35000"/>
                    </a:schemeClr>
                  </a:gs>
                </a:gsLst>
                <a:lin ang="5400000" scaled="0"/>
              </a:gra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EC"/>
          </a:p>
        </c:txPr>
        <c:crossAx val="18607856"/>
        <c:crosses val="autoZero"/>
        <c:auto val="1"/>
        <c:lblAlgn val="ctr"/>
        <c:lblOffset val="100"/>
        <c:noMultiLvlLbl val="0"/>
      </c:catAx>
      <c:valAx>
        <c:axId val="18607856"/>
        <c:scaling>
          <c:orientation val="minMax"/>
        </c:scaling>
        <c:delete val="0"/>
        <c:axPos val="l"/>
        <c:majorGridlines>
          <c:spPr>
            <a:ln w="9525" cap="flat" cmpd="sng" algn="ctr">
              <a:gradFill>
                <a:gsLst>
                  <a:gs pos="100000">
                    <a:schemeClr val="dk1">
                      <a:lumMod val="75000"/>
                      <a:lumOff val="25000"/>
                    </a:schemeClr>
                  </a:gs>
                  <a:gs pos="0">
                    <a:schemeClr val="dk1">
                      <a:lumMod val="65000"/>
                      <a:lumOff val="35000"/>
                    </a:schemeClr>
                  </a:gs>
                </a:gsLst>
                <a:lin ang="5400000" scaled="0"/>
              </a:gra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EC"/>
          </a:p>
        </c:txPr>
        <c:crossAx val="1859288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EC" sz="1800" b="1" i="0" baseline="0">
                <a:effectLst>
                  <a:outerShdw blurRad="50800" dist="38100" dir="5400000" algn="t" rotWithShape="0">
                    <a:srgbClr val="000000">
                      <a:alpha val="40000"/>
                    </a:srgbClr>
                  </a:outerShdw>
                </a:effectLst>
              </a:rPr>
              <a:t>Visitantes en feriados DMQ</a:t>
            </a:r>
          </a:p>
          <a:p>
            <a:pPr>
              <a:defRPr/>
            </a:pPr>
            <a:r>
              <a:rPr lang="es-EC">
                <a:effectLst/>
              </a:rPr>
              <a:t>Número (#) y gasto promedio ($)</a:t>
            </a:r>
          </a:p>
          <a:p>
            <a:pPr>
              <a:defRPr/>
            </a:pPr>
            <a:r>
              <a:rPr lang="es-EC">
                <a:effectLst/>
              </a:rPr>
              <a:t>estimados</a:t>
            </a:r>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EC"/>
        </a:p>
      </c:txPr>
    </c:title>
    <c:autoTitleDeleted val="0"/>
    <c:plotArea>
      <c:layout/>
      <c:barChart>
        <c:barDir val="col"/>
        <c:grouping val="clustered"/>
        <c:varyColors val="0"/>
        <c:ser>
          <c:idx val="2"/>
          <c:order val="2"/>
          <c:tx>
            <c:strRef>
              <c:f>Resume_FF!$D$43</c:f>
              <c:strCache>
                <c:ptCount val="1"/>
                <c:pt idx="0">
                  <c:v>Visitantes 2020</c:v>
                </c:pt>
              </c:strCache>
            </c:strRef>
          </c:tx>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f>Resume_FF!$E$3:$N$3</c:f>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f>Resume_FF!$E$43:$N$43</c:f>
              <c:numCache>
                <c:formatCode>_(* #,##0_);_(* \(#,##0\);_(* "-"??_);_(@_)</c:formatCode>
                <c:ptCount val="10"/>
                <c:pt idx="0">
                  <c:v>166886</c:v>
                </c:pt>
                <c:pt idx="1">
                  <c:v>0</c:v>
                </c:pt>
                <c:pt idx="2">
                  <c:v>0</c:v>
                </c:pt>
                <c:pt idx="3">
                  <c:v>0</c:v>
                </c:pt>
                <c:pt idx="4">
                  <c:v>1634</c:v>
                </c:pt>
                <c:pt idx="5">
                  <c:v>29214</c:v>
                </c:pt>
                <c:pt idx="6">
                  <c:v>54832</c:v>
                </c:pt>
                <c:pt idx="7">
                  <c:v>35155</c:v>
                </c:pt>
              </c:numCache>
            </c:numRef>
          </c:val>
          <c:extLst>
            <c:ext xmlns:c16="http://schemas.microsoft.com/office/drawing/2014/chart" uri="{C3380CC4-5D6E-409C-BE32-E72D297353CC}">
              <c16:uniqueId val="{00000002-54D7-4979-8E33-41B096B2485D}"/>
            </c:ext>
          </c:extLst>
        </c:ser>
        <c:ser>
          <c:idx val="3"/>
          <c:order val="3"/>
          <c:tx>
            <c:strRef>
              <c:f>Resume_FF!$D$44</c:f>
              <c:strCache>
                <c:ptCount val="1"/>
                <c:pt idx="0">
                  <c:v>Visitantes 2021</c:v>
                </c:pt>
              </c:strCache>
            </c:strRef>
          </c:tx>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f>Resume_FF!$E$3:$N$3</c:f>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f>Resume_FF!$E$44:$N$44</c:f>
              <c:numCache>
                <c:formatCode>_(* #,##0_);_(* \(#,##0\);_(* "-"??_);_(@_)</c:formatCode>
                <c:ptCount val="10"/>
                <c:pt idx="0">
                  <c:v>37083</c:v>
                </c:pt>
                <c:pt idx="1">
                  <c:v>16671</c:v>
                </c:pt>
                <c:pt idx="2">
                  <c:v>33631</c:v>
                </c:pt>
                <c:pt idx="3">
                  <c:v>46692</c:v>
                </c:pt>
                <c:pt idx="4">
                  <c:v>96357</c:v>
                </c:pt>
                <c:pt idx="5">
                  <c:v>52996</c:v>
                </c:pt>
                <c:pt idx="6">
                  <c:v>90956</c:v>
                </c:pt>
                <c:pt idx="7">
                  <c:v>64599</c:v>
                </c:pt>
                <c:pt idx="8">
                  <c:v>70507</c:v>
                </c:pt>
                <c:pt idx="9">
                  <c:v>62692</c:v>
                </c:pt>
              </c:numCache>
            </c:numRef>
          </c:val>
          <c:extLst>
            <c:ext xmlns:c16="http://schemas.microsoft.com/office/drawing/2014/chart" uri="{C3380CC4-5D6E-409C-BE32-E72D297353CC}">
              <c16:uniqueId val="{00000003-54D7-4979-8E33-41B096B2485D}"/>
            </c:ext>
          </c:extLst>
        </c:ser>
        <c:dLbls>
          <c:showLegendKey val="0"/>
          <c:showVal val="0"/>
          <c:showCatName val="0"/>
          <c:showSerName val="0"/>
          <c:showPercent val="0"/>
          <c:showBubbleSize val="0"/>
        </c:dLbls>
        <c:gapWidth val="150"/>
        <c:axId val="263195648"/>
        <c:axId val="263106624"/>
        <c:extLst>
          <c:ext xmlns:c15="http://schemas.microsoft.com/office/drawing/2012/chart" uri="{02D57815-91ED-43cb-92C2-25804820EDAC}">
            <c15:filteredBarSeries>
              <c15:ser>
                <c:idx val="0"/>
                <c:order val="0"/>
                <c:tx>
                  <c:strRef>
                    <c:extLst>
                      <c:ext uri="{02D57815-91ED-43cb-92C2-25804820EDAC}">
                        <c15:formulaRef>
                          <c15:sqref>Resume_FF!$D$41</c15:sqref>
                        </c15:formulaRef>
                      </c:ext>
                    </c:extLst>
                    <c:strCache>
                      <c:ptCount val="1"/>
                      <c:pt idx="0">
                        <c:v>Visitantes 2018</c:v>
                      </c:pt>
                    </c:strCache>
                  </c:strRef>
                </c:tx>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extLst>
                      <c:ex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c:ext uri="{02D57815-91ED-43cb-92C2-25804820EDAC}">
                        <c15:formulaRef>
                          <c15:sqref>Resume_FF!$E$41:$N$41</c15:sqref>
                        </c15:formulaRef>
                      </c:ext>
                    </c:extLst>
                    <c:numCache>
                      <c:formatCode>_(* #,##0_);_(* \(#,##0\);_(* "-"??_);_(@_)</c:formatCode>
                      <c:ptCount val="10"/>
                      <c:pt idx="0">
                        <c:v>122523</c:v>
                      </c:pt>
                      <c:pt idx="1">
                        <c:v>98147</c:v>
                      </c:pt>
                      <c:pt idx="2">
                        <c:v>124767</c:v>
                      </c:pt>
                      <c:pt idx="3">
                        <c:v>96112</c:v>
                      </c:pt>
                      <c:pt idx="4">
                        <c:v>98788</c:v>
                      </c:pt>
                      <c:pt idx="6">
                        <c:v>88513</c:v>
                      </c:pt>
                      <c:pt idx="7">
                        <c:v>97095</c:v>
                      </c:pt>
                    </c:numCache>
                  </c:numRef>
                </c:val>
                <c:extLst>
                  <c:ext xmlns:c16="http://schemas.microsoft.com/office/drawing/2014/chart" uri="{C3380CC4-5D6E-409C-BE32-E72D297353CC}">
                    <c16:uniqueId val="{00000000-54D7-4979-8E33-41B096B2485D}"/>
                  </c:ext>
                </c:extLst>
              </c15:ser>
            </c15:filteredBarSeries>
            <c15:filteredBarSeries>
              <c15:ser>
                <c:idx val="1"/>
                <c:order val="1"/>
                <c:tx>
                  <c:strRef>
                    <c:extLst xmlns:c15="http://schemas.microsoft.com/office/drawing/2012/chart">
                      <c:ext xmlns:c15="http://schemas.microsoft.com/office/drawing/2012/chart" uri="{02D57815-91ED-43cb-92C2-25804820EDAC}">
                        <c15:formulaRef>
                          <c15:sqref>Resume_FF!$D$42</c15:sqref>
                        </c15:formulaRef>
                      </c:ext>
                    </c:extLst>
                    <c:strCache>
                      <c:ptCount val="1"/>
                      <c:pt idx="0">
                        <c:v>Visitantes 2019</c:v>
                      </c:pt>
                    </c:strCache>
                  </c:strRef>
                </c:tx>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extLst xmlns:c15="http://schemas.microsoft.com/office/drawing/2012/chart">
                      <c:ext xmlns:c15="http://schemas.microsoft.com/office/drawing/2012/char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xmlns:c15="http://schemas.microsoft.com/office/drawing/2012/chart">
                      <c:ext xmlns:c15="http://schemas.microsoft.com/office/drawing/2012/chart" uri="{02D57815-91ED-43cb-92C2-25804820EDAC}">
                        <c15:formulaRef>
                          <c15:sqref>Resume_FF!$E$42:$N$42</c15:sqref>
                        </c15:formulaRef>
                      </c:ext>
                    </c:extLst>
                    <c:numCache>
                      <c:formatCode>_(* #,##0_);_(* \(#,##0\);_(* "-"??_);_(@_)</c:formatCode>
                      <c:ptCount val="10"/>
                      <c:pt idx="0">
                        <c:v>126886</c:v>
                      </c:pt>
                      <c:pt idx="1">
                        <c:v>88950</c:v>
                      </c:pt>
                      <c:pt idx="2">
                        <c:v>93403.01</c:v>
                      </c:pt>
                      <c:pt idx="3">
                        <c:v>94097.44</c:v>
                      </c:pt>
                      <c:pt idx="4">
                        <c:v>104598.5</c:v>
                      </c:pt>
                      <c:pt idx="6">
                        <c:v>83420.820000000007</c:v>
                      </c:pt>
                      <c:pt idx="7">
                        <c:v>104756.7</c:v>
                      </c:pt>
                    </c:numCache>
                  </c:numRef>
                </c:val>
                <c:extLst xmlns:c15="http://schemas.microsoft.com/office/drawing/2012/chart">
                  <c:ext xmlns:c16="http://schemas.microsoft.com/office/drawing/2014/chart" uri="{C3380CC4-5D6E-409C-BE32-E72D297353CC}">
                    <c16:uniqueId val="{00000001-54D7-4979-8E33-41B096B2485D}"/>
                  </c:ext>
                </c:extLst>
              </c15:ser>
            </c15:filteredBarSeries>
            <c15:filteredBarSeries>
              <c15:ser>
                <c:idx val="4"/>
                <c:order val="4"/>
                <c:tx>
                  <c:strRef>
                    <c:extLst xmlns:c15="http://schemas.microsoft.com/office/drawing/2012/chart">
                      <c:ext xmlns:c15="http://schemas.microsoft.com/office/drawing/2012/chart" uri="{02D57815-91ED-43cb-92C2-25804820EDAC}">
                        <c15:formulaRef>
                          <c15:sqref>Resume_FF!$D$45</c15:sqref>
                        </c15:formulaRef>
                      </c:ext>
                    </c:extLst>
                    <c:strCache>
                      <c:ptCount val="1"/>
                      <c:pt idx="0">
                        <c:v>Visitantes 2022</c:v>
                      </c:pt>
                    </c:strCache>
                  </c:strRef>
                </c:tx>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extLst xmlns:c15="http://schemas.microsoft.com/office/drawing/2012/chart">
                      <c:ext xmlns:c15="http://schemas.microsoft.com/office/drawing/2012/char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xmlns:c15="http://schemas.microsoft.com/office/drawing/2012/chart">
                      <c:ext xmlns:c15="http://schemas.microsoft.com/office/drawing/2012/chart" uri="{02D57815-91ED-43cb-92C2-25804820EDAC}">
                        <c15:formulaRef>
                          <c15:sqref>Resume_FF!$E$45:$N$45</c15:sqref>
                        </c15:formulaRef>
                      </c:ext>
                    </c:extLst>
                    <c:numCache>
                      <c:formatCode>_(* #,##0_);_(* \(#,##0\);_(* "-"??_);_(@_)</c:formatCode>
                      <c:ptCount val="10"/>
                      <c:pt idx="0">
                        <c:v>0</c:v>
                      </c:pt>
                      <c:pt idx="1">
                        <c:v>0</c:v>
                      </c:pt>
                      <c:pt idx="2">
                        <c:v>0</c:v>
                      </c:pt>
                      <c:pt idx="3">
                        <c:v>0</c:v>
                      </c:pt>
                      <c:pt idx="4">
                        <c:v>0</c:v>
                      </c:pt>
                      <c:pt idx="5">
                        <c:v>0</c:v>
                      </c:pt>
                      <c:pt idx="6">
                        <c:v>0</c:v>
                      </c:pt>
                      <c:pt idx="7">
                        <c:v>0</c:v>
                      </c:pt>
                      <c:pt idx="8">
                        <c:v>0</c:v>
                      </c:pt>
                      <c:pt idx="9">
                        <c:v>0</c:v>
                      </c:pt>
                    </c:numCache>
                  </c:numRef>
                </c:val>
                <c:extLst xmlns:c15="http://schemas.microsoft.com/office/drawing/2012/chart">
                  <c:ext xmlns:c16="http://schemas.microsoft.com/office/drawing/2014/chart" uri="{C3380CC4-5D6E-409C-BE32-E72D297353CC}">
                    <c16:uniqueId val="{00000004-54D7-4979-8E33-41B096B2485D}"/>
                  </c:ext>
                </c:extLst>
              </c15:ser>
            </c15:filteredBarSeries>
          </c:ext>
        </c:extLst>
      </c:barChart>
      <c:lineChart>
        <c:grouping val="standard"/>
        <c:varyColors val="0"/>
        <c:ser>
          <c:idx val="7"/>
          <c:order val="7"/>
          <c:tx>
            <c:strRef>
              <c:f>Resume_FF!$D$50</c:f>
              <c:strCache>
                <c:ptCount val="1"/>
                <c:pt idx="0">
                  <c:v>Gasto promedio 2020</c:v>
                </c:pt>
              </c:strCache>
            </c:strRef>
          </c:tx>
          <c:spPr>
            <a:ln w="34925" cap="rnd">
              <a:solidFill>
                <a:schemeClr val="accent2">
                  <a:lumMod val="60000"/>
                </a:schemeClr>
              </a:solidFill>
              <a:round/>
            </a:ln>
            <a:effectLst>
              <a:outerShdw blurRad="40000" dist="23000" dir="5400000" rotWithShape="0">
                <a:srgbClr val="000000">
                  <a:alpha val="35000"/>
                </a:srgbClr>
              </a:outerShdw>
            </a:effectLst>
          </c:spPr>
          <c:marker>
            <c:symbol val="none"/>
          </c:marker>
          <c:cat>
            <c:strRef>
              <c:f>Resume_FF!$E$3:$N$3</c:f>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f>Resume_FF!$E$50:$N$50</c:f>
              <c:numCache>
                <c:formatCode>_(* #,##0_);_(* \(#,##0\);_(* "-"??_);_(@_)</c:formatCode>
                <c:ptCount val="10"/>
                <c:pt idx="0">
                  <c:v>16688600</c:v>
                </c:pt>
                <c:pt idx="1">
                  <c:v>0</c:v>
                </c:pt>
                <c:pt idx="2">
                  <c:v>0</c:v>
                </c:pt>
                <c:pt idx="3">
                  <c:v>0</c:v>
                </c:pt>
                <c:pt idx="4">
                  <c:v>163400</c:v>
                </c:pt>
                <c:pt idx="5">
                  <c:v>2921400</c:v>
                </c:pt>
                <c:pt idx="6">
                  <c:v>5483200</c:v>
                </c:pt>
                <c:pt idx="7">
                  <c:v>3515500</c:v>
                </c:pt>
              </c:numCache>
            </c:numRef>
          </c:val>
          <c:smooth val="0"/>
          <c:extLst>
            <c:ext xmlns:c16="http://schemas.microsoft.com/office/drawing/2014/chart" uri="{C3380CC4-5D6E-409C-BE32-E72D297353CC}">
              <c16:uniqueId val="{00000007-54D7-4979-8E33-41B096B2485D}"/>
            </c:ext>
          </c:extLst>
        </c:ser>
        <c:ser>
          <c:idx val="8"/>
          <c:order val="8"/>
          <c:tx>
            <c:strRef>
              <c:f>Resume_FF!$D$51</c:f>
              <c:strCache>
                <c:ptCount val="1"/>
                <c:pt idx="0">
                  <c:v>Gasto promedio 2021</c:v>
                </c:pt>
              </c:strCache>
            </c:strRef>
          </c:tx>
          <c:spPr>
            <a:ln w="34925" cap="rnd">
              <a:solidFill>
                <a:schemeClr val="accent3">
                  <a:lumMod val="60000"/>
                </a:schemeClr>
              </a:solidFill>
              <a:round/>
            </a:ln>
            <a:effectLst>
              <a:outerShdw blurRad="40000" dist="23000" dir="5400000" rotWithShape="0">
                <a:srgbClr val="000000">
                  <a:alpha val="35000"/>
                </a:srgbClr>
              </a:outerShdw>
            </a:effectLst>
          </c:spPr>
          <c:marker>
            <c:symbol val="none"/>
          </c:marker>
          <c:cat>
            <c:strRef>
              <c:f>Resume_FF!$E$3:$N$3</c:f>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f>Resume_FF!$E$51:$N$51</c:f>
              <c:numCache>
                <c:formatCode>_(* #,##0_);_(* \(#,##0\);_(* "-"??_);_(@_)</c:formatCode>
                <c:ptCount val="10"/>
                <c:pt idx="0">
                  <c:v>3708300</c:v>
                </c:pt>
                <c:pt idx="1">
                  <c:v>1667100</c:v>
                </c:pt>
                <c:pt idx="2">
                  <c:v>3363100</c:v>
                </c:pt>
                <c:pt idx="3">
                  <c:v>4669200</c:v>
                </c:pt>
                <c:pt idx="4">
                  <c:v>9635700</c:v>
                </c:pt>
                <c:pt idx="5">
                  <c:v>5299600</c:v>
                </c:pt>
                <c:pt idx="6">
                  <c:v>9095600</c:v>
                </c:pt>
                <c:pt idx="7">
                  <c:v>6459900</c:v>
                </c:pt>
                <c:pt idx="8">
                  <c:v>7050700</c:v>
                </c:pt>
                <c:pt idx="9">
                  <c:v>6269200</c:v>
                </c:pt>
              </c:numCache>
            </c:numRef>
          </c:val>
          <c:smooth val="0"/>
          <c:extLst>
            <c:ext xmlns:c16="http://schemas.microsoft.com/office/drawing/2014/chart" uri="{C3380CC4-5D6E-409C-BE32-E72D297353CC}">
              <c16:uniqueId val="{00000008-54D7-4979-8E33-41B096B2485D}"/>
            </c:ext>
          </c:extLst>
        </c:ser>
        <c:dLbls>
          <c:showLegendKey val="0"/>
          <c:showVal val="0"/>
          <c:showCatName val="0"/>
          <c:showSerName val="0"/>
          <c:showPercent val="0"/>
          <c:showBubbleSize val="0"/>
        </c:dLbls>
        <c:marker val="1"/>
        <c:smooth val="0"/>
        <c:axId val="263216448"/>
        <c:axId val="263210624"/>
        <c:extLst>
          <c:ext xmlns:c15="http://schemas.microsoft.com/office/drawing/2012/chart" uri="{02D57815-91ED-43cb-92C2-25804820EDAC}">
            <c15:filteredLineSeries>
              <c15:ser>
                <c:idx val="5"/>
                <c:order val="5"/>
                <c:tx>
                  <c:strRef>
                    <c:extLst>
                      <c:ext uri="{02D57815-91ED-43cb-92C2-25804820EDAC}">
                        <c15:formulaRef>
                          <c15:sqref>Resume_FF!$D$48</c15:sqref>
                        </c15:formulaRef>
                      </c:ext>
                    </c:extLst>
                    <c:strCache>
                      <c:ptCount val="1"/>
                      <c:pt idx="0">
                        <c:v>Gasto promedio 2018</c:v>
                      </c:pt>
                    </c:strCache>
                  </c:strRef>
                </c:tx>
                <c:spPr>
                  <a:ln w="34925" cap="rnd">
                    <a:solidFill>
                      <a:schemeClr val="accent6"/>
                    </a:solidFill>
                    <a:round/>
                  </a:ln>
                  <a:effectLst>
                    <a:outerShdw blurRad="40000" dist="23000" dir="5400000" rotWithShape="0">
                      <a:srgbClr val="000000">
                        <a:alpha val="35000"/>
                      </a:srgbClr>
                    </a:outerShdw>
                  </a:effectLst>
                </c:spPr>
                <c:marker>
                  <c:symbol val="none"/>
                </c:marker>
                <c:cat>
                  <c:strRef>
                    <c:extLst>
                      <c:ex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c:ext uri="{02D57815-91ED-43cb-92C2-25804820EDAC}">
                        <c15:formulaRef>
                          <c15:sqref>Resume_FF!$E$48:$N$48</c15:sqref>
                        </c15:formulaRef>
                      </c:ext>
                    </c:extLst>
                    <c:numCache>
                      <c:formatCode>_(* #,##0_);_(* \(#,##0\);_(* "-"??_);_(@_)</c:formatCode>
                      <c:ptCount val="10"/>
                      <c:pt idx="0">
                        <c:v>12252300</c:v>
                      </c:pt>
                      <c:pt idx="1">
                        <c:v>9814700</c:v>
                      </c:pt>
                      <c:pt idx="2">
                        <c:v>12476700</c:v>
                      </c:pt>
                      <c:pt idx="3">
                        <c:v>9611200</c:v>
                      </c:pt>
                      <c:pt idx="4">
                        <c:v>9878800</c:v>
                      </c:pt>
                      <c:pt idx="5">
                        <c:v>0</c:v>
                      </c:pt>
                      <c:pt idx="6">
                        <c:v>8851300</c:v>
                      </c:pt>
                      <c:pt idx="7">
                        <c:v>9709500</c:v>
                      </c:pt>
                      <c:pt idx="8">
                        <c:v>0</c:v>
                      </c:pt>
                      <c:pt idx="9">
                        <c:v>0</c:v>
                      </c:pt>
                    </c:numCache>
                  </c:numRef>
                </c:val>
                <c:smooth val="0"/>
                <c:extLst>
                  <c:ext xmlns:c16="http://schemas.microsoft.com/office/drawing/2014/chart" uri="{C3380CC4-5D6E-409C-BE32-E72D297353CC}">
                    <c16:uniqueId val="{00000005-54D7-4979-8E33-41B096B2485D}"/>
                  </c:ext>
                </c:extLst>
              </c15:ser>
            </c15:filteredLineSeries>
            <c15:filteredLineSeries>
              <c15:ser>
                <c:idx val="6"/>
                <c:order val="6"/>
                <c:tx>
                  <c:strRef>
                    <c:extLst xmlns:c15="http://schemas.microsoft.com/office/drawing/2012/chart">
                      <c:ext xmlns:c15="http://schemas.microsoft.com/office/drawing/2012/chart" uri="{02D57815-91ED-43cb-92C2-25804820EDAC}">
                        <c15:formulaRef>
                          <c15:sqref>Resume_FF!$D$49</c15:sqref>
                        </c15:formulaRef>
                      </c:ext>
                    </c:extLst>
                    <c:strCache>
                      <c:ptCount val="1"/>
                      <c:pt idx="0">
                        <c:v>Gasto promedio 2019</c:v>
                      </c:pt>
                    </c:strCache>
                  </c:strRef>
                </c:tx>
                <c:spPr>
                  <a:ln w="34925" cap="rnd">
                    <a:solidFill>
                      <a:schemeClr val="accent1">
                        <a:lumMod val="60000"/>
                      </a:schemeClr>
                    </a:solidFill>
                    <a:round/>
                  </a:ln>
                  <a:effectLst>
                    <a:outerShdw blurRad="40000" dist="23000" dir="5400000" rotWithShape="0">
                      <a:srgbClr val="000000">
                        <a:alpha val="35000"/>
                      </a:srgbClr>
                    </a:outerShdw>
                  </a:effectLst>
                </c:spPr>
                <c:marker>
                  <c:symbol val="none"/>
                </c:marker>
                <c:cat>
                  <c:strRef>
                    <c:extLst xmlns:c15="http://schemas.microsoft.com/office/drawing/2012/chart">
                      <c:ext xmlns:c15="http://schemas.microsoft.com/office/drawing/2012/char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xmlns:c15="http://schemas.microsoft.com/office/drawing/2012/chart">
                      <c:ext xmlns:c15="http://schemas.microsoft.com/office/drawing/2012/chart" uri="{02D57815-91ED-43cb-92C2-25804820EDAC}">
                        <c15:formulaRef>
                          <c15:sqref>Resume_FF!$E$49:$N$49</c15:sqref>
                        </c15:formulaRef>
                      </c:ext>
                    </c:extLst>
                    <c:numCache>
                      <c:formatCode>_(* #,##0_);_(* \(#,##0\);_(* "-"??_);_(@_)</c:formatCode>
                      <c:ptCount val="10"/>
                      <c:pt idx="0">
                        <c:v>12688600</c:v>
                      </c:pt>
                      <c:pt idx="1">
                        <c:v>8895000</c:v>
                      </c:pt>
                      <c:pt idx="2">
                        <c:v>9340301</c:v>
                      </c:pt>
                      <c:pt idx="3">
                        <c:v>9409744</c:v>
                      </c:pt>
                      <c:pt idx="4">
                        <c:v>10459850</c:v>
                      </c:pt>
                      <c:pt idx="5">
                        <c:v>0</c:v>
                      </c:pt>
                      <c:pt idx="6">
                        <c:v>8342082.0000000009</c:v>
                      </c:pt>
                      <c:pt idx="7">
                        <c:v>10475670</c:v>
                      </c:pt>
                      <c:pt idx="8">
                        <c:v>0</c:v>
                      </c:pt>
                      <c:pt idx="9">
                        <c:v>0</c:v>
                      </c:pt>
                    </c:numCache>
                  </c:numRef>
                </c:val>
                <c:smooth val="0"/>
                <c:extLst xmlns:c15="http://schemas.microsoft.com/office/drawing/2012/chart">
                  <c:ext xmlns:c16="http://schemas.microsoft.com/office/drawing/2014/chart" uri="{C3380CC4-5D6E-409C-BE32-E72D297353CC}">
                    <c16:uniqueId val="{00000006-54D7-4979-8E33-41B096B2485D}"/>
                  </c:ext>
                </c:extLst>
              </c15:ser>
            </c15:filteredLineSeries>
            <c15:filteredLineSeries>
              <c15:ser>
                <c:idx val="9"/>
                <c:order val="9"/>
                <c:tx>
                  <c:strRef>
                    <c:extLst xmlns:c15="http://schemas.microsoft.com/office/drawing/2012/chart">
                      <c:ext xmlns:c15="http://schemas.microsoft.com/office/drawing/2012/chart" uri="{02D57815-91ED-43cb-92C2-25804820EDAC}">
                        <c15:formulaRef>
                          <c15:sqref>Resume_FF!$D$52</c15:sqref>
                        </c15:formulaRef>
                      </c:ext>
                    </c:extLst>
                    <c:strCache>
                      <c:ptCount val="1"/>
                      <c:pt idx="0">
                        <c:v>Gasto promedio 2022</c:v>
                      </c:pt>
                    </c:strCache>
                  </c:strRef>
                </c:tx>
                <c:spPr>
                  <a:ln w="34925" cap="rnd">
                    <a:solidFill>
                      <a:schemeClr val="accent4">
                        <a:lumMod val="60000"/>
                      </a:schemeClr>
                    </a:solidFill>
                    <a:round/>
                  </a:ln>
                  <a:effectLst>
                    <a:outerShdw blurRad="40000" dist="23000" dir="5400000" rotWithShape="0">
                      <a:srgbClr val="000000">
                        <a:alpha val="35000"/>
                      </a:srgbClr>
                    </a:outerShdw>
                  </a:effectLst>
                </c:spPr>
                <c:marker>
                  <c:symbol val="none"/>
                </c:marker>
                <c:cat>
                  <c:strRef>
                    <c:extLst xmlns:c15="http://schemas.microsoft.com/office/drawing/2012/chart">
                      <c:ext xmlns:c15="http://schemas.microsoft.com/office/drawing/2012/chart" uri="{02D57815-91ED-43cb-92C2-25804820EDAC}">
                        <c15:formulaRef>
                          <c15:sqref>Resume_FF!$E$3:$N$3</c15:sqref>
                        </c15:formulaRef>
                      </c:ext>
                    </c:extLst>
                    <c:strCache>
                      <c:ptCount val="10"/>
                      <c:pt idx="0">
                        <c:v>Carnaval</c:v>
                      </c:pt>
                      <c:pt idx="1">
                        <c:v>Semana Santa</c:v>
                      </c:pt>
                      <c:pt idx="2">
                        <c:v>Día Trabajo</c:v>
                      </c:pt>
                      <c:pt idx="3">
                        <c:v>Batalla Pichincha</c:v>
                      </c:pt>
                      <c:pt idx="4">
                        <c:v>Grito de Independencia</c:v>
                      </c:pt>
                      <c:pt idx="5">
                        <c:v>Independencia de GYE</c:v>
                      </c:pt>
                      <c:pt idx="6">
                        <c:v>Finados</c:v>
                      </c:pt>
                      <c:pt idx="7">
                        <c:v>Fiestas Quito</c:v>
                      </c:pt>
                      <c:pt idx="8">
                        <c:v>Navidad</c:v>
                      </c:pt>
                      <c:pt idx="9">
                        <c:v>Fin año</c:v>
                      </c:pt>
                    </c:strCache>
                  </c:strRef>
                </c:cat>
                <c:val>
                  <c:numRef>
                    <c:extLst xmlns:c15="http://schemas.microsoft.com/office/drawing/2012/chart">
                      <c:ext xmlns:c15="http://schemas.microsoft.com/office/drawing/2012/chart" uri="{02D57815-91ED-43cb-92C2-25804820EDAC}">
                        <c15:formulaRef>
                          <c15:sqref>Resume_FF!$E$52:$N$52</c15:sqref>
                        </c15:formulaRef>
                      </c:ext>
                    </c:extLst>
                    <c:numCache>
                      <c:formatCode>_(* #,##0_);_(* \(#,##0\);_(* "-"??_);_(@_)</c:formatCode>
                      <c:ptCount val="10"/>
                      <c:pt idx="0">
                        <c:v>0</c:v>
                      </c:pt>
                      <c:pt idx="1">
                        <c:v>0</c:v>
                      </c:pt>
                      <c:pt idx="2">
                        <c:v>0</c:v>
                      </c:pt>
                      <c:pt idx="3">
                        <c:v>0</c:v>
                      </c:pt>
                      <c:pt idx="4">
                        <c:v>0</c:v>
                      </c:pt>
                      <c:pt idx="5">
                        <c:v>0</c:v>
                      </c:pt>
                      <c:pt idx="6">
                        <c:v>0</c:v>
                      </c:pt>
                      <c:pt idx="7">
                        <c:v>0</c:v>
                      </c:pt>
                      <c:pt idx="8">
                        <c:v>0</c:v>
                      </c:pt>
                      <c:pt idx="9">
                        <c:v>0</c:v>
                      </c:pt>
                    </c:numCache>
                  </c:numRef>
                </c:val>
                <c:smooth val="0"/>
                <c:extLst xmlns:c15="http://schemas.microsoft.com/office/drawing/2012/chart">
                  <c:ext xmlns:c16="http://schemas.microsoft.com/office/drawing/2014/chart" uri="{C3380CC4-5D6E-409C-BE32-E72D297353CC}">
                    <c16:uniqueId val="{00000009-54D7-4979-8E33-41B096B2485D}"/>
                  </c:ext>
                </c:extLst>
              </c15:ser>
            </c15:filteredLineSeries>
          </c:ext>
        </c:extLst>
      </c:lineChart>
      <c:catAx>
        <c:axId val="263195648"/>
        <c:scaling>
          <c:orientation val="minMax"/>
        </c:scaling>
        <c:delete val="0"/>
        <c:axPos val="b"/>
        <c:numFmt formatCode="General" sourceLinked="1"/>
        <c:majorTickMark val="none"/>
        <c:minorTickMark val="none"/>
        <c:tickLblPos val="nextTo"/>
        <c:spPr>
          <a:noFill/>
          <a:ln w="12700" cap="flat" cmpd="sng" algn="ctr">
            <a:solidFill>
              <a:schemeClr val="lt1">
                <a:lumMod val="95000"/>
                <a:alpha val="54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C"/>
          </a:p>
        </c:txPr>
        <c:crossAx val="263106624"/>
        <c:crosses val="autoZero"/>
        <c:auto val="1"/>
        <c:lblAlgn val="ctr"/>
        <c:lblOffset val="100"/>
        <c:noMultiLvlLbl val="0"/>
      </c:catAx>
      <c:valAx>
        <c:axId val="263106624"/>
        <c:scaling>
          <c:orientation val="minMax"/>
        </c:scaling>
        <c:delete val="0"/>
        <c:axPos val="l"/>
        <c:majorGridlines>
          <c:spPr>
            <a:ln w="9525" cap="flat" cmpd="sng" algn="ctr">
              <a:solidFill>
                <a:schemeClr val="lt1">
                  <a:lumMod val="95000"/>
                  <a:alpha val="10000"/>
                </a:schemeClr>
              </a:solidFill>
              <a:round/>
            </a:ln>
            <a:effectLst/>
          </c:spPr>
        </c:majorGridlines>
        <c:title>
          <c:overlay val="0"/>
          <c:spPr>
            <a:noFill/>
            <a:ln>
              <a:noFill/>
            </a:ln>
            <a:effectLst/>
          </c:spPr>
          <c:txPr>
            <a:bodyPr rot="-5400000" spcFirstLastPara="1" vertOverflow="ellipsis" vert="horz" wrap="square" anchor="ctr" anchorCtr="1"/>
            <a:lstStyle/>
            <a:p>
              <a:pPr>
                <a:defRPr sz="900" b="1" i="0" u="none" strike="noStrike" kern="1200" cap="all" baseline="0">
                  <a:solidFill>
                    <a:schemeClr val="lt1">
                      <a:lumMod val="85000"/>
                    </a:schemeClr>
                  </a:solidFill>
                  <a:latin typeface="+mn-lt"/>
                  <a:ea typeface="+mn-ea"/>
                  <a:cs typeface="+mn-cs"/>
                </a:defRPr>
              </a:pPr>
              <a:endParaRPr lang="es-EC"/>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C"/>
          </a:p>
        </c:txPr>
        <c:crossAx val="263195648"/>
        <c:crosses val="autoZero"/>
        <c:crossBetween val="between"/>
      </c:valAx>
      <c:valAx>
        <c:axId val="263210624"/>
        <c:scaling>
          <c:orientation val="minMax"/>
        </c:scaling>
        <c:delete val="0"/>
        <c:axPos val="r"/>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C"/>
          </a:p>
        </c:txPr>
        <c:crossAx val="263216448"/>
        <c:crosses val="max"/>
        <c:crossBetween val="between"/>
      </c:valAx>
      <c:catAx>
        <c:axId val="263216448"/>
        <c:scaling>
          <c:orientation val="minMax"/>
        </c:scaling>
        <c:delete val="1"/>
        <c:axPos val="b"/>
        <c:numFmt formatCode="General" sourceLinked="1"/>
        <c:majorTickMark val="none"/>
        <c:minorTickMark val="none"/>
        <c:tickLblPos val="nextTo"/>
        <c:crossAx val="263210624"/>
        <c:crosses val="autoZero"/>
        <c:auto val="1"/>
        <c:lblAlgn val="ctr"/>
        <c:lblOffset val="100"/>
        <c:noMultiLvlLbl val="0"/>
      </c:catAx>
      <c:dTable>
        <c:showHorzBorder val="1"/>
        <c:showVertBorder val="1"/>
        <c:showOutline val="1"/>
        <c:showKeys val="1"/>
        <c:spPr>
          <a:noFill/>
          <a:ln w="9525">
            <a:solidFill>
              <a:schemeClr val="lt1">
                <a:lumMod val="95000"/>
                <a:alpha val="54000"/>
              </a:schemeClr>
            </a:solidFill>
          </a:ln>
          <a:effectLst/>
        </c:spPr>
        <c:txPr>
          <a:bodyPr rot="0" spcFirstLastPara="1" vertOverflow="ellipsis" vert="horz" wrap="square" anchor="ctr" anchorCtr="1"/>
          <a:lstStyle/>
          <a:p>
            <a:pPr rtl="0">
              <a:defRPr sz="900" b="0" i="0" u="none" strike="noStrike" kern="1200" baseline="0">
                <a:solidFill>
                  <a:schemeClr val="lt1">
                    <a:lumMod val="85000"/>
                  </a:schemeClr>
                </a:solidFill>
                <a:latin typeface="+mn-lt"/>
                <a:ea typeface="+mn-ea"/>
                <a:cs typeface="+mn-cs"/>
              </a:defRPr>
            </a:pPr>
            <a:endParaRPr lang="es-EC"/>
          </a:p>
        </c:txPr>
      </c:dTable>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EC"/>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sz="1200" b="1" i="0" baseline="0">
                <a:effectLst>
                  <a:outerShdw blurRad="50800" dist="38100" dir="5400000" algn="t" rotWithShape="0">
                    <a:srgbClr val="000000">
                      <a:alpha val="40000"/>
                    </a:srgbClr>
                  </a:outerShdw>
                </a:effectLst>
              </a:rPr>
              <a:t>Visitantes en feriados DMQ</a:t>
            </a:r>
            <a:endParaRPr lang="es-EC" sz="1200">
              <a:effectLst/>
            </a:endParaRPr>
          </a:p>
          <a:p>
            <a:pPr>
              <a:defRPr/>
            </a:pPr>
            <a:r>
              <a:rPr lang="es-EC" sz="1200" b="1" i="0" baseline="0">
                <a:effectLst/>
              </a:rPr>
              <a:t>Número (#) y gasto promedio ($)</a:t>
            </a:r>
            <a:endParaRPr lang="es-EC" sz="1200">
              <a:effectLst/>
            </a:endParaRPr>
          </a:p>
          <a:p>
            <a:pPr>
              <a:defRPr/>
            </a:pPr>
            <a:r>
              <a:rPr lang="es-EC" sz="1200" b="1" i="0" baseline="0">
                <a:effectLst/>
              </a:rPr>
              <a:t>estimados</a:t>
            </a:r>
            <a:endParaRPr lang="es-EC" sz="1200">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barChart>
        <c:barDir val="col"/>
        <c:grouping val="clustered"/>
        <c:varyColors val="0"/>
        <c:ser>
          <c:idx val="0"/>
          <c:order val="0"/>
          <c:tx>
            <c:strRef>
              <c:f>Resume_FF!$D$44</c:f>
              <c:strCache>
                <c:ptCount val="1"/>
                <c:pt idx="0">
                  <c:v>Visitantes 2021</c:v>
                </c:pt>
              </c:strCache>
            </c:strRef>
          </c:tx>
          <c:spPr>
            <a:solidFill>
              <a:schemeClr val="accent1"/>
            </a:solidFill>
            <a:ln>
              <a:noFill/>
            </a:ln>
            <a:effectLst/>
          </c:spPr>
          <c:invertIfNegative val="0"/>
          <c:dPt>
            <c:idx val="2"/>
            <c:invertIfNegative val="0"/>
            <c:bubble3D val="0"/>
            <c:spPr>
              <a:solidFill>
                <a:schemeClr val="accent6">
                  <a:lumMod val="20000"/>
                  <a:lumOff val="80000"/>
                </a:schemeClr>
              </a:solidFill>
              <a:ln>
                <a:noFill/>
              </a:ln>
              <a:effectLst/>
            </c:spPr>
            <c:extLst>
              <c:ext xmlns:c16="http://schemas.microsoft.com/office/drawing/2014/chart" uri="{C3380CC4-5D6E-409C-BE32-E72D297353CC}">
                <c16:uniqueId val="{00000004-8353-4CF5-AC85-19CA55611246}"/>
              </c:ext>
            </c:extLst>
          </c:dPt>
          <c:cat>
            <c:strRef>
              <c:f>Resume_FF!$M$3:$O$3</c:f>
              <c:strCache>
                <c:ptCount val="3"/>
                <c:pt idx="0">
                  <c:v>Navidad</c:v>
                </c:pt>
                <c:pt idx="1">
                  <c:v>Fin año</c:v>
                </c:pt>
                <c:pt idx="2">
                  <c:v>Navidad y Fin de Año</c:v>
                </c:pt>
              </c:strCache>
            </c:strRef>
          </c:cat>
          <c:val>
            <c:numRef>
              <c:f>Resume_FF!$M$44:$O$44</c:f>
              <c:numCache>
                <c:formatCode>_(* #,##0_);_(* \(#,##0\);_(* "-"??_);_(@_)</c:formatCode>
                <c:ptCount val="3"/>
                <c:pt idx="0">
                  <c:v>70507</c:v>
                </c:pt>
                <c:pt idx="1">
                  <c:v>62692</c:v>
                </c:pt>
                <c:pt idx="2">
                  <c:v>133199</c:v>
                </c:pt>
              </c:numCache>
            </c:numRef>
          </c:val>
          <c:extLst>
            <c:ext xmlns:c16="http://schemas.microsoft.com/office/drawing/2014/chart" uri="{C3380CC4-5D6E-409C-BE32-E72D297353CC}">
              <c16:uniqueId val="{00000000-8353-4CF5-AC85-19CA55611246}"/>
            </c:ext>
          </c:extLst>
        </c:ser>
        <c:dLbls>
          <c:showLegendKey val="0"/>
          <c:showVal val="0"/>
          <c:showCatName val="0"/>
          <c:showSerName val="0"/>
          <c:showPercent val="0"/>
          <c:showBubbleSize val="0"/>
        </c:dLbls>
        <c:gapWidth val="150"/>
        <c:axId val="633638064"/>
        <c:axId val="633638896"/>
      </c:barChart>
      <c:lineChart>
        <c:grouping val="standard"/>
        <c:varyColors val="0"/>
        <c:ser>
          <c:idx val="1"/>
          <c:order val="1"/>
          <c:tx>
            <c:strRef>
              <c:f>Resume_FF!$D$51</c:f>
              <c:strCache>
                <c:ptCount val="1"/>
                <c:pt idx="0">
                  <c:v>Gasto promedio 2021</c:v>
                </c:pt>
              </c:strCache>
            </c:strRef>
          </c:tx>
          <c:spPr>
            <a:ln w="28575" cap="rnd">
              <a:solidFill>
                <a:schemeClr val="accent2"/>
              </a:solidFill>
              <a:round/>
            </a:ln>
            <a:effectLst/>
          </c:spPr>
          <c:marker>
            <c:symbol val="none"/>
          </c:marker>
          <c:cat>
            <c:strRef>
              <c:f>Resume_FF!$M$3:$O$3</c:f>
              <c:strCache>
                <c:ptCount val="3"/>
                <c:pt idx="0">
                  <c:v>Navidad</c:v>
                </c:pt>
                <c:pt idx="1">
                  <c:v>Fin año</c:v>
                </c:pt>
                <c:pt idx="2">
                  <c:v>Navidad y Fin de Año</c:v>
                </c:pt>
              </c:strCache>
            </c:strRef>
          </c:cat>
          <c:val>
            <c:numRef>
              <c:f>Resume_FF!$M$51:$O$51</c:f>
              <c:numCache>
                <c:formatCode>_(* #,##0_);_(* \(#,##0\);_(* "-"??_);_(@_)</c:formatCode>
                <c:ptCount val="3"/>
                <c:pt idx="0">
                  <c:v>7050700</c:v>
                </c:pt>
                <c:pt idx="1">
                  <c:v>6269200</c:v>
                </c:pt>
                <c:pt idx="2">
                  <c:v>13319900</c:v>
                </c:pt>
              </c:numCache>
            </c:numRef>
          </c:val>
          <c:smooth val="0"/>
          <c:extLst>
            <c:ext xmlns:c16="http://schemas.microsoft.com/office/drawing/2014/chart" uri="{C3380CC4-5D6E-409C-BE32-E72D297353CC}">
              <c16:uniqueId val="{00000001-8353-4CF5-AC85-19CA55611246}"/>
            </c:ext>
          </c:extLst>
        </c:ser>
        <c:dLbls>
          <c:showLegendKey val="0"/>
          <c:showVal val="0"/>
          <c:showCatName val="0"/>
          <c:showSerName val="0"/>
          <c:showPercent val="0"/>
          <c:showBubbleSize val="0"/>
        </c:dLbls>
        <c:marker val="1"/>
        <c:smooth val="0"/>
        <c:axId val="18608272"/>
        <c:axId val="18595376"/>
      </c:lineChart>
      <c:catAx>
        <c:axId val="63363806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633638896"/>
        <c:crosses val="autoZero"/>
        <c:auto val="1"/>
        <c:lblAlgn val="ctr"/>
        <c:lblOffset val="100"/>
        <c:noMultiLvlLbl val="0"/>
      </c:catAx>
      <c:valAx>
        <c:axId val="633638896"/>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633638064"/>
        <c:crosses val="autoZero"/>
        <c:crossBetween val="between"/>
      </c:valAx>
      <c:valAx>
        <c:axId val="18595376"/>
        <c:scaling>
          <c:orientation val="minMax"/>
        </c:scaling>
        <c:delete val="0"/>
        <c:axPos val="r"/>
        <c:numFmt formatCode="_(* #,##0_);_(* \(#,##0\);_(* &quot;-&quot;??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8608272"/>
        <c:crosses val="max"/>
        <c:crossBetween val="between"/>
      </c:valAx>
      <c:catAx>
        <c:axId val="18608272"/>
        <c:scaling>
          <c:orientation val="minMax"/>
        </c:scaling>
        <c:delete val="1"/>
        <c:axPos val="b"/>
        <c:numFmt formatCode="General" sourceLinked="1"/>
        <c:majorTickMark val="out"/>
        <c:minorTickMark val="none"/>
        <c:tickLblPos val="nextTo"/>
        <c:crossAx val="18595376"/>
        <c:crosses val="autoZero"/>
        <c:auto val="1"/>
        <c:lblAlgn val="ctr"/>
        <c:lblOffset val="100"/>
        <c:noMultiLvlLbl val="0"/>
      </c:cat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s-EC"/>
          </a:p>
        </c:txPr>
      </c:dTable>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05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barChart>
        <c:barDir val="col"/>
        <c:grouping val="clustered"/>
        <c:varyColors val="0"/>
        <c:ser>
          <c:idx val="0"/>
          <c:order val="0"/>
          <c:tx>
            <c:strRef>
              <c:f>'NOV-Finados'!$S$1</c:f>
              <c:strCache>
                <c:ptCount val="1"/>
                <c:pt idx="0">
                  <c:v>Feriado de Finados e Independencia de Cuenca: número de llegadas a TERMINALES INTERPROVINCIALES a la ciudad de Quito</c:v>
                </c:pt>
              </c:strCache>
            </c:strRef>
          </c:tx>
          <c:spPr>
            <a:solidFill>
              <a:schemeClr val="accent1"/>
            </a:solidFill>
            <a:ln>
              <a:noFill/>
            </a:ln>
            <a:effectLst/>
          </c:spPr>
          <c:invertIfNegative val="0"/>
          <c:dLbls>
            <c:spPr>
              <a:solidFill>
                <a:schemeClr val="lt1"/>
              </a:solidFill>
              <a:ln w="25400" cap="flat" cmpd="sng" algn="ctr">
                <a:solidFill>
                  <a:schemeClr val="accent2"/>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trendline>
            <c:spPr>
              <a:ln w="19050" cap="rnd">
                <a:solidFill>
                  <a:schemeClr val="accent1"/>
                </a:solidFill>
                <a:prstDash val="sysDot"/>
              </a:ln>
              <a:effectLst/>
            </c:spPr>
            <c:trendlineType val="linear"/>
            <c:dispRSqr val="0"/>
            <c:dispEq val="0"/>
          </c:trendline>
          <c:cat>
            <c:numRef>
              <c:f>'NOV-Finados'!$Y$3:$Z$3</c:f>
              <c:numCache>
                <c:formatCode>General</c:formatCode>
                <c:ptCount val="2"/>
                <c:pt idx="0">
                  <c:v>2020</c:v>
                </c:pt>
                <c:pt idx="1">
                  <c:v>2021</c:v>
                </c:pt>
              </c:numCache>
            </c:numRef>
          </c:cat>
          <c:val>
            <c:numRef>
              <c:f>'NOV-Finados'!$Y$8:$Z$8</c:f>
              <c:numCache>
                <c:formatCode>#,##0</c:formatCode>
                <c:ptCount val="2"/>
                <c:pt idx="0">
                  <c:v>49326</c:v>
                </c:pt>
                <c:pt idx="1">
                  <c:v>69984</c:v>
                </c:pt>
              </c:numCache>
            </c:numRef>
          </c:val>
          <c:extLst>
            <c:ext xmlns:c16="http://schemas.microsoft.com/office/drawing/2014/chart" uri="{C3380CC4-5D6E-409C-BE32-E72D297353CC}">
              <c16:uniqueId val="{00000001-85EC-4ED6-B58A-E46D5EFDB491}"/>
            </c:ext>
          </c:extLst>
        </c:ser>
        <c:dLbls>
          <c:showLegendKey val="0"/>
          <c:showVal val="0"/>
          <c:showCatName val="0"/>
          <c:showSerName val="0"/>
          <c:showPercent val="0"/>
          <c:showBubbleSize val="0"/>
        </c:dLbls>
        <c:gapWidth val="219"/>
        <c:overlap val="-27"/>
        <c:axId val="76461632"/>
        <c:axId val="76463296"/>
      </c:barChart>
      <c:catAx>
        <c:axId val="764616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76463296"/>
        <c:crosses val="autoZero"/>
        <c:auto val="1"/>
        <c:lblAlgn val="ctr"/>
        <c:lblOffset val="100"/>
        <c:noMultiLvlLbl val="0"/>
      </c:catAx>
      <c:valAx>
        <c:axId val="764632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7646163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r>
              <a:rPr lang="es-EC"/>
              <a:t>Tasa de ocupación hotelera (TOH) DMQ</a:t>
            </a:r>
          </a:p>
          <a:p>
            <a:pPr>
              <a:defRPr/>
            </a:pPr>
            <a:r>
              <a:rPr lang="es-EC"/>
              <a:t>-porcentajes-</a:t>
            </a:r>
          </a:p>
        </c:rich>
      </c:tx>
      <c:overlay val="0"/>
      <c:spPr>
        <a:noFill/>
        <a:ln>
          <a:noFill/>
        </a:ln>
        <a:effectLst/>
      </c:spPr>
      <c:txPr>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endParaRPr lang="es-EC"/>
        </a:p>
      </c:txPr>
    </c:title>
    <c:autoTitleDeleted val="0"/>
    <c:plotArea>
      <c:layout/>
      <c:barChart>
        <c:barDir val="col"/>
        <c:grouping val="clustered"/>
        <c:varyColors val="0"/>
        <c:ser>
          <c:idx val="0"/>
          <c:order val="0"/>
          <c:spPr>
            <a:solidFill>
              <a:schemeClr val="accent1"/>
            </a:solidFill>
            <a:ln>
              <a:noFill/>
            </a:ln>
            <a:effectLst/>
          </c:spPr>
          <c:invertIfNegative val="0"/>
          <c:dPt>
            <c:idx val="3"/>
            <c:invertIfNegative val="0"/>
            <c:bubble3D val="0"/>
            <c:spPr>
              <a:solidFill>
                <a:schemeClr val="accent1"/>
              </a:solidFill>
              <a:ln>
                <a:noFill/>
              </a:ln>
              <a:effectLst/>
            </c:spPr>
            <c:extLst>
              <c:ext xmlns:c16="http://schemas.microsoft.com/office/drawing/2014/chart" uri="{C3380CC4-5D6E-409C-BE32-E72D297353CC}">
                <c16:uniqueId val="{00000004-1BFC-4D43-8991-B8F449FCB550}"/>
              </c:ext>
            </c:extLst>
          </c:dPt>
          <c:dPt>
            <c:idx val="4"/>
            <c:invertIfNegative val="0"/>
            <c:bubble3D val="0"/>
            <c:spPr>
              <a:solidFill>
                <a:schemeClr val="accent1"/>
              </a:solidFill>
              <a:ln>
                <a:noFill/>
              </a:ln>
              <a:effectLst/>
            </c:spPr>
            <c:extLst>
              <c:ext xmlns:c16="http://schemas.microsoft.com/office/drawing/2014/chart" uri="{C3380CC4-5D6E-409C-BE32-E72D297353CC}">
                <c16:uniqueId val="{00000001-427B-4E8C-A38A-F6BDD5EF66F6}"/>
              </c:ext>
            </c:extLst>
          </c:dPt>
          <c:dLbls>
            <c:spPr>
              <a:noFill/>
              <a:ln>
                <a:noFill/>
              </a:ln>
              <a:effectLst/>
            </c:spPr>
            <c:txPr>
              <a:bodyPr rot="-5400000" spcFirstLastPara="1" vertOverflow="clip" horzOverflow="clip" vert="horz" wrap="square" lIns="38100" tIns="19050" rIns="38100" bIns="19050" anchor="ctr" anchorCtr="1">
                <a:spAutoFit/>
              </a:bodyPr>
              <a:lstStyle/>
              <a:p>
                <a:pPr>
                  <a:defRPr sz="1050" b="0" i="0" u="none" strike="noStrike" kern="1200" baseline="0">
                    <a:solidFill>
                      <a:schemeClr val="tx1">
                        <a:lumMod val="50000"/>
                        <a:lumOff val="50000"/>
                      </a:schemeClr>
                    </a:solidFill>
                    <a:latin typeface="+mn-lt"/>
                    <a:ea typeface="+mn-ea"/>
                    <a:cs typeface="+mn-cs"/>
                  </a:defRPr>
                </a:pPr>
                <a:endParaRPr lang="es-EC"/>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'TOH (hist) '!$AK$3:$BA$3</c15:sqref>
                  </c15:fullRef>
                </c:ext>
              </c:extLst>
              <c:f>('TOH (hist) '!$AO$3:$AV$3,'TOH (hist) '!$AX$3:$BA$3)</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(e) </c:v>
                </c:pt>
              </c:strCache>
            </c:strRef>
          </c:cat>
          <c:val>
            <c:numRef>
              <c:extLst>
                <c:ext xmlns:c15="http://schemas.microsoft.com/office/drawing/2012/chart" uri="{02D57815-91ED-43cb-92C2-25804820EDAC}">
                  <c15:fullRef>
                    <c15:sqref>'TOH (hist) '!$AK$5:$BA$5</c15:sqref>
                  </c15:fullRef>
                </c:ext>
              </c:extLst>
              <c:f>('TOH (hist) '!$AO$5:$AV$5,'TOH (hist) '!$AX$5:$BA$5)</c:f>
              <c:numCache>
                <c:formatCode>0</c:formatCode>
                <c:ptCount val="12"/>
                <c:pt idx="0">
                  <c:v>52.30718839571739</c:v>
                </c:pt>
                <c:pt idx="1">
                  <c:v>53.751290875611595</c:v>
                </c:pt>
                <c:pt idx="2">
                  <c:v>57.762568107254687</c:v>
                </c:pt>
                <c:pt idx="3">
                  <c:v>58.003843053502898</c:v>
                </c:pt>
                <c:pt idx="4">
                  <c:v>56.91449749144774</c:v>
                </c:pt>
                <c:pt idx="5" formatCode="0.00">
                  <c:v>52.646506184060037</c:v>
                </c:pt>
                <c:pt idx="6" formatCode="0.00">
                  <c:v>46.512730614023319</c:v>
                </c:pt>
                <c:pt idx="7" formatCode="0.00">
                  <c:v>46.020581605453351</c:v>
                </c:pt>
                <c:pt idx="8" formatCode="0.00">
                  <c:v>50.197122475217498</c:v>
                </c:pt>
                <c:pt idx="9" formatCode="0.00">
                  <c:v>35.67</c:v>
                </c:pt>
                <c:pt idx="10" formatCode="0.00">
                  <c:v>9.39</c:v>
                </c:pt>
                <c:pt idx="11" formatCode="0.00">
                  <c:v>20.21</c:v>
                </c:pt>
              </c:numCache>
            </c:numRef>
          </c:val>
          <c:extLst>
            <c:ext xmlns:c16="http://schemas.microsoft.com/office/drawing/2014/chart" uri="{C3380CC4-5D6E-409C-BE32-E72D297353CC}">
              <c16:uniqueId val="{00000004-CB3C-4556-9E08-E19914EEF4CD}"/>
            </c:ext>
          </c:extLst>
        </c:ser>
        <c:dLbls>
          <c:dLblPos val="outEnd"/>
          <c:showLegendKey val="0"/>
          <c:showVal val="1"/>
          <c:showCatName val="0"/>
          <c:showSerName val="0"/>
          <c:showPercent val="0"/>
          <c:showBubbleSize val="0"/>
        </c:dLbls>
        <c:gapWidth val="444"/>
        <c:overlap val="-90"/>
        <c:axId val="-957758656"/>
        <c:axId val="-957751584"/>
      </c:barChart>
      <c:catAx>
        <c:axId val="-95775865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es-EC"/>
          </a:p>
        </c:txPr>
        <c:crossAx val="-957751584"/>
        <c:crosses val="autoZero"/>
        <c:auto val="1"/>
        <c:lblAlgn val="ctr"/>
        <c:lblOffset val="100"/>
        <c:noMultiLvlLbl val="0"/>
      </c:catAx>
      <c:valAx>
        <c:axId val="-957751584"/>
        <c:scaling>
          <c:orientation val="minMax"/>
        </c:scaling>
        <c:delete val="1"/>
        <c:axPos val="l"/>
        <c:numFmt formatCode="0" sourceLinked="1"/>
        <c:majorTickMark val="none"/>
        <c:minorTickMark val="none"/>
        <c:tickLblPos val="none"/>
        <c:crossAx val="-957758656"/>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44" l="0.70000000000000062" r="0.70000000000000062" t="0.75000000000000544" header="0.30000000000000032" footer="0.30000000000000032"/>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S"/>
              <a:t>Evolución mensual TOH </a:t>
            </a:r>
          </a:p>
          <a:p>
            <a:pPr>
              <a:defRPr/>
            </a:pPr>
            <a:r>
              <a:rPr lang="es-ES"/>
              <a:t>5 estrellas - (Lujo)</a:t>
            </a:r>
          </a:p>
          <a:p>
            <a:pPr>
              <a:defRPr/>
            </a:pPr>
            <a:r>
              <a:rPr lang="es-ES"/>
              <a: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6"/>
          <c:order val="0"/>
          <c:tx>
            <c:strRef>
              <c:f>'TOH (hist) '!$V$20</c:f>
              <c:strCache>
                <c:ptCount val="1"/>
                <c:pt idx="0">
                  <c:v>TOH 2019 (e) </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dLbls>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'TOH (hist) '!$V$21:$AG$21</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'TOH (hist) '!$V$27:$AG$27</c:f>
              <c:numCache>
                <c:formatCode>0.00</c:formatCode>
                <c:ptCount val="12"/>
                <c:pt idx="0">
                  <c:v>51.67</c:v>
                </c:pt>
                <c:pt idx="1">
                  <c:v>59.05</c:v>
                </c:pt>
                <c:pt idx="2">
                  <c:v>60.04</c:v>
                </c:pt>
                <c:pt idx="3">
                  <c:v>63.14</c:v>
                </c:pt>
                <c:pt idx="4">
                  <c:v>57.94</c:v>
                </c:pt>
                <c:pt idx="5">
                  <c:v>61.51</c:v>
                </c:pt>
                <c:pt idx="6">
                  <c:v>60.91</c:v>
                </c:pt>
                <c:pt idx="7">
                  <c:v>55.6</c:v>
                </c:pt>
                <c:pt idx="8">
                  <c:v>61.97</c:v>
                </c:pt>
                <c:pt idx="9">
                  <c:v>66.321700000000007</c:v>
                </c:pt>
                <c:pt idx="10">
                  <c:v>68.567099999999996</c:v>
                </c:pt>
              </c:numCache>
            </c:numRef>
          </c:val>
          <c:smooth val="0"/>
          <c:extLst>
            <c:ext xmlns:c16="http://schemas.microsoft.com/office/drawing/2014/chart" uri="{C3380CC4-5D6E-409C-BE32-E72D297353CC}">
              <c16:uniqueId val="{00000000-FFF4-45ED-A9C7-7D7D8AFCD8F8}"/>
            </c:ext>
          </c:extLst>
        </c:ser>
        <c:ser>
          <c:idx val="5"/>
          <c:order val="1"/>
          <c:tx>
            <c:strRef>
              <c:f>'TOH (hist) '!$V$36</c:f>
              <c:strCache>
                <c:ptCount val="1"/>
                <c:pt idx="0">
                  <c:v>TOH 2018 (e) </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Ref>
              <c:f>'TOH (hist) '!$V$21:$AG$21</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'TOH (hist) '!$V$43:$AG$43</c:f>
              <c:numCache>
                <c:formatCode>0.00</c:formatCode>
                <c:ptCount val="12"/>
                <c:pt idx="0">
                  <c:v>49.23</c:v>
                </c:pt>
                <c:pt idx="1">
                  <c:v>59.49</c:v>
                </c:pt>
                <c:pt idx="2">
                  <c:v>58.37</c:v>
                </c:pt>
                <c:pt idx="3">
                  <c:v>64.19</c:v>
                </c:pt>
                <c:pt idx="4">
                  <c:v>58.05</c:v>
                </c:pt>
                <c:pt idx="5">
                  <c:v>61.5</c:v>
                </c:pt>
                <c:pt idx="6">
                  <c:v>57.76</c:v>
                </c:pt>
                <c:pt idx="7">
                  <c:v>53.26</c:v>
                </c:pt>
                <c:pt idx="8">
                  <c:v>65.02</c:v>
                </c:pt>
                <c:pt idx="9">
                  <c:v>64.39</c:v>
                </c:pt>
                <c:pt idx="10">
                  <c:v>66.569999999999993</c:v>
                </c:pt>
                <c:pt idx="11">
                  <c:v>45.35</c:v>
                </c:pt>
              </c:numCache>
            </c:numRef>
          </c:val>
          <c:smooth val="0"/>
          <c:extLst>
            <c:ext xmlns:c16="http://schemas.microsoft.com/office/drawing/2014/chart" uri="{C3380CC4-5D6E-409C-BE32-E72D297353CC}">
              <c16:uniqueId val="{00000001-FFF4-45ED-A9C7-7D7D8AFCD8F8}"/>
            </c:ext>
          </c:extLst>
        </c:ser>
        <c:ser>
          <c:idx val="4"/>
          <c:order val="2"/>
          <c:tx>
            <c:strRef>
              <c:f>'TOH (hist) '!$V$51</c:f>
              <c:strCache>
                <c:ptCount val="1"/>
                <c:pt idx="0">
                  <c:v>TOH 2017</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dLbls>
            <c:dLbl>
              <c:idx val="0"/>
              <c:layout>
                <c:manualLayout>
                  <c:x val="-5.6987800508082463E-2"/>
                  <c:y val="4.0331057645466503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D16-4522-8611-19845D5EEDAE}"/>
                </c:ext>
              </c:extLst>
            </c:dLbl>
            <c:spPr>
              <a:noFill/>
              <a:ln w="25400" cap="flat" cmpd="sng" algn="ctr">
                <a:no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FF0000"/>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'TOH (hist) '!$V$21:$AG$21</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'TOH (hist) '!$V$58:$AG$58</c:f>
              <c:numCache>
                <c:formatCode>0.0</c:formatCode>
                <c:ptCount val="12"/>
                <c:pt idx="0">
                  <c:v>49.83</c:v>
                </c:pt>
                <c:pt idx="1">
                  <c:v>57.01</c:v>
                </c:pt>
                <c:pt idx="2" formatCode="0.00">
                  <c:v>59.03</c:v>
                </c:pt>
                <c:pt idx="3" formatCode="0.00">
                  <c:v>54.68</c:v>
                </c:pt>
                <c:pt idx="4" formatCode="0.00">
                  <c:v>53.65</c:v>
                </c:pt>
                <c:pt idx="5" formatCode="0.00">
                  <c:v>59.02</c:v>
                </c:pt>
                <c:pt idx="6" formatCode="0.00">
                  <c:v>56.75</c:v>
                </c:pt>
                <c:pt idx="7" formatCode="0.00">
                  <c:v>53.73</c:v>
                </c:pt>
                <c:pt idx="8" formatCode="0.00">
                  <c:v>56.98</c:v>
                </c:pt>
                <c:pt idx="9" formatCode="0.00">
                  <c:v>57.8</c:v>
                </c:pt>
                <c:pt idx="10" formatCode="0.00">
                  <c:v>64.19</c:v>
                </c:pt>
                <c:pt idx="11" formatCode="0.00">
                  <c:v>45.49</c:v>
                </c:pt>
              </c:numCache>
            </c:numRef>
          </c:val>
          <c:smooth val="0"/>
          <c:extLst>
            <c:ext xmlns:c16="http://schemas.microsoft.com/office/drawing/2014/chart" uri="{C3380CC4-5D6E-409C-BE32-E72D297353CC}">
              <c16:uniqueId val="{00000001-7D16-4522-8611-19845D5EEDAE}"/>
            </c:ext>
          </c:extLst>
        </c:ser>
        <c:dLbls>
          <c:showLegendKey val="0"/>
          <c:showVal val="0"/>
          <c:showCatName val="0"/>
          <c:showSerName val="0"/>
          <c:showPercent val="0"/>
          <c:showBubbleSize val="0"/>
        </c:dLbls>
        <c:marker val="1"/>
        <c:smooth val="0"/>
        <c:axId val="-957753760"/>
        <c:axId val="-957749952"/>
        <c:extLst>
          <c:ext xmlns:c15="http://schemas.microsoft.com/office/drawing/2012/chart" uri="{02D57815-91ED-43cb-92C2-25804820EDAC}">
            <c15:filteredLineSeries>
              <c15:ser>
                <c:idx val="3"/>
                <c:order val="3"/>
                <c:tx>
                  <c:strRef>
                    <c:extLst>
                      <c:ext uri="{02D57815-91ED-43cb-92C2-25804820EDAC}">
                        <c15:formulaRef>
                          <c15:sqref>'TOH (hist) '!$V$65</c15:sqref>
                        </c15:formulaRef>
                      </c:ext>
                    </c:extLst>
                    <c:strCache>
                      <c:ptCount val="1"/>
                      <c:pt idx="0">
                        <c:v>TOH 2016</c:v>
                      </c:pt>
                    </c:strCache>
                  </c:strRef>
                </c:tx>
                <c:spPr>
                  <a:ln w="3175" cap="rnd">
                    <a:solidFill>
                      <a:schemeClr val="accent4"/>
                    </a:solidFill>
                    <a:round/>
                  </a:ln>
                  <a:effectLst/>
                </c:spPr>
                <c:marker>
                  <c:symbol val="circle"/>
                  <c:size val="5"/>
                  <c:spPr>
                    <a:solidFill>
                      <a:schemeClr val="accent4"/>
                    </a:solidFill>
                    <a:ln w="3175">
                      <a:solidFill>
                        <a:schemeClr val="accent4"/>
                      </a:solidFill>
                    </a:ln>
                    <a:effectLst/>
                  </c:spPr>
                </c:marker>
                <c:dLbls>
                  <c:spPr>
                    <a:solidFill>
                      <a:sysClr val="window" lastClr="FFFFFF"/>
                    </a:solidFill>
                    <a:ln w="3175" cap="flat" cmpd="sng" algn="ctr">
                      <a:no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c:ext uri="{02D57815-91ED-43cb-92C2-25804820EDAC}">
                        <c15:formulaRef>
                          <c15:sqref>'TOH (hist) '!$V$69:$AG$69</c15:sqref>
                        </c15:formulaRef>
                      </c:ext>
                    </c:extLst>
                    <c:numCache>
                      <c:formatCode>0.0</c:formatCode>
                      <c:ptCount val="12"/>
                      <c:pt idx="0">
                        <c:v>51.558406561218504</c:v>
                      </c:pt>
                      <c:pt idx="1">
                        <c:v>55.830990041007617</c:v>
                      </c:pt>
                      <c:pt idx="2">
                        <c:v>54.512829525483305</c:v>
                      </c:pt>
                      <c:pt idx="3">
                        <c:v>57.521675454012886</c:v>
                      </c:pt>
                      <c:pt idx="4">
                        <c:v>57.359988283538371</c:v>
                      </c:pt>
                      <c:pt idx="5">
                        <c:v>60.261921499707086</c:v>
                      </c:pt>
                      <c:pt idx="6">
                        <c:v>53.324956063268885</c:v>
                      </c:pt>
                      <c:pt idx="7">
                        <c:v>50.747275922671356</c:v>
                      </c:pt>
                      <c:pt idx="8">
                        <c:v>57.149326303456355</c:v>
                      </c:pt>
                      <c:pt idx="9">
                        <c:v>70.874985354422961</c:v>
                      </c:pt>
                      <c:pt idx="10">
                        <c:v>62.512536613942586</c:v>
                      </c:pt>
                      <c:pt idx="11">
                        <c:v>43.413708260105452</c:v>
                      </c:pt>
                    </c:numCache>
                  </c:numRef>
                </c:val>
                <c:smooth val="0"/>
                <c:extLst>
                  <c:ext xmlns:c16="http://schemas.microsoft.com/office/drawing/2014/chart" uri="{C3380CC4-5D6E-409C-BE32-E72D297353CC}">
                    <c16:uniqueId val="{00000002-7D16-4522-8611-19845D5EEDAE}"/>
                  </c:ext>
                </c:extLst>
              </c15:ser>
            </c15:filteredLineSeries>
            <c15:filteredLineSeries>
              <c15:ser>
                <c:idx val="0"/>
                <c:order val="4"/>
                <c:tx>
                  <c:strRef>
                    <c:extLst xmlns:c15="http://schemas.microsoft.com/office/drawing/2012/chart">
                      <c:ext xmlns:c15="http://schemas.microsoft.com/office/drawing/2012/chart" uri="{02D57815-91ED-43cb-92C2-25804820EDAC}">
                        <c15:formulaRef>
                          <c15:sqref>'TOH (hist) '!$V$73</c15:sqref>
                        </c15:formulaRef>
                      </c:ext>
                    </c:extLst>
                    <c:strCache>
                      <c:ptCount val="1"/>
                      <c:pt idx="0">
                        <c:v>TOH 2015</c:v>
                      </c:pt>
                    </c:strCache>
                  </c:strRef>
                </c:tx>
                <c:spPr>
                  <a:ln w="3175" cap="rnd">
                    <a:solidFill>
                      <a:schemeClr val="accent1"/>
                    </a:solidFill>
                    <a:round/>
                  </a:ln>
                  <a:effectLst/>
                </c:spPr>
                <c:marker>
                  <c:symbol val="circle"/>
                  <c:size val="5"/>
                  <c:spPr>
                    <a:solidFill>
                      <a:schemeClr val="accent1"/>
                    </a:solidFill>
                    <a:ln w="3175">
                      <a:solidFill>
                        <a:schemeClr val="accent1"/>
                      </a:solidFill>
                    </a:ln>
                    <a:effectLst/>
                  </c:spPr>
                </c:marker>
                <c:dLbls>
                  <c:dLbl>
                    <c:idx val="1"/>
                    <c:layout>
                      <c:manualLayout>
                        <c:x val="-6.2586579469135241E-3"/>
                        <c:y val="2.0249049044471501E-2"/>
                      </c:manualLayout>
                    </c:layout>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3-7D16-4522-8611-19845D5EEDAE}"/>
                      </c:ext>
                    </c:extLst>
                  </c:dLbl>
                  <c:dLbl>
                    <c:idx val="2"/>
                    <c:layout>
                      <c:manualLayout>
                        <c:x val="-1.5858495271046658E-2"/>
                        <c:y val="4.041464792318035E-2"/>
                      </c:manualLayout>
                    </c:layout>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4-7D16-4522-8611-19845D5EEDAE}"/>
                      </c:ext>
                    </c:extLst>
                  </c:dLbl>
                  <c:dLbl>
                    <c:idx val="4"/>
                    <c:layout>
                      <c:manualLayout>
                        <c:x val="-6.343398108418663E-3"/>
                        <c:y val="2.0207323961590175E-2"/>
                      </c:manualLayout>
                    </c:layout>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5-7D16-4522-8611-19845D5EEDAE}"/>
                      </c:ext>
                    </c:extLst>
                  </c:dLbl>
                  <c:spPr>
                    <a:noFill/>
                    <a:ln w="3175" cap="flat" cmpd="sng" algn="ctr">
                      <a:no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xmlns:c15="http://schemas.microsoft.com/office/drawing/2012/chart">
                      <c:ext xmlns:c15="http://schemas.microsoft.com/office/drawing/2012/chart" uri="{02D57815-91ED-43cb-92C2-25804820EDAC}">
                        <c15:formulaRef>
                          <c15:sqref>'TOH (hist) '!$V$76:$AG$76</c15:sqref>
                        </c15:formulaRef>
                      </c:ext>
                    </c:extLst>
                    <c:numCache>
                      <c:formatCode>0.0</c:formatCode>
                      <c:ptCount val="12"/>
                      <c:pt idx="0">
                        <c:v>63.923164713140032</c:v>
                      </c:pt>
                      <c:pt idx="1">
                        <c:v>69.016594694632943</c:v>
                      </c:pt>
                      <c:pt idx="2">
                        <c:v>71.136952498457745</c:v>
                      </c:pt>
                      <c:pt idx="3">
                        <c:v>64.16826650215917</c:v>
                      </c:pt>
                      <c:pt idx="4">
                        <c:v>68.897038864898207</c:v>
                      </c:pt>
                      <c:pt idx="5">
                        <c:v>66.700678593460822</c:v>
                      </c:pt>
                      <c:pt idx="6">
                        <c:v>65.777606415792718</c:v>
                      </c:pt>
                      <c:pt idx="7">
                        <c:v>57.994040968342652</c:v>
                      </c:pt>
                      <c:pt idx="8">
                        <c:v>58.905462445685906</c:v>
                      </c:pt>
                      <c:pt idx="9">
                        <c:v>68.051769087523269</c:v>
                      </c:pt>
                      <c:pt idx="10">
                        <c:v>72.682805710738677</c:v>
                      </c:pt>
                      <c:pt idx="11">
                        <c:v>51.006587942821618</c:v>
                      </c:pt>
                    </c:numCache>
                  </c:numRef>
                </c:val>
                <c:smooth val="0"/>
                <c:extLst xmlns:c15="http://schemas.microsoft.com/office/drawing/2012/chart">
                  <c:ext xmlns:c16="http://schemas.microsoft.com/office/drawing/2014/chart" uri="{C3380CC4-5D6E-409C-BE32-E72D297353CC}">
                    <c16:uniqueId val="{00000006-7D16-4522-8611-19845D5EEDAE}"/>
                  </c:ext>
                </c:extLst>
              </c15:ser>
            </c15:filteredLineSeries>
            <c15:filteredLineSeries>
              <c15:ser>
                <c:idx val="1"/>
                <c:order val="5"/>
                <c:tx>
                  <c:strRef>
                    <c:extLst xmlns:c15="http://schemas.microsoft.com/office/drawing/2012/chart">
                      <c:ext xmlns:c15="http://schemas.microsoft.com/office/drawing/2012/chart" uri="{02D57815-91ED-43cb-92C2-25804820EDAC}">
                        <c15:formulaRef>
                          <c15:sqref>'TOH (hist) '!$V$80</c15:sqref>
                        </c15:formulaRef>
                      </c:ext>
                    </c:extLst>
                    <c:strCache>
                      <c:ptCount val="1"/>
                      <c:pt idx="0">
                        <c:v>TOH 2014</c:v>
                      </c:pt>
                    </c:strCache>
                  </c:strRef>
                </c:tx>
                <c:spPr>
                  <a:ln w="3175" cap="rnd">
                    <a:solidFill>
                      <a:schemeClr val="accent2"/>
                    </a:solidFill>
                    <a:round/>
                  </a:ln>
                  <a:effectLst/>
                </c:spPr>
                <c:marker>
                  <c:symbol val="circle"/>
                  <c:size val="5"/>
                  <c:spPr>
                    <a:solidFill>
                      <a:schemeClr val="accent2"/>
                    </a:solidFill>
                    <a:ln w="3175">
                      <a:solidFill>
                        <a:schemeClr val="accent2"/>
                      </a:solidFill>
                    </a:ln>
                    <a:effectLst/>
                  </c:spPr>
                </c:marker>
                <c:dLbls>
                  <c:dLbl>
                    <c:idx val="0"/>
                    <c:layout>
                      <c:manualLayout>
                        <c:x val="0"/>
                        <c:y val="3.2264846116373126E-2"/>
                      </c:manualLayout>
                    </c:layout>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7-7D16-4522-8611-19845D5EEDAE}"/>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xmlns:c15="http://schemas.microsoft.com/office/drawing/2012/chart">
                      <c:ext xmlns:c15="http://schemas.microsoft.com/office/drawing/2012/chart" uri="{02D57815-91ED-43cb-92C2-25804820EDAC}">
                        <c15:formulaRef>
                          <c15:sqref>'TOH (hist) '!$V$83:$AG$83</c15:sqref>
                        </c15:formulaRef>
                      </c:ext>
                    </c:extLst>
                    <c:numCache>
                      <c:formatCode>0.0</c:formatCode>
                      <c:ptCount val="12"/>
                      <c:pt idx="0">
                        <c:v>63.479333746132014</c:v>
                      </c:pt>
                      <c:pt idx="1">
                        <c:v>80.314179959259718</c:v>
                      </c:pt>
                      <c:pt idx="2">
                        <c:v>73.400000000000006</c:v>
                      </c:pt>
                      <c:pt idx="3">
                        <c:v>71.880259099321407</c:v>
                      </c:pt>
                      <c:pt idx="4">
                        <c:v>71.210055521283152</c:v>
                      </c:pt>
                      <c:pt idx="5">
                        <c:v>70.879333744602093</c:v>
                      </c:pt>
                      <c:pt idx="6">
                        <c:v>73.7</c:v>
                      </c:pt>
                      <c:pt idx="7">
                        <c:v>67.403269586674895</c:v>
                      </c:pt>
                      <c:pt idx="8">
                        <c:v>79.765638494756317</c:v>
                      </c:pt>
                      <c:pt idx="9">
                        <c:v>74.366440468846392</c:v>
                      </c:pt>
                      <c:pt idx="10">
                        <c:v>80.694768661320168</c:v>
                      </c:pt>
                      <c:pt idx="11">
                        <c:v>56.046434299814933</c:v>
                      </c:pt>
                    </c:numCache>
                  </c:numRef>
                </c:val>
                <c:smooth val="0"/>
                <c:extLst xmlns:c15="http://schemas.microsoft.com/office/drawing/2012/chart">
                  <c:ext xmlns:c16="http://schemas.microsoft.com/office/drawing/2014/chart" uri="{C3380CC4-5D6E-409C-BE32-E72D297353CC}">
                    <c16:uniqueId val="{00000008-7D16-4522-8611-19845D5EEDAE}"/>
                  </c:ext>
                </c:extLst>
              </c15:ser>
            </c15:filteredLineSeries>
            <c15:filteredLineSeries>
              <c15:ser>
                <c:idx val="2"/>
                <c:order val="6"/>
                <c:tx>
                  <c:strRef>
                    <c:extLst xmlns:c15="http://schemas.microsoft.com/office/drawing/2012/chart">
                      <c:ext xmlns:c15="http://schemas.microsoft.com/office/drawing/2012/chart" uri="{02D57815-91ED-43cb-92C2-25804820EDAC}">
                        <c15:formulaRef>
                          <c15:sqref>'TOH (hist) '!$V$87</c15:sqref>
                        </c15:formulaRef>
                      </c:ext>
                    </c:extLst>
                    <c:strCache>
                      <c:ptCount val="1"/>
                      <c:pt idx="0">
                        <c:v>TOH 2013</c:v>
                      </c:pt>
                    </c:strCache>
                  </c:strRef>
                </c:tx>
                <c:spPr>
                  <a:ln w="3175" cap="rnd">
                    <a:solidFill>
                      <a:schemeClr val="accent3"/>
                    </a:solidFill>
                    <a:round/>
                  </a:ln>
                  <a:effectLst/>
                </c:spPr>
                <c:marker>
                  <c:symbol val="circle"/>
                  <c:size val="5"/>
                  <c:spPr>
                    <a:solidFill>
                      <a:schemeClr val="accent3"/>
                    </a:solidFill>
                    <a:ln w="3175">
                      <a:solidFill>
                        <a:schemeClr val="accent3"/>
                      </a:solidFill>
                    </a:ln>
                    <a:effectLst/>
                  </c:spPr>
                </c:marker>
                <c:dLbls>
                  <c:dLbl>
                    <c:idx val="0"/>
                    <c:layout>
                      <c:manualLayout>
                        <c:x val="0"/>
                        <c:y val="-2.4198634587279902E-2"/>
                      </c:manualLayout>
                    </c:layout>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9-7D16-4522-8611-19845D5EEDAE}"/>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xmlns:c15="http://schemas.microsoft.com/office/drawing/2012/chart">
                      <c:ext xmlns:c15="http://schemas.microsoft.com/office/drawing/2012/chart" uri="{02D57815-91ED-43cb-92C2-25804820EDAC}">
                        <c15:formulaRef>
                          <c15:sqref>'TOH (hist) '!$V$90:$AG$90</c15:sqref>
                        </c15:formulaRef>
                      </c:ext>
                    </c:extLst>
                    <c:numCache>
                      <c:formatCode>0.0</c:formatCode>
                      <c:ptCount val="12"/>
                      <c:pt idx="0">
                        <c:v>64.50418897062923</c:v>
                      </c:pt>
                      <c:pt idx="1">
                        <c:v>79.534238123954339</c:v>
                      </c:pt>
                      <c:pt idx="2">
                        <c:v>80.095918488685996</c:v>
                      </c:pt>
                      <c:pt idx="3">
                        <c:v>74.86119678988895</c:v>
                      </c:pt>
                      <c:pt idx="4">
                        <c:v>71.329923784083903</c:v>
                      </c:pt>
                      <c:pt idx="5">
                        <c:v>75.899650422911776</c:v>
                      </c:pt>
                      <c:pt idx="6">
                        <c:v>74.261208733146219</c:v>
                      </c:pt>
                      <c:pt idx="7">
                        <c:v>64.583789377809993</c:v>
                      </c:pt>
                      <c:pt idx="8">
                        <c:v>76.216327368840211</c:v>
                      </c:pt>
                      <c:pt idx="9">
                        <c:v>74.382599350024662</c:v>
                      </c:pt>
                      <c:pt idx="10">
                        <c:v>77.569401601529918</c:v>
                      </c:pt>
                      <c:pt idx="11">
                        <c:v>63.75793516548427</c:v>
                      </c:pt>
                    </c:numCache>
                  </c:numRef>
                </c:val>
                <c:smooth val="0"/>
                <c:extLst xmlns:c15="http://schemas.microsoft.com/office/drawing/2012/chart">
                  <c:ext xmlns:c16="http://schemas.microsoft.com/office/drawing/2014/chart" uri="{C3380CC4-5D6E-409C-BE32-E72D297353CC}">
                    <c16:uniqueId val="{0000000A-7D16-4522-8611-19845D5EEDAE}"/>
                  </c:ext>
                </c:extLst>
              </c15:ser>
            </c15:filteredLineSeries>
          </c:ext>
        </c:extLst>
      </c:lineChart>
      <c:catAx>
        <c:axId val="-9577537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749952"/>
        <c:crosses val="autoZero"/>
        <c:auto val="1"/>
        <c:lblAlgn val="ctr"/>
        <c:lblOffset val="100"/>
        <c:noMultiLvlLbl val="0"/>
      </c:catAx>
      <c:valAx>
        <c:axId val="-957749952"/>
        <c:scaling>
          <c:orientation val="minMax"/>
          <c:min val="40"/>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75376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S"/>
              <a:t>Evolución mensual TOH </a:t>
            </a:r>
          </a:p>
          <a:p>
            <a:pPr>
              <a:defRPr/>
            </a:pPr>
            <a:r>
              <a:rPr lang="es-ES"/>
              <a:t>4 estrellas - (Primera)</a:t>
            </a:r>
          </a:p>
          <a:p>
            <a:pPr>
              <a:defRPr/>
            </a:pPr>
            <a:r>
              <a:rPr lang="es-ES"/>
              <a:t>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6"/>
          <c:order val="0"/>
          <c:tx>
            <c:strRef>
              <c:f>'TOH (hist) '!$V$20</c:f>
              <c:strCache>
                <c:ptCount val="1"/>
                <c:pt idx="0">
                  <c:v>TOH 2019 (e) </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Ref>
              <c:f>'TOH (hist) '!$V$21:$AG$21</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'TOH (hist) '!$V$30:$AG$30</c:f>
              <c:numCache>
                <c:formatCode>0.00</c:formatCode>
                <c:ptCount val="12"/>
                <c:pt idx="0">
                  <c:v>45.131220800325003</c:v>
                </c:pt>
                <c:pt idx="1">
                  <c:v>58.563624138510669</c:v>
                </c:pt>
                <c:pt idx="2">
                  <c:v>62.74524584546856</c:v>
                </c:pt>
                <c:pt idx="3">
                  <c:v>57.051254089422031</c:v>
                </c:pt>
                <c:pt idx="4">
                  <c:v>52.89956933677864</c:v>
                </c:pt>
                <c:pt idx="5">
                  <c:v>61.009918699186997</c:v>
                </c:pt>
                <c:pt idx="6">
                  <c:v>57.999480609418278</c:v>
                </c:pt>
                <c:pt idx="7">
                  <c:v>55.328576793090505</c:v>
                </c:pt>
                <c:pt idx="8">
                  <c:v>53.373115964318671</c:v>
                </c:pt>
                <c:pt idx="9">
                  <c:v>63.86</c:v>
                </c:pt>
                <c:pt idx="10">
                  <c:v>60.77</c:v>
                </c:pt>
                <c:pt idx="11">
                  <c:v>38.6</c:v>
                </c:pt>
              </c:numCache>
            </c:numRef>
          </c:val>
          <c:smooth val="0"/>
          <c:extLst>
            <c:ext xmlns:c16="http://schemas.microsoft.com/office/drawing/2014/chart" uri="{C3380CC4-5D6E-409C-BE32-E72D297353CC}">
              <c16:uniqueId val="{00000000-7B81-45E1-88F8-EC53BCE115FA}"/>
            </c:ext>
          </c:extLst>
        </c:ser>
        <c:ser>
          <c:idx val="5"/>
          <c:order val="1"/>
          <c:tx>
            <c:strRef>
              <c:f>'TOH (hist) '!$V$36</c:f>
              <c:strCache>
                <c:ptCount val="1"/>
                <c:pt idx="0">
                  <c:v>TOH 2018 (e) </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Ref>
              <c:f>'TOH (hist) '!$V$21:$AG$21</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'TOH (hist) '!$V$45:$AG$45</c:f>
              <c:numCache>
                <c:formatCode>0.00</c:formatCode>
                <c:ptCount val="12"/>
                <c:pt idx="0">
                  <c:v>43</c:v>
                </c:pt>
                <c:pt idx="1">
                  <c:v>59</c:v>
                </c:pt>
                <c:pt idx="2">
                  <c:v>61</c:v>
                </c:pt>
                <c:pt idx="3">
                  <c:v>58</c:v>
                </c:pt>
                <c:pt idx="4">
                  <c:v>53</c:v>
                </c:pt>
                <c:pt idx="5">
                  <c:v>61</c:v>
                </c:pt>
                <c:pt idx="6">
                  <c:v>55</c:v>
                </c:pt>
                <c:pt idx="7">
                  <c:v>53</c:v>
                </c:pt>
                <c:pt idx="8">
                  <c:v>56</c:v>
                </c:pt>
                <c:pt idx="9">
                  <c:v>62</c:v>
                </c:pt>
                <c:pt idx="10">
                  <c:v>59</c:v>
                </c:pt>
                <c:pt idx="11">
                  <c:v>40</c:v>
                </c:pt>
              </c:numCache>
            </c:numRef>
          </c:val>
          <c:smooth val="0"/>
          <c:extLst>
            <c:ext xmlns:c16="http://schemas.microsoft.com/office/drawing/2014/chart" uri="{C3380CC4-5D6E-409C-BE32-E72D297353CC}">
              <c16:uniqueId val="{00000001-7B81-45E1-88F8-EC53BCE115FA}"/>
            </c:ext>
          </c:extLst>
        </c:ser>
        <c:ser>
          <c:idx val="4"/>
          <c:order val="2"/>
          <c:tx>
            <c:strRef>
              <c:f>'TOH (hist) '!$V$51</c:f>
              <c:strCache>
                <c:ptCount val="1"/>
                <c:pt idx="0">
                  <c:v>TOH 2017</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dLbls>
            <c:dLbl>
              <c:idx val="0"/>
              <c:layout>
                <c:manualLayout>
                  <c:x val="-5.059160176840586E-2"/>
                  <c:y val="-2.41783179505924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B03-4952-8700-B2796EBFF134}"/>
                </c:ext>
              </c:extLst>
            </c:dLbl>
            <c:spPr>
              <a:noFill/>
              <a:ln w="25400" cap="flat" cmpd="sng" algn="ctr">
                <a:no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FF0000"/>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'TOH (hist) '!$V$21:$AG$21</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'TOH (hist) '!$V$59:$AG$59</c:f>
              <c:numCache>
                <c:formatCode>0.00</c:formatCode>
                <c:ptCount val="12"/>
                <c:pt idx="0">
                  <c:v>39</c:v>
                </c:pt>
                <c:pt idx="1">
                  <c:v>52</c:v>
                </c:pt>
                <c:pt idx="2">
                  <c:v>55</c:v>
                </c:pt>
                <c:pt idx="3">
                  <c:v>51</c:v>
                </c:pt>
                <c:pt idx="4">
                  <c:v>48</c:v>
                </c:pt>
                <c:pt idx="5">
                  <c:v>54</c:v>
                </c:pt>
                <c:pt idx="6">
                  <c:v>48</c:v>
                </c:pt>
                <c:pt idx="7">
                  <c:v>55</c:v>
                </c:pt>
                <c:pt idx="8">
                  <c:v>48</c:v>
                </c:pt>
                <c:pt idx="9">
                  <c:v>57</c:v>
                </c:pt>
                <c:pt idx="10">
                  <c:v>58</c:v>
                </c:pt>
                <c:pt idx="11">
                  <c:v>43</c:v>
                </c:pt>
              </c:numCache>
            </c:numRef>
          </c:val>
          <c:smooth val="0"/>
          <c:extLst>
            <c:ext xmlns:c16="http://schemas.microsoft.com/office/drawing/2014/chart" uri="{C3380CC4-5D6E-409C-BE32-E72D297353CC}">
              <c16:uniqueId val="{00000001-DB03-4952-8700-B2796EBFF134}"/>
            </c:ext>
          </c:extLst>
        </c:ser>
        <c:dLbls>
          <c:showLegendKey val="0"/>
          <c:showVal val="0"/>
          <c:showCatName val="0"/>
          <c:showSerName val="0"/>
          <c:showPercent val="0"/>
          <c:showBubbleSize val="0"/>
        </c:dLbls>
        <c:marker val="1"/>
        <c:smooth val="0"/>
        <c:axId val="-957605472"/>
        <c:axId val="-957606016"/>
        <c:extLst>
          <c:ext xmlns:c15="http://schemas.microsoft.com/office/drawing/2012/chart" uri="{02D57815-91ED-43cb-92C2-25804820EDAC}">
            <c15:filteredLineSeries>
              <c15:ser>
                <c:idx val="3"/>
                <c:order val="3"/>
                <c:tx>
                  <c:strRef>
                    <c:extLst>
                      <c:ext uri="{02D57815-91ED-43cb-92C2-25804820EDAC}">
                        <c15:formulaRef>
                          <c15:sqref>'TOH (hist) '!$V$65</c15:sqref>
                        </c15:formulaRef>
                      </c:ext>
                    </c:extLst>
                    <c:strCache>
                      <c:ptCount val="1"/>
                      <c:pt idx="0">
                        <c:v>TOH 2016</c:v>
                      </c:pt>
                    </c:strCache>
                  </c:strRef>
                </c:tx>
                <c:spPr>
                  <a:ln w="3175" cap="rnd">
                    <a:solidFill>
                      <a:schemeClr val="accent4"/>
                    </a:solidFill>
                    <a:round/>
                  </a:ln>
                  <a:effectLst/>
                </c:spPr>
                <c:marker>
                  <c:symbol val="circle"/>
                  <c:size val="5"/>
                  <c:spPr>
                    <a:solidFill>
                      <a:schemeClr val="accent4"/>
                    </a:solidFill>
                    <a:ln w="3175">
                      <a:solidFill>
                        <a:schemeClr val="accent4"/>
                      </a:solidFill>
                    </a:ln>
                    <a:effectLst/>
                  </c:spPr>
                </c:marker>
                <c:dLbls>
                  <c:spPr>
                    <a:noFill/>
                    <a:ln w="25400" cap="flat" cmpd="sng" algn="ctr">
                      <a:no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c:ext uri="{02D57815-91ED-43cb-92C2-25804820EDAC}">
                        <c15:formulaRef>
                          <c15:sqref>'TOH (hist) '!$V$70:$AG$70</c15:sqref>
                        </c15:formulaRef>
                      </c:ext>
                    </c:extLst>
                    <c:numCache>
                      <c:formatCode>0.0</c:formatCode>
                      <c:ptCount val="12"/>
                      <c:pt idx="0">
                        <c:v>43.926650943396218</c:v>
                      </c:pt>
                      <c:pt idx="1">
                        <c:v>44.932134433962268</c:v>
                      </c:pt>
                      <c:pt idx="2">
                        <c:v>46.1502358490566</c:v>
                      </c:pt>
                      <c:pt idx="3">
                        <c:v>45.307488207547166</c:v>
                      </c:pt>
                      <c:pt idx="4">
                        <c:v>43.315271226415092</c:v>
                      </c:pt>
                      <c:pt idx="5">
                        <c:v>50.526709905660375</c:v>
                      </c:pt>
                      <c:pt idx="6">
                        <c:v>51.207429245283016</c:v>
                      </c:pt>
                      <c:pt idx="7">
                        <c:v>51.081014150943389</c:v>
                      </c:pt>
                      <c:pt idx="8">
                        <c:v>48.948761792452828</c:v>
                      </c:pt>
                      <c:pt idx="9">
                        <c:v>62.996937573616016</c:v>
                      </c:pt>
                      <c:pt idx="10">
                        <c:v>48.532783018867924</c:v>
                      </c:pt>
                      <c:pt idx="11">
                        <c:v>42.145990566037732</c:v>
                      </c:pt>
                    </c:numCache>
                  </c:numRef>
                </c:val>
                <c:smooth val="0"/>
                <c:extLst>
                  <c:ext xmlns:c16="http://schemas.microsoft.com/office/drawing/2014/chart" uri="{C3380CC4-5D6E-409C-BE32-E72D297353CC}">
                    <c16:uniqueId val="{00000002-DB03-4952-8700-B2796EBFF134}"/>
                  </c:ext>
                </c:extLst>
              </c15:ser>
            </c15:filteredLineSeries>
            <c15:filteredLineSeries>
              <c15:ser>
                <c:idx val="0"/>
                <c:order val="4"/>
                <c:tx>
                  <c:strRef>
                    <c:extLst xmlns:c15="http://schemas.microsoft.com/office/drawing/2012/chart">
                      <c:ext xmlns:c15="http://schemas.microsoft.com/office/drawing/2012/chart" uri="{02D57815-91ED-43cb-92C2-25804820EDAC}">
                        <c15:formulaRef>
                          <c15:sqref>'TOH (hist) '!$V$73</c15:sqref>
                        </c15:formulaRef>
                      </c:ext>
                    </c:extLst>
                    <c:strCache>
                      <c:ptCount val="1"/>
                      <c:pt idx="0">
                        <c:v>TOH 2015</c:v>
                      </c:pt>
                    </c:strCache>
                  </c:strRef>
                </c:tx>
                <c:spPr>
                  <a:ln w="3175" cap="rnd">
                    <a:solidFill>
                      <a:schemeClr val="accent1"/>
                    </a:solidFill>
                    <a:round/>
                  </a:ln>
                  <a:effectLst/>
                </c:spPr>
                <c:marker>
                  <c:symbol val="circle"/>
                  <c:size val="5"/>
                  <c:spPr>
                    <a:solidFill>
                      <a:schemeClr val="accent1"/>
                    </a:solidFill>
                    <a:ln w="3175">
                      <a:solidFill>
                        <a:schemeClr val="accent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xmlns:c15="http://schemas.microsoft.com/office/drawing/2012/chart">
                      <c:ext xmlns:c15="http://schemas.microsoft.com/office/drawing/2012/chart" uri="{02D57815-91ED-43cb-92C2-25804820EDAC}">
                        <c15:formulaRef>
                          <c15:sqref>'TOH (hist) '!$V$77:$AG$77</c15:sqref>
                        </c15:formulaRef>
                      </c:ext>
                    </c:extLst>
                    <c:numCache>
                      <c:formatCode>0.0</c:formatCode>
                      <c:ptCount val="12"/>
                      <c:pt idx="0">
                        <c:v>53.596954545454537</c:v>
                      </c:pt>
                      <c:pt idx="1">
                        <c:v>50.203693181818188</c:v>
                      </c:pt>
                      <c:pt idx="2">
                        <c:v>60.320170454545455</c:v>
                      </c:pt>
                      <c:pt idx="3">
                        <c:v>55.937823863636353</c:v>
                      </c:pt>
                      <c:pt idx="4">
                        <c:v>55.730965909090912</c:v>
                      </c:pt>
                      <c:pt idx="5">
                        <c:v>60.893838326738269</c:v>
                      </c:pt>
                      <c:pt idx="6">
                        <c:v>62.101921989824746</c:v>
                      </c:pt>
                      <c:pt idx="7">
                        <c:v>52.804610951008648</c:v>
                      </c:pt>
                      <c:pt idx="8">
                        <c:v>54.020057636887607</c:v>
                      </c:pt>
                      <c:pt idx="9">
                        <c:v>56.422363112391928</c:v>
                      </c:pt>
                      <c:pt idx="10">
                        <c:v>55.888888888888886</c:v>
                      </c:pt>
                      <c:pt idx="11">
                        <c:v>46.219026047565109</c:v>
                      </c:pt>
                    </c:numCache>
                  </c:numRef>
                </c:val>
                <c:smooth val="0"/>
                <c:extLst xmlns:c15="http://schemas.microsoft.com/office/drawing/2012/chart">
                  <c:ext xmlns:c16="http://schemas.microsoft.com/office/drawing/2014/chart" uri="{C3380CC4-5D6E-409C-BE32-E72D297353CC}">
                    <c16:uniqueId val="{00000003-DB03-4952-8700-B2796EBFF134}"/>
                  </c:ext>
                </c:extLst>
              </c15:ser>
            </c15:filteredLineSeries>
            <c15:filteredLineSeries>
              <c15:ser>
                <c:idx val="1"/>
                <c:order val="5"/>
                <c:tx>
                  <c:strRef>
                    <c:extLst xmlns:c15="http://schemas.microsoft.com/office/drawing/2012/chart">
                      <c:ext xmlns:c15="http://schemas.microsoft.com/office/drawing/2012/chart" uri="{02D57815-91ED-43cb-92C2-25804820EDAC}">
                        <c15:formulaRef>
                          <c15:sqref>'TOH (hist) '!$V$80</c15:sqref>
                        </c15:formulaRef>
                      </c:ext>
                    </c:extLst>
                    <c:strCache>
                      <c:ptCount val="1"/>
                      <c:pt idx="0">
                        <c:v>TOH 2014</c:v>
                      </c:pt>
                    </c:strCache>
                  </c:strRef>
                </c:tx>
                <c:spPr>
                  <a:ln w="3175" cap="rnd">
                    <a:solidFill>
                      <a:schemeClr val="accent2"/>
                    </a:solidFill>
                    <a:round/>
                  </a:ln>
                  <a:effectLst/>
                </c:spPr>
                <c:marker>
                  <c:symbol val="circle"/>
                  <c:size val="5"/>
                  <c:spPr>
                    <a:solidFill>
                      <a:schemeClr val="accent2"/>
                    </a:solidFill>
                    <a:ln w="3175">
                      <a:solidFill>
                        <a:schemeClr val="accent2"/>
                      </a:solidFill>
                    </a:ln>
                    <a:effectLst/>
                  </c:spPr>
                </c:marker>
                <c:cat>
                  <c:strRef>
                    <c:extLst xmlns:c15="http://schemas.microsoft.com/office/drawing/2012/chart">
                      <c:ext xmlns:c15="http://schemas.microsoft.com/office/drawing/2012/char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xmlns:c15="http://schemas.microsoft.com/office/drawing/2012/chart">
                      <c:ext xmlns:c15="http://schemas.microsoft.com/office/drawing/2012/chart" uri="{02D57815-91ED-43cb-92C2-25804820EDAC}">
                        <c15:formulaRef>
                          <c15:sqref>'TOH (hist) '!$V$84:$AG$84</c15:sqref>
                        </c15:formulaRef>
                      </c:ext>
                    </c:extLst>
                    <c:numCache>
                      <c:formatCode>0.0</c:formatCode>
                      <c:ptCount val="12"/>
                      <c:pt idx="0">
                        <c:v>53.392282080782287</c:v>
                      </c:pt>
                      <c:pt idx="1">
                        <c:v>64.191040208303448</c:v>
                      </c:pt>
                      <c:pt idx="2">
                        <c:v>59.9</c:v>
                      </c:pt>
                      <c:pt idx="3">
                        <c:v>58.379681274900399</c:v>
                      </c:pt>
                      <c:pt idx="4">
                        <c:v>61.351735913488902</c:v>
                      </c:pt>
                      <c:pt idx="5">
                        <c:v>62.00159362549801</c:v>
                      </c:pt>
                      <c:pt idx="6">
                        <c:v>61.7</c:v>
                      </c:pt>
                      <c:pt idx="7">
                        <c:v>62.063915765509371</c:v>
                      </c:pt>
                      <c:pt idx="8">
                        <c:v>62.227490039840639</c:v>
                      </c:pt>
                      <c:pt idx="9">
                        <c:v>63.025099601593645</c:v>
                      </c:pt>
                      <c:pt idx="10">
                        <c:v>66.527903409090911</c:v>
                      </c:pt>
                      <c:pt idx="11">
                        <c:v>57.995539772727291</c:v>
                      </c:pt>
                    </c:numCache>
                  </c:numRef>
                </c:val>
                <c:smooth val="0"/>
                <c:extLst xmlns:c15="http://schemas.microsoft.com/office/drawing/2012/chart">
                  <c:ext xmlns:c16="http://schemas.microsoft.com/office/drawing/2014/chart" uri="{C3380CC4-5D6E-409C-BE32-E72D297353CC}">
                    <c16:uniqueId val="{00000004-DB03-4952-8700-B2796EBFF134}"/>
                  </c:ext>
                </c:extLst>
              </c15:ser>
            </c15:filteredLineSeries>
            <c15:filteredLineSeries>
              <c15:ser>
                <c:idx val="2"/>
                <c:order val="6"/>
                <c:tx>
                  <c:strRef>
                    <c:extLst xmlns:c15="http://schemas.microsoft.com/office/drawing/2012/chart">
                      <c:ext xmlns:c15="http://schemas.microsoft.com/office/drawing/2012/chart" uri="{02D57815-91ED-43cb-92C2-25804820EDAC}">
                        <c15:formulaRef>
                          <c15:sqref>'TOH (hist) '!$V$87</c15:sqref>
                        </c15:formulaRef>
                      </c:ext>
                    </c:extLst>
                    <c:strCache>
                      <c:ptCount val="1"/>
                      <c:pt idx="0">
                        <c:v>TOH 2013</c:v>
                      </c:pt>
                    </c:strCache>
                  </c:strRef>
                </c:tx>
                <c:spPr>
                  <a:ln w="3175" cap="rnd">
                    <a:solidFill>
                      <a:schemeClr val="accent3"/>
                    </a:solidFill>
                    <a:round/>
                  </a:ln>
                  <a:effectLst/>
                </c:spPr>
                <c:marker>
                  <c:symbol val="circle"/>
                  <c:size val="5"/>
                  <c:spPr>
                    <a:solidFill>
                      <a:schemeClr val="accent3"/>
                    </a:solidFill>
                    <a:ln w="3175">
                      <a:solidFill>
                        <a:schemeClr val="accent3"/>
                      </a:solidFill>
                    </a:ln>
                    <a:effectLst/>
                  </c:spPr>
                </c:marker>
                <c:cat>
                  <c:strRef>
                    <c:extLst xmlns:c15="http://schemas.microsoft.com/office/drawing/2012/chart">
                      <c:ext xmlns:c15="http://schemas.microsoft.com/office/drawing/2012/char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xmlns:c15="http://schemas.microsoft.com/office/drawing/2012/chart">
                      <c:ext xmlns:c15="http://schemas.microsoft.com/office/drawing/2012/chart" uri="{02D57815-91ED-43cb-92C2-25804820EDAC}">
                        <c15:formulaRef>
                          <c15:sqref>'TOH (hist) '!$V$91:$AG$91</c15:sqref>
                        </c15:formulaRef>
                      </c:ext>
                    </c:extLst>
                    <c:numCache>
                      <c:formatCode>0.0</c:formatCode>
                      <c:ptCount val="12"/>
                      <c:pt idx="0">
                        <c:v>52.616361472091398</c:v>
                      </c:pt>
                      <c:pt idx="1">
                        <c:v>58.640890451347381</c:v>
                      </c:pt>
                      <c:pt idx="2">
                        <c:v>62.460078990074976</c:v>
                      </c:pt>
                      <c:pt idx="3">
                        <c:v>58.455379808534857</c:v>
                      </c:pt>
                      <c:pt idx="4">
                        <c:v>60.12434567346925</c:v>
                      </c:pt>
                      <c:pt idx="5">
                        <c:v>63.739504001236092</c:v>
                      </c:pt>
                      <c:pt idx="6">
                        <c:v>65.706672712056232</c:v>
                      </c:pt>
                      <c:pt idx="7">
                        <c:v>64.124956788866328</c:v>
                      </c:pt>
                      <c:pt idx="8">
                        <c:v>68.309832676711807</c:v>
                      </c:pt>
                      <c:pt idx="9">
                        <c:v>64.057638773816137</c:v>
                      </c:pt>
                      <c:pt idx="10">
                        <c:v>67.428087988469272</c:v>
                      </c:pt>
                      <c:pt idx="11">
                        <c:v>51.26903553373549</c:v>
                      </c:pt>
                    </c:numCache>
                  </c:numRef>
                </c:val>
                <c:smooth val="0"/>
                <c:extLst xmlns:c15="http://schemas.microsoft.com/office/drawing/2012/chart">
                  <c:ext xmlns:c16="http://schemas.microsoft.com/office/drawing/2014/chart" uri="{C3380CC4-5D6E-409C-BE32-E72D297353CC}">
                    <c16:uniqueId val="{00000005-DB03-4952-8700-B2796EBFF134}"/>
                  </c:ext>
                </c:extLst>
              </c15:ser>
            </c15:filteredLineSeries>
          </c:ext>
        </c:extLst>
      </c:lineChart>
      <c:catAx>
        <c:axId val="-9576054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606016"/>
        <c:crosses val="autoZero"/>
        <c:auto val="1"/>
        <c:lblAlgn val="ctr"/>
        <c:lblOffset val="100"/>
        <c:noMultiLvlLbl val="0"/>
      </c:catAx>
      <c:valAx>
        <c:axId val="-957606016"/>
        <c:scaling>
          <c:orientation val="minMax"/>
          <c:min val="35"/>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60547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317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S"/>
              <a:t>Evolución mensual TOH </a:t>
            </a:r>
          </a:p>
          <a:p>
            <a:pPr>
              <a:defRPr/>
            </a:pPr>
            <a:r>
              <a:rPr lang="es-ES"/>
              <a:t>3 estrellas - (Segunda)</a:t>
            </a:r>
          </a:p>
          <a:p>
            <a:pPr>
              <a:defRPr/>
            </a:pPr>
            <a:r>
              <a:rPr lang="es-ES"/>
              <a:t>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6"/>
          <c:order val="0"/>
          <c:tx>
            <c:strRef>
              <c:f>'TOH (hist) '!$V$20</c:f>
              <c:strCache>
                <c:ptCount val="1"/>
                <c:pt idx="0">
                  <c:v>TOH 2019 (e) </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strRef>
              <c:f>'TOH (hist) '!$V$21:$AG$21</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'TOH (hist) '!$V$32:$AG$32</c:f>
              <c:numCache>
                <c:formatCode>0.00</c:formatCode>
                <c:ptCount val="12"/>
                <c:pt idx="0">
                  <c:v>26.239081860654075</c:v>
                </c:pt>
                <c:pt idx="1">
                  <c:v>21.837283577071773</c:v>
                </c:pt>
                <c:pt idx="2">
                  <c:v>30.858317628918964</c:v>
                </c:pt>
                <c:pt idx="3">
                  <c:v>24.591057797164666</c:v>
                </c:pt>
                <c:pt idx="4">
                  <c:v>22.95641688199828</c:v>
                </c:pt>
                <c:pt idx="5">
                  <c:v>31.005040650406507</c:v>
                </c:pt>
                <c:pt idx="6">
                  <c:v>30.581544321329638</c:v>
                </c:pt>
                <c:pt idx="7">
                  <c:v>27.142320690950058</c:v>
                </c:pt>
                <c:pt idx="8">
                  <c:v>21.921101199630883</c:v>
                </c:pt>
                <c:pt idx="9">
                  <c:v>33.99</c:v>
                </c:pt>
                <c:pt idx="10">
                  <c:v>24.72</c:v>
                </c:pt>
                <c:pt idx="11">
                  <c:v>22.4</c:v>
                </c:pt>
              </c:numCache>
            </c:numRef>
          </c:val>
          <c:smooth val="0"/>
          <c:extLst>
            <c:ext xmlns:c16="http://schemas.microsoft.com/office/drawing/2014/chart" uri="{C3380CC4-5D6E-409C-BE32-E72D297353CC}">
              <c16:uniqueId val="{00000000-7BCD-4CCC-BA11-1C19317D4420}"/>
            </c:ext>
          </c:extLst>
        </c:ser>
        <c:ser>
          <c:idx val="5"/>
          <c:order val="1"/>
          <c:tx>
            <c:strRef>
              <c:f>'TOH (hist) '!$V$36</c:f>
              <c:strCache>
                <c:ptCount val="1"/>
                <c:pt idx="0">
                  <c:v>TOH 2018 (e) </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Ref>
              <c:f>'TOH (hist) '!$V$21:$AG$21</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'TOH (hist) '!$V$47:$AG$47</c:f>
              <c:numCache>
                <c:formatCode>0.00</c:formatCode>
                <c:ptCount val="12"/>
                <c:pt idx="0">
                  <c:v>25</c:v>
                </c:pt>
                <c:pt idx="1">
                  <c:v>22</c:v>
                </c:pt>
                <c:pt idx="2">
                  <c:v>30</c:v>
                </c:pt>
                <c:pt idx="3">
                  <c:v>25</c:v>
                </c:pt>
                <c:pt idx="4">
                  <c:v>23</c:v>
                </c:pt>
                <c:pt idx="5">
                  <c:v>31</c:v>
                </c:pt>
                <c:pt idx="6">
                  <c:v>29</c:v>
                </c:pt>
                <c:pt idx="7">
                  <c:v>26</c:v>
                </c:pt>
                <c:pt idx="8">
                  <c:v>23</c:v>
                </c:pt>
                <c:pt idx="9">
                  <c:v>33</c:v>
                </c:pt>
                <c:pt idx="10">
                  <c:v>24</c:v>
                </c:pt>
                <c:pt idx="11">
                  <c:v>19</c:v>
                </c:pt>
              </c:numCache>
            </c:numRef>
          </c:val>
          <c:smooth val="0"/>
          <c:extLst>
            <c:ext xmlns:c16="http://schemas.microsoft.com/office/drawing/2014/chart" uri="{C3380CC4-5D6E-409C-BE32-E72D297353CC}">
              <c16:uniqueId val="{00000001-7BCD-4CCC-BA11-1C19317D4420}"/>
            </c:ext>
          </c:extLst>
        </c:ser>
        <c:ser>
          <c:idx val="4"/>
          <c:order val="2"/>
          <c:tx>
            <c:strRef>
              <c:f>'TOH (hist) '!$V$51</c:f>
              <c:strCache>
                <c:ptCount val="1"/>
                <c:pt idx="0">
                  <c:v>TOH 2017</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dLbls>
            <c:dLbl>
              <c:idx val="0"/>
              <c:layout>
                <c:manualLayout>
                  <c:x val="-3.2639743076390876E-3"/>
                  <c:y val="4.25463228038544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171-44C5-BC0F-2D7ED4C4EC01}"/>
                </c:ext>
              </c:extLst>
            </c:dLbl>
            <c:spPr>
              <a:noFill/>
              <a:ln w="25400" cap="flat" cmpd="sng" algn="ctr">
                <a:no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FF0000"/>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'TOH (hist) '!$V$21:$AG$21</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'TOH (hist) '!$V$61:$AG$61</c:f>
              <c:numCache>
                <c:formatCode>0.00</c:formatCode>
                <c:ptCount val="12"/>
                <c:pt idx="0">
                  <c:v>26</c:v>
                </c:pt>
                <c:pt idx="1">
                  <c:v>27</c:v>
                </c:pt>
                <c:pt idx="2">
                  <c:v>28</c:v>
                </c:pt>
                <c:pt idx="3">
                  <c:v>32</c:v>
                </c:pt>
                <c:pt idx="4">
                  <c:v>25</c:v>
                </c:pt>
                <c:pt idx="5">
                  <c:v>27</c:v>
                </c:pt>
                <c:pt idx="6">
                  <c:v>29</c:v>
                </c:pt>
                <c:pt idx="7">
                  <c:v>31</c:v>
                </c:pt>
                <c:pt idx="8">
                  <c:v>28</c:v>
                </c:pt>
                <c:pt idx="9">
                  <c:v>25</c:v>
                </c:pt>
                <c:pt idx="10">
                  <c:v>30</c:v>
                </c:pt>
                <c:pt idx="11">
                  <c:v>24</c:v>
                </c:pt>
              </c:numCache>
            </c:numRef>
          </c:val>
          <c:smooth val="0"/>
          <c:extLst>
            <c:ext xmlns:c16="http://schemas.microsoft.com/office/drawing/2014/chart" uri="{C3380CC4-5D6E-409C-BE32-E72D297353CC}">
              <c16:uniqueId val="{00000001-7171-44C5-BC0F-2D7ED4C4EC01}"/>
            </c:ext>
          </c:extLst>
        </c:ser>
        <c:dLbls>
          <c:showLegendKey val="0"/>
          <c:showVal val="0"/>
          <c:showCatName val="0"/>
          <c:showSerName val="0"/>
          <c:showPercent val="0"/>
          <c:showBubbleSize val="0"/>
        </c:dLbls>
        <c:marker val="1"/>
        <c:smooth val="0"/>
        <c:axId val="-957609280"/>
        <c:axId val="-957608736"/>
        <c:extLst>
          <c:ext xmlns:c15="http://schemas.microsoft.com/office/drawing/2012/chart" uri="{02D57815-91ED-43cb-92C2-25804820EDAC}">
            <c15:filteredLineSeries>
              <c15:ser>
                <c:idx val="3"/>
                <c:order val="3"/>
                <c:tx>
                  <c:strRef>
                    <c:extLst>
                      <c:ext uri="{02D57815-91ED-43cb-92C2-25804820EDAC}">
                        <c15:formulaRef>
                          <c15:sqref>'TOH (hist) '!$V$65</c15:sqref>
                        </c15:formulaRef>
                      </c:ext>
                    </c:extLst>
                    <c:strCache>
                      <c:ptCount val="1"/>
                      <c:pt idx="0">
                        <c:v>TOH 2016</c:v>
                      </c:pt>
                    </c:strCache>
                  </c:strRef>
                </c:tx>
                <c:spPr>
                  <a:ln w="3175" cap="rnd">
                    <a:solidFill>
                      <a:schemeClr val="accent4"/>
                    </a:solidFill>
                    <a:round/>
                  </a:ln>
                  <a:effectLst/>
                </c:spPr>
                <c:marker>
                  <c:symbol val="circle"/>
                  <c:size val="5"/>
                  <c:spPr>
                    <a:solidFill>
                      <a:schemeClr val="accent4"/>
                    </a:solidFill>
                    <a:ln w="3175">
                      <a:solidFill>
                        <a:schemeClr val="accent4"/>
                      </a:solidFill>
                    </a:ln>
                    <a:effectLst/>
                  </c:spPr>
                </c:marker>
                <c:dLbls>
                  <c:dLbl>
                    <c:idx val="11"/>
                    <c:layout>
                      <c:manualLayout>
                        <c:x val="1.183896016222883E-16"/>
                        <c:y val="4.6414170331477579E-2"/>
                      </c:manualLayout>
                    </c:layout>
                    <c:showLegendKey val="0"/>
                    <c:showVal val="1"/>
                    <c:showCatName val="0"/>
                    <c:showSerName val="0"/>
                    <c:showPercent val="0"/>
                    <c:showBubbleSize val="0"/>
                    <c:extLst>
                      <c:ext uri="{CE6537A1-D6FC-4f65-9D91-7224C49458BB}"/>
                      <c:ext xmlns:c16="http://schemas.microsoft.com/office/drawing/2014/chart" uri="{C3380CC4-5D6E-409C-BE32-E72D297353CC}">
                        <c16:uniqueId val="{00000002-7171-44C5-BC0F-2D7ED4C4EC01}"/>
                      </c:ext>
                    </c:extLst>
                  </c:dLbl>
                  <c:spPr>
                    <a:noFill/>
                    <a:ln w="25400" cap="flat" cmpd="sng" algn="ctr">
                      <a:no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c:ext uri="{02D57815-91ED-43cb-92C2-25804820EDAC}">
                        <c15:formulaRef>
                          <c15:sqref>'TOH (hist) '!$V$71:$AG$71</c15:sqref>
                        </c15:formulaRef>
                      </c:ext>
                    </c:extLst>
                    <c:numCache>
                      <c:formatCode>0.0</c:formatCode>
                      <c:ptCount val="12"/>
                      <c:pt idx="0">
                        <c:v>37.897258883248718</c:v>
                      </c:pt>
                      <c:pt idx="1">
                        <c:v>36.99355329949239</c:v>
                      </c:pt>
                      <c:pt idx="2">
                        <c:v>38.501065989847724</c:v>
                      </c:pt>
                      <c:pt idx="3">
                        <c:v>33.05568527918782</c:v>
                      </c:pt>
                      <c:pt idx="4">
                        <c:v>31.728324873096447</c:v>
                      </c:pt>
                      <c:pt idx="5">
                        <c:v>34.777461928934009</c:v>
                      </c:pt>
                      <c:pt idx="6">
                        <c:v>35.056192893401018</c:v>
                      </c:pt>
                      <c:pt idx="7">
                        <c:v>35.117969543147211</c:v>
                      </c:pt>
                      <c:pt idx="8">
                        <c:v>38.728274111675127</c:v>
                      </c:pt>
                      <c:pt idx="9">
                        <c:v>45.375685279187806</c:v>
                      </c:pt>
                      <c:pt idx="10">
                        <c:v>36.139543147208123</c:v>
                      </c:pt>
                      <c:pt idx="11">
                        <c:v>35.461319796954314</c:v>
                      </c:pt>
                    </c:numCache>
                  </c:numRef>
                </c:val>
                <c:smooth val="0"/>
                <c:extLst>
                  <c:ext xmlns:c16="http://schemas.microsoft.com/office/drawing/2014/chart" uri="{C3380CC4-5D6E-409C-BE32-E72D297353CC}">
                    <c16:uniqueId val="{00000003-7171-44C5-BC0F-2D7ED4C4EC01}"/>
                  </c:ext>
                </c:extLst>
              </c15:ser>
            </c15:filteredLineSeries>
            <c15:filteredLineSeries>
              <c15:ser>
                <c:idx val="0"/>
                <c:order val="4"/>
                <c:tx>
                  <c:strRef>
                    <c:extLst xmlns:c15="http://schemas.microsoft.com/office/drawing/2012/chart">
                      <c:ext xmlns:c15="http://schemas.microsoft.com/office/drawing/2012/chart" uri="{02D57815-91ED-43cb-92C2-25804820EDAC}">
                        <c15:formulaRef>
                          <c15:sqref>'TOH (hist) '!$V$73</c15:sqref>
                        </c15:formulaRef>
                      </c:ext>
                    </c:extLst>
                    <c:strCache>
                      <c:ptCount val="1"/>
                      <c:pt idx="0">
                        <c:v>TOH 2015</c:v>
                      </c:pt>
                    </c:strCache>
                  </c:strRef>
                </c:tx>
                <c:spPr>
                  <a:ln w="3175" cap="rnd">
                    <a:solidFill>
                      <a:schemeClr val="accent1"/>
                    </a:solidFill>
                    <a:round/>
                  </a:ln>
                  <a:effectLst/>
                </c:spPr>
                <c:marker>
                  <c:symbol val="circle"/>
                  <c:size val="5"/>
                  <c:spPr>
                    <a:solidFill>
                      <a:schemeClr val="accent1"/>
                    </a:solidFill>
                    <a:ln w="3175">
                      <a:solidFill>
                        <a:schemeClr val="accent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xmlns:c15="http://schemas.microsoft.com/office/drawing/2012/chart">
                      <c:ext xmlns:c15="http://schemas.microsoft.com/office/drawing/2012/chart" uri="{02D57815-91ED-43cb-92C2-25804820EDAC}">
                        <c15:formulaRef>
                          <c15:sqref>'TOH (hist) '!$V$78:$AG$78</c15:sqref>
                        </c15:formulaRef>
                      </c:ext>
                    </c:extLst>
                    <c:numCache>
                      <c:formatCode>0.0</c:formatCode>
                      <c:ptCount val="12"/>
                      <c:pt idx="0">
                        <c:v>39.696517083120852</c:v>
                      </c:pt>
                      <c:pt idx="1">
                        <c:v>38.586894441611427</c:v>
                      </c:pt>
                      <c:pt idx="2">
                        <c:v>43.64864864864866</c:v>
                      </c:pt>
                      <c:pt idx="3">
                        <c:v>41.262570117287098</c:v>
                      </c:pt>
                      <c:pt idx="4">
                        <c:v>40.789852116267213</c:v>
                      </c:pt>
                      <c:pt idx="5">
                        <c:v>41.560983102918584</c:v>
                      </c:pt>
                      <c:pt idx="6">
                        <c:v>39.183819764464921</c:v>
                      </c:pt>
                      <c:pt idx="7">
                        <c:v>36.076418532014564</c:v>
                      </c:pt>
                      <c:pt idx="8">
                        <c:v>41.489692868297759</c:v>
                      </c:pt>
                      <c:pt idx="9">
                        <c:v>40.939979177511702</c:v>
                      </c:pt>
                      <c:pt idx="10">
                        <c:v>39.823032223983098</c:v>
                      </c:pt>
                      <c:pt idx="11">
                        <c:v>37.038052631578942</c:v>
                      </c:pt>
                    </c:numCache>
                  </c:numRef>
                </c:val>
                <c:smooth val="0"/>
                <c:extLst xmlns:c15="http://schemas.microsoft.com/office/drawing/2012/chart">
                  <c:ext xmlns:c16="http://schemas.microsoft.com/office/drawing/2014/chart" uri="{C3380CC4-5D6E-409C-BE32-E72D297353CC}">
                    <c16:uniqueId val="{00000004-7171-44C5-BC0F-2D7ED4C4EC01}"/>
                  </c:ext>
                </c:extLst>
              </c15:ser>
            </c15:filteredLineSeries>
            <c15:filteredLineSeries>
              <c15:ser>
                <c:idx val="1"/>
                <c:order val="5"/>
                <c:tx>
                  <c:strRef>
                    <c:extLst xmlns:c15="http://schemas.microsoft.com/office/drawing/2012/chart">
                      <c:ext xmlns:c15="http://schemas.microsoft.com/office/drawing/2012/chart" uri="{02D57815-91ED-43cb-92C2-25804820EDAC}">
                        <c15:formulaRef>
                          <c15:sqref>'TOH (hist) '!$V$80</c15:sqref>
                        </c15:formulaRef>
                      </c:ext>
                    </c:extLst>
                    <c:strCache>
                      <c:ptCount val="1"/>
                      <c:pt idx="0">
                        <c:v>TOH 2014</c:v>
                      </c:pt>
                    </c:strCache>
                  </c:strRef>
                </c:tx>
                <c:spPr>
                  <a:ln w="3175" cap="rnd">
                    <a:solidFill>
                      <a:schemeClr val="accent2"/>
                    </a:solidFill>
                    <a:round/>
                  </a:ln>
                  <a:effectLst/>
                </c:spPr>
                <c:marker>
                  <c:symbol val="circle"/>
                  <c:size val="5"/>
                  <c:spPr>
                    <a:solidFill>
                      <a:schemeClr val="accent2"/>
                    </a:solidFill>
                    <a:ln w="3175">
                      <a:solidFill>
                        <a:schemeClr val="accent2"/>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xmlns:c15="http://schemas.microsoft.com/office/drawing/2012/chart">
                      <c:ext xmlns:c15="http://schemas.microsoft.com/office/drawing/2012/chart" uri="{02D57815-91ED-43cb-92C2-25804820EDAC}">
                        <c15:formulaRef>
                          <c15:sqref>'TOH (hist) '!$V$85:$AG$85</c15:sqref>
                        </c15:formulaRef>
                      </c:ext>
                    </c:extLst>
                    <c:numCache>
                      <c:formatCode>0.0</c:formatCode>
                      <c:ptCount val="12"/>
                      <c:pt idx="0">
                        <c:v>41.007288296211755</c:v>
                      </c:pt>
                      <c:pt idx="1">
                        <c:v>42.120784483927054</c:v>
                      </c:pt>
                      <c:pt idx="2">
                        <c:v>42.3</c:v>
                      </c:pt>
                      <c:pt idx="3">
                        <c:v>35.951535312180141</c:v>
                      </c:pt>
                      <c:pt idx="4">
                        <c:v>37.793346980552712</c:v>
                      </c:pt>
                      <c:pt idx="5">
                        <c:v>38.716990788126921</c:v>
                      </c:pt>
                      <c:pt idx="6">
                        <c:v>40.700000000000003</c:v>
                      </c:pt>
                      <c:pt idx="7">
                        <c:v>40.352583120204606</c:v>
                      </c:pt>
                      <c:pt idx="8">
                        <c:v>42.047067822539518</c:v>
                      </c:pt>
                      <c:pt idx="9">
                        <c:v>42.154207037225916</c:v>
                      </c:pt>
                      <c:pt idx="10">
                        <c:v>45.841932687404395</c:v>
                      </c:pt>
                      <c:pt idx="11">
                        <c:v>40.535543090260077</c:v>
                      </c:pt>
                    </c:numCache>
                  </c:numRef>
                </c:val>
                <c:smooth val="0"/>
                <c:extLst xmlns:c15="http://schemas.microsoft.com/office/drawing/2012/chart">
                  <c:ext xmlns:c16="http://schemas.microsoft.com/office/drawing/2014/chart" uri="{C3380CC4-5D6E-409C-BE32-E72D297353CC}">
                    <c16:uniqueId val="{00000005-7171-44C5-BC0F-2D7ED4C4EC01}"/>
                  </c:ext>
                </c:extLst>
              </c15:ser>
            </c15:filteredLineSeries>
            <c15:filteredLineSeries>
              <c15:ser>
                <c:idx val="2"/>
                <c:order val="6"/>
                <c:tx>
                  <c:strRef>
                    <c:extLst xmlns:c15="http://schemas.microsoft.com/office/drawing/2012/chart">
                      <c:ext xmlns:c15="http://schemas.microsoft.com/office/drawing/2012/chart" uri="{02D57815-91ED-43cb-92C2-25804820EDAC}">
                        <c15:formulaRef>
                          <c15:sqref>'TOH (hist) '!$V$87</c15:sqref>
                        </c15:formulaRef>
                      </c:ext>
                    </c:extLst>
                    <c:strCache>
                      <c:ptCount val="1"/>
                      <c:pt idx="0">
                        <c:v>TOH 2013</c:v>
                      </c:pt>
                    </c:strCache>
                  </c:strRef>
                </c:tx>
                <c:spPr>
                  <a:ln w="3175" cap="rnd">
                    <a:solidFill>
                      <a:schemeClr val="accent3"/>
                    </a:solidFill>
                    <a:round/>
                  </a:ln>
                  <a:effectLst/>
                </c:spPr>
                <c:marker>
                  <c:symbol val="circle"/>
                  <c:size val="5"/>
                  <c:spPr>
                    <a:solidFill>
                      <a:schemeClr val="accent3"/>
                    </a:solidFill>
                    <a:ln w="3175">
                      <a:solidFill>
                        <a:schemeClr val="accent3"/>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'TOH (hist) '!$V$21:$AG$21</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extLst xmlns:c15="http://schemas.microsoft.com/office/drawing/2012/chart">
                      <c:ext xmlns:c15="http://schemas.microsoft.com/office/drawing/2012/chart" uri="{02D57815-91ED-43cb-92C2-25804820EDAC}">
                        <c15:formulaRef>
                          <c15:sqref>'TOH (hist) '!$V$92:$AG$92</c15:sqref>
                        </c15:formulaRef>
                      </c:ext>
                    </c:extLst>
                    <c:numCache>
                      <c:formatCode>0.0</c:formatCode>
                      <c:ptCount val="12"/>
                      <c:pt idx="0">
                        <c:v>39.904238977251275</c:v>
                      </c:pt>
                      <c:pt idx="1">
                        <c:v>41.93081487895644</c:v>
                      </c:pt>
                      <c:pt idx="2">
                        <c:v>43.594143216541021</c:v>
                      </c:pt>
                      <c:pt idx="3">
                        <c:v>43.08172914547113</c:v>
                      </c:pt>
                      <c:pt idx="4">
                        <c:v>41.252410366935145</c:v>
                      </c:pt>
                      <c:pt idx="5">
                        <c:v>42.365754812563331</c:v>
                      </c:pt>
                      <c:pt idx="6">
                        <c:v>42.391410922440727</c:v>
                      </c:pt>
                      <c:pt idx="7">
                        <c:v>41.700166683293816</c:v>
                      </c:pt>
                      <c:pt idx="8">
                        <c:v>45.016886186916913</c:v>
                      </c:pt>
                      <c:pt idx="9">
                        <c:v>45.988168774617016</c:v>
                      </c:pt>
                      <c:pt idx="10">
                        <c:v>45.388382303121588</c:v>
                      </c:pt>
                      <c:pt idx="11">
                        <c:v>39.704873026600808</c:v>
                      </c:pt>
                    </c:numCache>
                  </c:numRef>
                </c:val>
                <c:smooth val="0"/>
                <c:extLst xmlns:c15="http://schemas.microsoft.com/office/drawing/2012/chart">
                  <c:ext xmlns:c16="http://schemas.microsoft.com/office/drawing/2014/chart" uri="{C3380CC4-5D6E-409C-BE32-E72D297353CC}">
                    <c16:uniqueId val="{00000006-7171-44C5-BC0F-2D7ED4C4EC01}"/>
                  </c:ext>
                </c:extLst>
              </c15:ser>
            </c15:filteredLineSeries>
          </c:ext>
        </c:extLst>
      </c:lineChart>
      <c:catAx>
        <c:axId val="-9576092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608736"/>
        <c:crosses val="autoZero"/>
        <c:auto val="1"/>
        <c:lblAlgn val="ctr"/>
        <c:lblOffset val="100"/>
        <c:noMultiLvlLbl val="0"/>
      </c:catAx>
      <c:valAx>
        <c:axId val="-957608736"/>
        <c:scaling>
          <c:orientation val="minMax"/>
          <c:min val="20"/>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60928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r>
              <a:rPr lang="es-ES"/>
              <a:t>TOH anual - dmq</a:t>
            </a:r>
          </a:p>
          <a:p>
            <a:pPr>
              <a:defRPr/>
            </a:pPr>
            <a:r>
              <a:rPr lang="es-ES"/>
              <a:t>(%)</a:t>
            </a:r>
          </a:p>
        </c:rich>
      </c:tx>
      <c:overlay val="0"/>
      <c:spPr>
        <a:noFill/>
        <a:ln>
          <a:noFill/>
        </a:ln>
        <a:effectLst/>
      </c:spPr>
      <c:txPr>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0"/>
          <c:order val="0"/>
          <c:spPr>
            <a:ln w="22225" cap="rnd">
              <a:solidFill>
                <a:schemeClr val="accent1"/>
              </a:solidFill>
              <a:round/>
            </a:ln>
            <a:effectLst/>
          </c:spPr>
          <c:marker>
            <c:symbol val="diamond"/>
            <c:size val="6"/>
            <c:spPr>
              <a:solidFill>
                <a:schemeClr val="accent1"/>
              </a:solidFill>
              <a:ln w="9525">
                <a:solidFill>
                  <a:schemeClr val="accent1"/>
                </a:solidFill>
                <a:round/>
              </a:ln>
              <a:effectLst/>
            </c:spPr>
          </c:marker>
          <c:dLbls>
            <c:spPr>
              <a:solidFill>
                <a:srgbClr val="FFFF00"/>
              </a:solidFill>
              <a:ln>
                <a:solidFill>
                  <a:schemeClr val="accent1"/>
                </a:solid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0070C0"/>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trendline>
            <c:spPr>
              <a:ln w="19050" cap="rnd">
                <a:solidFill>
                  <a:schemeClr val="accent1"/>
                </a:solidFill>
                <a:prstDash val="sysDash"/>
              </a:ln>
              <a:effectLst/>
            </c:spPr>
            <c:trendlineType val="linear"/>
            <c:dispRSqr val="0"/>
            <c:dispEq val="1"/>
            <c:trendlineLbl>
              <c:layout>
                <c:manualLayout>
                  <c:x val="1.5506224096304998E-2"/>
                  <c:y val="-0.24182221032953743"/>
                </c:manualLayout>
              </c:layout>
              <c:numFmt formatCode="General" sourceLinked="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s-EC"/>
                </a:p>
              </c:txPr>
            </c:trendlineLbl>
          </c:trendline>
          <c:cat>
            <c:strRef>
              <c:extLst>
                <c:ext xmlns:c15="http://schemas.microsoft.com/office/drawing/2012/chart" uri="{02D57815-91ED-43cb-92C2-25804820EDAC}">
                  <c15:fullRef>
                    <c15:sqref>'TOH (hist) '!$AK$3:$BA$3</c15:sqref>
                  </c15:fullRef>
                </c:ext>
              </c:extLst>
              <c:f>('TOH (hist) '!$AK$3:$AV$3,'TOH (hist) '!$AX$3:$BA$3)</c:f>
              <c:strCache>
                <c:ptCount val="16"/>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 (e) </c:v>
                </c:pt>
              </c:strCache>
            </c:strRef>
          </c:cat>
          <c:val>
            <c:numRef>
              <c:extLst>
                <c:ext xmlns:c15="http://schemas.microsoft.com/office/drawing/2012/chart" uri="{02D57815-91ED-43cb-92C2-25804820EDAC}">
                  <c15:fullRef>
                    <c15:sqref>'TOH (hist) '!$AK$5:$BA$5</c15:sqref>
                  </c15:fullRef>
                </c:ext>
              </c:extLst>
              <c:f>('TOH (hist) '!$AK$5:$AV$5,'TOH (hist) '!$AX$5:$BA$5)</c:f>
              <c:numCache>
                <c:formatCode>0</c:formatCode>
                <c:ptCount val="16"/>
                <c:pt idx="0">
                  <c:v>48.375059198551497</c:v>
                </c:pt>
                <c:pt idx="1">
                  <c:v>51.967628115580197</c:v>
                </c:pt>
                <c:pt idx="2">
                  <c:v>53.89808563246357</c:v>
                </c:pt>
                <c:pt idx="3">
                  <c:v>49.915766115218879</c:v>
                </c:pt>
                <c:pt idx="4">
                  <c:v>52.30718839571739</c:v>
                </c:pt>
                <c:pt idx="5">
                  <c:v>53.751290875611595</c:v>
                </c:pt>
                <c:pt idx="6">
                  <c:v>57.762568107254687</c:v>
                </c:pt>
                <c:pt idx="7">
                  <c:v>58.003843053502898</c:v>
                </c:pt>
                <c:pt idx="8">
                  <c:v>56.91449749144774</c:v>
                </c:pt>
                <c:pt idx="9" formatCode="0.00">
                  <c:v>52.646506184060037</c:v>
                </c:pt>
                <c:pt idx="10" formatCode="0.00">
                  <c:v>46.512730614023319</c:v>
                </c:pt>
                <c:pt idx="11" formatCode="0.00">
                  <c:v>46.020581605453351</c:v>
                </c:pt>
                <c:pt idx="12" formatCode="0.00">
                  <c:v>50.197122475217498</c:v>
                </c:pt>
                <c:pt idx="13" formatCode="0.00">
                  <c:v>35.67</c:v>
                </c:pt>
                <c:pt idx="14" formatCode="0.00">
                  <c:v>9.39</c:v>
                </c:pt>
                <c:pt idx="15" formatCode="0.00">
                  <c:v>20.21</c:v>
                </c:pt>
              </c:numCache>
            </c:numRef>
          </c:val>
          <c:smooth val="0"/>
          <c:extLst>
            <c:ext xmlns:c16="http://schemas.microsoft.com/office/drawing/2014/chart" uri="{C3380CC4-5D6E-409C-BE32-E72D297353CC}">
              <c16:uniqueId val="{00000000-825C-43DA-AFE7-ED25166AA194}"/>
            </c:ext>
          </c:extLst>
        </c:ser>
        <c:dLbls>
          <c:showLegendKey val="0"/>
          <c:showVal val="0"/>
          <c:showCatName val="0"/>
          <c:showSerName val="0"/>
          <c:showPercent val="0"/>
          <c:showBubbleSize val="0"/>
        </c:dLbls>
        <c:marker val="1"/>
        <c:smooth val="0"/>
        <c:axId val="-957604928"/>
        <c:axId val="-957603840"/>
      </c:lineChart>
      <c:catAx>
        <c:axId val="-95760492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es-EC"/>
          </a:p>
        </c:txPr>
        <c:crossAx val="-957603840"/>
        <c:crosses val="autoZero"/>
        <c:auto val="1"/>
        <c:lblAlgn val="ctr"/>
        <c:lblOffset val="100"/>
        <c:noMultiLvlLbl val="0"/>
      </c:catAx>
      <c:valAx>
        <c:axId val="-957603840"/>
        <c:scaling>
          <c:orientation val="minMax"/>
        </c:scaling>
        <c:delete val="0"/>
        <c:axPos val="l"/>
        <c:numFmt formatCode="0"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7604928"/>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rot="0" spcFirstLastPara="1" vertOverflow="ellipsis" vert="horz" wrap="square" anchor="ctr" anchorCtr="1"/>
          <a:lstStyle/>
          <a:p>
            <a:pPr>
              <a:defRPr b="0" i="0" u="none" strike="noStrike" kern="1200" baseline="0">
                <a:solidFill>
                  <a:schemeClr val="dk1">
                    <a:lumMod val="65000"/>
                    <a:lumOff val="35000"/>
                  </a:schemeClr>
                </a:solidFill>
                <a:effectLst/>
                <a:latin typeface="+mn-lt"/>
                <a:ea typeface="+mn-ea"/>
                <a:cs typeface="+mn-cs"/>
              </a:defRPr>
            </a:pPr>
            <a:r>
              <a:rPr lang="es-EC"/>
              <a:t>Variación - Tasa de ocupación hotelera (TOH) DMQ</a:t>
            </a:r>
          </a:p>
          <a:p>
            <a:pPr>
              <a:defRPr/>
            </a:pPr>
            <a:r>
              <a:rPr lang="es-EC"/>
              <a:t>-porcentajes-</a:t>
            </a:r>
          </a:p>
        </c:rich>
      </c:tx>
      <c:overlay val="0"/>
      <c:spPr>
        <a:noFill/>
        <a:ln>
          <a:noFill/>
        </a:ln>
        <a:effectLst/>
      </c:spPr>
      <c:txPr>
        <a:bodyPr rot="0" spcFirstLastPara="1" vertOverflow="ellipsis" vert="horz" wrap="square" anchor="ctr" anchorCtr="1"/>
        <a:lstStyle/>
        <a:p>
          <a:pPr>
            <a:defRPr b="0" i="0" u="none" strike="noStrike" kern="1200" baseline="0">
              <a:solidFill>
                <a:schemeClr val="dk1">
                  <a:lumMod val="65000"/>
                  <a:lumOff val="35000"/>
                </a:schemeClr>
              </a:solidFill>
              <a:effectLst/>
              <a:latin typeface="+mn-lt"/>
              <a:ea typeface="+mn-ea"/>
              <a:cs typeface="+mn-cs"/>
            </a:defRPr>
          </a:pPr>
          <a:endParaRPr lang="es-EC"/>
        </a:p>
      </c:txPr>
    </c:title>
    <c:autoTitleDeleted val="0"/>
    <c:plotArea>
      <c:layout/>
      <c:lineChart>
        <c:grouping val="standard"/>
        <c:varyColors val="0"/>
        <c:ser>
          <c:idx val="0"/>
          <c:order val="0"/>
          <c:spPr>
            <a:ln w="28575" cap="rnd">
              <a:gradFill>
                <a:gsLst>
                  <a:gs pos="0">
                    <a:schemeClr val="accent3"/>
                  </a:gs>
                  <a:gs pos="100000">
                    <a:schemeClr val="accent3">
                      <a:lumMod val="84000"/>
                    </a:schemeClr>
                  </a:gs>
                </a:gsLst>
                <a:lin ang="5400000" scaled="1"/>
              </a:gradFill>
              <a:round/>
            </a:ln>
            <a:effectLst/>
          </c:spPr>
          <c:marker>
            <c:symbol val="circle"/>
            <c:size val="6"/>
            <c:spPr>
              <a:gradFill>
                <a:gsLst>
                  <a:gs pos="0">
                    <a:schemeClr val="accent3"/>
                  </a:gs>
                  <a:gs pos="100000">
                    <a:schemeClr val="accent3">
                      <a:lumMod val="84000"/>
                    </a:schemeClr>
                  </a:gs>
                </a:gsLst>
                <a:lin ang="5400000" scaled="1"/>
              </a:gradFill>
              <a:ln>
                <a:noFill/>
              </a:ln>
              <a:effectLst>
                <a:outerShdw blurRad="76200" dir="18900000" sy="23000" kx="-1200000" algn="bl" rotWithShape="0">
                  <a:prstClr val="black">
                    <a:alpha val="20000"/>
                  </a:prstClr>
                </a:outerShdw>
              </a:effectLst>
            </c:spPr>
          </c:marker>
          <c:dPt>
            <c:idx val="3"/>
            <c:marker>
              <c:symbol val="circle"/>
              <c:size val="6"/>
              <c:spPr>
                <a:gradFill>
                  <a:gsLst>
                    <a:gs pos="0">
                      <a:schemeClr val="accent3"/>
                    </a:gs>
                    <a:gs pos="100000">
                      <a:schemeClr val="accent3">
                        <a:lumMod val="84000"/>
                      </a:schemeClr>
                    </a:gs>
                  </a:gsLst>
                  <a:lin ang="5400000" scaled="1"/>
                </a:gradFill>
                <a:ln>
                  <a:noFill/>
                </a:ln>
                <a:effectLst>
                  <a:outerShdw blurRad="76200" dir="18900000" sy="23000" kx="-1200000" algn="bl" rotWithShape="0">
                    <a:prstClr val="black">
                      <a:alpha val="20000"/>
                    </a:prstClr>
                  </a:outerShdw>
                </a:effectLst>
              </c:spPr>
            </c:marker>
            <c:bubble3D val="0"/>
            <c:spPr>
              <a:ln w="28575" cap="rnd">
                <a:gradFill>
                  <a:gsLst>
                    <a:gs pos="0">
                      <a:schemeClr val="accent3"/>
                    </a:gs>
                    <a:gs pos="100000">
                      <a:schemeClr val="accent3">
                        <a:lumMod val="84000"/>
                      </a:schemeClr>
                    </a:gs>
                  </a:gsLst>
                  <a:lin ang="5400000" scaled="1"/>
                </a:gradFill>
                <a:round/>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05-85F9-4A3C-B7CE-B428B48D2C41}"/>
              </c:ext>
            </c:extLst>
          </c:dPt>
          <c:dPt>
            <c:idx val="4"/>
            <c:marker>
              <c:symbol val="circle"/>
              <c:size val="6"/>
              <c:spPr>
                <a:gradFill>
                  <a:gsLst>
                    <a:gs pos="0">
                      <a:schemeClr val="accent3"/>
                    </a:gs>
                    <a:gs pos="100000">
                      <a:schemeClr val="accent3">
                        <a:lumMod val="84000"/>
                      </a:schemeClr>
                    </a:gs>
                  </a:gsLst>
                  <a:lin ang="5400000" scaled="1"/>
                </a:gradFill>
                <a:ln>
                  <a:noFill/>
                </a:ln>
                <a:effectLst>
                  <a:outerShdw blurRad="76200" dir="18900000" sy="23000" kx="-1200000" algn="bl" rotWithShape="0">
                    <a:prstClr val="black">
                      <a:alpha val="20000"/>
                    </a:prstClr>
                  </a:outerShdw>
                </a:effectLst>
              </c:spPr>
            </c:marker>
            <c:bubble3D val="0"/>
            <c:spPr>
              <a:ln w="28575" cap="rnd">
                <a:gradFill>
                  <a:gsLst>
                    <a:gs pos="0">
                      <a:schemeClr val="accent3"/>
                    </a:gs>
                    <a:gs pos="100000">
                      <a:schemeClr val="accent3">
                        <a:lumMod val="84000"/>
                      </a:schemeClr>
                    </a:gs>
                  </a:gsLst>
                  <a:lin ang="5400000" scaled="1"/>
                </a:gradFill>
                <a:round/>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01-B114-418C-B9EC-752A14624C02}"/>
              </c:ext>
            </c:extLst>
          </c:dPt>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'TOH (hist) '!$AK$3:$BA$3</c15:sqref>
                  </c15:fullRef>
                </c:ext>
              </c:extLst>
              <c:f>('TOH (hist) '!$AO$3:$AV$3,'TOH (hist) '!$AX$3:$BA$3)</c:f>
              <c:strCache>
                <c:ptCount val="12"/>
                <c:pt idx="0">
                  <c:v>2010</c:v>
                </c:pt>
                <c:pt idx="1">
                  <c:v>2011</c:v>
                </c:pt>
                <c:pt idx="2">
                  <c:v>2012</c:v>
                </c:pt>
                <c:pt idx="3">
                  <c:v>2013</c:v>
                </c:pt>
                <c:pt idx="4">
                  <c:v>2014</c:v>
                </c:pt>
                <c:pt idx="5">
                  <c:v>2015</c:v>
                </c:pt>
                <c:pt idx="6">
                  <c:v>2016</c:v>
                </c:pt>
                <c:pt idx="7">
                  <c:v>2017</c:v>
                </c:pt>
                <c:pt idx="8">
                  <c:v>2018</c:v>
                </c:pt>
                <c:pt idx="9">
                  <c:v>2019</c:v>
                </c:pt>
                <c:pt idx="10">
                  <c:v>2020</c:v>
                </c:pt>
                <c:pt idx="11">
                  <c:v>2021 (e) </c:v>
                </c:pt>
              </c:strCache>
            </c:strRef>
          </c:cat>
          <c:val>
            <c:numRef>
              <c:extLst>
                <c:ext xmlns:c15="http://schemas.microsoft.com/office/drawing/2012/chart" uri="{02D57815-91ED-43cb-92C2-25804820EDAC}">
                  <c15:fullRef>
                    <c15:sqref>'TOH (hist) '!$AK$5:$BA$5</c15:sqref>
                  </c15:fullRef>
                </c:ext>
              </c:extLst>
              <c:f>('TOH (hist) '!$AO$5:$AV$5,'TOH (hist) '!$AX$5:$BA$5)</c:f>
              <c:numCache>
                <c:formatCode>0</c:formatCode>
                <c:ptCount val="12"/>
                <c:pt idx="0">
                  <c:v>52.30718839571739</c:v>
                </c:pt>
                <c:pt idx="1">
                  <c:v>53.751290875611595</c:v>
                </c:pt>
                <c:pt idx="2">
                  <c:v>57.762568107254687</c:v>
                </c:pt>
                <c:pt idx="3">
                  <c:v>58.003843053502898</c:v>
                </c:pt>
                <c:pt idx="4">
                  <c:v>56.91449749144774</c:v>
                </c:pt>
                <c:pt idx="5" formatCode="0.00">
                  <c:v>52.646506184060037</c:v>
                </c:pt>
                <c:pt idx="6" formatCode="0.00">
                  <c:v>46.512730614023319</c:v>
                </c:pt>
                <c:pt idx="7" formatCode="0.00">
                  <c:v>46.020581605453351</c:v>
                </c:pt>
                <c:pt idx="8" formatCode="0.00">
                  <c:v>50.197122475217498</c:v>
                </c:pt>
                <c:pt idx="9" formatCode="0.00">
                  <c:v>35.67</c:v>
                </c:pt>
                <c:pt idx="10" formatCode="0.00">
                  <c:v>9.39</c:v>
                </c:pt>
                <c:pt idx="11" formatCode="0.00">
                  <c:v>20.21</c:v>
                </c:pt>
              </c:numCache>
            </c:numRef>
          </c:val>
          <c:smooth val="0"/>
          <c:extLst>
            <c:ext xmlns:c16="http://schemas.microsoft.com/office/drawing/2014/chart" uri="{C3380CC4-5D6E-409C-BE32-E72D297353CC}">
              <c16:uniqueId val="{00000004-9225-4D67-A7C6-E173464B6D82}"/>
            </c:ext>
          </c:extLst>
        </c:ser>
        <c:dLbls>
          <c:showLegendKey val="0"/>
          <c:showVal val="1"/>
          <c:showCatName val="0"/>
          <c:showSerName val="0"/>
          <c:showPercent val="0"/>
          <c:showBubbleSize val="0"/>
        </c:dLbls>
        <c:marker val="1"/>
        <c:smooth val="0"/>
        <c:axId val="-955697040"/>
        <c:axId val="-955695952"/>
      </c:lineChart>
      <c:catAx>
        <c:axId val="-95569704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dk1">
                    <a:lumMod val="65000"/>
                    <a:lumOff val="35000"/>
                  </a:schemeClr>
                </a:solidFill>
                <a:effectLst/>
                <a:latin typeface="+mn-lt"/>
                <a:ea typeface="+mn-ea"/>
                <a:cs typeface="+mn-cs"/>
              </a:defRPr>
            </a:pPr>
            <a:endParaRPr lang="es-EC"/>
          </a:p>
        </c:txPr>
        <c:crossAx val="-955695952"/>
        <c:crosses val="autoZero"/>
        <c:auto val="1"/>
        <c:lblAlgn val="ctr"/>
        <c:lblOffset val="100"/>
        <c:noMultiLvlLbl val="0"/>
      </c:catAx>
      <c:valAx>
        <c:axId val="-955695952"/>
        <c:scaling>
          <c:orientation val="minMax"/>
        </c:scaling>
        <c:delete val="1"/>
        <c:axPos val="l"/>
        <c:numFmt formatCode="0" sourceLinked="1"/>
        <c:majorTickMark val="none"/>
        <c:minorTickMark val="none"/>
        <c:tickLblPos val="none"/>
        <c:crossAx val="-955697040"/>
        <c:crosses val="autoZero"/>
        <c:crossBetween val="between"/>
      </c:valAx>
      <c:spPr>
        <a:noFill/>
        <a:ln>
          <a:noFill/>
        </a:ln>
        <a:effectLst/>
      </c:spPr>
    </c:plotArea>
    <c:plotVisOnly val="1"/>
    <c:dispBlanksAs val="gap"/>
    <c:showDLblsOverMax val="0"/>
  </c:chart>
  <c: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a:effectLst/>
  </c:spPr>
  <c:txPr>
    <a:bodyPr/>
    <a:lstStyle/>
    <a:p>
      <a:pPr>
        <a:defRPr/>
      </a:pPr>
      <a:endParaRPr lang="es-EC"/>
    </a:p>
  </c:txPr>
  <c:printSettings>
    <c:headerFooter/>
    <c:pageMargins b="0.75000000000000544" l="0.70000000000000062" r="0.70000000000000062" t="0.75000000000000544" header="0.30000000000000032" footer="0.30000000000000032"/>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EC"/>
        </a:p>
      </c:txPr>
    </c:title>
    <c:autoTitleDeleted val="0"/>
    <c:plotArea>
      <c:layout/>
      <c:scatterChart>
        <c:scatterStyle val="lineMarker"/>
        <c:varyColors val="0"/>
        <c:ser>
          <c:idx val="0"/>
          <c:order val="0"/>
          <c:tx>
            <c:strRef>
              <c:f>'TOH (hist) '!$BI$3</c:f>
              <c:strCache>
                <c:ptCount val="1"/>
                <c:pt idx="0">
                  <c:v>TOH</c:v>
                </c:pt>
              </c:strCache>
            </c:strRef>
          </c:tx>
          <c:spPr>
            <a:ln w="25400" cap="rnd">
              <a:noFill/>
              <a:round/>
            </a:ln>
            <a:effectLst>
              <a:outerShdw blurRad="40000" dist="23000" dir="5400000" rotWithShape="0">
                <a:srgbClr val="000000">
                  <a:alpha val="35000"/>
                </a:srgbClr>
              </a:outerShdw>
            </a:effectLst>
          </c:spPr>
          <c:marker>
            <c:symbol val="circle"/>
            <c:size val="5"/>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w="9525">
                <a:solidFill>
                  <a:schemeClr val="accent1"/>
                </a:solidFill>
                <a:round/>
              </a:ln>
              <a:effectLst>
                <a:outerShdw blurRad="40000" dist="23000" dir="5400000" rotWithShape="0">
                  <a:srgbClr val="000000">
                    <a:alpha val="35000"/>
                  </a:srgbClr>
                </a:outerShdw>
              </a:effectLst>
            </c:spPr>
          </c:marker>
          <c:dLbls>
            <c:dLbl>
              <c:idx val="7"/>
              <c:layout>
                <c:manualLayout>
                  <c:x val="0"/>
                  <c:y val="-3.08880183674263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FA4-4F5D-8220-9651C17EDDAF}"/>
                </c:ext>
              </c:extLst>
            </c:dLbl>
            <c:dLbl>
              <c:idx val="10"/>
              <c:layout>
                <c:manualLayout>
                  <c:x val="-4.343711967268607E-2"/>
                  <c:y val="-7.207204285732825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FA4-4F5D-8220-9651C17EDDAF}"/>
                </c:ext>
              </c:extLst>
            </c:dLbl>
            <c:dLbl>
              <c:idx val="11"/>
              <c:layout>
                <c:manualLayout>
                  <c:x val="-2.3653084126260097E-2"/>
                  <c:y val="-8.751605204104133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FA4-4F5D-8220-9651C17EDDAF}"/>
                </c:ext>
              </c:extLst>
            </c:dLbl>
            <c:dLbl>
              <c:idx val="23"/>
              <c:layout>
                <c:manualLayout>
                  <c:x val="-2.6806828676428043E-2"/>
                  <c:y val="-7.722004591856589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FA4-4F5D-8220-9651C17EDDAF}"/>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EC"/>
              </a:p>
            </c:txPr>
            <c:showLegendKey val="0"/>
            <c:showVal val="0"/>
            <c:showCatName val="0"/>
            <c:showSerName val="0"/>
            <c:showPercent val="0"/>
            <c:showBubbleSize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trendline>
            <c:spPr>
              <a:ln w="9525" cap="rnd">
                <a:solidFill>
                  <a:schemeClr val="accent1"/>
                </a:solidFill>
              </a:ln>
              <a:effectLst/>
            </c:spPr>
            <c:trendlineType val="linear"/>
            <c:dispRSqr val="0"/>
            <c:dispEq val="0"/>
          </c:trendline>
          <c:xVal>
            <c:numRef>
              <c:f>'TOH (hist) '!$BH$5:$BH$30</c:f>
              <c:numCache>
                <c:formatCode>General</c:formatCode>
                <c:ptCount val="26"/>
                <c:pt idx="0">
                  <c:v>2006</c:v>
                </c:pt>
                <c:pt idx="1">
                  <c:v>2007</c:v>
                </c:pt>
                <c:pt idx="2">
                  <c:v>2008</c:v>
                </c:pt>
                <c:pt idx="3">
                  <c:v>2009</c:v>
                </c:pt>
                <c:pt idx="4">
                  <c:v>2010</c:v>
                </c:pt>
                <c:pt idx="6">
                  <c:v>2011</c:v>
                </c:pt>
                <c:pt idx="7">
                  <c:v>2012</c:v>
                </c:pt>
                <c:pt idx="8">
                  <c:v>2013</c:v>
                </c:pt>
                <c:pt idx="9">
                  <c:v>2014</c:v>
                </c:pt>
                <c:pt idx="10">
                  <c:v>2015</c:v>
                </c:pt>
                <c:pt idx="11">
                  <c:v>2016</c:v>
                </c:pt>
                <c:pt idx="13">
                  <c:v>2017</c:v>
                </c:pt>
                <c:pt idx="14">
                  <c:v>2018</c:v>
                </c:pt>
                <c:pt idx="15">
                  <c:v>2019</c:v>
                </c:pt>
                <c:pt idx="16">
                  <c:v>2020</c:v>
                </c:pt>
                <c:pt idx="17">
                  <c:v>2021</c:v>
                </c:pt>
                <c:pt idx="18">
                  <c:v>2022</c:v>
                </c:pt>
                <c:pt idx="19">
                  <c:v>2023</c:v>
                </c:pt>
                <c:pt idx="20">
                  <c:v>2024</c:v>
                </c:pt>
                <c:pt idx="21">
                  <c:v>2025</c:v>
                </c:pt>
                <c:pt idx="22">
                  <c:v>2026</c:v>
                </c:pt>
                <c:pt idx="23">
                  <c:v>2027</c:v>
                </c:pt>
                <c:pt idx="24">
                  <c:v>2028</c:v>
                </c:pt>
                <c:pt idx="25">
                  <c:v>2029</c:v>
                </c:pt>
              </c:numCache>
            </c:numRef>
          </c:xVal>
          <c:yVal>
            <c:numRef>
              <c:f>'TOH (hist) '!$BI$5:$BI$30</c:f>
              <c:numCache>
                <c:formatCode>0.0000</c:formatCode>
                <c:ptCount val="26"/>
                <c:pt idx="0">
                  <c:v>48.375059198551497</c:v>
                </c:pt>
                <c:pt idx="1">
                  <c:v>51.967628115580197</c:v>
                </c:pt>
                <c:pt idx="2">
                  <c:v>53.89808563246357</c:v>
                </c:pt>
                <c:pt idx="3">
                  <c:v>49.915766115218879</c:v>
                </c:pt>
                <c:pt idx="4">
                  <c:v>52.30718839571739</c:v>
                </c:pt>
                <c:pt idx="6">
                  <c:v>53.751290875611595</c:v>
                </c:pt>
                <c:pt idx="7">
                  <c:v>57.762568107254687</c:v>
                </c:pt>
                <c:pt idx="8">
                  <c:v>58.003843053502898</c:v>
                </c:pt>
                <c:pt idx="9">
                  <c:v>56.91449749144774</c:v>
                </c:pt>
                <c:pt idx="10">
                  <c:v>52.646506184060037</c:v>
                </c:pt>
                <c:pt idx="11">
                  <c:v>46.512730614023319</c:v>
                </c:pt>
                <c:pt idx="13">
                  <c:v>46.020581605453351</c:v>
                </c:pt>
                <c:pt idx="14">
                  <c:v>50.197122475217498</c:v>
                </c:pt>
                <c:pt idx="15">
                  <c:v>35.67</c:v>
                </c:pt>
                <c:pt idx="16">
                  <c:v>46.579447166537832</c:v>
                </c:pt>
                <c:pt idx="17">
                  <c:v>45.990584237656186</c:v>
                </c:pt>
                <c:pt idx="18">
                  <c:v>45.40172130877454</c:v>
                </c:pt>
                <c:pt idx="19">
                  <c:v>44.812858379892887</c:v>
                </c:pt>
                <c:pt idx="20">
                  <c:v>44.223995451011241</c:v>
                </c:pt>
                <c:pt idx="21">
                  <c:v>43.635132522129595</c:v>
                </c:pt>
                <c:pt idx="22">
                  <c:v>43.046269593247949</c:v>
                </c:pt>
                <c:pt idx="23">
                  <c:v>42.457406664366303</c:v>
                </c:pt>
                <c:pt idx="24">
                  <c:v>41.86854373548465</c:v>
                </c:pt>
                <c:pt idx="25">
                  <c:v>41.279680806603004</c:v>
                </c:pt>
              </c:numCache>
            </c:numRef>
          </c:yVal>
          <c:smooth val="0"/>
          <c:extLst>
            <c:ext xmlns:c16="http://schemas.microsoft.com/office/drawing/2014/chart" uri="{C3380CC4-5D6E-409C-BE32-E72D297353CC}">
              <c16:uniqueId val="{00000004-9FA4-4F5D-8220-9651C17EDDAF}"/>
            </c:ext>
          </c:extLst>
        </c:ser>
        <c:dLbls>
          <c:showLegendKey val="0"/>
          <c:showVal val="0"/>
          <c:showCatName val="0"/>
          <c:showSerName val="0"/>
          <c:showPercent val="0"/>
          <c:showBubbleSize val="0"/>
        </c:dLbls>
        <c:axId val="-955701936"/>
        <c:axId val="-955696496"/>
      </c:scatterChart>
      <c:valAx>
        <c:axId val="-955701936"/>
        <c:scaling>
          <c:orientation val="minMax"/>
          <c:max val="2030"/>
          <c:min val="2005"/>
        </c:scaling>
        <c:delete val="0"/>
        <c:axPos val="b"/>
        <c:majorGridlines>
          <c:spPr>
            <a:ln w="9525" cap="flat" cmpd="sng" algn="ctr">
              <a:solidFill>
                <a:schemeClr val="tx2">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EC"/>
          </a:p>
        </c:txPr>
        <c:crossAx val="-955696496"/>
        <c:crosses val="autoZero"/>
        <c:crossBetween val="midCat"/>
        <c:majorUnit val="1"/>
      </c:valAx>
      <c:valAx>
        <c:axId val="-955696496"/>
        <c:scaling>
          <c:orientation val="minMax"/>
          <c:min val="40"/>
        </c:scaling>
        <c:delete val="0"/>
        <c:axPos val="l"/>
        <c:majorGridlines>
          <c:spPr>
            <a:ln w="9525" cap="flat" cmpd="sng" algn="ctr">
              <a:solidFill>
                <a:schemeClr val="tx2">
                  <a:lumMod val="15000"/>
                  <a:lumOff val="85000"/>
                </a:schemeClr>
              </a:solidFill>
              <a:round/>
            </a:ln>
            <a:effectLst/>
          </c:spPr>
        </c:majorGridlines>
        <c:numFmt formatCode="0.0000" sourceLinked="1"/>
        <c:majorTickMark val="none"/>
        <c:minorTickMark val="none"/>
        <c:tickLblPos val="nextTo"/>
        <c:spPr>
          <a:noFill/>
          <a:ln>
            <a:solidFill>
              <a:schemeClr val="tx2">
                <a:lumMod val="40000"/>
                <a:lumOff val="60000"/>
              </a:schemeClr>
            </a:solid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EC"/>
          </a:p>
        </c:txPr>
        <c:crossAx val="-955701936"/>
        <c:crosses val="autoZero"/>
        <c:crossBetween val="midCat"/>
        <c:majorUnit val="2"/>
      </c:valAx>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'TOH (hist) '!$BZ$1</c:f>
          <c:strCache>
            <c:ptCount val="1"/>
            <c:pt idx="0">
              <c:v>Tasa de Ocupación Hotelera - datos HQM</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barChart>
        <c:barDir val="col"/>
        <c:grouping val="clustered"/>
        <c:varyColors val="0"/>
        <c:ser>
          <c:idx val="0"/>
          <c:order val="0"/>
          <c:tx>
            <c:strRef>
              <c:f>'TOH (hist) '!$BZ$7</c:f>
              <c:strCache>
                <c:ptCount val="1"/>
                <c:pt idx="0">
                  <c:v>2018</c:v>
                </c:pt>
              </c:strCache>
            </c:strRef>
          </c:tx>
          <c:spPr>
            <a:solidFill>
              <a:schemeClr val="accent1"/>
            </a:solidFill>
            <a:ln>
              <a:noFill/>
            </a:ln>
            <a:effectLst/>
          </c:spPr>
          <c:invertIfNegative val="0"/>
          <c:dLbls>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'TOH (hist) '!$BY$8:$BY$16</c:f>
              <c:strCache>
                <c:ptCount val="9"/>
                <c:pt idx="0">
                  <c:v>ene</c:v>
                </c:pt>
                <c:pt idx="1">
                  <c:v>feb.</c:v>
                </c:pt>
                <c:pt idx="2">
                  <c:v>mar.</c:v>
                </c:pt>
                <c:pt idx="3">
                  <c:v>abr.</c:v>
                </c:pt>
                <c:pt idx="4">
                  <c:v>may.</c:v>
                </c:pt>
                <c:pt idx="5">
                  <c:v>jun.</c:v>
                </c:pt>
                <c:pt idx="6">
                  <c:v>jul</c:v>
                </c:pt>
                <c:pt idx="7">
                  <c:v>ago</c:v>
                </c:pt>
                <c:pt idx="8">
                  <c:v>sep</c:v>
                </c:pt>
              </c:strCache>
            </c:strRef>
          </c:cat>
          <c:val>
            <c:numRef>
              <c:f>'TOH (hist) '!$BZ$8:$BZ$16</c:f>
              <c:numCache>
                <c:formatCode>0.00</c:formatCode>
                <c:ptCount val="9"/>
                <c:pt idx="0">
                  <c:v>49.23</c:v>
                </c:pt>
                <c:pt idx="1">
                  <c:v>59.49</c:v>
                </c:pt>
                <c:pt idx="2">
                  <c:v>58.37</c:v>
                </c:pt>
                <c:pt idx="3">
                  <c:v>64.19</c:v>
                </c:pt>
                <c:pt idx="4">
                  <c:v>58.05</c:v>
                </c:pt>
                <c:pt idx="5">
                  <c:v>61.5</c:v>
                </c:pt>
                <c:pt idx="6">
                  <c:v>57.76</c:v>
                </c:pt>
                <c:pt idx="7">
                  <c:v>53.26</c:v>
                </c:pt>
                <c:pt idx="8">
                  <c:v>65.02</c:v>
                </c:pt>
              </c:numCache>
            </c:numRef>
          </c:val>
          <c:extLst>
            <c:ext xmlns:c16="http://schemas.microsoft.com/office/drawing/2014/chart" uri="{C3380CC4-5D6E-409C-BE32-E72D297353CC}">
              <c16:uniqueId val="{00000000-B003-407D-9301-19A559F496A7}"/>
            </c:ext>
          </c:extLst>
        </c:ser>
        <c:ser>
          <c:idx val="1"/>
          <c:order val="1"/>
          <c:tx>
            <c:strRef>
              <c:f>'TOH (hist) '!$CA$7</c:f>
              <c:strCache>
                <c:ptCount val="1"/>
                <c:pt idx="0">
                  <c:v>2019</c:v>
                </c:pt>
              </c:strCache>
            </c:strRef>
          </c:tx>
          <c:spPr>
            <a:solidFill>
              <a:schemeClr val="accent2"/>
            </a:solidFill>
            <a:ln>
              <a:noFill/>
            </a:ln>
            <a:effectLst/>
          </c:spPr>
          <c:invertIfNegative val="0"/>
          <c:dLbls>
            <c:spPr>
              <a:solidFill>
                <a:schemeClr val="lt1"/>
              </a:solidFill>
              <a:ln w="25400" cap="flat" cmpd="sng" algn="ctr">
                <a:solidFill>
                  <a:schemeClr val="accent2"/>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'TOH (hist) '!$BY$8:$BY$16</c:f>
              <c:strCache>
                <c:ptCount val="9"/>
                <c:pt idx="0">
                  <c:v>ene</c:v>
                </c:pt>
                <c:pt idx="1">
                  <c:v>feb.</c:v>
                </c:pt>
                <c:pt idx="2">
                  <c:v>mar.</c:v>
                </c:pt>
                <c:pt idx="3">
                  <c:v>abr.</c:v>
                </c:pt>
                <c:pt idx="4">
                  <c:v>may.</c:v>
                </c:pt>
                <c:pt idx="5">
                  <c:v>jun.</c:v>
                </c:pt>
                <c:pt idx="6">
                  <c:v>jul</c:v>
                </c:pt>
                <c:pt idx="7">
                  <c:v>ago</c:v>
                </c:pt>
                <c:pt idx="8">
                  <c:v>sep</c:v>
                </c:pt>
              </c:strCache>
            </c:strRef>
          </c:cat>
          <c:val>
            <c:numRef>
              <c:f>'TOH (hist) '!$CA$8:$CA$16</c:f>
              <c:numCache>
                <c:formatCode>0.00</c:formatCode>
                <c:ptCount val="9"/>
                <c:pt idx="0">
                  <c:v>51.67</c:v>
                </c:pt>
                <c:pt idx="1">
                  <c:v>59.05</c:v>
                </c:pt>
                <c:pt idx="2">
                  <c:v>60.04</c:v>
                </c:pt>
                <c:pt idx="3">
                  <c:v>63.14</c:v>
                </c:pt>
                <c:pt idx="4">
                  <c:v>57.94</c:v>
                </c:pt>
                <c:pt idx="5">
                  <c:v>61.51</c:v>
                </c:pt>
                <c:pt idx="6">
                  <c:v>60.91</c:v>
                </c:pt>
                <c:pt idx="7">
                  <c:v>55.6</c:v>
                </c:pt>
                <c:pt idx="8">
                  <c:v>61.97</c:v>
                </c:pt>
              </c:numCache>
            </c:numRef>
          </c:val>
          <c:extLst>
            <c:ext xmlns:c16="http://schemas.microsoft.com/office/drawing/2014/chart" uri="{C3380CC4-5D6E-409C-BE32-E72D297353CC}">
              <c16:uniqueId val="{00000001-B003-407D-9301-19A559F496A7}"/>
            </c:ext>
          </c:extLst>
        </c:ser>
        <c:dLbls>
          <c:showLegendKey val="0"/>
          <c:showVal val="0"/>
          <c:showCatName val="0"/>
          <c:showSerName val="0"/>
          <c:showPercent val="0"/>
          <c:showBubbleSize val="0"/>
        </c:dLbls>
        <c:gapWidth val="150"/>
        <c:axId val="2098442607"/>
        <c:axId val="2098467983"/>
      </c:barChart>
      <c:lineChart>
        <c:grouping val="stacked"/>
        <c:varyColors val="0"/>
        <c:ser>
          <c:idx val="2"/>
          <c:order val="2"/>
          <c:tx>
            <c:strRef>
              <c:f>'TOH (hist) '!$CB$7</c:f>
              <c:strCache>
                <c:ptCount val="1"/>
                <c:pt idx="0">
                  <c:v>Variación</c:v>
                </c:pt>
              </c:strCache>
            </c:strRef>
          </c:tx>
          <c:spPr>
            <a:ln w="28575" cap="rnd">
              <a:solidFill>
                <a:schemeClr val="accent3"/>
              </a:solidFill>
              <a:round/>
            </a:ln>
            <a:effectLst/>
          </c:spPr>
          <c:marker>
            <c:symbol val="square"/>
            <c:size val="7"/>
            <c:spPr>
              <a:solidFill>
                <a:schemeClr val="accent3"/>
              </a:solidFill>
              <a:ln w="9525">
                <a:solidFill>
                  <a:srgbClr val="00B050"/>
                </a:solidFill>
              </a:ln>
              <a:effectLst/>
            </c:spPr>
          </c:marker>
          <c:cat>
            <c:strRef>
              <c:f>'TOH (hist) '!$BY$8:$BY$16</c:f>
              <c:strCache>
                <c:ptCount val="9"/>
                <c:pt idx="0">
                  <c:v>ene</c:v>
                </c:pt>
                <c:pt idx="1">
                  <c:v>feb.</c:v>
                </c:pt>
                <c:pt idx="2">
                  <c:v>mar.</c:v>
                </c:pt>
                <c:pt idx="3">
                  <c:v>abr.</c:v>
                </c:pt>
                <c:pt idx="4">
                  <c:v>may.</c:v>
                </c:pt>
                <c:pt idx="5">
                  <c:v>jun.</c:v>
                </c:pt>
                <c:pt idx="6">
                  <c:v>jul</c:v>
                </c:pt>
                <c:pt idx="7">
                  <c:v>ago</c:v>
                </c:pt>
                <c:pt idx="8">
                  <c:v>sep</c:v>
                </c:pt>
              </c:strCache>
            </c:strRef>
          </c:cat>
          <c:val>
            <c:numRef>
              <c:f>'TOH (hist) '!$CB$8:$CB$16</c:f>
              <c:numCache>
                <c:formatCode>0.0%</c:formatCode>
                <c:ptCount val="9"/>
                <c:pt idx="0">
                  <c:v>4.9563274426162929E-2</c:v>
                </c:pt>
                <c:pt idx="1">
                  <c:v>-7.3962010421920743E-3</c:v>
                </c:pt>
                <c:pt idx="2">
                  <c:v>2.8610587630632178E-2</c:v>
                </c:pt>
                <c:pt idx="3">
                  <c:v>-1.6357688113413316E-2</c:v>
                </c:pt>
                <c:pt idx="4">
                  <c:v>-1.8949181739879029E-3</c:v>
                </c:pt>
                <c:pt idx="5">
                  <c:v>1.6260162601633432E-4</c:v>
                </c:pt>
                <c:pt idx="6">
                  <c:v>5.4536011080332347E-2</c:v>
                </c:pt>
                <c:pt idx="7">
                  <c:v>4.3935411190386908E-2</c:v>
                </c:pt>
                <c:pt idx="8">
                  <c:v>-4.6908643494309454E-2</c:v>
                </c:pt>
              </c:numCache>
            </c:numRef>
          </c:val>
          <c:smooth val="0"/>
          <c:extLst>
            <c:ext xmlns:c16="http://schemas.microsoft.com/office/drawing/2014/chart" uri="{C3380CC4-5D6E-409C-BE32-E72D297353CC}">
              <c16:uniqueId val="{00000002-B003-407D-9301-19A559F496A7}"/>
            </c:ext>
          </c:extLst>
        </c:ser>
        <c:dLbls>
          <c:showLegendKey val="0"/>
          <c:showVal val="0"/>
          <c:showCatName val="0"/>
          <c:showSerName val="0"/>
          <c:showPercent val="0"/>
          <c:showBubbleSize val="0"/>
        </c:dLbls>
        <c:marker val="1"/>
        <c:smooth val="0"/>
        <c:axId val="425574255"/>
        <c:axId val="425562191"/>
      </c:lineChart>
      <c:catAx>
        <c:axId val="2098442607"/>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2098467983"/>
        <c:crosses val="autoZero"/>
        <c:auto val="1"/>
        <c:lblAlgn val="ctr"/>
        <c:lblOffset val="100"/>
        <c:noMultiLvlLbl val="0"/>
      </c:catAx>
      <c:valAx>
        <c:axId val="2098467983"/>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2098442607"/>
        <c:crosses val="autoZero"/>
        <c:crossBetween val="between"/>
      </c:valAx>
      <c:valAx>
        <c:axId val="425562191"/>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425574255"/>
        <c:crosses val="max"/>
        <c:crossBetween val="between"/>
      </c:valAx>
      <c:catAx>
        <c:axId val="425574255"/>
        <c:scaling>
          <c:orientation val="minMax"/>
        </c:scaling>
        <c:delete val="1"/>
        <c:axPos val="b"/>
        <c:numFmt formatCode="General" sourceLinked="1"/>
        <c:majorTickMark val="out"/>
        <c:minorTickMark val="none"/>
        <c:tickLblPos val="nextTo"/>
        <c:crossAx val="425562191"/>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r>
              <a:rPr lang="es-ES" sz="1800" b="1" i="0" cap="all" baseline="0">
                <a:effectLst/>
              </a:rPr>
              <a:t>TOH anual - dmq</a:t>
            </a:r>
            <a:endParaRPr lang="es-EC">
              <a:effectLst/>
            </a:endParaRPr>
          </a:p>
          <a:p>
            <a:pPr>
              <a:defRPr/>
            </a:pPr>
            <a:r>
              <a:rPr lang="es-ES" sz="1800" b="1" i="0" cap="all" baseline="0">
                <a:effectLst/>
              </a:rPr>
              <a:t>Por categoría de alojamiento </a:t>
            </a:r>
            <a:endParaRPr lang="es-EC">
              <a:effectLst/>
            </a:endParaRPr>
          </a:p>
          <a:p>
            <a:pPr>
              <a:defRPr/>
            </a:pPr>
            <a:r>
              <a:rPr lang="es-ES" sz="1800" b="1" i="0" cap="all" baseline="0">
                <a:effectLst/>
              </a:rPr>
              <a:t>(%)</a:t>
            </a:r>
            <a:endParaRPr lang="es-EC">
              <a:effectLst/>
            </a:endParaRPr>
          </a:p>
        </c:rich>
      </c:tx>
      <c:overlay val="0"/>
      <c:spPr>
        <a:noFill/>
        <a:ln>
          <a:noFill/>
        </a:ln>
        <a:effectLst/>
      </c:spPr>
      <c:txPr>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0"/>
          <c:order val="0"/>
          <c:tx>
            <c:strRef>
              <c:f>'TOH (hist) '!$AJ$6</c:f>
              <c:strCache>
                <c:ptCount val="1"/>
                <c:pt idx="0">
                  <c:v>5 estrellas - Lujo</c:v>
                </c:pt>
              </c:strCache>
            </c:strRef>
          </c:tx>
          <c:spPr>
            <a:ln w="22225" cap="rnd">
              <a:solidFill>
                <a:schemeClr val="accent1"/>
              </a:solidFill>
              <a:round/>
            </a:ln>
            <a:effectLst/>
          </c:spPr>
          <c:marker>
            <c:symbol val="diamond"/>
            <c:size val="6"/>
            <c:spPr>
              <a:solidFill>
                <a:schemeClr val="accent1"/>
              </a:solidFill>
              <a:ln w="9525">
                <a:solidFill>
                  <a:schemeClr val="accent1"/>
                </a:solidFill>
                <a:round/>
              </a:ln>
              <a:effectLst/>
            </c:spPr>
          </c:marker>
          <c:dLbls>
            <c:spPr>
              <a:solidFill>
                <a:srgbClr val="FFFF00"/>
              </a:solidFill>
              <a:ln>
                <a:solidFill>
                  <a:schemeClr val="accent1"/>
                </a:solid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0070C0"/>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extLst>
                <c:ext xmlns:c15="http://schemas.microsoft.com/office/drawing/2012/chart" uri="{02D57815-91ED-43cb-92C2-25804820EDAC}">
                  <c15:fullRef>
                    <c15:sqref>'TOH (hist) '!$AK$3:$BA$3</c15:sqref>
                  </c15:fullRef>
                </c:ext>
              </c:extLst>
              <c:f>('TOH (hist) '!$AK$3:$AV$3,'TOH (hist) '!$AX$3:$BA$3)</c:f>
              <c:strCache>
                <c:ptCount val="16"/>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 (e) </c:v>
                </c:pt>
              </c:strCache>
            </c:strRef>
          </c:cat>
          <c:val>
            <c:numRef>
              <c:extLst>
                <c:ext xmlns:c15="http://schemas.microsoft.com/office/drawing/2012/chart" uri="{02D57815-91ED-43cb-92C2-25804820EDAC}">
                  <c15:fullRef>
                    <c15:sqref>'TOH (hist) '!$AK$6:$BA$6</c15:sqref>
                  </c15:fullRef>
                </c:ext>
              </c:extLst>
              <c:f>('TOH (hist) '!$AK$6:$AV$6,'TOH (hist) '!$AX$6:$BA$6)</c:f>
              <c:numCache>
                <c:formatCode>0</c:formatCode>
                <c:ptCount val="16"/>
                <c:pt idx="0">
                  <c:v>67.85119661120612</c:v>
                </c:pt>
                <c:pt idx="1">
                  <c:v>71.102153932831911</c:v>
                </c:pt>
                <c:pt idx="2">
                  <c:v>71.50575775394951</c:v>
                </c:pt>
                <c:pt idx="3">
                  <c:v>62.861776384029497</c:v>
                </c:pt>
                <c:pt idx="4">
                  <c:v>66.861811372641952</c:v>
                </c:pt>
                <c:pt idx="5">
                  <c:v>69.368258591218705</c:v>
                </c:pt>
                <c:pt idx="6">
                  <c:v>74.754902797291749</c:v>
                </c:pt>
                <c:pt idx="7">
                  <c:v>72.996543651867498</c:v>
                </c:pt>
                <c:pt idx="8">
                  <c:v>71.928309465167587</c:v>
                </c:pt>
                <c:pt idx="9">
                  <c:v>64.822142260364402</c:v>
                </c:pt>
                <c:pt idx="10" formatCode="0.0">
                  <c:v>56.255716656902933</c:v>
                </c:pt>
                <c:pt idx="11" formatCode="0.0">
                  <c:v>55.680000000000007</c:v>
                </c:pt>
                <c:pt idx="12" formatCode="0.0">
                  <c:v>58.598333333333329</c:v>
                </c:pt>
                <c:pt idx="13" formatCode="0.0">
                  <c:v>49.59</c:v>
                </c:pt>
                <c:pt idx="14" formatCode="0.0">
                  <c:v>17.36</c:v>
                </c:pt>
                <c:pt idx="15" formatCode="0.0">
                  <c:v>31.02</c:v>
                </c:pt>
              </c:numCache>
            </c:numRef>
          </c:val>
          <c:smooth val="0"/>
          <c:extLst>
            <c:ext xmlns:c16="http://schemas.microsoft.com/office/drawing/2014/chart" uri="{C3380CC4-5D6E-409C-BE32-E72D297353CC}">
              <c16:uniqueId val="{00000001-6AED-441E-99A5-96BCF9FE71E1}"/>
            </c:ext>
          </c:extLst>
        </c:ser>
        <c:ser>
          <c:idx val="1"/>
          <c:order val="1"/>
          <c:tx>
            <c:strRef>
              <c:f>'TOH (hist) '!$AJ$7</c:f>
              <c:strCache>
                <c:ptCount val="1"/>
                <c:pt idx="0">
                  <c:v>4 Estrellas - Primera</c:v>
                </c:pt>
              </c:strCache>
            </c:strRef>
          </c:tx>
          <c:spPr>
            <a:ln w="22225" cap="rnd">
              <a:solidFill>
                <a:schemeClr val="accent2"/>
              </a:solidFill>
              <a:round/>
            </a:ln>
            <a:effectLst/>
          </c:spPr>
          <c:marker>
            <c:symbol val="square"/>
            <c:size val="6"/>
            <c:spPr>
              <a:solidFill>
                <a:schemeClr val="accent2"/>
              </a:solidFill>
              <a:ln w="9525">
                <a:solidFill>
                  <a:schemeClr val="accent2"/>
                </a:solidFill>
                <a:round/>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extLst>
                <c:ext xmlns:c15="http://schemas.microsoft.com/office/drawing/2012/chart" uri="{02D57815-91ED-43cb-92C2-25804820EDAC}">
                  <c15:fullRef>
                    <c15:sqref>'TOH (hist) '!$AK$3:$BA$3</c15:sqref>
                  </c15:fullRef>
                </c:ext>
              </c:extLst>
              <c:f>('TOH (hist) '!$AK$3:$AV$3,'TOH (hist) '!$AX$3:$BA$3)</c:f>
              <c:strCache>
                <c:ptCount val="16"/>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 (e) </c:v>
                </c:pt>
              </c:strCache>
            </c:strRef>
          </c:cat>
          <c:val>
            <c:numRef>
              <c:extLst>
                <c:ext xmlns:c15="http://schemas.microsoft.com/office/drawing/2012/chart" uri="{02D57815-91ED-43cb-92C2-25804820EDAC}">
                  <c15:fullRef>
                    <c15:sqref>'TOH (hist) '!$AK$7:$BA$7</c15:sqref>
                  </c15:fullRef>
                </c:ext>
              </c:extLst>
              <c:f>('TOH (hist) '!$AK$7:$AV$7,'TOH (hist) '!$AX$7:$BA$7)</c:f>
              <c:numCache>
                <c:formatCode>0</c:formatCode>
                <c:ptCount val="16"/>
                <c:pt idx="0">
                  <c:v>45.725166885376801</c:v>
                </c:pt>
                <c:pt idx="1">
                  <c:v>49.828368996479348</c:v>
                </c:pt>
                <c:pt idx="2">
                  <c:v>52.801422006218871</c:v>
                </c:pt>
                <c:pt idx="3">
                  <c:v>49.163328262440885</c:v>
                </c:pt>
                <c:pt idx="4">
                  <c:v>53.046269359602803</c:v>
                </c:pt>
                <c:pt idx="5">
                  <c:v>55.398690212968717</c:v>
                </c:pt>
                <c:pt idx="6">
                  <c:v>58.917943104015279</c:v>
                </c:pt>
                <c:pt idx="7">
                  <c:v>61.425279513620964</c:v>
                </c:pt>
                <c:pt idx="8">
                  <c:v>61.063023474311244</c:v>
                </c:pt>
                <c:pt idx="9">
                  <c:v>55.378711204374724</c:v>
                </c:pt>
                <c:pt idx="10" formatCode="0.0">
                  <c:v>48.255950576103231</c:v>
                </c:pt>
                <c:pt idx="11" formatCode="0.0">
                  <c:v>50.666666666666664</c:v>
                </c:pt>
                <c:pt idx="12" formatCode="0.0">
                  <c:v>55</c:v>
                </c:pt>
                <c:pt idx="13" formatCode="0.0">
                  <c:v>38.630000000000003</c:v>
                </c:pt>
                <c:pt idx="14" formatCode="0.0">
                  <c:v>6.73</c:v>
                </c:pt>
                <c:pt idx="15" formatCode="0.0">
                  <c:v>22.01</c:v>
                </c:pt>
              </c:numCache>
            </c:numRef>
          </c:val>
          <c:smooth val="0"/>
          <c:extLst>
            <c:ext xmlns:c16="http://schemas.microsoft.com/office/drawing/2014/chart" uri="{C3380CC4-5D6E-409C-BE32-E72D297353CC}">
              <c16:uniqueId val="{00000003-6AED-441E-99A5-96BCF9FE71E1}"/>
            </c:ext>
          </c:extLst>
        </c:ser>
        <c:ser>
          <c:idx val="2"/>
          <c:order val="2"/>
          <c:tx>
            <c:strRef>
              <c:f>'TOH (hist) '!$AJ$8</c:f>
              <c:strCache>
                <c:ptCount val="1"/>
                <c:pt idx="0">
                  <c:v>3 Estrellas - Segunda</c:v>
                </c:pt>
              </c:strCache>
            </c:strRef>
          </c:tx>
          <c:spPr>
            <a:ln w="22225" cap="rnd">
              <a:solidFill>
                <a:schemeClr val="accent3"/>
              </a:solidFill>
              <a:round/>
            </a:ln>
            <a:effectLst/>
          </c:spPr>
          <c:marker>
            <c:symbol val="triangle"/>
            <c:size val="6"/>
            <c:spPr>
              <a:solidFill>
                <a:schemeClr val="accent3"/>
              </a:solidFill>
              <a:ln w="9525">
                <a:solidFill>
                  <a:schemeClr val="accent3"/>
                </a:solidFill>
                <a:round/>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extLst>
                <c:ext xmlns:c15="http://schemas.microsoft.com/office/drawing/2012/chart" uri="{02D57815-91ED-43cb-92C2-25804820EDAC}">
                  <c15:fullRef>
                    <c15:sqref>'TOH (hist) '!$AK$3:$BA$3</c15:sqref>
                  </c15:fullRef>
                </c:ext>
              </c:extLst>
              <c:f>('TOH (hist) '!$AK$3:$AV$3,'TOH (hist) '!$AX$3:$BA$3)</c:f>
              <c:strCache>
                <c:ptCount val="16"/>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 (e) </c:v>
                </c:pt>
              </c:strCache>
            </c:strRef>
          </c:cat>
          <c:val>
            <c:numRef>
              <c:extLst>
                <c:ext xmlns:c15="http://schemas.microsoft.com/office/drawing/2012/chart" uri="{02D57815-91ED-43cb-92C2-25804820EDAC}">
                  <c15:fullRef>
                    <c15:sqref>'TOH (hist) '!$AK$8:$BA$8</c15:sqref>
                  </c15:fullRef>
                </c:ext>
              </c:extLst>
              <c:f>('TOH (hist) '!$AK$8:$AV$8,'TOH (hist) '!$AX$8:$BA$8)</c:f>
              <c:numCache>
                <c:formatCode>0</c:formatCode>
                <c:ptCount val="16"/>
                <c:pt idx="0">
                  <c:v>33.695896638353872</c:v>
                </c:pt>
                <c:pt idx="1">
                  <c:v>37.241662894922221</c:v>
                </c:pt>
                <c:pt idx="2">
                  <c:v>39.832995607695793</c:v>
                </c:pt>
                <c:pt idx="3">
                  <c:v>39.618641966407949</c:v>
                </c:pt>
                <c:pt idx="4">
                  <c:v>40.020842075944657</c:v>
                </c:pt>
                <c:pt idx="5">
                  <c:v>39.850230173474912</c:v>
                </c:pt>
                <c:pt idx="6">
                  <c:v>42.948439320799231</c:v>
                </c:pt>
                <c:pt idx="7">
                  <c:v>42.685597701509735</c:v>
                </c:pt>
                <c:pt idx="8">
                  <c:v>40.793439968219424</c:v>
                </c:pt>
                <c:pt idx="9">
                  <c:v>40.019455322143479</c:v>
                </c:pt>
                <c:pt idx="10" formatCode="0.0">
                  <c:v>36.569361252115065</c:v>
                </c:pt>
                <c:pt idx="11" formatCode="0.0">
                  <c:v>27.666666666666668</c:v>
                </c:pt>
                <c:pt idx="12" formatCode="0.0">
                  <c:v>43.385741017973068</c:v>
                </c:pt>
                <c:pt idx="13" formatCode="0.0">
                  <c:v>22.35</c:v>
                </c:pt>
                <c:pt idx="14" formatCode="0.0">
                  <c:v>6.46</c:v>
                </c:pt>
                <c:pt idx="15" formatCode="0.0">
                  <c:v>13.15</c:v>
                </c:pt>
              </c:numCache>
            </c:numRef>
          </c:val>
          <c:smooth val="0"/>
          <c:extLst>
            <c:ext xmlns:c16="http://schemas.microsoft.com/office/drawing/2014/chart" uri="{C3380CC4-5D6E-409C-BE32-E72D297353CC}">
              <c16:uniqueId val="{00000004-6AED-441E-99A5-96BCF9FE71E1}"/>
            </c:ext>
          </c:extLst>
        </c:ser>
        <c:dLbls>
          <c:showLegendKey val="0"/>
          <c:showVal val="1"/>
          <c:showCatName val="0"/>
          <c:showSerName val="0"/>
          <c:showPercent val="0"/>
          <c:showBubbleSize val="0"/>
        </c:dLbls>
        <c:marker val="1"/>
        <c:smooth val="0"/>
        <c:axId val="-957604928"/>
        <c:axId val="-957603840"/>
      </c:lineChart>
      <c:catAx>
        <c:axId val="-9576049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es-EC"/>
          </a:p>
        </c:txPr>
        <c:crossAx val="-957603840"/>
        <c:crosses val="autoZero"/>
        <c:auto val="1"/>
        <c:lblAlgn val="ctr"/>
        <c:lblOffset val="100"/>
        <c:noMultiLvlLbl val="0"/>
      </c:catAx>
      <c:valAx>
        <c:axId val="-957603840"/>
        <c:scaling>
          <c:orientation val="minMax"/>
        </c:scaling>
        <c:delete val="1"/>
        <c:axPos val="l"/>
        <c:numFmt formatCode="0" sourceLinked="1"/>
        <c:majorTickMark val="none"/>
        <c:minorTickMark val="none"/>
        <c:tickLblPos val="nextTo"/>
        <c:crossAx val="-957604928"/>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r>
              <a:rPr lang="es-EC"/>
              <a:t>Tasa de ocupación hotelera (TOH) DMQ</a:t>
            </a:r>
          </a:p>
          <a:p>
            <a:pPr>
              <a:defRPr/>
            </a:pPr>
            <a:r>
              <a:rPr lang="es-EC"/>
              <a:t>-porcentajes-</a:t>
            </a:r>
          </a:p>
        </c:rich>
      </c:tx>
      <c:overlay val="0"/>
      <c:spPr>
        <a:noFill/>
        <a:ln>
          <a:noFill/>
        </a:ln>
        <a:effectLst/>
      </c:spPr>
      <c:txPr>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endParaRPr lang="es-EC"/>
        </a:p>
      </c:txPr>
    </c:title>
    <c:autoTitleDeleted val="0"/>
    <c:plotArea>
      <c:layout/>
      <c:barChart>
        <c:barDir val="col"/>
        <c:grouping val="clustered"/>
        <c:varyColors val="0"/>
        <c:dLbls>
          <c:dLblPos val="outEnd"/>
          <c:showLegendKey val="0"/>
          <c:showVal val="1"/>
          <c:showCatName val="0"/>
          <c:showSerName val="0"/>
          <c:showPercent val="0"/>
          <c:showBubbleSize val="0"/>
        </c:dLbls>
        <c:gapWidth val="444"/>
        <c:overlap val="-90"/>
        <c:axId val="-957758656"/>
        <c:axId val="-957751584"/>
        <c:extLst>
          <c:ext xmlns:c15="http://schemas.microsoft.com/office/drawing/2012/chart" uri="{02D57815-91ED-43cb-92C2-25804820EDAC}">
            <c15:filteredBarSeries>
              <c15:ser>
                <c:idx val="0"/>
                <c:order val="0"/>
                <c:spPr>
                  <a:solidFill>
                    <a:schemeClr val="accent1"/>
                  </a:solidFill>
                  <a:ln>
                    <a:noFill/>
                  </a:ln>
                  <a:effectLst/>
                </c:spPr>
                <c:invertIfNegative val="0"/>
                <c:dPt>
                  <c:idx val="3"/>
                  <c:invertIfNegative val="0"/>
                  <c:bubble3D val="0"/>
                  <c:spPr>
                    <a:solidFill>
                      <a:schemeClr val="accent1"/>
                    </a:solidFill>
                    <a:ln>
                      <a:noFill/>
                    </a:ln>
                    <a:effectLst/>
                  </c:spPr>
                  <c:extLst>
                    <c:ext xmlns:c16="http://schemas.microsoft.com/office/drawing/2014/chart" uri="{C3380CC4-5D6E-409C-BE32-E72D297353CC}">
                      <c16:uniqueId val="{00000001-5B7A-4616-8A03-26BD3A9F21D5}"/>
                    </c:ext>
                  </c:extLst>
                </c:dPt>
                <c:dPt>
                  <c:idx val="4"/>
                  <c:invertIfNegative val="0"/>
                  <c:bubble3D val="0"/>
                  <c:spPr>
                    <a:solidFill>
                      <a:schemeClr val="accent1"/>
                    </a:solidFill>
                    <a:ln>
                      <a:noFill/>
                    </a:ln>
                    <a:effectLst/>
                  </c:spPr>
                  <c:extLst>
                    <c:ext xmlns:c16="http://schemas.microsoft.com/office/drawing/2014/chart" uri="{C3380CC4-5D6E-409C-BE32-E72D297353CC}">
                      <c16:uniqueId val="{00000003-5B7A-4616-8A03-26BD3A9F21D5}"/>
                    </c:ext>
                  </c:extLst>
                </c:dPt>
                <c:dLbls>
                  <c:spPr>
                    <a:noFill/>
                    <a:ln>
                      <a:noFill/>
                    </a:ln>
                    <a:effectLst/>
                  </c:spPr>
                  <c:txPr>
                    <a:bodyPr rot="-5400000" spcFirstLastPara="1" vertOverflow="clip" horzOverflow="clip" vert="horz" wrap="square" lIns="38100" tIns="19050" rIns="38100" bIns="19050" anchor="ctr" anchorCtr="1">
                      <a:spAutoFit/>
                    </a:bodyPr>
                    <a:lstStyle/>
                    <a:p>
                      <a:pPr>
                        <a:defRPr sz="1050" b="0" i="0" u="none" strike="noStrike" kern="1200" baseline="0">
                          <a:solidFill>
                            <a:schemeClr val="tx1">
                              <a:lumMod val="50000"/>
                              <a:lumOff val="50000"/>
                            </a:schemeClr>
                          </a:solidFill>
                          <a:latin typeface="+mn-lt"/>
                          <a:ea typeface="+mn-ea"/>
                          <a:cs typeface="+mn-cs"/>
                        </a:defRPr>
                      </a:pPr>
                      <a:endParaRPr lang="es-EC"/>
                    </a:p>
                  </c:txPr>
                  <c:dLblPos val="outEnd"/>
                  <c:showLegendKey val="0"/>
                  <c:showVal val="1"/>
                  <c:showCatName val="0"/>
                  <c:showSerName val="0"/>
                  <c:showPercent val="0"/>
                  <c:showBubbleSize val="0"/>
                  <c:showLeaderLines val="0"/>
                  <c:extLst>
                    <c:ext uri="{CE6537A1-D6FC-4f65-9D91-7224C49458BB}">
                      <c15:showLeaderLines val="0"/>
                    </c:ext>
                  </c:extLst>
                </c:dLbls>
                <c:val>
                  <c:numRef>
                    <c:extLst>
                      <c:ext uri="{02D57815-91ED-43cb-92C2-25804820EDAC}">
                        <c15:formulaRef>
                          <c15:sqref>'TOH (hist) '!#REF!</c15:sqref>
                        </c15:formulaRef>
                      </c:ext>
                    </c:extLst>
                  </c:numRef>
                </c:val>
                <c:extLst>
                  <c:ext uri="{02D57815-91ED-43cb-92C2-25804820EDAC}">
                    <c15:filteredCategoryTitle>
                      <c15:cat>
                        <c:multiLvlStrRef>
                          <c:extLst>
                            <c:ext uri="{02D57815-91ED-43cb-92C2-25804820EDAC}">
                              <c15:formulaRef>
                                <c15:sqref>'TOH (hist) '!#REF!</c15:sqref>
                              </c15:formulaRef>
                            </c:ext>
                          </c:extLst>
                        </c:multiLvlStrRef>
                      </c15:cat>
                    </c15:filteredCategoryTitle>
                  </c:ext>
                  <c:ext xmlns:c16="http://schemas.microsoft.com/office/drawing/2014/chart" uri="{C3380CC4-5D6E-409C-BE32-E72D297353CC}">
                    <c16:uniqueId val="{00000004-5B7A-4616-8A03-26BD3A9F21D5}"/>
                  </c:ext>
                </c:extLst>
              </c15:ser>
            </c15:filteredBarSeries>
          </c:ext>
        </c:extLst>
      </c:barChart>
      <c:catAx>
        <c:axId val="-95775865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es-EC"/>
          </a:p>
        </c:txPr>
        <c:crossAx val="-957751584"/>
        <c:crosses val="autoZero"/>
        <c:auto val="1"/>
        <c:lblAlgn val="ctr"/>
        <c:lblOffset val="100"/>
        <c:noMultiLvlLbl val="0"/>
      </c:catAx>
      <c:valAx>
        <c:axId val="-957751584"/>
        <c:scaling>
          <c:orientation val="minMax"/>
        </c:scaling>
        <c:delete val="1"/>
        <c:axPos val="l"/>
        <c:numFmt formatCode="0" sourceLinked="1"/>
        <c:majorTickMark val="none"/>
        <c:minorTickMark val="none"/>
        <c:tickLblPos val="none"/>
        <c:crossAx val="-957758656"/>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44" l="0.70000000000000062" r="0.70000000000000062" t="0.75000000000000544" header="0.30000000000000032" footer="0.30000000000000032"/>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rot="0" spcFirstLastPara="1" vertOverflow="ellipsis" vert="horz" wrap="square" anchor="ctr" anchorCtr="1"/>
          <a:lstStyle/>
          <a:p>
            <a:pPr>
              <a:defRPr b="0" i="0" u="none" strike="noStrike" kern="1200" baseline="0">
                <a:solidFill>
                  <a:schemeClr val="dk1">
                    <a:lumMod val="65000"/>
                    <a:lumOff val="35000"/>
                  </a:schemeClr>
                </a:solidFill>
                <a:effectLst/>
                <a:latin typeface="+mn-lt"/>
                <a:ea typeface="+mn-ea"/>
                <a:cs typeface="+mn-cs"/>
              </a:defRPr>
            </a:pPr>
            <a:r>
              <a:rPr lang="es-EC"/>
              <a:t>Variación - Tasa de ocupación hotelera (TOH) DMQ</a:t>
            </a:r>
          </a:p>
          <a:p>
            <a:pPr>
              <a:defRPr/>
            </a:pPr>
            <a:r>
              <a:rPr lang="es-EC"/>
              <a:t>-porcentajes-</a:t>
            </a:r>
          </a:p>
        </c:rich>
      </c:tx>
      <c:overlay val="0"/>
      <c:spPr>
        <a:noFill/>
        <a:ln>
          <a:noFill/>
        </a:ln>
        <a:effectLst/>
      </c:spPr>
      <c:txPr>
        <a:bodyPr rot="0" spcFirstLastPara="1" vertOverflow="ellipsis" vert="horz" wrap="square" anchor="ctr" anchorCtr="1"/>
        <a:lstStyle/>
        <a:p>
          <a:pPr>
            <a:defRPr b="0" i="0" u="none" strike="noStrike" kern="1200" baseline="0">
              <a:solidFill>
                <a:schemeClr val="dk1">
                  <a:lumMod val="65000"/>
                  <a:lumOff val="35000"/>
                </a:schemeClr>
              </a:solidFill>
              <a:effectLst/>
              <a:latin typeface="+mn-lt"/>
              <a:ea typeface="+mn-ea"/>
              <a:cs typeface="+mn-cs"/>
            </a:defRPr>
          </a:pPr>
          <a:endParaRPr lang="es-EC"/>
        </a:p>
      </c:txPr>
    </c:title>
    <c:autoTitleDeleted val="0"/>
    <c:plotArea>
      <c:layout/>
      <c:lineChart>
        <c:grouping val="standard"/>
        <c:varyColors val="0"/>
        <c:dLbls>
          <c:showLegendKey val="0"/>
          <c:showVal val="1"/>
          <c:showCatName val="0"/>
          <c:showSerName val="0"/>
          <c:showPercent val="0"/>
          <c:showBubbleSize val="0"/>
        </c:dLbls>
        <c:marker val="1"/>
        <c:smooth val="0"/>
        <c:axId val="-955697040"/>
        <c:axId val="-955695952"/>
        <c:extLst>
          <c:ext xmlns:c15="http://schemas.microsoft.com/office/drawing/2012/chart" uri="{02D57815-91ED-43cb-92C2-25804820EDAC}">
            <c15:filteredLineSeries>
              <c15:ser>
                <c:idx val="0"/>
                <c:order val="0"/>
                <c:spPr>
                  <a:ln w="28575" cap="rnd">
                    <a:gradFill>
                      <a:gsLst>
                        <a:gs pos="0">
                          <a:schemeClr val="accent3"/>
                        </a:gs>
                        <a:gs pos="100000">
                          <a:schemeClr val="accent3">
                            <a:lumMod val="84000"/>
                          </a:schemeClr>
                        </a:gs>
                      </a:gsLst>
                      <a:lin ang="5400000" scaled="1"/>
                    </a:gradFill>
                    <a:round/>
                  </a:ln>
                  <a:effectLst/>
                </c:spPr>
                <c:marker>
                  <c:symbol val="circle"/>
                  <c:size val="6"/>
                  <c:spPr>
                    <a:gradFill>
                      <a:gsLst>
                        <a:gs pos="0">
                          <a:schemeClr val="accent3"/>
                        </a:gs>
                        <a:gs pos="100000">
                          <a:schemeClr val="accent3">
                            <a:lumMod val="84000"/>
                          </a:schemeClr>
                        </a:gs>
                      </a:gsLst>
                      <a:lin ang="5400000" scaled="1"/>
                    </a:gradFill>
                    <a:ln>
                      <a:noFill/>
                    </a:ln>
                    <a:effectLst>
                      <a:outerShdw blurRad="76200" dir="18900000" sy="23000" kx="-1200000" algn="bl" rotWithShape="0">
                        <a:prstClr val="black">
                          <a:alpha val="20000"/>
                        </a:prstClr>
                      </a:outerShdw>
                    </a:effectLst>
                  </c:spPr>
                </c:marker>
                <c:dPt>
                  <c:idx val="3"/>
                  <c:marker>
                    <c:symbol val="circle"/>
                    <c:size val="6"/>
                    <c:spPr>
                      <a:gradFill>
                        <a:gsLst>
                          <a:gs pos="0">
                            <a:schemeClr val="accent3"/>
                          </a:gs>
                          <a:gs pos="100000">
                            <a:schemeClr val="accent3">
                              <a:lumMod val="84000"/>
                            </a:schemeClr>
                          </a:gs>
                        </a:gsLst>
                        <a:lin ang="5400000" scaled="1"/>
                      </a:gradFill>
                      <a:ln>
                        <a:noFill/>
                      </a:ln>
                      <a:effectLst>
                        <a:outerShdw blurRad="76200" dir="18900000" sy="23000" kx="-1200000" algn="bl" rotWithShape="0">
                          <a:prstClr val="black">
                            <a:alpha val="20000"/>
                          </a:prstClr>
                        </a:outerShdw>
                      </a:effectLst>
                    </c:spPr>
                  </c:marker>
                  <c:bubble3D val="0"/>
                  <c:spPr>
                    <a:ln w="28575" cap="rnd">
                      <a:gradFill>
                        <a:gsLst>
                          <a:gs pos="0">
                            <a:schemeClr val="accent3"/>
                          </a:gs>
                          <a:gs pos="100000">
                            <a:schemeClr val="accent3">
                              <a:lumMod val="84000"/>
                            </a:schemeClr>
                          </a:gs>
                        </a:gsLst>
                        <a:lin ang="5400000" scaled="1"/>
                      </a:gradFill>
                      <a:round/>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01-F70C-4F81-B412-3379E6A7F00A}"/>
                    </c:ext>
                  </c:extLst>
                </c:dPt>
                <c:dPt>
                  <c:idx val="4"/>
                  <c:marker>
                    <c:symbol val="circle"/>
                    <c:size val="6"/>
                    <c:spPr>
                      <a:gradFill>
                        <a:gsLst>
                          <a:gs pos="0">
                            <a:schemeClr val="accent3"/>
                          </a:gs>
                          <a:gs pos="100000">
                            <a:schemeClr val="accent3">
                              <a:lumMod val="84000"/>
                            </a:schemeClr>
                          </a:gs>
                        </a:gsLst>
                        <a:lin ang="5400000" scaled="1"/>
                      </a:gradFill>
                      <a:ln>
                        <a:noFill/>
                      </a:ln>
                      <a:effectLst>
                        <a:outerShdw blurRad="76200" dir="18900000" sy="23000" kx="-1200000" algn="bl" rotWithShape="0">
                          <a:prstClr val="black">
                            <a:alpha val="20000"/>
                          </a:prstClr>
                        </a:outerShdw>
                      </a:effectLst>
                    </c:spPr>
                  </c:marker>
                  <c:bubble3D val="0"/>
                  <c:spPr>
                    <a:ln w="28575" cap="rnd">
                      <a:gradFill>
                        <a:gsLst>
                          <a:gs pos="0">
                            <a:schemeClr val="accent3"/>
                          </a:gs>
                          <a:gs pos="100000">
                            <a:schemeClr val="accent3">
                              <a:lumMod val="84000"/>
                            </a:schemeClr>
                          </a:gs>
                        </a:gsLst>
                        <a:lin ang="5400000" scaled="1"/>
                      </a:gradFill>
                      <a:round/>
                    </a:ln>
                    <a:effectLst>
                      <a:outerShdw blurRad="76200" dir="18900000" sy="23000" kx="-1200000" algn="bl" rotWithShape="0">
                        <a:prstClr val="black">
                          <a:alpha val="20000"/>
                        </a:prstClr>
                      </a:outerShdw>
                    </a:effectLst>
                  </c:spPr>
                  <c:extLst>
                    <c:ext xmlns:c16="http://schemas.microsoft.com/office/drawing/2014/chart" uri="{C3380CC4-5D6E-409C-BE32-E72D297353CC}">
                      <c16:uniqueId val="{00000003-F70C-4F81-B412-3379E6A7F00A}"/>
                    </c:ext>
                  </c:extLst>
                </c:dPt>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s-EC"/>
                    </a:p>
                  </c:txPr>
                  <c:showLegendKey val="0"/>
                  <c:showVal val="1"/>
                  <c:showCatName val="0"/>
                  <c:showSerName val="0"/>
                  <c:showPercent val="0"/>
                  <c:showBubbleSize val="0"/>
                  <c:showLeaderLines val="0"/>
                  <c:extLst>
                    <c:ext uri="{CE6537A1-D6FC-4f65-9D91-7224C49458BB}">
                      <c15:showLeaderLines val="0"/>
                    </c:ext>
                  </c:extLst>
                </c:dLbls>
                <c:val>
                  <c:numRef>
                    <c:extLst>
                      <c:ext uri="{02D57815-91ED-43cb-92C2-25804820EDAC}">
                        <c15:formulaRef>
                          <c15:sqref>'TOH (hist) '!#REF!</c15:sqref>
                        </c15:formulaRef>
                      </c:ext>
                    </c:extLst>
                  </c:numRef>
                </c:val>
                <c:smooth val="0"/>
                <c:extLst>
                  <c:ext uri="{02D57815-91ED-43cb-92C2-25804820EDAC}">
                    <c15:filteredCategoryTitle>
                      <c15:cat>
                        <c:multiLvlStrRef>
                          <c:extLst>
                            <c:ext uri="{02D57815-91ED-43cb-92C2-25804820EDAC}">
                              <c15:formulaRef>
                                <c15:sqref>'TOH (hist) '!#REF!</c15:sqref>
                              </c15:formulaRef>
                            </c:ext>
                          </c:extLst>
                        </c:multiLvlStrRef>
                      </c15:cat>
                    </c15:filteredCategoryTitle>
                  </c:ext>
                  <c:ext xmlns:c16="http://schemas.microsoft.com/office/drawing/2014/chart" uri="{C3380CC4-5D6E-409C-BE32-E72D297353CC}">
                    <c16:uniqueId val="{00000004-F70C-4F81-B412-3379E6A7F00A}"/>
                  </c:ext>
                </c:extLst>
              </c15:ser>
            </c15:filteredLineSeries>
          </c:ext>
        </c:extLst>
      </c:lineChart>
      <c:catAx>
        <c:axId val="-95569704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dk1">
                    <a:lumMod val="65000"/>
                    <a:lumOff val="35000"/>
                  </a:schemeClr>
                </a:solidFill>
                <a:effectLst/>
                <a:latin typeface="+mn-lt"/>
                <a:ea typeface="+mn-ea"/>
                <a:cs typeface="+mn-cs"/>
              </a:defRPr>
            </a:pPr>
            <a:endParaRPr lang="es-EC"/>
          </a:p>
        </c:txPr>
        <c:crossAx val="-955695952"/>
        <c:crosses val="autoZero"/>
        <c:auto val="1"/>
        <c:lblAlgn val="ctr"/>
        <c:lblOffset val="100"/>
        <c:noMultiLvlLbl val="0"/>
      </c:catAx>
      <c:valAx>
        <c:axId val="-955695952"/>
        <c:scaling>
          <c:orientation val="minMax"/>
        </c:scaling>
        <c:delete val="1"/>
        <c:axPos val="l"/>
        <c:numFmt formatCode="0" sourceLinked="1"/>
        <c:majorTickMark val="none"/>
        <c:minorTickMark val="none"/>
        <c:tickLblPos val="none"/>
        <c:crossAx val="-955697040"/>
        <c:crosses val="autoZero"/>
        <c:crossBetween val="between"/>
      </c:valAx>
      <c:spPr>
        <a:noFill/>
        <a:ln>
          <a:noFill/>
        </a:ln>
        <a:effectLst/>
      </c:spPr>
    </c:plotArea>
    <c:plotVisOnly val="1"/>
    <c:dispBlanksAs val="gap"/>
    <c:showDLblsOverMax val="0"/>
  </c:chart>
  <c: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a:effectLst/>
  </c:spPr>
  <c:txPr>
    <a:bodyPr/>
    <a:lstStyle/>
    <a:p>
      <a:pPr>
        <a:defRPr/>
      </a:pPr>
      <a:endParaRPr lang="es-EC"/>
    </a:p>
  </c:txPr>
  <c:printSettings>
    <c:headerFooter/>
    <c:pageMargins b="0.75000000000000544" l="0.70000000000000062" r="0.70000000000000062" t="0.75000000000000544" header="0.30000000000000032" footer="0.30000000000000032"/>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TOH - TASA DE OCUPACIÓN HOTELERA - DMQ</a:t>
            </a:r>
          </a:p>
          <a:p>
            <a:pPr>
              <a:defRPr/>
            </a:pPr>
            <a:r>
              <a:rPr lang="en-US"/>
              <a:t>MESES DE DICIEMBRE</a:t>
            </a:r>
            <a:r>
              <a:rPr lang="en-US" baseline="0"/>
              <a:t> COMPARATIVO</a:t>
            </a:r>
          </a:p>
          <a:p>
            <a:pPr>
              <a:defRPr/>
            </a:pPr>
            <a:r>
              <a:rPr lang="en-US" baseline="0"/>
              <a:t>(%)</a:t>
            </a:r>
            <a:endParaRPr lang="en-US"/>
          </a:p>
        </c:rich>
      </c:tx>
      <c:layout>
        <c:manualLayout>
          <c:xMode val="edge"/>
          <c:yMode val="edge"/>
          <c:x val="0.20793277595380769"/>
          <c:y val="2.4013753423657754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'TOH (hist)  (2)'!$C$23</c:f>
              <c:strCache>
                <c:ptCount val="1"/>
                <c:pt idx="0">
                  <c:v>TOH 2019 (e) </c:v>
                </c:pt>
              </c:strCache>
            </c:strRef>
          </c:tx>
          <c:spPr>
            <a:solidFill>
              <a:schemeClr val="accent1"/>
            </a:solidFill>
            <a:ln>
              <a:noFill/>
            </a:ln>
            <a:effectLst/>
            <a:sp3d/>
          </c:spPr>
          <c:invertIfNegative val="0"/>
          <c:dLbls>
            <c:spPr>
              <a:solidFill>
                <a:schemeClr val="lt1"/>
              </a:solidFill>
              <a:ln w="12700" cap="flat" cmpd="sng" algn="ctr">
                <a:solidFill>
                  <a:schemeClr val="accent1"/>
                </a:solidFill>
                <a:prstDash val="solid"/>
                <a:miter lim="800000"/>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'TOH (hist)  (2)'!$N$15</c:f>
              <c:strCache>
                <c:ptCount val="1"/>
                <c:pt idx="0">
                  <c:v>dic</c:v>
                </c:pt>
              </c:strCache>
            </c:strRef>
          </c:cat>
          <c:val>
            <c:numRef>
              <c:f>'TOH (hist)  (2)'!$N$26</c:f>
              <c:numCache>
                <c:formatCode>0.00</c:formatCode>
                <c:ptCount val="1"/>
                <c:pt idx="0">
                  <c:v>35.700000000000003</c:v>
                </c:pt>
              </c:numCache>
            </c:numRef>
          </c:val>
          <c:extLst>
            <c:ext xmlns:c16="http://schemas.microsoft.com/office/drawing/2014/chart" uri="{C3380CC4-5D6E-409C-BE32-E72D297353CC}">
              <c16:uniqueId val="{00000000-A950-4DF5-B300-D2B14E9237DD}"/>
            </c:ext>
          </c:extLst>
        </c:ser>
        <c:ser>
          <c:idx val="1"/>
          <c:order val="1"/>
          <c:tx>
            <c:strRef>
              <c:f>'TOH (hist)  (2)'!$C$14</c:f>
              <c:strCache>
                <c:ptCount val="1"/>
                <c:pt idx="0">
                  <c:v>TOH 2020</c:v>
                </c:pt>
              </c:strCache>
            </c:strRef>
          </c:tx>
          <c:spPr>
            <a:solidFill>
              <a:schemeClr val="accent2"/>
            </a:solidFill>
            <a:ln>
              <a:noFill/>
            </a:ln>
            <a:effectLst/>
            <a:sp3d/>
          </c:spPr>
          <c:invertIfNegative val="0"/>
          <c:dLbls>
            <c:spPr>
              <a:solidFill>
                <a:schemeClr val="lt1"/>
              </a:solidFill>
              <a:ln w="12700" cap="flat" cmpd="sng" algn="ctr">
                <a:solidFill>
                  <a:schemeClr val="accent2"/>
                </a:solidFill>
                <a:prstDash val="solid"/>
                <a:miter lim="800000"/>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'TOH (hist)  (2)'!$N$15</c:f>
              <c:strCache>
                <c:ptCount val="1"/>
                <c:pt idx="0">
                  <c:v>dic</c:v>
                </c:pt>
              </c:strCache>
            </c:strRef>
          </c:cat>
          <c:val>
            <c:numRef>
              <c:f>'TOH (hist)  (2)'!$N$16</c:f>
              <c:numCache>
                <c:formatCode>0.0</c:formatCode>
                <c:ptCount val="1"/>
                <c:pt idx="0">
                  <c:v>17</c:v>
                </c:pt>
              </c:numCache>
            </c:numRef>
          </c:val>
          <c:extLst>
            <c:ext xmlns:c16="http://schemas.microsoft.com/office/drawing/2014/chart" uri="{C3380CC4-5D6E-409C-BE32-E72D297353CC}">
              <c16:uniqueId val="{00000001-A950-4DF5-B300-D2B14E9237DD}"/>
            </c:ext>
          </c:extLst>
        </c:ser>
        <c:ser>
          <c:idx val="2"/>
          <c:order val="2"/>
          <c:tx>
            <c:strRef>
              <c:f>'TOH (hist)  (2)'!$C$4</c:f>
              <c:strCache>
                <c:ptCount val="1"/>
                <c:pt idx="0">
                  <c:v>TOH 2021</c:v>
                </c:pt>
              </c:strCache>
            </c:strRef>
          </c:tx>
          <c:spPr>
            <a:solidFill>
              <a:schemeClr val="accent3"/>
            </a:solidFill>
            <a:ln>
              <a:noFill/>
            </a:ln>
            <a:effectLst/>
            <a:sp3d/>
          </c:spPr>
          <c:invertIfNegative val="0"/>
          <c:dLbls>
            <c:spPr>
              <a:solidFill>
                <a:schemeClr val="lt1"/>
              </a:solidFill>
              <a:ln w="12700" cap="flat" cmpd="sng" algn="ctr">
                <a:solidFill>
                  <a:schemeClr val="dk1"/>
                </a:solidFill>
                <a:prstDash val="solid"/>
                <a:miter lim="800000"/>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'TOH (hist)  (2)'!$N$15</c:f>
              <c:strCache>
                <c:ptCount val="1"/>
                <c:pt idx="0">
                  <c:v>dic</c:v>
                </c:pt>
              </c:strCache>
            </c:strRef>
          </c:cat>
          <c:val>
            <c:numRef>
              <c:f>'TOH (hist)  (2)'!$N$7</c:f>
              <c:numCache>
                <c:formatCode>0.0</c:formatCode>
                <c:ptCount val="1"/>
                <c:pt idx="0">
                  <c:v>25</c:v>
                </c:pt>
              </c:numCache>
            </c:numRef>
          </c:val>
          <c:extLst>
            <c:ext xmlns:c16="http://schemas.microsoft.com/office/drawing/2014/chart" uri="{C3380CC4-5D6E-409C-BE32-E72D297353CC}">
              <c16:uniqueId val="{00000002-A950-4DF5-B300-D2B14E9237DD}"/>
            </c:ext>
          </c:extLst>
        </c:ser>
        <c:dLbls>
          <c:showLegendKey val="0"/>
          <c:showVal val="0"/>
          <c:showCatName val="0"/>
          <c:showSerName val="0"/>
          <c:showPercent val="0"/>
          <c:showBubbleSize val="0"/>
        </c:dLbls>
        <c:gapWidth val="150"/>
        <c:shape val="box"/>
        <c:axId val="862302959"/>
        <c:axId val="862303375"/>
        <c:axId val="0"/>
      </c:bar3DChart>
      <c:catAx>
        <c:axId val="862302959"/>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862303375"/>
        <c:crosses val="autoZero"/>
        <c:auto val="1"/>
        <c:lblAlgn val="ctr"/>
        <c:lblOffset val="100"/>
        <c:noMultiLvlLbl val="0"/>
      </c:catAx>
      <c:valAx>
        <c:axId val="862303375"/>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86230295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cap="all" spc="50" baseline="0">
                <a:solidFill>
                  <a:schemeClr val="tx1">
                    <a:lumMod val="65000"/>
                    <a:lumOff val="35000"/>
                  </a:schemeClr>
                </a:solidFill>
                <a:latin typeface="+mn-lt"/>
                <a:ea typeface="+mn-ea"/>
                <a:cs typeface="+mn-cs"/>
              </a:defRPr>
            </a:pPr>
            <a:r>
              <a:rPr lang="en-US"/>
              <a:t>INGRESOS POR ACTIVIDAD DE ALOJAMIENTO EN EL DMQ</a:t>
            </a:r>
          </a:p>
          <a:p>
            <a:pPr>
              <a:defRPr/>
            </a:pPr>
            <a:r>
              <a:rPr lang="en-US"/>
              <a:t>MESES DE DICIEMBRE COMPARATIVO</a:t>
            </a:r>
          </a:p>
          <a:p>
            <a:pPr>
              <a:defRPr/>
            </a:pPr>
            <a:r>
              <a:rPr lang="en-US"/>
              <a:t>(MILES</a:t>
            </a:r>
            <a:r>
              <a:rPr lang="en-US" baseline="0"/>
              <a:t> DE US$)</a:t>
            </a:r>
            <a:endParaRPr lang="en-US"/>
          </a:p>
        </c:rich>
      </c:tx>
      <c:layout>
        <c:manualLayout>
          <c:xMode val="edge"/>
          <c:yMode val="edge"/>
          <c:x val="0.1152647249753546"/>
          <c:y val="3.0842172727350931E-2"/>
        </c:manualLayout>
      </c:layout>
      <c:overlay val="0"/>
      <c:spPr>
        <a:noFill/>
        <a:ln>
          <a:noFill/>
        </a:ln>
        <a:effectLst/>
      </c:spPr>
      <c:txPr>
        <a:bodyPr rot="0" spcFirstLastPara="1" vertOverflow="ellipsis" vert="horz" wrap="square" anchor="ctr" anchorCtr="1"/>
        <a:lstStyle/>
        <a:p>
          <a:pPr>
            <a:defRPr sz="1800" b="1" i="0" u="none" strike="noStrike" kern="1200" cap="all" spc="50" baseline="0">
              <a:solidFill>
                <a:schemeClr val="tx1">
                  <a:lumMod val="65000"/>
                  <a:lumOff val="35000"/>
                </a:schemeClr>
              </a:solidFill>
              <a:latin typeface="+mn-lt"/>
              <a:ea typeface="+mn-ea"/>
              <a:cs typeface="+mn-cs"/>
            </a:defRPr>
          </a:pPr>
          <a:endParaRPr lang="es-EC"/>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'Ingresos (hist)'!$C$24</c:f>
              <c:strCache>
                <c:ptCount val="1"/>
                <c:pt idx="0">
                  <c:v>INGRESOS 2019 (e) </c:v>
                </c:pt>
              </c:strCache>
            </c:strRef>
          </c:tx>
          <c:spPr>
            <a:gradFill>
              <a:gsLst>
                <a:gs pos="100000">
                  <a:schemeClr val="accent1">
                    <a:alpha val="0"/>
                  </a:schemeClr>
                </a:gs>
                <a:gs pos="50000">
                  <a:schemeClr val="accent1"/>
                </a:gs>
              </a:gsLst>
              <a:lin ang="5400000" scaled="0"/>
            </a:gradFill>
            <a:ln>
              <a:noFill/>
            </a:ln>
            <a:effectLst/>
            <a:sp3d/>
          </c:spPr>
          <c:invertIfNegative val="0"/>
          <c:dLbls>
            <c:spPr>
              <a:solidFill>
                <a:schemeClr val="lt1"/>
              </a:solidFill>
              <a:ln w="12700" cap="flat" cmpd="sng" algn="ctr">
                <a:solidFill>
                  <a:schemeClr val="accent1"/>
                </a:solidFill>
                <a:prstDash val="solid"/>
                <a:miter lim="800000"/>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'Ingresos (hist)'!$N$15</c:f>
              <c:strCache>
                <c:ptCount val="1"/>
                <c:pt idx="0">
                  <c:v>dic</c:v>
                </c:pt>
              </c:strCache>
            </c:strRef>
          </c:cat>
          <c:val>
            <c:numRef>
              <c:f>'Ingresos (hist)'!$N$27</c:f>
              <c:numCache>
                <c:formatCode>_(* #,##0.00_);_(* \(#,##0.00\);_(* "-"??_);_(@_)</c:formatCode>
                <c:ptCount val="1"/>
                <c:pt idx="0">
                  <c:v>1865</c:v>
                </c:pt>
              </c:numCache>
            </c:numRef>
          </c:val>
          <c:extLst>
            <c:ext xmlns:c16="http://schemas.microsoft.com/office/drawing/2014/chart" uri="{C3380CC4-5D6E-409C-BE32-E72D297353CC}">
              <c16:uniqueId val="{00000000-ECB9-4161-B985-FB434453A964}"/>
            </c:ext>
          </c:extLst>
        </c:ser>
        <c:ser>
          <c:idx val="1"/>
          <c:order val="1"/>
          <c:tx>
            <c:strRef>
              <c:f>'Ingresos (hist)'!$C$14</c:f>
              <c:strCache>
                <c:ptCount val="1"/>
                <c:pt idx="0">
                  <c:v>INGRESOS 2020</c:v>
                </c:pt>
              </c:strCache>
            </c:strRef>
          </c:tx>
          <c:spPr>
            <a:gradFill>
              <a:gsLst>
                <a:gs pos="100000">
                  <a:schemeClr val="accent2">
                    <a:alpha val="0"/>
                  </a:schemeClr>
                </a:gs>
                <a:gs pos="50000">
                  <a:schemeClr val="accent2"/>
                </a:gs>
              </a:gsLst>
              <a:lin ang="5400000" scaled="0"/>
            </a:gradFill>
            <a:ln>
              <a:noFill/>
            </a:ln>
            <a:effectLst/>
            <a:sp3d/>
          </c:spPr>
          <c:invertIfNegative val="0"/>
          <c:dLbls>
            <c:spPr>
              <a:solidFill>
                <a:schemeClr val="lt1"/>
              </a:solidFill>
              <a:ln w="12700" cap="flat" cmpd="sng" algn="ctr">
                <a:solidFill>
                  <a:schemeClr val="accent2"/>
                </a:solidFill>
                <a:prstDash val="solid"/>
                <a:miter lim="800000"/>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'Ingresos (hist)'!$N$15</c:f>
              <c:strCache>
                <c:ptCount val="1"/>
                <c:pt idx="0">
                  <c:v>dic</c:v>
                </c:pt>
              </c:strCache>
            </c:strRef>
          </c:cat>
          <c:val>
            <c:numRef>
              <c:f>'Ingresos (hist)'!$N$17</c:f>
              <c:numCache>
                <c:formatCode>_(* #,##0.00_);_(* \(#,##0.00\);_(* "-"??_);_(@_)</c:formatCode>
                <c:ptCount val="1"/>
                <c:pt idx="0">
                  <c:v>400</c:v>
                </c:pt>
              </c:numCache>
            </c:numRef>
          </c:val>
          <c:extLst>
            <c:ext xmlns:c16="http://schemas.microsoft.com/office/drawing/2014/chart" uri="{C3380CC4-5D6E-409C-BE32-E72D297353CC}">
              <c16:uniqueId val="{00000001-ECB9-4161-B985-FB434453A964}"/>
            </c:ext>
          </c:extLst>
        </c:ser>
        <c:ser>
          <c:idx val="2"/>
          <c:order val="2"/>
          <c:tx>
            <c:strRef>
              <c:f>'Ingresos (hist)'!$C$4</c:f>
              <c:strCache>
                <c:ptCount val="1"/>
                <c:pt idx="0">
                  <c:v>INGRESOS 2021</c:v>
                </c:pt>
              </c:strCache>
            </c:strRef>
          </c:tx>
          <c:spPr>
            <a:gradFill>
              <a:gsLst>
                <a:gs pos="100000">
                  <a:schemeClr val="accent3">
                    <a:alpha val="0"/>
                  </a:schemeClr>
                </a:gs>
                <a:gs pos="50000">
                  <a:schemeClr val="accent3"/>
                </a:gs>
              </a:gsLst>
              <a:lin ang="5400000" scaled="0"/>
            </a:gradFill>
            <a:ln>
              <a:noFill/>
            </a:ln>
            <a:effectLst/>
            <a:sp3d/>
          </c:spPr>
          <c:invertIfNegative val="0"/>
          <c:dLbls>
            <c:spPr>
              <a:solidFill>
                <a:schemeClr val="lt1"/>
              </a:solidFill>
              <a:ln w="12700" cap="flat" cmpd="sng" algn="ctr">
                <a:solidFill>
                  <a:schemeClr val="dk1"/>
                </a:solidFill>
                <a:prstDash val="solid"/>
                <a:miter lim="800000"/>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'Ingresos (hist)'!$N$15</c:f>
              <c:strCache>
                <c:ptCount val="1"/>
                <c:pt idx="0">
                  <c:v>dic</c:v>
                </c:pt>
              </c:strCache>
            </c:strRef>
          </c:cat>
          <c:val>
            <c:numRef>
              <c:f>'Ingresos (hist)'!$N$7</c:f>
              <c:numCache>
                <c:formatCode>_(* #,##0.00_);_(* \(#,##0.00\);_(* "-"??_);_(@_)</c:formatCode>
                <c:ptCount val="1"/>
                <c:pt idx="0">
                  <c:v>750</c:v>
                </c:pt>
              </c:numCache>
            </c:numRef>
          </c:val>
          <c:extLst>
            <c:ext xmlns:c16="http://schemas.microsoft.com/office/drawing/2014/chart" uri="{C3380CC4-5D6E-409C-BE32-E72D297353CC}">
              <c16:uniqueId val="{00000002-ECB9-4161-B985-FB434453A964}"/>
            </c:ext>
          </c:extLst>
        </c:ser>
        <c:dLbls>
          <c:showLegendKey val="0"/>
          <c:showVal val="0"/>
          <c:showCatName val="0"/>
          <c:showSerName val="0"/>
          <c:showPercent val="0"/>
          <c:showBubbleSize val="0"/>
        </c:dLbls>
        <c:gapWidth val="150"/>
        <c:gapDepth val="0"/>
        <c:shape val="box"/>
        <c:axId val="862302959"/>
        <c:axId val="862303375"/>
        <c:axId val="0"/>
      </c:bar3DChart>
      <c:catAx>
        <c:axId val="862302959"/>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862303375"/>
        <c:crosses val="autoZero"/>
        <c:auto val="1"/>
        <c:lblAlgn val="ctr"/>
        <c:lblOffset val="100"/>
        <c:noMultiLvlLbl val="0"/>
      </c:catAx>
      <c:valAx>
        <c:axId val="862303375"/>
        <c:scaling>
          <c:orientation val="minMax"/>
        </c:scaling>
        <c:delete val="0"/>
        <c:axPos val="l"/>
        <c:majorGridlines>
          <c:spPr>
            <a:ln w="9525" cap="flat" cmpd="sng" algn="ctr">
              <a:solidFill>
                <a:schemeClr val="tx1">
                  <a:lumMod val="5000"/>
                  <a:lumOff val="95000"/>
                </a:schemeClr>
              </a:solidFill>
              <a:round/>
            </a:ln>
            <a:effectLst/>
          </c:spPr>
        </c:majorGridlines>
        <c:numFmt formatCode="_(* #,##0.00_);_(* \(#,##0.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86230295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n-US"/>
              <a:t>Estancia media hotelera DMQ</a:t>
            </a:r>
          </a:p>
          <a:p>
            <a:pPr>
              <a:defRPr/>
            </a:pPr>
            <a:r>
              <a:rPr lang="en-US"/>
              <a:t>(noches)</a:t>
            </a:r>
          </a:p>
        </c:rich>
      </c:tx>
      <c:overlay val="0"/>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EC"/>
        </a:p>
      </c:txPr>
    </c:title>
    <c:autoTitleDeleted val="0"/>
    <c:plotArea>
      <c:layout>
        <c:manualLayout>
          <c:layoutTarget val="inner"/>
          <c:xMode val="edge"/>
          <c:yMode val="edge"/>
          <c:x val="1.0879461455100901E-2"/>
          <c:y val="0.35869239521025537"/>
          <c:w val="0.94862814721547639"/>
          <c:h val="0.47980082276949426"/>
        </c:manualLayout>
      </c:layout>
      <c:lineChart>
        <c:grouping val="standard"/>
        <c:varyColors val="0"/>
        <c:ser>
          <c:idx val="0"/>
          <c:order val="0"/>
          <c:tx>
            <c:strRef>
              <c:f>'Estancia hotelera'!$B$2</c:f>
              <c:strCache>
                <c:ptCount val="1"/>
                <c:pt idx="0">
                  <c:v>Estancia media hotelera DMQ (noches)</c:v>
                </c:pt>
              </c:strCache>
            </c:strRef>
          </c:tx>
          <c:spPr>
            <a:ln w="31750" cap="rnd">
              <a:solidFill>
                <a:schemeClr val="accent1"/>
              </a:solidFill>
              <a:round/>
            </a:ln>
            <a:effectLst>
              <a:outerShdw blurRad="40000" dist="23000" dir="5400000" rotWithShape="0">
                <a:srgbClr val="000000">
                  <a:alpha val="35000"/>
                </a:srgbClr>
              </a:outerShdw>
            </a:effectLst>
          </c:spPr>
          <c:marker>
            <c:symbol val="none"/>
          </c:marker>
          <c:dPt>
            <c:idx val="8"/>
            <c:marker>
              <c:symbol val="none"/>
            </c:marker>
            <c:bubble3D val="0"/>
            <c:extLst>
              <c:ext xmlns:c16="http://schemas.microsoft.com/office/drawing/2014/chart" uri="{C3380CC4-5D6E-409C-BE32-E72D297353CC}">
                <c16:uniqueId val="{00000000-4F21-4E11-992A-67A2590AE25F}"/>
              </c:ext>
            </c:extLst>
          </c:dPt>
          <c:dPt>
            <c:idx val="11"/>
            <c:marker>
              <c:symbol val="none"/>
            </c:marker>
            <c:bubble3D val="0"/>
            <c:extLst>
              <c:ext xmlns:c16="http://schemas.microsoft.com/office/drawing/2014/chart" uri="{C3380CC4-5D6E-409C-BE32-E72D297353CC}">
                <c16:uniqueId val="{00000001-4F21-4E11-992A-67A2590AE25F}"/>
              </c:ext>
            </c:extLst>
          </c:dPt>
          <c:dLbls>
            <c:spPr>
              <a:solidFill>
                <a:schemeClr val="lt1"/>
              </a:solidFill>
              <a:ln w="25400" cap="flat" cmpd="sng" algn="ctr">
                <a:solidFill>
                  <a:schemeClr val="dk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'Estancia hotelera'!$D$4:$S$4</c:f>
              <c:strCache>
                <c:ptCount val="16"/>
                <c:pt idx="0">
                  <c:v>2006</c:v>
                </c:pt>
                <c:pt idx="1">
                  <c:v>2007</c:v>
                </c:pt>
                <c:pt idx="2">
                  <c:v>2008</c:v>
                </c:pt>
                <c:pt idx="3">
                  <c:v>2009</c:v>
                </c:pt>
                <c:pt idx="4">
                  <c:v>2010</c:v>
                </c:pt>
                <c:pt idx="5">
                  <c:v>2011</c:v>
                </c:pt>
                <c:pt idx="6">
                  <c:v>2012</c:v>
                </c:pt>
                <c:pt idx="7">
                  <c:v>2013</c:v>
                </c:pt>
                <c:pt idx="8">
                  <c:v>2014</c:v>
                </c:pt>
                <c:pt idx="9">
                  <c:v>2015</c:v>
                </c:pt>
                <c:pt idx="10">
                  <c:v>2016</c:v>
                </c:pt>
                <c:pt idx="11">
                  <c:v>2017 (e) </c:v>
                </c:pt>
                <c:pt idx="12">
                  <c:v>2018 (e) </c:v>
                </c:pt>
                <c:pt idx="13">
                  <c:v>2019</c:v>
                </c:pt>
                <c:pt idx="14">
                  <c:v>2020</c:v>
                </c:pt>
                <c:pt idx="15">
                  <c:v>2021 (e) </c:v>
                </c:pt>
              </c:strCache>
            </c:strRef>
          </c:cat>
          <c:val>
            <c:numRef>
              <c:f>'Estancia hotelera'!$D$19:$S$19</c:f>
              <c:numCache>
                <c:formatCode>0.00</c:formatCode>
                <c:ptCount val="16"/>
                <c:pt idx="0">
                  <c:v>1.6355509319981032</c:v>
                </c:pt>
                <c:pt idx="1">
                  <c:v>1.6057938243488814</c:v>
                </c:pt>
                <c:pt idx="2">
                  <c:v>1.5220293541723511</c:v>
                </c:pt>
                <c:pt idx="3">
                  <c:v>1.4659289769839066</c:v>
                </c:pt>
                <c:pt idx="4">
                  <c:v>1.4492757533049243</c:v>
                </c:pt>
                <c:pt idx="5">
                  <c:v>1.4819725113027151</c:v>
                </c:pt>
                <c:pt idx="6">
                  <c:v>1.5431726537996364</c:v>
                </c:pt>
                <c:pt idx="7">
                  <c:v>1.5994361485517086</c:v>
                </c:pt>
                <c:pt idx="8">
                  <c:v>1.6156575134046374</c:v>
                </c:pt>
                <c:pt idx="9">
                  <c:v>1.5855894194982867</c:v>
                </c:pt>
                <c:pt idx="10">
                  <c:v>1.5566332188277681</c:v>
                </c:pt>
                <c:pt idx="11">
                  <c:v>1.5448134813886878</c:v>
                </c:pt>
                <c:pt idx="12">
                  <c:v>1.5756734082798449</c:v>
                </c:pt>
                <c:pt idx="13">
                  <c:v>1.48</c:v>
                </c:pt>
                <c:pt idx="14">
                  <c:v>1.48</c:v>
                </c:pt>
                <c:pt idx="15">
                  <c:v>1.1399999999999999</c:v>
                </c:pt>
              </c:numCache>
            </c:numRef>
          </c:val>
          <c:smooth val="0"/>
          <c:extLst>
            <c:ext xmlns:c16="http://schemas.microsoft.com/office/drawing/2014/chart" uri="{C3380CC4-5D6E-409C-BE32-E72D297353CC}">
              <c16:uniqueId val="{00000002-4F21-4E11-992A-67A2590AE25F}"/>
            </c:ext>
          </c:extLst>
        </c:ser>
        <c:dLbls>
          <c:dLblPos val="ctr"/>
          <c:showLegendKey val="0"/>
          <c:showVal val="1"/>
          <c:showCatName val="0"/>
          <c:showSerName val="0"/>
          <c:showPercent val="0"/>
          <c:showBubbleSize val="0"/>
        </c:dLbls>
        <c:smooth val="0"/>
        <c:axId val="-955698672"/>
        <c:axId val="-955699216"/>
      </c:lineChart>
      <c:catAx>
        <c:axId val="-955698672"/>
        <c:scaling>
          <c:orientation val="minMax"/>
        </c:scaling>
        <c:delete val="0"/>
        <c:axPos val="b"/>
        <c:numFmt formatCode="General" sourceLinked="1"/>
        <c:majorTickMark val="out"/>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EC"/>
          </a:p>
        </c:txPr>
        <c:crossAx val="-955699216"/>
        <c:crosses val="autoZero"/>
        <c:auto val="1"/>
        <c:lblAlgn val="ctr"/>
        <c:lblOffset val="100"/>
        <c:noMultiLvlLbl val="0"/>
      </c:catAx>
      <c:valAx>
        <c:axId val="-955699216"/>
        <c:scaling>
          <c:orientation val="minMax"/>
        </c:scaling>
        <c:delete val="0"/>
        <c:axPos val="l"/>
        <c:majorGridlines>
          <c:spPr>
            <a:ln w="9525" cap="flat" cmpd="sng" algn="ctr">
              <a:solidFill>
                <a:schemeClr val="tx2">
                  <a:lumMod val="15000"/>
                  <a:lumOff val="85000"/>
                </a:schemeClr>
              </a:solidFill>
              <a:round/>
            </a:ln>
            <a:effectLst/>
          </c:spPr>
        </c:majorGridlines>
        <c:numFmt formatCode="0.00" sourceLinked="1"/>
        <c:majorTickMark val="none"/>
        <c:minorTickMark val="none"/>
        <c:tickLblPos val="none"/>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EC"/>
          </a:p>
        </c:txPr>
        <c:crossAx val="-95569867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EC"/>
    </a:p>
  </c:txPr>
  <c:printSettings>
    <c:headerFooter/>
    <c:pageMargins b="0.75000000000000389" l="0.70000000000000062" r="0.70000000000000062" t="0.75000000000000389" header="0.30000000000000032" footer="0.30000000000000032"/>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'Estancia hotelera (PAISES)'!$Q$2</c:f>
          <c:strCache>
            <c:ptCount val="1"/>
            <c:pt idx="0">
              <c:v>Estancia media hotelera DMQ 
(noches) </c:v>
            </c:pt>
          </c:strCache>
        </c:strRef>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EC"/>
        </a:p>
      </c:txPr>
    </c:title>
    <c:autoTitleDeleted val="0"/>
    <c:plotArea>
      <c:layout/>
      <c:lineChart>
        <c:grouping val="standard"/>
        <c:varyColors val="0"/>
        <c:ser>
          <c:idx val="0"/>
          <c:order val="0"/>
          <c:spPr>
            <a:ln w="34925" cap="rnd">
              <a:solidFill>
                <a:schemeClr val="accent1"/>
              </a:solidFill>
              <a:round/>
            </a:ln>
            <a:effectLst>
              <a:outerShdw blurRad="40000" dist="23000" dir="5400000" rotWithShape="0">
                <a:srgbClr val="000000">
                  <a:alpha val="35000"/>
                </a:srgbClr>
              </a:outerShdw>
            </a:effectLst>
          </c:spPr>
          <c:marker>
            <c:symbol val="none"/>
          </c:marker>
          <c:dLbls>
            <c:spPr>
              <a:solidFill>
                <a:schemeClr val="lt1"/>
              </a:solidFill>
              <a:ln w="25400" cap="flat" cmpd="sng" algn="ctr">
                <a:solidFill>
                  <a:schemeClr val="accent2"/>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f>'Estancia hotelera (PAISES)'!$B$5:$B$10</c:f>
              <c:strCache>
                <c:ptCount val="6"/>
                <c:pt idx="0">
                  <c:v>QUITO</c:v>
                </c:pt>
                <c:pt idx="1">
                  <c:v>BOGOTA</c:v>
                </c:pt>
                <c:pt idx="2">
                  <c:v>BARCELONA </c:v>
                </c:pt>
                <c:pt idx="3">
                  <c:v>SANTIAGO </c:v>
                </c:pt>
                <c:pt idx="4">
                  <c:v>MADRID</c:v>
                </c:pt>
                <c:pt idx="5">
                  <c:v>PERU</c:v>
                </c:pt>
              </c:strCache>
            </c:strRef>
          </c:cat>
          <c:val>
            <c:numRef>
              <c:f>'Estancia hotelera (PAISES)'!$Q$5:$Q$10</c:f>
              <c:numCache>
                <c:formatCode>0.00</c:formatCode>
                <c:ptCount val="6"/>
                <c:pt idx="0">
                  <c:v>1.48</c:v>
                </c:pt>
                <c:pt idx="1">
                  <c:v>1.4349999999999998</c:v>
                </c:pt>
                <c:pt idx="2">
                  <c:v>2.5999999999999996</c:v>
                </c:pt>
                <c:pt idx="3">
                  <c:v>1.96</c:v>
                </c:pt>
                <c:pt idx="4">
                  <c:v>1.9737499999999997</c:v>
                </c:pt>
                <c:pt idx="5">
                  <c:v>1.4</c:v>
                </c:pt>
              </c:numCache>
            </c:numRef>
          </c:val>
          <c:smooth val="0"/>
          <c:extLst>
            <c:ext xmlns:c16="http://schemas.microsoft.com/office/drawing/2014/chart" uri="{C3380CC4-5D6E-409C-BE32-E72D297353CC}">
              <c16:uniqueId val="{00000000-1EFA-4A2C-8B0F-626E244F38CB}"/>
            </c:ext>
          </c:extLst>
        </c:ser>
        <c:dLbls>
          <c:dLblPos val="ctr"/>
          <c:showLegendKey val="0"/>
          <c:showVal val="1"/>
          <c:showCatName val="0"/>
          <c:showSerName val="0"/>
          <c:showPercent val="0"/>
          <c:showBubbleSize val="0"/>
        </c:dLbls>
        <c:smooth val="0"/>
        <c:axId val="-955697584"/>
        <c:axId val="-955702480"/>
      </c:lineChart>
      <c:catAx>
        <c:axId val="-955697584"/>
        <c:scaling>
          <c:orientation val="minMax"/>
        </c:scaling>
        <c:delete val="0"/>
        <c:axPos val="b"/>
        <c:numFmt formatCode="General" sourceLinked="1"/>
        <c:majorTickMark val="none"/>
        <c:minorTickMark val="none"/>
        <c:tickLblPos val="nextTo"/>
        <c:spPr>
          <a:noFill/>
          <a:ln w="9525" cap="flat" cmpd="sng" algn="ctr">
            <a:solidFill>
              <a:schemeClr val="lt1">
                <a:lumMod val="95000"/>
                <a:alpha val="10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C"/>
          </a:p>
        </c:txPr>
        <c:crossAx val="-955702480"/>
        <c:crosses val="autoZero"/>
        <c:auto val="1"/>
        <c:lblAlgn val="ctr"/>
        <c:lblOffset val="100"/>
        <c:noMultiLvlLbl val="0"/>
      </c:catAx>
      <c:valAx>
        <c:axId val="-955702480"/>
        <c:scaling>
          <c:orientation val="minMax"/>
        </c:scaling>
        <c:delete val="0"/>
        <c:axPos val="l"/>
        <c:majorGridlines>
          <c:spPr>
            <a:ln w="9525" cap="flat" cmpd="sng" algn="ctr">
              <a:solidFill>
                <a:schemeClr val="lt1">
                  <a:lumMod val="95000"/>
                  <a:alpha val="10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C"/>
          </a:p>
        </c:txPr>
        <c:crossAx val="-955697584"/>
        <c:crosses val="autoZero"/>
        <c:crossBetween val="between"/>
      </c:valAx>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EC"/>
    </a:p>
  </c:txPr>
  <c:printSettings>
    <c:headerFooter/>
    <c:pageMargins b="0.75" l="0.7" r="0.7" t="0.75" header="0.3" footer="0.3"/>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'Estancia hotelera (PAISES)'!$Q$2</c:f>
          <c:strCache>
            <c:ptCount val="1"/>
            <c:pt idx="0">
              <c:v>Estancia media hotelera DMQ 
(noches) </c:v>
            </c:pt>
          </c:strCache>
        </c:strRef>
      </c:tx>
      <c:overlay val="0"/>
      <c:spPr>
        <a:noFill/>
        <a:ln>
          <a:noFill/>
        </a:ln>
        <a:effectLst/>
      </c:spPr>
      <c:txPr>
        <a:bodyPr rot="0" spcFirstLastPara="1" vertOverflow="ellipsis" vert="horz" wrap="square" anchor="ctr" anchorCtr="1"/>
        <a:lstStyle/>
        <a:p>
          <a:pPr>
            <a:defRPr sz="1400" b="0" i="0" u="none" strike="noStrike" kern="1200" cap="none" spc="20" baseline="0">
              <a:solidFill>
                <a:schemeClr val="dk1">
                  <a:lumMod val="50000"/>
                  <a:lumOff val="50000"/>
                </a:schemeClr>
              </a:solidFill>
              <a:latin typeface="+mn-lt"/>
              <a:ea typeface="+mn-ea"/>
              <a:cs typeface="+mn-cs"/>
            </a:defRPr>
          </a:pPr>
          <a:endParaRPr lang="es-EC"/>
        </a:p>
      </c:txPr>
    </c:title>
    <c:autoTitleDeleted val="0"/>
    <c:plotArea>
      <c:layout/>
      <c:lineChart>
        <c:grouping val="standard"/>
        <c:varyColors val="0"/>
        <c:ser>
          <c:idx val="0"/>
          <c:order val="0"/>
          <c:tx>
            <c:strRef>
              <c:f>'Estancia hotelera (PAISES)'!$B$5</c:f>
              <c:strCache>
                <c:ptCount val="1"/>
                <c:pt idx="0">
                  <c:v>QUITO</c:v>
                </c:pt>
              </c:strCache>
            </c:strRef>
          </c:tx>
          <c:spPr>
            <a:ln w="22225" cap="rnd" cmpd="sng" algn="ctr">
              <a:solidFill>
                <a:schemeClr val="accent1"/>
              </a:solidFill>
              <a:round/>
            </a:ln>
            <a:effectLst/>
          </c:spPr>
          <c:marker>
            <c:symbol val="none"/>
          </c:marker>
          <c:dLbls>
            <c:spPr>
              <a:solidFill>
                <a:schemeClr val="lt1"/>
              </a:solidFill>
              <a:ln w="25400" cap="flat" cmpd="sng" algn="ctr">
                <a:solidFill>
                  <a:schemeClr val="accent6"/>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35000"/>
                          <a:lumOff val="65000"/>
                        </a:schemeClr>
                      </a:solidFill>
                    </a:ln>
                    <a:effectLst/>
                  </c:spPr>
                </c15:leaderLines>
              </c:ext>
            </c:extLst>
          </c:dLbls>
          <c:cat>
            <c:strRef>
              <c:f>'Estancia hotelera (PAISES)'!$C$3:$P$4</c:f>
              <c:strCache>
                <c:ptCount val="14"/>
                <c:pt idx="0">
                  <c:v>2006</c:v>
                </c:pt>
                <c:pt idx="1">
                  <c:v>2007</c:v>
                </c:pt>
                <c:pt idx="2">
                  <c:v>2008</c:v>
                </c:pt>
                <c:pt idx="3">
                  <c:v>2009</c:v>
                </c:pt>
                <c:pt idx="4">
                  <c:v>2010</c:v>
                </c:pt>
                <c:pt idx="5">
                  <c:v>2011</c:v>
                </c:pt>
                <c:pt idx="6">
                  <c:v>2012</c:v>
                </c:pt>
                <c:pt idx="7">
                  <c:v>2013</c:v>
                </c:pt>
                <c:pt idx="8">
                  <c:v>2014</c:v>
                </c:pt>
                <c:pt idx="9">
                  <c:v>2015</c:v>
                </c:pt>
                <c:pt idx="10">
                  <c:v>2016</c:v>
                </c:pt>
                <c:pt idx="11">
                  <c:v>2017 (e) </c:v>
                </c:pt>
                <c:pt idx="12">
                  <c:v>2018 (e) </c:v>
                </c:pt>
                <c:pt idx="13">
                  <c:v>2019 (e) </c:v>
                </c:pt>
              </c:strCache>
            </c:strRef>
          </c:cat>
          <c:val>
            <c:numRef>
              <c:f>'Estancia hotelera (PAISES)'!$C$5:$P$5</c:f>
              <c:numCache>
                <c:formatCode>0.00</c:formatCode>
                <c:ptCount val="14"/>
                <c:pt idx="0">
                  <c:v>1.6355509319981032</c:v>
                </c:pt>
                <c:pt idx="1">
                  <c:v>1.6057938243488814</c:v>
                </c:pt>
                <c:pt idx="2">
                  <c:v>1.5220293541723511</c:v>
                </c:pt>
                <c:pt idx="3">
                  <c:v>1.4659289769839066</c:v>
                </c:pt>
                <c:pt idx="4">
                  <c:v>1.4492757533049243</c:v>
                </c:pt>
                <c:pt idx="5">
                  <c:v>1.4819725113027151</c:v>
                </c:pt>
                <c:pt idx="6">
                  <c:v>1.5431726537996364</c:v>
                </c:pt>
                <c:pt idx="7">
                  <c:v>1.5994361485517086</c:v>
                </c:pt>
                <c:pt idx="8">
                  <c:v>1.6156575134046374</c:v>
                </c:pt>
                <c:pt idx="9">
                  <c:v>1.5855894194982867</c:v>
                </c:pt>
                <c:pt idx="10">
                  <c:v>1.5566332188277681</c:v>
                </c:pt>
                <c:pt idx="11">
                  <c:v>1.5448134813886878</c:v>
                </c:pt>
                <c:pt idx="12">
                  <c:v>1.5756734082798449</c:v>
                </c:pt>
                <c:pt idx="13">
                  <c:v>1.48</c:v>
                </c:pt>
              </c:numCache>
            </c:numRef>
          </c:val>
          <c:smooth val="0"/>
          <c:extLst>
            <c:ext xmlns:c16="http://schemas.microsoft.com/office/drawing/2014/chart" uri="{C3380CC4-5D6E-409C-BE32-E72D297353CC}">
              <c16:uniqueId val="{00000000-79F1-461A-A915-AAA330AA15E6}"/>
            </c:ext>
          </c:extLst>
        </c:ser>
        <c:dLbls>
          <c:dLblPos val="ctr"/>
          <c:showLegendKey val="0"/>
          <c:showVal val="1"/>
          <c:showCatName val="0"/>
          <c:showSerName val="0"/>
          <c:showPercent val="0"/>
          <c:showBubbleSize val="0"/>
        </c:dLbls>
        <c:dropLines>
          <c:spPr>
            <a:ln w="9525" cap="flat" cmpd="sng" algn="ctr">
              <a:solidFill>
                <a:schemeClr val="dk1">
                  <a:lumMod val="35000"/>
                  <a:lumOff val="65000"/>
                  <a:alpha val="33000"/>
                </a:schemeClr>
              </a:solidFill>
              <a:round/>
            </a:ln>
            <a:effectLst/>
          </c:spPr>
        </c:dropLines>
        <c:smooth val="0"/>
        <c:axId val="-956943856"/>
        <c:axId val="-956938416"/>
      </c:lineChart>
      <c:catAx>
        <c:axId val="-956943856"/>
        <c:scaling>
          <c:orientation val="minMax"/>
        </c:scaling>
        <c:delete val="0"/>
        <c:axPos val="b"/>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EC"/>
          </a:p>
        </c:txPr>
        <c:crossAx val="-956938416"/>
        <c:crosses val="autoZero"/>
        <c:auto val="1"/>
        <c:lblAlgn val="ctr"/>
        <c:lblOffset val="100"/>
        <c:noMultiLvlLbl val="0"/>
      </c:catAx>
      <c:valAx>
        <c:axId val="-956938416"/>
        <c:scaling>
          <c:orientation val="minMax"/>
        </c:scaling>
        <c:delete val="0"/>
        <c:axPos val="l"/>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EC"/>
          </a:p>
        </c:txPr>
        <c:crossAx val="-956943856"/>
        <c:crosses val="autoZero"/>
        <c:crossBetween val="between"/>
      </c:valAx>
      <c:spPr>
        <a:gradFill>
          <a:gsLst>
            <a:gs pos="100000">
              <a:schemeClr val="lt1">
                <a:lumMod val="95000"/>
              </a:schemeClr>
            </a:gs>
            <a:gs pos="0">
              <a:schemeClr val="lt1"/>
            </a:gs>
          </a:gsLst>
          <a:lin ang="5400000" scaled="0"/>
        </a:grad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all" spc="120" normalizeH="0" baseline="0">
                <a:solidFill>
                  <a:schemeClr val="tx1">
                    <a:lumMod val="65000"/>
                    <a:lumOff val="35000"/>
                  </a:schemeClr>
                </a:solidFill>
                <a:latin typeface="+mn-lt"/>
                <a:ea typeface="+mn-ea"/>
                <a:cs typeface="+mn-cs"/>
              </a:defRPr>
            </a:pPr>
            <a:r>
              <a:rPr lang="es-EC" sz="1400"/>
              <a:t>Tarifa Promedio de Ciudad de Habitación Ocupada (USD$)</a:t>
            </a:r>
          </a:p>
        </c:rich>
      </c:tx>
      <c:overlay val="0"/>
      <c:spPr>
        <a:noFill/>
        <a:ln>
          <a:noFill/>
        </a:ln>
        <a:effectLst/>
      </c:spPr>
      <c:txPr>
        <a:bodyPr rot="0" spcFirstLastPara="1" vertOverflow="ellipsis" vert="horz" wrap="square" anchor="ctr" anchorCtr="1"/>
        <a:lstStyle/>
        <a:p>
          <a:pPr>
            <a:defRPr sz="1400" b="1" i="0" u="none" strike="noStrike" kern="1200" cap="all" spc="120" normalizeH="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1.6516516516516516E-2"/>
          <c:y val="0.26941176470588235"/>
          <c:w val="0.96696696696696693"/>
          <c:h val="0.55632104810428107"/>
        </c:manualLayout>
      </c:layout>
      <c:lineChart>
        <c:grouping val="standard"/>
        <c:varyColors val="0"/>
        <c:ser>
          <c:idx val="0"/>
          <c:order val="0"/>
          <c:spPr>
            <a:ln w="22225" cap="rnd">
              <a:solidFill>
                <a:schemeClr val="accent1"/>
              </a:solidFill>
              <a:round/>
            </a:ln>
            <a:effectLst/>
          </c:spPr>
          <c:marker>
            <c:symbol val="diamond"/>
            <c:size val="6"/>
            <c:spPr>
              <a:solidFill>
                <a:schemeClr val="accent1"/>
              </a:solidFill>
              <a:ln w="9525">
                <a:solidFill>
                  <a:schemeClr val="accent1"/>
                </a:solidFill>
                <a:round/>
              </a:ln>
              <a:effectLst/>
            </c:spPr>
          </c:marker>
          <c:dPt>
            <c:idx val="8"/>
            <c:marker>
              <c:symbol val="diamond"/>
              <c:size val="6"/>
              <c:spPr>
                <a:solidFill>
                  <a:schemeClr val="accent1"/>
                </a:solidFill>
                <a:ln w="9525">
                  <a:solidFill>
                    <a:schemeClr val="accent1"/>
                  </a:solidFill>
                  <a:round/>
                </a:ln>
                <a:effectLst/>
              </c:spPr>
            </c:marker>
            <c:bubble3D val="0"/>
            <c:extLst>
              <c:ext xmlns:c16="http://schemas.microsoft.com/office/drawing/2014/chart" uri="{C3380CC4-5D6E-409C-BE32-E72D297353CC}">
                <c16:uniqueId val="{00000000-5A63-4701-8671-1F54A3736D9D}"/>
              </c:ext>
            </c:extLst>
          </c:dPt>
          <c:dLbls>
            <c:dLbl>
              <c:idx val="8"/>
              <c:layout>
                <c:manualLayout>
                  <c:x val="-3.2203069210943228E-3"/>
                  <c:y val="-2.2157524427094187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A63-4701-8671-1F54A3736D9D}"/>
                </c:ext>
              </c:extLst>
            </c:dLbl>
            <c:dLbl>
              <c:idx val="9"/>
              <c:layout>
                <c:manualLayout>
                  <c:x val="-1.1010883812341616E-16"/>
                  <c:y val="-1.68067226890756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A63-4701-8671-1F54A3736D9D}"/>
                </c:ext>
              </c:extLst>
            </c:dLbl>
            <c:dLbl>
              <c:idx val="11"/>
              <c:spPr>
                <a:solidFill>
                  <a:srgbClr val="FFC000"/>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s-EC"/>
                </a:p>
              </c:txPr>
              <c:showLegendKey val="0"/>
              <c:showVal val="1"/>
              <c:showCatName val="0"/>
              <c:showSerName val="0"/>
              <c:showPercent val="0"/>
              <c:showBubbleSize val="0"/>
              <c:extLst>
                <c:ext xmlns:c16="http://schemas.microsoft.com/office/drawing/2014/chart" uri="{C3380CC4-5D6E-409C-BE32-E72D297353CC}">
                  <c16:uniqueId val="{00000001-F237-46FC-85B1-25773247C44C}"/>
                </c:ext>
              </c:extLst>
            </c:dLbl>
            <c:spPr>
              <a:solidFill>
                <a:schemeClr val="accent1">
                  <a:lumMod val="20000"/>
                  <a:lumOff val="8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'Tarifa Promedio Hab ocupada'!$FA$4:$FP$4</c:f>
              <c:strCache>
                <c:ptCount val="16"/>
                <c:pt idx="0">
                  <c:v>2006</c:v>
                </c:pt>
                <c:pt idx="1">
                  <c:v>2007</c:v>
                </c:pt>
                <c:pt idx="2">
                  <c:v>2008</c:v>
                </c:pt>
                <c:pt idx="3">
                  <c:v>2009</c:v>
                </c:pt>
                <c:pt idx="4">
                  <c:v>2010</c:v>
                </c:pt>
                <c:pt idx="5">
                  <c:v>2011</c:v>
                </c:pt>
                <c:pt idx="6">
                  <c:v>2012</c:v>
                </c:pt>
                <c:pt idx="7">
                  <c:v>2013</c:v>
                </c:pt>
                <c:pt idx="8">
                  <c:v>2014</c:v>
                </c:pt>
                <c:pt idx="9">
                  <c:v>2015</c:v>
                </c:pt>
                <c:pt idx="10">
                  <c:v>2016</c:v>
                </c:pt>
                <c:pt idx="11">
                  <c:v>2017 (e) </c:v>
                </c:pt>
                <c:pt idx="12">
                  <c:v>2018 (e) </c:v>
                </c:pt>
                <c:pt idx="13">
                  <c:v>2019</c:v>
                </c:pt>
                <c:pt idx="14">
                  <c:v>2020</c:v>
                </c:pt>
                <c:pt idx="15">
                  <c:v>2021 (e) </c:v>
                </c:pt>
              </c:strCache>
            </c:strRef>
          </c:cat>
          <c:val>
            <c:numRef>
              <c:f>'Tarifa Promedio Hab ocupada'!$FA$7:$FP$7</c:f>
              <c:numCache>
                <c:formatCode>0.0</c:formatCode>
                <c:ptCount val="16"/>
                <c:pt idx="0">
                  <c:v>48.286290340928261</c:v>
                </c:pt>
                <c:pt idx="1">
                  <c:v>49.779483393362504</c:v>
                </c:pt>
                <c:pt idx="2">
                  <c:v>54.815508419813391</c:v>
                </c:pt>
                <c:pt idx="3">
                  <c:v>53.558617307014607</c:v>
                </c:pt>
                <c:pt idx="4">
                  <c:v>56.79727347708026</c:v>
                </c:pt>
                <c:pt idx="5">
                  <c:v>59.405705592675915</c:v>
                </c:pt>
                <c:pt idx="6">
                  <c:v>66.535870535674064</c:v>
                </c:pt>
                <c:pt idx="7">
                  <c:v>70.816867591603753</c:v>
                </c:pt>
                <c:pt idx="8">
                  <c:v>74.546770196242463</c:v>
                </c:pt>
                <c:pt idx="9">
                  <c:v>74.014241640131232</c:v>
                </c:pt>
                <c:pt idx="10">
                  <c:v>75.128842081056305</c:v>
                </c:pt>
                <c:pt idx="11">
                  <c:v>74.830703976826754</c:v>
                </c:pt>
                <c:pt idx="12">
                  <c:v>73.867485097172107</c:v>
                </c:pt>
                <c:pt idx="13">
                  <c:v>76.849999999999994</c:v>
                </c:pt>
                <c:pt idx="14">
                  <c:v>72.569999999999993</c:v>
                </c:pt>
                <c:pt idx="15">
                  <c:v>86.74</c:v>
                </c:pt>
              </c:numCache>
            </c:numRef>
          </c:val>
          <c:smooth val="0"/>
          <c:extLst>
            <c:ext xmlns:c16="http://schemas.microsoft.com/office/drawing/2014/chart" uri="{C3380CC4-5D6E-409C-BE32-E72D297353CC}">
              <c16:uniqueId val="{00000003-5A63-4701-8671-1F54A3736D9D}"/>
            </c:ext>
          </c:extLst>
        </c:ser>
        <c:dLbls>
          <c:showLegendKey val="0"/>
          <c:showVal val="1"/>
          <c:showCatName val="0"/>
          <c:showSerName val="0"/>
          <c:showPercent val="0"/>
          <c:showBubbleSize val="0"/>
        </c:dLbls>
        <c:marker val="1"/>
        <c:smooth val="0"/>
        <c:axId val="-956937872"/>
        <c:axId val="-956942768"/>
      </c:lineChart>
      <c:catAx>
        <c:axId val="-956937872"/>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es-EC"/>
          </a:p>
        </c:txPr>
        <c:crossAx val="-956942768"/>
        <c:crosses val="autoZero"/>
        <c:auto val="1"/>
        <c:lblAlgn val="ctr"/>
        <c:lblOffset val="100"/>
        <c:noMultiLvlLbl val="0"/>
      </c:catAx>
      <c:valAx>
        <c:axId val="-956942768"/>
        <c:scaling>
          <c:orientation val="minMax"/>
        </c:scaling>
        <c:delete val="0"/>
        <c:axPos val="l"/>
        <c:numFmt formatCode="0.0" sourceLinked="1"/>
        <c:majorTickMark val="none"/>
        <c:minorTickMark val="none"/>
        <c:tickLblPos val="none"/>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956937872"/>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289" l="0.70000000000000062" r="0.70000000000000062" t="0.75000000000000289" header="0.30000000000000032" footer="0.30000000000000032"/>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all" spc="120" normalizeH="0" baseline="0">
                <a:solidFill>
                  <a:schemeClr val="tx1">
                    <a:lumMod val="65000"/>
                    <a:lumOff val="35000"/>
                  </a:schemeClr>
                </a:solidFill>
                <a:latin typeface="+mn-lt"/>
                <a:ea typeface="+mn-ea"/>
                <a:cs typeface="+mn-cs"/>
              </a:defRPr>
            </a:pPr>
            <a:r>
              <a:rPr lang="es-EC" sz="1400"/>
              <a:t>Tarifa Promedio de Ciudad de Habitación Ocupada (USD$)</a:t>
            </a:r>
          </a:p>
        </c:rich>
      </c:tx>
      <c:overlay val="0"/>
      <c:spPr>
        <a:noFill/>
        <a:ln>
          <a:noFill/>
        </a:ln>
        <a:effectLst/>
      </c:spPr>
      <c:txPr>
        <a:bodyPr rot="0" spcFirstLastPara="1" vertOverflow="ellipsis" vert="horz" wrap="square" anchor="ctr" anchorCtr="1"/>
        <a:lstStyle/>
        <a:p>
          <a:pPr>
            <a:defRPr sz="1400" b="1" i="0" u="none" strike="noStrike" kern="1200" cap="all" spc="120" normalizeH="0" baseline="0">
              <a:solidFill>
                <a:schemeClr val="tx1">
                  <a:lumMod val="65000"/>
                  <a:lumOff val="35000"/>
                </a:schemeClr>
              </a:solidFill>
              <a:latin typeface="+mn-lt"/>
              <a:ea typeface="+mn-ea"/>
              <a:cs typeface="+mn-cs"/>
            </a:defRPr>
          </a:pPr>
          <a:endParaRPr lang="es-EC"/>
        </a:p>
      </c:txPr>
    </c:title>
    <c:autoTitleDeleted val="0"/>
    <c:plotArea>
      <c:layout/>
      <c:lineChart>
        <c:grouping val="standard"/>
        <c:varyColors val="0"/>
        <c:ser>
          <c:idx val="0"/>
          <c:order val="0"/>
          <c:tx>
            <c:strRef>
              <c:f>'Tarifa Promedio Hab ocupada'!$B$8</c:f>
              <c:strCache>
                <c:ptCount val="1"/>
                <c:pt idx="0">
                  <c:v>5 estrellas (Lujo)</c:v>
                </c:pt>
              </c:strCache>
            </c:strRef>
          </c:tx>
          <c:spPr>
            <a:ln w="22225" cap="rnd">
              <a:solidFill>
                <a:schemeClr val="accent1"/>
              </a:solidFill>
              <a:round/>
            </a:ln>
            <a:effectLst/>
          </c:spPr>
          <c:marker>
            <c:symbol val="diamond"/>
            <c:size val="6"/>
            <c:spPr>
              <a:solidFill>
                <a:schemeClr val="accent1"/>
              </a:solidFill>
              <a:ln w="9525">
                <a:solidFill>
                  <a:schemeClr val="accent1"/>
                </a:solidFill>
                <a:round/>
              </a:ln>
              <a:effectLst/>
            </c:spPr>
          </c:marker>
          <c:dPt>
            <c:idx val="8"/>
            <c:marker>
              <c:symbol val="diamond"/>
              <c:size val="6"/>
              <c:spPr>
                <a:solidFill>
                  <a:schemeClr val="accent1"/>
                </a:solidFill>
                <a:ln w="9525">
                  <a:solidFill>
                    <a:schemeClr val="accent1"/>
                  </a:solidFill>
                  <a:round/>
                </a:ln>
                <a:effectLst/>
              </c:spPr>
            </c:marker>
            <c:bubble3D val="0"/>
            <c:extLst>
              <c:ext xmlns:c16="http://schemas.microsoft.com/office/drawing/2014/chart" uri="{C3380CC4-5D6E-409C-BE32-E72D297353CC}">
                <c16:uniqueId val="{00000000-B32C-4EAD-BDDD-A6C53E0A7C9E}"/>
              </c:ext>
            </c:extLst>
          </c:dPt>
          <c:dLbls>
            <c:dLbl>
              <c:idx val="11"/>
              <c:spPr>
                <a:solidFill>
                  <a:srgbClr val="FFC000"/>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s-EC"/>
                </a:p>
              </c:txPr>
              <c:showLegendKey val="0"/>
              <c:showVal val="1"/>
              <c:showCatName val="0"/>
              <c:showSerName val="0"/>
              <c:showPercent val="0"/>
              <c:showBubbleSize val="0"/>
              <c:extLst>
                <c:ext xmlns:c16="http://schemas.microsoft.com/office/drawing/2014/chart" uri="{C3380CC4-5D6E-409C-BE32-E72D297353CC}">
                  <c16:uniqueId val="{00000002-B32C-4EAD-BDDD-A6C53E0A7C9E}"/>
                </c:ext>
              </c:extLst>
            </c:dLbl>
            <c:spPr>
              <a:solidFill>
                <a:schemeClr val="accent1">
                  <a:lumMod val="20000"/>
                  <a:lumOff val="8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'Tarifa Promedio Hab ocupada'!$FA$4:$FP$4</c:f>
              <c:strCache>
                <c:ptCount val="16"/>
                <c:pt idx="0">
                  <c:v>2006</c:v>
                </c:pt>
                <c:pt idx="1">
                  <c:v>2007</c:v>
                </c:pt>
                <c:pt idx="2">
                  <c:v>2008</c:v>
                </c:pt>
                <c:pt idx="3">
                  <c:v>2009</c:v>
                </c:pt>
                <c:pt idx="4">
                  <c:v>2010</c:v>
                </c:pt>
                <c:pt idx="5">
                  <c:v>2011</c:v>
                </c:pt>
                <c:pt idx="6">
                  <c:v>2012</c:v>
                </c:pt>
                <c:pt idx="7">
                  <c:v>2013</c:v>
                </c:pt>
                <c:pt idx="8">
                  <c:v>2014</c:v>
                </c:pt>
                <c:pt idx="9">
                  <c:v>2015</c:v>
                </c:pt>
                <c:pt idx="10">
                  <c:v>2016</c:v>
                </c:pt>
                <c:pt idx="11">
                  <c:v>2017 (e) </c:v>
                </c:pt>
                <c:pt idx="12">
                  <c:v>2018 (e) </c:v>
                </c:pt>
                <c:pt idx="13">
                  <c:v>2019</c:v>
                </c:pt>
                <c:pt idx="14">
                  <c:v>2020</c:v>
                </c:pt>
                <c:pt idx="15">
                  <c:v>2021 (e) </c:v>
                </c:pt>
              </c:strCache>
            </c:strRef>
          </c:cat>
          <c:val>
            <c:numRef>
              <c:f>'Tarifa Promedio Hab ocupada'!$FA$8:$FP$8</c:f>
              <c:numCache>
                <c:formatCode>0.0</c:formatCode>
                <c:ptCount val="16"/>
                <c:pt idx="0">
                  <c:v>72.033791741468605</c:v>
                </c:pt>
                <c:pt idx="1">
                  <c:v>75.322999796354281</c:v>
                </c:pt>
                <c:pt idx="2">
                  <c:v>85.686550527563043</c:v>
                </c:pt>
                <c:pt idx="3">
                  <c:v>85.012639471846839</c:v>
                </c:pt>
                <c:pt idx="4">
                  <c:v>88.602935399599644</c:v>
                </c:pt>
                <c:pt idx="5">
                  <c:v>92.869974859717217</c:v>
                </c:pt>
                <c:pt idx="6">
                  <c:v>103.8996481503053</c:v>
                </c:pt>
                <c:pt idx="7">
                  <c:v>107.48127913034415</c:v>
                </c:pt>
                <c:pt idx="8">
                  <c:v>108.36970892473407</c:v>
                </c:pt>
                <c:pt idx="9">
                  <c:v>109.76973658136149</c:v>
                </c:pt>
                <c:pt idx="10">
                  <c:v>111.32438408792268</c:v>
                </c:pt>
                <c:pt idx="11">
                  <c:v>110.77102068584797</c:v>
                </c:pt>
                <c:pt idx="12">
                  <c:v>100.971</c:v>
                </c:pt>
                <c:pt idx="13">
                  <c:v>97.01</c:v>
                </c:pt>
                <c:pt idx="14">
                  <c:v>101.03</c:v>
                </c:pt>
                <c:pt idx="15">
                  <c:v>118.27</c:v>
                </c:pt>
              </c:numCache>
            </c:numRef>
          </c:val>
          <c:smooth val="0"/>
          <c:extLst>
            <c:ext xmlns:c16="http://schemas.microsoft.com/office/drawing/2014/chart" uri="{C3380CC4-5D6E-409C-BE32-E72D297353CC}">
              <c16:uniqueId val="{00000003-B32C-4EAD-BDDD-A6C53E0A7C9E}"/>
            </c:ext>
          </c:extLst>
        </c:ser>
        <c:ser>
          <c:idx val="1"/>
          <c:order val="1"/>
          <c:tx>
            <c:strRef>
              <c:f>'Tarifa Promedio Hab ocupada'!$B$9</c:f>
              <c:strCache>
                <c:ptCount val="1"/>
                <c:pt idx="0">
                  <c:v>4 estrellas (Primera)</c:v>
                </c:pt>
              </c:strCache>
            </c:strRef>
          </c:tx>
          <c:spPr>
            <a:ln w="22225" cap="rnd">
              <a:solidFill>
                <a:schemeClr val="accent2"/>
              </a:solidFill>
              <a:round/>
            </a:ln>
            <a:effectLst/>
          </c:spPr>
          <c:marker>
            <c:symbol val="square"/>
            <c:size val="6"/>
            <c:spPr>
              <a:solidFill>
                <a:schemeClr val="accent2"/>
              </a:solidFill>
              <a:ln w="9525">
                <a:solidFill>
                  <a:schemeClr val="accent2"/>
                </a:solidFill>
                <a:round/>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'Tarifa Promedio Hab ocupada'!$FA$4:$FP$4</c:f>
              <c:strCache>
                <c:ptCount val="16"/>
                <c:pt idx="0">
                  <c:v>2006</c:v>
                </c:pt>
                <c:pt idx="1">
                  <c:v>2007</c:v>
                </c:pt>
                <c:pt idx="2">
                  <c:v>2008</c:v>
                </c:pt>
                <c:pt idx="3">
                  <c:v>2009</c:v>
                </c:pt>
                <c:pt idx="4">
                  <c:v>2010</c:v>
                </c:pt>
                <c:pt idx="5">
                  <c:v>2011</c:v>
                </c:pt>
                <c:pt idx="6">
                  <c:v>2012</c:v>
                </c:pt>
                <c:pt idx="7">
                  <c:v>2013</c:v>
                </c:pt>
                <c:pt idx="8">
                  <c:v>2014</c:v>
                </c:pt>
                <c:pt idx="9">
                  <c:v>2015</c:v>
                </c:pt>
                <c:pt idx="10">
                  <c:v>2016</c:v>
                </c:pt>
                <c:pt idx="11">
                  <c:v>2017 (e) </c:v>
                </c:pt>
                <c:pt idx="12">
                  <c:v>2018 (e) </c:v>
                </c:pt>
                <c:pt idx="13">
                  <c:v>2019</c:v>
                </c:pt>
                <c:pt idx="14">
                  <c:v>2020</c:v>
                </c:pt>
                <c:pt idx="15">
                  <c:v>2021 (e) </c:v>
                </c:pt>
              </c:strCache>
            </c:strRef>
          </c:cat>
          <c:val>
            <c:numRef>
              <c:f>'Tarifa Promedio Hab ocupada'!$FA$9:$FP$9</c:f>
              <c:numCache>
                <c:formatCode>0.0</c:formatCode>
                <c:ptCount val="16"/>
                <c:pt idx="0">
                  <c:v>38.683155736526871</c:v>
                </c:pt>
                <c:pt idx="1">
                  <c:v>39.233737813697665</c:v>
                </c:pt>
                <c:pt idx="2">
                  <c:v>42.971202652693087</c:v>
                </c:pt>
                <c:pt idx="3">
                  <c:v>44.694139268646495</c:v>
                </c:pt>
                <c:pt idx="4">
                  <c:v>51.676991153507117</c:v>
                </c:pt>
                <c:pt idx="5">
                  <c:v>52.724840462576353</c:v>
                </c:pt>
                <c:pt idx="6">
                  <c:v>57.17989566432805</c:v>
                </c:pt>
                <c:pt idx="7">
                  <c:v>65.881004587108848</c:v>
                </c:pt>
                <c:pt idx="8">
                  <c:v>71.127635656641971</c:v>
                </c:pt>
                <c:pt idx="9">
                  <c:v>70.751485187846001</c:v>
                </c:pt>
                <c:pt idx="10">
                  <c:v>73.191647386778854</c:v>
                </c:pt>
                <c:pt idx="11">
                  <c:v>72.461903330985947</c:v>
                </c:pt>
                <c:pt idx="12">
                  <c:v>65.051999999999992</c:v>
                </c:pt>
                <c:pt idx="13">
                  <c:v>78.28</c:v>
                </c:pt>
                <c:pt idx="14">
                  <c:v>73.77</c:v>
                </c:pt>
                <c:pt idx="15">
                  <c:v>83.98</c:v>
                </c:pt>
              </c:numCache>
            </c:numRef>
          </c:val>
          <c:smooth val="0"/>
          <c:extLst>
            <c:ext xmlns:c16="http://schemas.microsoft.com/office/drawing/2014/chart" uri="{C3380CC4-5D6E-409C-BE32-E72D297353CC}">
              <c16:uniqueId val="{00000005-B32C-4EAD-BDDD-A6C53E0A7C9E}"/>
            </c:ext>
          </c:extLst>
        </c:ser>
        <c:ser>
          <c:idx val="2"/>
          <c:order val="2"/>
          <c:tx>
            <c:strRef>
              <c:f>'Tarifa Promedio Hab ocupada'!$B$10</c:f>
              <c:strCache>
                <c:ptCount val="1"/>
                <c:pt idx="0">
                  <c:v>3 estrellas (Segunda)</c:v>
                </c:pt>
              </c:strCache>
            </c:strRef>
          </c:tx>
          <c:spPr>
            <a:ln w="22225" cap="rnd">
              <a:solidFill>
                <a:schemeClr val="accent3"/>
              </a:solidFill>
              <a:round/>
            </a:ln>
            <a:effectLst/>
          </c:spPr>
          <c:marker>
            <c:symbol val="triangle"/>
            <c:size val="6"/>
            <c:spPr>
              <a:solidFill>
                <a:schemeClr val="accent3"/>
              </a:solidFill>
              <a:ln w="9525">
                <a:solidFill>
                  <a:schemeClr val="accent3"/>
                </a:solidFill>
                <a:round/>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'Tarifa Promedio Hab ocupada'!$FA$4:$FP$4</c:f>
              <c:strCache>
                <c:ptCount val="16"/>
                <c:pt idx="0">
                  <c:v>2006</c:v>
                </c:pt>
                <c:pt idx="1">
                  <c:v>2007</c:v>
                </c:pt>
                <c:pt idx="2">
                  <c:v>2008</c:v>
                </c:pt>
                <c:pt idx="3">
                  <c:v>2009</c:v>
                </c:pt>
                <c:pt idx="4">
                  <c:v>2010</c:v>
                </c:pt>
                <c:pt idx="5">
                  <c:v>2011</c:v>
                </c:pt>
                <c:pt idx="6">
                  <c:v>2012</c:v>
                </c:pt>
                <c:pt idx="7">
                  <c:v>2013</c:v>
                </c:pt>
                <c:pt idx="8">
                  <c:v>2014</c:v>
                </c:pt>
                <c:pt idx="9">
                  <c:v>2015</c:v>
                </c:pt>
                <c:pt idx="10">
                  <c:v>2016</c:v>
                </c:pt>
                <c:pt idx="11">
                  <c:v>2017 (e) </c:v>
                </c:pt>
                <c:pt idx="12">
                  <c:v>2018 (e) </c:v>
                </c:pt>
                <c:pt idx="13">
                  <c:v>2019</c:v>
                </c:pt>
                <c:pt idx="14">
                  <c:v>2020</c:v>
                </c:pt>
                <c:pt idx="15">
                  <c:v>2021 (e) </c:v>
                </c:pt>
              </c:strCache>
            </c:strRef>
          </c:cat>
          <c:val>
            <c:numRef>
              <c:f>'Tarifa Promedio Hab ocupada'!$FA$10:$FP$10</c:f>
              <c:numCache>
                <c:formatCode>0.0</c:formatCode>
                <c:ptCount val="16"/>
                <c:pt idx="0">
                  <c:v>16.642200553434321</c:v>
                </c:pt>
                <c:pt idx="1">
                  <c:v>18.318993743242942</c:v>
                </c:pt>
                <c:pt idx="2">
                  <c:v>18.992010550809084</c:v>
                </c:pt>
                <c:pt idx="3">
                  <c:v>19.543735233633136</c:v>
                </c:pt>
                <c:pt idx="4">
                  <c:v>19.886163350331515</c:v>
                </c:pt>
                <c:pt idx="5">
                  <c:v>20.574926165884836</c:v>
                </c:pt>
                <c:pt idx="6">
                  <c:v>24.67920254920412</c:v>
                </c:pt>
                <c:pt idx="7">
                  <c:v>25.571024828160251</c:v>
                </c:pt>
                <c:pt idx="8">
                  <c:v>30.034124512722617</c:v>
                </c:pt>
                <c:pt idx="9">
                  <c:v>29.809169797596006</c:v>
                </c:pt>
                <c:pt idx="10">
                  <c:v>29.263269989189585</c:v>
                </c:pt>
                <c:pt idx="11">
                  <c:v>29.566671308973152</c:v>
                </c:pt>
                <c:pt idx="12">
                  <c:v>33</c:v>
                </c:pt>
                <c:pt idx="13">
                  <c:v>41.45</c:v>
                </c:pt>
                <c:pt idx="14">
                  <c:v>53.37</c:v>
                </c:pt>
                <c:pt idx="15">
                  <c:v>60.18</c:v>
                </c:pt>
              </c:numCache>
            </c:numRef>
          </c:val>
          <c:smooth val="0"/>
          <c:extLst>
            <c:ext xmlns:c16="http://schemas.microsoft.com/office/drawing/2014/chart" uri="{C3380CC4-5D6E-409C-BE32-E72D297353CC}">
              <c16:uniqueId val="{00000006-B32C-4EAD-BDDD-A6C53E0A7C9E}"/>
            </c:ext>
          </c:extLst>
        </c:ser>
        <c:dLbls>
          <c:showLegendKey val="0"/>
          <c:showVal val="1"/>
          <c:showCatName val="0"/>
          <c:showSerName val="0"/>
          <c:showPercent val="0"/>
          <c:showBubbleSize val="0"/>
        </c:dLbls>
        <c:marker val="1"/>
        <c:smooth val="0"/>
        <c:axId val="-956937872"/>
        <c:axId val="-956942768"/>
      </c:lineChart>
      <c:catAx>
        <c:axId val="-9569378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es-EC"/>
          </a:p>
        </c:txPr>
        <c:crossAx val="-956942768"/>
        <c:crosses val="autoZero"/>
        <c:auto val="1"/>
        <c:lblAlgn val="ctr"/>
        <c:lblOffset val="100"/>
        <c:noMultiLvlLbl val="0"/>
      </c:catAx>
      <c:valAx>
        <c:axId val="-956942768"/>
        <c:scaling>
          <c:orientation val="minMax"/>
        </c:scaling>
        <c:delete val="1"/>
        <c:axPos val="l"/>
        <c:numFmt formatCode="0.0" sourceLinked="1"/>
        <c:majorTickMark val="none"/>
        <c:minorTickMark val="none"/>
        <c:tickLblPos val="none"/>
        <c:crossAx val="-956937872"/>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289" l="0.70000000000000062" r="0.70000000000000062" t="0.75000000000000289" header="0.30000000000000032" footer="0.30000000000000032"/>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s-EC"/>
        </a:p>
      </c:txPr>
    </c:title>
    <c:autoTitleDeleted val="0"/>
    <c:plotArea>
      <c:layout/>
      <c:lineChart>
        <c:grouping val="standard"/>
        <c:varyColors val="0"/>
        <c:ser>
          <c:idx val="0"/>
          <c:order val="0"/>
          <c:tx>
            <c:strRef>
              <c:f>'RevPar tar_hab_Disponible'!$B$1</c:f>
              <c:strCache>
                <c:ptCount val="1"/>
                <c:pt idx="0">
                  <c:v>Tarifa promedio por habitación disponible, REV Par.      
US dólares</c:v>
                </c:pt>
              </c:strCache>
            </c:strRef>
          </c:tx>
          <c:spPr>
            <a:ln w="31750" cap="rnd">
              <a:solidFill>
                <a:schemeClr val="accent1"/>
              </a:solidFill>
              <a:round/>
            </a:ln>
            <a:effectLst/>
          </c:spPr>
          <c:marker>
            <c:symbol val="circle"/>
            <c:size val="17"/>
            <c:spPr>
              <a:solidFill>
                <a:schemeClr val="accent1"/>
              </a:solidFill>
              <a:ln>
                <a:noFill/>
              </a:ln>
              <a:effectLst/>
            </c:spPr>
          </c:marker>
          <c:dLbls>
            <c:dLbl>
              <c:idx val="11"/>
              <c:spPr>
                <a:solidFill>
                  <a:srgbClr val="FFC00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ysClr val="windowText" lastClr="000000"/>
                      </a:solidFill>
                      <a:latin typeface="+mn-lt"/>
                      <a:ea typeface="+mn-ea"/>
                      <a:cs typeface="+mn-cs"/>
                    </a:defRPr>
                  </a:pPr>
                  <a:endParaRPr lang="es-EC"/>
                </a:p>
              </c:txPr>
              <c:dLblPos val="ctr"/>
              <c:showLegendKey val="0"/>
              <c:showVal val="1"/>
              <c:showCatName val="0"/>
              <c:showSerName val="0"/>
              <c:showPercent val="0"/>
              <c:showBubbleSize val="0"/>
              <c:extLst>
                <c:ext xmlns:c16="http://schemas.microsoft.com/office/drawing/2014/chart" uri="{C3380CC4-5D6E-409C-BE32-E72D297353CC}">
                  <c16:uniqueId val="{00000000-F203-4C8D-952B-C16367FBB0F8}"/>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EC"/>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'RevPar tar_hab_Disponible'!$FA$2:$FN$2</c:f>
              <c:strCache>
                <c:ptCount val="14"/>
                <c:pt idx="0">
                  <c:v>2006</c:v>
                </c:pt>
                <c:pt idx="1">
                  <c:v>2007</c:v>
                </c:pt>
                <c:pt idx="2">
                  <c:v>2008</c:v>
                </c:pt>
                <c:pt idx="3">
                  <c:v>2009</c:v>
                </c:pt>
                <c:pt idx="4">
                  <c:v>2010</c:v>
                </c:pt>
                <c:pt idx="5">
                  <c:v>2011</c:v>
                </c:pt>
                <c:pt idx="6">
                  <c:v>2012</c:v>
                </c:pt>
                <c:pt idx="7">
                  <c:v>2013</c:v>
                </c:pt>
                <c:pt idx="8">
                  <c:v>2014</c:v>
                </c:pt>
                <c:pt idx="9">
                  <c:v>2015</c:v>
                </c:pt>
                <c:pt idx="10">
                  <c:v>2016</c:v>
                </c:pt>
                <c:pt idx="11">
                  <c:v>2017 (e) </c:v>
                </c:pt>
                <c:pt idx="12">
                  <c:v>2018 (e) </c:v>
                </c:pt>
                <c:pt idx="13">
                  <c:v>2019 (e) </c:v>
                </c:pt>
              </c:strCache>
            </c:strRef>
          </c:cat>
          <c:val>
            <c:numRef>
              <c:f>'RevPar tar_hab_Disponible'!$FA$4:$FN$4</c:f>
              <c:numCache>
                <c:formatCode>0.0</c:formatCode>
                <c:ptCount val="14"/>
                <c:pt idx="0">
                  <c:v>23.372746793996534</c:v>
                </c:pt>
                <c:pt idx="1">
                  <c:v>25.869116141136971</c:v>
                </c:pt>
                <c:pt idx="2">
                  <c:v>29.544555946458292</c:v>
                </c:pt>
                <c:pt idx="3">
                  <c:v>26.734118218920994</c:v>
                </c:pt>
                <c:pt idx="4">
                  <c:v>29.70919481210553</c:v>
                </c:pt>
                <c:pt idx="5">
                  <c:v>31.931546736957173</c:v>
                </c:pt>
                <c:pt idx="6">
                  <c:v>38.432941346668819</c:v>
                </c:pt>
                <c:pt idx="7">
                  <c:v>41.07665565909705</c:v>
                </c:pt>
                <c:pt idx="8">
                  <c:v>42.556703500084367</c:v>
                </c:pt>
                <c:pt idx="9">
                  <c:v>39.038581514153336</c:v>
                </c:pt>
                <c:pt idx="10">
                  <c:v>35.169239504730086</c:v>
                </c:pt>
                <c:pt idx="11">
                  <c:v>35.357239037281737</c:v>
                </c:pt>
                <c:pt idx="12">
                  <c:v>33</c:v>
                </c:pt>
                <c:pt idx="13">
                  <c:v>34</c:v>
                </c:pt>
              </c:numCache>
            </c:numRef>
          </c:val>
          <c:smooth val="0"/>
          <c:extLst>
            <c:ext xmlns:c16="http://schemas.microsoft.com/office/drawing/2014/chart" uri="{C3380CC4-5D6E-409C-BE32-E72D297353CC}">
              <c16:uniqueId val="{00000001-0A2D-4317-91C2-41AD37458940}"/>
            </c:ext>
          </c:extLst>
        </c:ser>
        <c:dLbls>
          <c:dLblPos val="ctr"/>
          <c:showLegendKey val="0"/>
          <c:showVal val="1"/>
          <c:showCatName val="0"/>
          <c:showSerName val="0"/>
          <c:showPercent val="0"/>
          <c:showBubbleSize val="0"/>
        </c:dLbls>
        <c:marker val="1"/>
        <c:smooth val="0"/>
        <c:axId val="-956941136"/>
        <c:axId val="-956940592"/>
      </c:lineChart>
      <c:catAx>
        <c:axId val="-956941136"/>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s-EC"/>
          </a:p>
        </c:txPr>
        <c:crossAx val="-956940592"/>
        <c:crosses val="autoZero"/>
        <c:auto val="1"/>
        <c:lblAlgn val="ctr"/>
        <c:lblOffset val="100"/>
        <c:noMultiLvlLbl val="0"/>
      </c:catAx>
      <c:valAx>
        <c:axId val="-956940592"/>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0" sourceLinked="1"/>
        <c:majorTickMark val="none"/>
        <c:minorTickMark val="none"/>
        <c:tickLblPos val="nextTo"/>
        <c:crossAx val="-956941136"/>
        <c:crosses val="autoZero"/>
        <c:crossBetween val="between"/>
      </c:valAx>
      <c:spPr>
        <a:noFill/>
        <a:ln>
          <a:noFill/>
        </a:ln>
        <a:effectLst/>
      </c:spPr>
    </c:plotArea>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EC"/>
    </a:p>
  </c:txPr>
  <c:printSettings>
    <c:headerFooter/>
    <c:pageMargins b="0.75" l="0.7" r="0.7" t="0.75" header="0.3" footer="0.3"/>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'establecimientos UIO'!$B$21:$B$22</c:f>
          <c:strCache>
            <c:ptCount val="2"/>
            <c:pt idx="1">
              <c:v>Establecimientos Turísticos de Quito - total urbanos y rurales</c:v>
            </c:pt>
          </c:strCache>
        </c:strRef>
      </c:tx>
      <c:overlay val="0"/>
      <c:spPr>
        <a:noFill/>
        <a:ln>
          <a:noFill/>
        </a:ln>
        <a:effectLst/>
      </c:spPr>
      <c:txPr>
        <a:bodyPr rot="0" spcFirstLastPara="1" vertOverflow="ellipsis" vert="horz" wrap="square" anchor="ctr" anchorCtr="1"/>
        <a:lstStyle/>
        <a:p>
          <a:pPr>
            <a:defRPr sz="1600" b="1" i="0" u="none" strike="noStrike" kern="1200" baseline="0">
              <a:solidFill>
                <a:schemeClr val="tx1">
                  <a:lumMod val="65000"/>
                  <a:lumOff val="35000"/>
                </a:schemeClr>
              </a:solidFill>
              <a:latin typeface="+mn-lt"/>
              <a:ea typeface="+mn-ea"/>
              <a:cs typeface="+mn-cs"/>
            </a:defRPr>
          </a:pPr>
          <a:endParaRPr lang="es-EC"/>
        </a:p>
      </c:txPr>
    </c:title>
    <c:autoTitleDeleted val="0"/>
    <c:plotArea>
      <c:layout>
        <c:manualLayout>
          <c:layoutTarget val="inner"/>
          <c:xMode val="edge"/>
          <c:yMode val="edge"/>
          <c:x val="0.1710679747884308"/>
          <c:y val="0.26869513428990227"/>
          <c:w val="0.43510494311233394"/>
          <c:h val="0.71296890865783591"/>
        </c:manualLayout>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1-889F-4244-91ED-33A6DAB8B494}"/>
              </c:ext>
            </c:extLst>
          </c:dPt>
          <c:dPt>
            <c:idx val="1"/>
            <c:bubble3D val="0"/>
            <c:explosion val="12"/>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3-889F-4244-91ED-33A6DAB8B494}"/>
              </c:ext>
            </c:extLst>
          </c:dPt>
          <c:dLbls>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'establecimientos UIO'!$C$22:$D$22</c:f>
              <c:strCache>
                <c:ptCount val="2"/>
                <c:pt idx="0">
                  <c:v>URBANOS </c:v>
                </c:pt>
                <c:pt idx="1">
                  <c:v>RURALES</c:v>
                </c:pt>
              </c:strCache>
            </c:strRef>
          </c:cat>
          <c:val>
            <c:numRef>
              <c:f>'establecimientos UIO'!$C$23:$D$23</c:f>
              <c:numCache>
                <c:formatCode>_(* #,##0_);_(* \(#,##0\);_(* "-"??_);_(@_)</c:formatCode>
                <c:ptCount val="2"/>
                <c:pt idx="0" formatCode="0">
                  <c:v>4123</c:v>
                </c:pt>
                <c:pt idx="1">
                  <c:v>735</c:v>
                </c:pt>
              </c:numCache>
            </c:numRef>
          </c:val>
          <c:extLst>
            <c:ext xmlns:c16="http://schemas.microsoft.com/office/drawing/2014/chart" uri="{C3380CC4-5D6E-409C-BE32-E72D297353CC}">
              <c16:uniqueId val="{00000004-889F-4244-91ED-33A6DAB8B494}"/>
            </c:ext>
          </c:extLst>
        </c:ser>
        <c:dLbls>
          <c:showLegendKey val="0"/>
          <c:showVal val="0"/>
          <c:showCatName val="0"/>
          <c:showSerName val="0"/>
          <c:showPercent val="0"/>
          <c:showBubbleSize val="0"/>
          <c:showLeaderLines val="1"/>
        </c:dLbls>
        <c:firstSliceAng val="0"/>
      </c:pieChart>
      <c:spPr>
        <a:noFill/>
        <a:ln>
          <a:noFill/>
        </a:ln>
        <a:effectLst/>
      </c:spPr>
    </c:plotArea>
    <c:legend>
      <c:legendPos val="b"/>
      <c:layout>
        <c:manualLayout>
          <c:xMode val="edge"/>
          <c:yMode val="edge"/>
          <c:x val="0.72577889166076826"/>
          <c:y val="0.44612159527446815"/>
          <c:w val="0.18570286085768004"/>
          <c:h val="0.3505780852587985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389" l="0.70000000000000062" r="0.70000000000000062" t="0.75000000000000389" header="0.30000000000000032" footer="0.30000000000000032"/>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'establecimientos UIO'!$B$1</c:f>
          <c:strCache>
            <c:ptCount val="1"/>
            <c:pt idx="0">
              <c:v>Establecimientos Turísticos en el DMQ - totales</c:v>
            </c:pt>
          </c:strCache>
        </c:strRef>
      </c:tx>
      <c:layout>
        <c:manualLayout>
          <c:xMode val="edge"/>
          <c:yMode val="edge"/>
          <c:x val="0.14278278851507201"/>
          <c:y val="1.8073836603503906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s-EC"/>
        </a:p>
      </c:txPr>
    </c:title>
    <c:autoTitleDeleted val="0"/>
    <c:view3D>
      <c:rotX val="0"/>
      <c:rotY val="0"/>
      <c:depthPercent val="60"/>
      <c:rAngAx val="0"/>
      <c:perspective val="100"/>
    </c:view3D>
    <c:floor>
      <c:thickness val="0"/>
      <c:spPr>
        <a:solidFill>
          <a:schemeClr val="lt1">
            <a:lumMod val="95000"/>
          </a:schemeClr>
        </a:solid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'establecimientos UIO'!$B$4:$B$9</c:f>
              <c:strCache>
                <c:ptCount val="6"/>
                <c:pt idx="0">
                  <c:v>Establecimientos Turísticos de Quito - cantidad total -</c:v>
                </c:pt>
              </c:strCache>
            </c:strRef>
          </c:tx>
          <c:spPr>
            <a:solidFill>
              <a:schemeClr val="accent2">
                <a:alpha val="85000"/>
              </a:schemeClr>
            </a:solidFill>
            <a:ln w="9525" cap="flat" cmpd="sng" algn="ctr">
              <a:solidFill>
                <a:schemeClr val="accent2">
                  <a:lumMod val="75000"/>
                </a:schemeClr>
              </a:solidFill>
              <a:round/>
            </a:ln>
            <a:effectLst/>
            <a:sp3d contourW="9525">
              <a:contourClr>
                <a:schemeClr val="accent2">
                  <a:lumMod val="75000"/>
                </a:schemeClr>
              </a:contourClr>
            </a:sp3d>
          </c:spPr>
          <c:invertIfNegative val="0"/>
          <c:dPt>
            <c:idx val="6"/>
            <c:invertIfNegative val="0"/>
            <c:bubble3D val="0"/>
            <c:extLst>
              <c:ext xmlns:c16="http://schemas.microsoft.com/office/drawing/2014/chart" uri="{C3380CC4-5D6E-409C-BE32-E72D297353CC}">
                <c16:uniqueId val="{00000000-96FA-4DBA-9D65-7A956EF8772D}"/>
              </c:ext>
            </c:extLst>
          </c:dPt>
          <c:dPt>
            <c:idx val="8"/>
            <c:invertIfNegative val="0"/>
            <c:bubble3D val="0"/>
            <c:extLst>
              <c:ext xmlns:c16="http://schemas.microsoft.com/office/drawing/2014/chart" uri="{C3380CC4-5D6E-409C-BE32-E72D297353CC}">
                <c16:uniqueId val="{00000001-96FA-4DBA-9D65-7A956EF8772D}"/>
              </c:ext>
            </c:extLst>
          </c:dPt>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'establecimientos UIO'!$C$11:$C$17</c:f>
              <c:numCache>
                <c:formatCode>General</c:formatCode>
                <c:ptCount val="7"/>
                <c:pt idx="0">
                  <c:v>2015</c:v>
                </c:pt>
                <c:pt idx="1">
                  <c:v>2016</c:v>
                </c:pt>
                <c:pt idx="2">
                  <c:v>2017</c:v>
                </c:pt>
                <c:pt idx="3">
                  <c:v>2018</c:v>
                </c:pt>
                <c:pt idx="4">
                  <c:v>2019</c:v>
                </c:pt>
                <c:pt idx="5">
                  <c:v>2020</c:v>
                </c:pt>
                <c:pt idx="6">
                  <c:v>2021</c:v>
                </c:pt>
              </c:numCache>
            </c:numRef>
          </c:cat>
          <c:val>
            <c:numRef>
              <c:f>'establecimientos UIO'!$D$11:$D$17</c:f>
              <c:numCache>
                <c:formatCode>_(* #,##0_);_(* \(#,##0\);_(* "-"??_);_(@_)</c:formatCode>
                <c:ptCount val="7"/>
                <c:pt idx="0">
                  <c:v>5220</c:v>
                </c:pt>
                <c:pt idx="1">
                  <c:v>5109</c:v>
                </c:pt>
                <c:pt idx="2">
                  <c:v>5231</c:v>
                </c:pt>
                <c:pt idx="3">
                  <c:v>4381</c:v>
                </c:pt>
                <c:pt idx="4">
                  <c:v>4752</c:v>
                </c:pt>
                <c:pt idx="5">
                  <c:v>4776</c:v>
                </c:pt>
                <c:pt idx="6">
                  <c:v>4858</c:v>
                </c:pt>
              </c:numCache>
            </c:numRef>
          </c:val>
          <c:extLst>
            <c:ext xmlns:c16="http://schemas.microsoft.com/office/drawing/2014/chart" uri="{C3380CC4-5D6E-409C-BE32-E72D297353CC}">
              <c16:uniqueId val="{00000002-96FA-4DBA-9D65-7A956EF8772D}"/>
            </c:ext>
          </c:extLst>
        </c:ser>
        <c:dLbls>
          <c:showLegendKey val="0"/>
          <c:showVal val="1"/>
          <c:showCatName val="0"/>
          <c:showSerName val="0"/>
          <c:showPercent val="0"/>
          <c:showBubbleSize val="0"/>
        </c:dLbls>
        <c:gapWidth val="65"/>
        <c:shape val="box"/>
        <c:axId val="-957050320"/>
        <c:axId val="-957041072"/>
        <c:axId val="0"/>
      </c:bar3DChart>
      <c:catAx>
        <c:axId val="-957050320"/>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s-EC"/>
          </a:p>
        </c:txPr>
        <c:crossAx val="-957041072"/>
        <c:crosses val="autoZero"/>
        <c:auto val="1"/>
        <c:lblAlgn val="ctr"/>
        <c:lblOffset val="100"/>
        <c:noMultiLvlLbl val="0"/>
      </c:catAx>
      <c:valAx>
        <c:axId val="-957041072"/>
        <c:scaling>
          <c:orientation val="minMax"/>
        </c:scaling>
        <c:delete val="0"/>
        <c:axPos val="l"/>
        <c:majorGridlines>
          <c:spPr>
            <a:ln w="9525" cap="flat" cmpd="sng" algn="ctr">
              <a:solidFill>
                <a:schemeClr val="dk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EC"/>
          </a:p>
        </c:txPr>
        <c:crossAx val="-957050320"/>
        <c:crosses val="autoZero"/>
        <c:crossBetween val="between"/>
      </c:valAx>
      <c:spPr>
        <a:noFill/>
        <a:ln>
          <a:noFill/>
        </a:ln>
        <a:effectLst/>
      </c:spPr>
    </c:plotArea>
    <c:legend>
      <c:legendPos val="b"/>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EC"/>
        </a:p>
      </c:txPr>
    </c:legend>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EC"/>
    </a:p>
  </c:txPr>
  <c:printSettings>
    <c:headerFooter/>
    <c:pageMargins b="0.75000000000000377" l="0.70000000000000062" r="0.70000000000000062" t="0.75000000000000377" header="0.30000000000000032" footer="0.30000000000000032"/>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 y # establecimientos act econ'!$A$8</c:f>
          <c:strCache>
            <c:ptCount val="1"/>
            <c:pt idx="0">
              <c:v>Actividad Económica</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70"/>
      <c:depthPercent val="100"/>
      <c:rAngAx val="0"/>
      <c:perspective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4456075983965484E-2"/>
          <c:y val="0.19317867524623938"/>
          <c:w val="0.82669663067424382"/>
          <c:h val="0.71432365309175061"/>
        </c:manualLayout>
      </c:layout>
      <c:pie3DChart>
        <c:varyColors val="1"/>
        <c:ser>
          <c:idx val="0"/>
          <c:order val="0"/>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EDB3-4D67-93C1-762C50B8B2C2}"/>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2-4F79-47E1-BFD6-E02BF73A4247}"/>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3-4F79-47E1-BFD6-E02BF73A4247}"/>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1-4F79-47E1-BFD6-E02BF73A4247}"/>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EDB3-4D67-93C1-762C50B8B2C2}"/>
              </c:ext>
            </c:extLst>
          </c:dPt>
          <c:dPt>
            <c:idx val="5"/>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B-F51F-412B-ABB8-E36A3E60FAAB}"/>
              </c:ext>
            </c:extLst>
          </c:dPt>
          <c:dPt>
            <c:idx val="6"/>
            <c:bubble3D val="0"/>
            <c:spPr>
              <a:solidFill>
                <a:schemeClr val="accent1">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D-F51F-412B-ABB8-E36A3E60FAAB}"/>
              </c:ext>
            </c:extLst>
          </c:dPt>
          <c:dLbls>
            <c:dLbl>
              <c:idx val="1"/>
              <c:layout>
                <c:manualLayout>
                  <c:x val="2.8164299990681631E-2"/>
                  <c:y val="-4.8394954083747416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F79-47E1-BFD6-E02BF73A4247}"/>
                </c:ext>
              </c:extLst>
            </c:dLbl>
            <c:dLbl>
              <c:idx val="2"/>
              <c:layout>
                <c:manualLayout>
                  <c:x val="-4.3747070720901234E-2"/>
                  <c:y val="4.6818999745139062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F79-47E1-BFD6-E02BF73A4247}"/>
                </c:ext>
              </c:extLst>
            </c:dLbl>
            <c:dLbl>
              <c:idx val="3"/>
              <c:layout>
                <c:manualLayout>
                  <c:x val="0.18752149146487382"/>
                  <c:y val="-0.1821039708746084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F79-47E1-BFD6-E02BF73A4247}"/>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EC"/>
              </a:p>
            </c:txPr>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 y # establecimientos act econ'!$I$9:$I$16</c:f>
              <c:strCache>
                <c:ptCount val="6"/>
                <c:pt idx="0">
                  <c:v>ALOJAMIENTO </c:v>
                </c:pt>
                <c:pt idx="1">
                  <c:v>RECREACIÓN DIVERSIÓN Y ESPARCIMIENTO</c:v>
                </c:pt>
                <c:pt idx="2">
                  <c:v>TRANSPORTE TURISTICO</c:v>
                </c:pt>
                <c:pt idx="3">
                  <c:v>ALIMENTOS Y BEBIDAS </c:v>
                </c:pt>
                <c:pt idx="4">
                  <c:v>OPERACIÓN E INTERMEDIACIÓN TUR (AGENCIA DE VIAJES Y TURISMO)</c:v>
                </c:pt>
                <c:pt idx="5">
                  <c:v>CTC</c:v>
                </c:pt>
              </c:strCache>
            </c:strRef>
          </c:cat>
          <c:val>
            <c:numRef>
              <c:f>'% y # establecimientos act econ'!$J$9:$J$15</c:f>
              <c:numCache>
                <c:formatCode>0%</c:formatCode>
                <c:ptCount val="7"/>
                <c:pt idx="0">
                  <c:v>0.15129682997118155</c:v>
                </c:pt>
                <c:pt idx="1">
                  <c:v>1.2556607657472211E-2</c:v>
                </c:pt>
                <c:pt idx="2">
                  <c:v>2.1819678880197611E-2</c:v>
                </c:pt>
                <c:pt idx="3">
                  <c:v>0.65850144092219021</c:v>
                </c:pt>
                <c:pt idx="4">
                  <c:v>0.15561959654178675</c:v>
                </c:pt>
                <c:pt idx="5">
                  <c:v>2.0584602717167559E-4</c:v>
                </c:pt>
              </c:numCache>
            </c:numRef>
          </c:val>
          <c:extLst>
            <c:ext xmlns:c16="http://schemas.microsoft.com/office/drawing/2014/chart" uri="{C3380CC4-5D6E-409C-BE32-E72D297353CC}">
              <c16:uniqueId val="{00000000-4F79-47E1-BFD6-E02BF73A4247}"/>
            </c:ext>
          </c:extLst>
        </c:ser>
        <c:dLbls>
          <c:showLegendKey val="0"/>
          <c:showVal val="0"/>
          <c:showCatName val="1"/>
          <c:showSerName val="0"/>
          <c:showPercent val="0"/>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Tipología: Alojamiento en el DMQ</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9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1.9428956304358709E-2"/>
          <c:y val="0.22953824540352957"/>
          <c:w val="0.80185932782962277"/>
          <c:h val="0.69985727897223937"/>
        </c:manualLayout>
      </c:layout>
      <c:pie3DChart>
        <c:varyColors val="1"/>
        <c:ser>
          <c:idx val="0"/>
          <c:order val="0"/>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1FE8-4070-9D44-A4330491166C}"/>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1FE8-4070-9D44-A4330491166C}"/>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5-1FE8-4070-9D44-A4330491166C}"/>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7-1FE8-4070-9D44-A4330491166C}"/>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1FE8-4070-9D44-A4330491166C}"/>
              </c:ext>
            </c:extLst>
          </c:dPt>
          <c:dPt>
            <c:idx val="5"/>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B-1FE8-4070-9D44-A4330491166C}"/>
              </c:ext>
            </c:extLst>
          </c:dPt>
          <c:dPt>
            <c:idx val="6"/>
            <c:bubble3D val="0"/>
            <c:spPr>
              <a:solidFill>
                <a:schemeClr val="accent1">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1-9DF0-41FA-9FF8-484E399BD836}"/>
              </c:ext>
            </c:extLst>
          </c:dPt>
          <c:dPt>
            <c:idx val="7"/>
            <c:bubble3D val="0"/>
            <c:spPr>
              <a:solidFill>
                <a:schemeClr val="accent2">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F-1FE8-4070-9D44-A4330491166C}"/>
              </c:ext>
            </c:extLst>
          </c:dPt>
          <c:dPt>
            <c:idx val="8"/>
            <c:bubble3D val="0"/>
            <c:spPr>
              <a:solidFill>
                <a:schemeClr val="accent3">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1-1FE8-4070-9D44-A4330491166C}"/>
              </c:ext>
            </c:extLst>
          </c:dPt>
          <c:dPt>
            <c:idx val="9"/>
            <c:bubble3D val="0"/>
            <c:spPr>
              <a:solidFill>
                <a:schemeClr val="accent4">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3-1FE8-4070-9D44-A4330491166C}"/>
              </c:ext>
            </c:extLst>
          </c:dPt>
          <c:dPt>
            <c:idx val="10"/>
            <c:bubble3D val="0"/>
            <c:spPr>
              <a:solidFill>
                <a:schemeClr val="accent5">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5-1FE8-4070-9D44-A4330491166C}"/>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EC"/>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 y # establecimientos act econ'!$A$26:$A$61</c15:sqref>
                  </c15:fullRef>
                </c:ext>
              </c:extLst>
              <c:f>('% y # establecimientos act econ'!$A$26:$A$27,'% y # establecimientos act econ'!$A$30,'% y # establecimientos act econ'!$A$32:$A$33,'% y # establecimientos act econ'!$A$40:$A$43,'% y # establecimientos act econ'!$A$45,'% y # establecimientos act econ'!$A$53)</c:f>
              <c:strCache>
                <c:ptCount val="11"/>
                <c:pt idx="0">
                  <c:v> ALBERGUE </c:v>
                </c:pt>
                <c:pt idx="1">
                  <c:v> APARTAMENTO TURISTICO </c:v>
                </c:pt>
                <c:pt idx="2">
                  <c:v> CABAÑAS </c:v>
                </c:pt>
                <c:pt idx="3">
                  <c:v> CAMPAMENTO TURISTICO </c:v>
                </c:pt>
                <c:pt idx="4">
                  <c:v> CASA DE HUESPEDES </c:v>
                </c:pt>
                <c:pt idx="5">
                  <c:v> HACIENDA TURISTICA </c:v>
                </c:pt>
                <c:pt idx="6">
                  <c:v> HOSTALES </c:v>
                </c:pt>
                <c:pt idx="7">
                  <c:v> HOSTERIAS </c:v>
                </c:pt>
                <c:pt idx="8">
                  <c:v> HOTELES </c:v>
                </c:pt>
                <c:pt idx="9">
                  <c:v> LODGE </c:v>
                </c:pt>
                <c:pt idx="10">
                  <c:v> REFUGIO </c:v>
                </c:pt>
              </c:strCache>
            </c:strRef>
          </c:cat>
          <c:val>
            <c:numRef>
              <c:extLst>
                <c:ext xmlns:c15="http://schemas.microsoft.com/office/drawing/2012/chart" uri="{02D57815-91ED-43cb-92C2-25804820EDAC}">
                  <c15:fullRef>
                    <c15:sqref>'% y # establecimientos act econ'!$H$26:$H$61</c15:sqref>
                  </c15:fullRef>
                </c:ext>
              </c:extLst>
              <c:f>('% y # establecimientos act econ'!$H$26:$H$27,'% y # establecimientos act econ'!$H$30,'% y # establecimientos act econ'!$H$32:$H$33,'% y # establecimientos act econ'!$H$40:$H$43,'% y # establecimientos act econ'!$H$45,'% y # establecimientos act econ'!$H$53)</c:f>
              <c:numCache>
                <c:formatCode>_(* #,##0_);_(* \(#,##0\);_(* "-"??_);_(@_)</c:formatCode>
                <c:ptCount val="11"/>
                <c:pt idx="0">
                  <c:v>0</c:v>
                </c:pt>
                <c:pt idx="1">
                  <c:v>0</c:v>
                </c:pt>
                <c:pt idx="2">
                  <c:v>0</c:v>
                </c:pt>
                <c:pt idx="3">
                  <c:v>5</c:v>
                </c:pt>
                <c:pt idx="4">
                  <c:v>9</c:v>
                </c:pt>
                <c:pt idx="5">
                  <c:v>6</c:v>
                </c:pt>
                <c:pt idx="6">
                  <c:v>540</c:v>
                </c:pt>
                <c:pt idx="7">
                  <c:v>28</c:v>
                </c:pt>
                <c:pt idx="8">
                  <c:v>140</c:v>
                </c:pt>
                <c:pt idx="9">
                  <c:v>6</c:v>
                </c:pt>
                <c:pt idx="10">
                  <c:v>1</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0-9DF0-41FA-9FF8-484E399BD836}"/>
            </c:ext>
          </c:extLst>
        </c:ser>
        <c:dLbls>
          <c:showLegendKey val="0"/>
          <c:showVal val="0"/>
          <c:showCatName val="1"/>
          <c:showSerName val="0"/>
          <c:showPercent val="1"/>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'Actividades económicas TUR'!$B$1</c:f>
          <c:strCache>
            <c:ptCount val="1"/>
            <c:pt idx="0">
              <c:v>Actividades Económicas Turísticas en el DMQ</c:v>
            </c:pt>
          </c:strCache>
        </c:strRef>
      </c:tx>
      <c:layout>
        <c:manualLayout>
          <c:xMode val="edge"/>
          <c:yMode val="edge"/>
          <c:x val="0.13273651665937589"/>
          <c:y val="2.1231422505307854E-2"/>
        </c:manualLayout>
      </c:layout>
      <c:overlay val="0"/>
      <c:spPr>
        <a:noFill/>
        <a:ln>
          <a:noFill/>
        </a:ln>
        <a:effectLst/>
      </c:spPr>
      <c:txPr>
        <a:bodyPr rot="0" spcFirstLastPara="1" vertOverflow="ellipsis" vert="horz" wrap="square" anchor="ctr" anchorCtr="1"/>
        <a:lstStyle/>
        <a:p>
          <a:pPr>
            <a:defRPr sz="1600" b="1" i="0" u="none" strike="noStrike" kern="1200" cap="all" baseline="0">
              <a:solidFill>
                <a:schemeClr val="tx1">
                  <a:lumMod val="65000"/>
                  <a:lumOff val="35000"/>
                </a:schemeClr>
              </a:solidFill>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2.3664857426802226E-2"/>
          <c:y val="0.26910590526088635"/>
          <c:w val="0.74813332759634554"/>
          <c:h val="0.71687894892679538"/>
        </c:manualLayout>
      </c:layout>
      <c:pie3DChart>
        <c:varyColors val="1"/>
        <c:ser>
          <c:idx val="0"/>
          <c:order val="0"/>
          <c:explosion val="23"/>
          <c:dPt>
            <c:idx val="0"/>
            <c:bubble3D val="0"/>
            <c:spPr>
              <a:solidFill>
                <a:schemeClr val="accent1"/>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1-0AEF-40E7-9706-EA41A41E6055}"/>
              </c:ext>
            </c:extLst>
          </c:dPt>
          <c:dPt>
            <c:idx val="1"/>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3-0AEF-40E7-9706-EA41A41E6055}"/>
              </c:ext>
            </c:extLst>
          </c:dPt>
          <c:dPt>
            <c:idx val="2"/>
            <c:bubble3D val="0"/>
            <c:spPr>
              <a:solidFill>
                <a:schemeClr val="accent3"/>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5-0AEF-40E7-9706-EA41A41E6055}"/>
              </c:ext>
            </c:extLst>
          </c:dPt>
          <c:dPt>
            <c:idx val="3"/>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7-0AEF-40E7-9706-EA41A41E6055}"/>
              </c:ext>
            </c:extLst>
          </c:dPt>
          <c:dPt>
            <c:idx val="4"/>
            <c:bubble3D val="0"/>
            <c:spPr>
              <a:solidFill>
                <a:schemeClr val="accent5"/>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9-0AEF-40E7-9706-EA41A41E6055}"/>
              </c:ext>
            </c:extLst>
          </c:dPt>
          <c:dPt>
            <c:idx val="5"/>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B-0AEF-40E7-9706-EA41A41E6055}"/>
              </c:ext>
            </c:extLst>
          </c:dPt>
          <c:dPt>
            <c:idx val="6"/>
            <c:bubble3D val="0"/>
            <c:spPr>
              <a:solidFill>
                <a:schemeClr val="accent1">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C-EF4F-42E7-BF2D-F2E1235C880F}"/>
              </c:ext>
            </c:extLst>
          </c:dPt>
          <c:dLbls>
            <c:dLbl>
              <c:idx val="0"/>
              <c:layout>
                <c:manualLayout>
                  <c:x val="0.13076098606645223"/>
                  <c:y val="5.6565638569748292E-2"/>
                </c:manualLayout>
              </c:layout>
              <c:numFmt formatCode="0%" sourceLinked="0"/>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1"/>
                      </a:solidFill>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AEF-40E7-9706-EA41A41E6055}"/>
                </c:ext>
              </c:extLst>
            </c:dLbl>
            <c:dLbl>
              <c:idx val="1"/>
              <c:layout>
                <c:manualLayout>
                  <c:x val="0.21007502679528411"/>
                  <c:y val="-5.2525235814766306E-2"/>
                </c:manualLayout>
              </c:layout>
              <c:numFmt formatCode="0%" sourceLinked="0"/>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2"/>
                      </a:solidFill>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AEF-40E7-9706-EA41A41E6055}"/>
                </c:ext>
              </c:extLst>
            </c:dLbl>
            <c:dLbl>
              <c:idx val="2"/>
              <c:layout>
                <c:manualLayout>
                  <c:x val="-4.5016077170418008E-2"/>
                  <c:y val="2.8282819284874163E-2"/>
                </c:manualLayout>
              </c:layout>
              <c:numFmt formatCode="0%" sourceLinked="0"/>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3"/>
                      </a:solidFill>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AEF-40E7-9706-EA41A41E6055}"/>
                </c:ext>
              </c:extLst>
            </c:dLbl>
            <c:dLbl>
              <c:idx val="3"/>
              <c:layout>
                <c:manualLayout>
                  <c:x val="-0.12861736334405144"/>
                  <c:y val="-2.0202013774910117E-2"/>
                </c:manualLayout>
              </c:layout>
              <c:numFmt formatCode="0%" sourceLinked="0"/>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4"/>
                      </a:solidFill>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AEF-40E7-9706-EA41A41E6055}"/>
                </c:ext>
              </c:extLst>
            </c:dLbl>
            <c:dLbl>
              <c:idx val="4"/>
              <c:layout>
                <c:manualLayout>
                  <c:x val="-7.2793635170603672E-3"/>
                  <c:y val="-5.2287184245281469E-2"/>
                </c:manualLayout>
              </c:layout>
              <c:numFmt formatCode="0%" sourceLinked="0"/>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5"/>
                      </a:solidFill>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9-0AEF-40E7-9706-EA41A41E6055}"/>
                </c:ext>
              </c:extLst>
            </c:dLbl>
            <c:dLbl>
              <c:idx val="5"/>
              <c:layout>
                <c:manualLayout>
                  <c:x val="0.18435155412647367"/>
                  <c:y val="-6.8686846834694393E-2"/>
                </c:manualLayout>
              </c:layout>
              <c:numFmt formatCode="0%" sourceLinked="0"/>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6"/>
                      </a:solidFill>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0AEF-40E7-9706-EA41A41E6055}"/>
                </c:ext>
              </c:extLst>
            </c:dLbl>
            <c:dLbl>
              <c:idx val="6"/>
              <c:numFmt formatCode="0%" sourceLinked="0"/>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1"/>
                      </a:solidFill>
                      <a:latin typeface="+mn-lt"/>
                      <a:ea typeface="+mn-ea"/>
                      <a:cs typeface="+mn-cs"/>
                    </a:defRPr>
                  </a:pPr>
                  <a:endParaRPr lang="es-EC"/>
                </a:p>
              </c:txPr>
              <c:dLblPos val="outEnd"/>
              <c:showLegendKey val="0"/>
              <c:showVal val="1"/>
              <c:showCatName val="1"/>
              <c:showSerName val="0"/>
              <c:showPercent val="0"/>
              <c:showBubbleSize val="0"/>
              <c:extLst>
                <c:ext xmlns:c16="http://schemas.microsoft.com/office/drawing/2014/chart" uri="{C3380CC4-5D6E-409C-BE32-E72D297353CC}">
                  <c16:uniqueId val="{0000000C-EF4F-42E7-BF2D-F2E1235C880F}"/>
                </c:ext>
              </c:extLst>
            </c:dLbl>
            <c:numFmt formatCode="0%" sourceLinked="0"/>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1"/>
                    </a:solidFill>
                    <a:latin typeface="+mn-lt"/>
                    <a:ea typeface="+mn-ea"/>
                    <a:cs typeface="+mn-cs"/>
                  </a:defRPr>
                </a:pPr>
                <a:endParaRPr lang="es-EC"/>
              </a:p>
            </c:txPr>
            <c:dLblPos val="outEnd"/>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'Actividades económicas TUR'!$C$4:$C$10</c:f>
              <c:strCache>
                <c:ptCount val="7"/>
                <c:pt idx="0">
                  <c:v>OPERACIÓN E INTERMEDIACIÓN TUR (AGENCIA DE VIAJES Y TURISMO)</c:v>
                </c:pt>
                <c:pt idx="1">
                  <c:v>ALIMENTOS Y BEBIDAS </c:v>
                </c:pt>
                <c:pt idx="2">
                  <c:v>ALOJAMIENTO </c:v>
                </c:pt>
                <c:pt idx="3">
                  <c:v>CASINOS Y SALAS DE JUEGO</c:v>
                </c:pt>
                <c:pt idx="4">
                  <c:v>RECREACIÓN DIVERSIÓN Y ESPARCIMIENTO</c:v>
                </c:pt>
                <c:pt idx="5">
                  <c:v>TRANSPORTE TURISTICO</c:v>
                </c:pt>
                <c:pt idx="6">
                  <c:v>CENTRO DE TURISMO COMUNITARIO</c:v>
                </c:pt>
              </c:strCache>
            </c:strRef>
          </c:cat>
          <c:val>
            <c:numRef>
              <c:f>'Actividades económicas TUR'!$Y$4:$Y$10</c:f>
              <c:numCache>
                <c:formatCode>0%</c:formatCode>
                <c:ptCount val="7"/>
                <c:pt idx="0">
                  <c:v>0.15561959654178675</c:v>
                </c:pt>
                <c:pt idx="1">
                  <c:v>0.65850144092219021</c:v>
                </c:pt>
                <c:pt idx="2">
                  <c:v>0.15129682997118155</c:v>
                </c:pt>
                <c:pt idx="3">
                  <c:v>0</c:v>
                </c:pt>
                <c:pt idx="4">
                  <c:v>1.2556607657472211E-2</c:v>
                </c:pt>
                <c:pt idx="5">
                  <c:v>2.1819678880197611E-2</c:v>
                </c:pt>
                <c:pt idx="6">
                  <c:v>2.0584602717167559E-4</c:v>
                </c:pt>
              </c:numCache>
            </c:numRef>
          </c:val>
          <c:extLst>
            <c:ext xmlns:c16="http://schemas.microsoft.com/office/drawing/2014/chart" uri="{C3380CC4-5D6E-409C-BE32-E72D297353CC}">
              <c16:uniqueId val="{0000000C-0AEF-40E7-9706-EA41A41E6055}"/>
            </c:ext>
          </c:extLst>
        </c:ser>
        <c:dLbls>
          <c:dLblPos val="outEnd"/>
          <c:showLegendKey val="0"/>
          <c:showVal val="0"/>
          <c:showCatName val="1"/>
          <c:showSerName val="0"/>
          <c:showPercent val="0"/>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389" l="0.70000000000000062" r="0.70000000000000062" t="0.75000000000000389" header="0.30000000000000032" footer="0.30000000000000032"/>
    <c:pageSetup/>
  </c:printSettings>
  <c:userShapes r:id="rId3"/>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800" b="1" i="0" baseline="0">
                <a:effectLst/>
              </a:rPr>
              <a:t>% de estalecimientos de Alojamiento por TIPO </a:t>
            </a:r>
          </a:p>
          <a:p>
            <a:pPr>
              <a:defRPr/>
            </a:pPr>
            <a:r>
              <a:rPr lang="en-US" sz="1800" b="1" i="0" baseline="0">
                <a:effectLst/>
              </a:rPr>
              <a:t>2019</a:t>
            </a:r>
            <a:endParaRPr lang="es-EC">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10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4.9257435329096919E-2"/>
          <c:y val="0.20582830872848967"/>
          <c:w val="0.72933227273946033"/>
          <c:h val="0.65072137721915202"/>
        </c:manualLayout>
      </c:layout>
      <c:pie3DChart>
        <c:varyColors val="1"/>
        <c:ser>
          <c:idx val="0"/>
          <c:order val="0"/>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C503-4614-AA76-8AE243B434B5}"/>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C503-4614-AA76-8AE243B434B5}"/>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5-C503-4614-AA76-8AE243B434B5}"/>
              </c:ext>
            </c:extLst>
          </c:dPt>
          <c:dPt>
            <c:idx val="3"/>
            <c:bubble3D val="0"/>
            <c:spPr>
              <a:solidFill>
                <a:schemeClr val="accent4"/>
              </a:solidFill>
              <a:ln w="25400">
                <a:solidFill>
                  <a:schemeClr val="lt1"/>
                </a:solidFill>
              </a:ln>
              <a:effectLst/>
              <a:scene3d>
                <a:camera prst="orthographicFront"/>
                <a:lightRig rig="threePt" dir="t"/>
              </a:scene3d>
              <a:sp3d contourW="25400">
                <a:bevelB h="0"/>
                <a:contourClr>
                  <a:schemeClr val="lt1"/>
                </a:contourClr>
              </a:sp3d>
            </c:spPr>
            <c:extLst>
              <c:ext xmlns:c16="http://schemas.microsoft.com/office/drawing/2014/chart" uri="{C3380CC4-5D6E-409C-BE32-E72D297353CC}">
                <c16:uniqueId val="{00000001-DA08-4239-BEA5-5085BB515D2B}"/>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C503-4614-AA76-8AE243B434B5}"/>
              </c:ext>
            </c:extLst>
          </c:dPt>
          <c:dPt>
            <c:idx val="5"/>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B-C503-4614-AA76-8AE243B434B5}"/>
              </c:ext>
            </c:extLst>
          </c:dPt>
          <c:dPt>
            <c:idx val="6"/>
            <c:bubble3D val="0"/>
            <c:spPr>
              <a:solidFill>
                <a:schemeClr val="accent1">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D-C503-4614-AA76-8AE243B434B5}"/>
              </c:ext>
            </c:extLst>
          </c:dPt>
          <c:dPt>
            <c:idx val="7"/>
            <c:bubble3D val="0"/>
            <c:spPr>
              <a:solidFill>
                <a:schemeClr val="accent2">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F-C503-4614-AA76-8AE243B434B5}"/>
              </c:ext>
            </c:extLst>
          </c:dPt>
          <c:dLbls>
            <c:spPr>
              <a:solidFill>
                <a:schemeClr val="lt1"/>
              </a:solidFill>
              <a:ln w="25400" cap="flat" cmpd="sng" algn="ctr">
                <a:solidFill>
                  <a:schemeClr val="dk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'Aloj x categoria'!$B$7:$B$14</c:f>
              <c:strCache>
                <c:ptCount val="8"/>
                <c:pt idx="0">
                  <c:v> CAMPAMENTO TURÍSTICO </c:v>
                </c:pt>
                <c:pt idx="1">
                  <c:v> CASA DE HUÉSPEDES </c:v>
                </c:pt>
                <c:pt idx="2">
                  <c:v> HACIENDA TURÍSTICA </c:v>
                </c:pt>
                <c:pt idx="3">
                  <c:v> HOSTAL </c:v>
                </c:pt>
                <c:pt idx="4">
                  <c:v> HOSTERÍA </c:v>
                </c:pt>
                <c:pt idx="5">
                  <c:v> HOTEL </c:v>
                </c:pt>
                <c:pt idx="6">
                  <c:v> LODGE </c:v>
                </c:pt>
                <c:pt idx="7">
                  <c:v> REFUGIO </c:v>
                </c:pt>
              </c:strCache>
            </c:strRef>
          </c:cat>
          <c:val>
            <c:numRef>
              <c:f>'Aloj x categoria'!$K$7:$K$14</c:f>
              <c:numCache>
                <c:formatCode>_(* #,##0_);_(* \(#,##0\);_(* "-"??_);_(@_)</c:formatCode>
                <c:ptCount val="8"/>
                <c:pt idx="0">
                  <c:v>5</c:v>
                </c:pt>
                <c:pt idx="1">
                  <c:v>9</c:v>
                </c:pt>
                <c:pt idx="2">
                  <c:v>6</c:v>
                </c:pt>
                <c:pt idx="3">
                  <c:v>540</c:v>
                </c:pt>
                <c:pt idx="4">
                  <c:v>28</c:v>
                </c:pt>
                <c:pt idx="5">
                  <c:v>140</c:v>
                </c:pt>
                <c:pt idx="6">
                  <c:v>6</c:v>
                </c:pt>
                <c:pt idx="7">
                  <c:v>1</c:v>
                </c:pt>
              </c:numCache>
            </c:numRef>
          </c:val>
          <c:extLst>
            <c:ext xmlns:c16="http://schemas.microsoft.com/office/drawing/2014/chart" uri="{C3380CC4-5D6E-409C-BE32-E72D297353CC}">
              <c16:uniqueId val="{00000000-DA08-4239-BEA5-5085BB515D2B}"/>
            </c:ext>
          </c:extLst>
        </c:ser>
        <c:dLbls>
          <c:showLegendKey val="0"/>
          <c:showVal val="0"/>
          <c:showCatName val="1"/>
          <c:showSerName val="0"/>
          <c:showPercent val="1"/>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'Aloj x categoria'!$B$1</c:f>
          <c:strCache>
            <c:ptCount val="1"/>
            <c:pt idx="0">
              <c:v>Capacidad Hotelera por categorias</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7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1.8663472088145554E-2"/>
          <c:y val="0.24922134733158355"/>
          <c:w val="0.81952859145254342"/>
          <c:h val="0.73006433119235459"/>
        </c:manualLayout>
      </c:layout>
      <c:pie3DChart>
        <c:varyColors val="1"/>
        <c:ser>
          <c:idx val="0"/>
          <c:order val="0"/>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26DF-4DD1-80DC-F004C10B5B72}"/>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26DF-4DD1-80DC-F004C10B5B72}"/>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5-26DF-4DD1-80DC-F004C10B5B72}"/>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7-26DF-4DD1-80DC-F004C10B5B72}"/>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26DF-4DD1-80DC-F004C10B5B72}"/>
              </c:ext>
            </c:extLst>
          </c:dPt>
          <c:dPt>
            <c:idx val="5"/>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B-26DF-4DD1-80DC-F004C10B5B72}"/>
              </c:ext>
            </c:extLst>
          </c:dPt>
          <c:dPt>
            <c:idx val="6"/>
            <c:bubble3D val="0"/>
            <c:spPr>
              <a:solidFill>
                <a:schemeClr val="accent1">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D-26DF-4DD1-80DC-F004C10B5B72}"/>
              </c:ext>
            </c:extLst>
          </c:dPt>
          <c:dPt>
            <c:idx val="7"/>
            <c:bubble3D val="0"/>
            <c:spPr>
              <a:solidFill>
                <a:schemeClr val="accent2">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F-26DF-4DD1-80DC-F004C10B5B72}"/>
              </c:ext>
            </c:extLst>
          </c:dPt>
          <c:dLbls>
            <c:dLbl>
              <c:idx val="0"/>
              <c:layout>
                <c:manualLayout>
                  <c:x val="1.2303004221961176E-2"/>
                  <c:y val="-3.0063084219735692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6DF-4DD1-80DC-F004C10B5B72}"/>
                </c:ext>
              </c:extLst>
            </c:dLbl>
            <c:dLbl>
              <c:idx val="5"/>
              <c:layout>
                <c:manualLayout>
                  <c:x val="-3.2442515032740642E-2"/>
                  <c:y val="-0.1154125032616537"/>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26DF-4DD1-80DC-F004C10B5B72}"/>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EC"/>
              </a:p>
            </c:txPr>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'Aloj x categoria'!$C$6:$H$6</c:f>
              <c:strCache>
                <c:ptCount val="6"/>
                <c:pt idx="0">
                  <c:v> 5 ESTRELLAS </c:v>
                </c:pt>
                <c:pt idx="1">
                  <c:v> 4 ESTRELLAS </c:v>
                </c:pt>
                <c:pt idx="2">
                  <c:v> 3 ESTRELLAS </c:v>
                </c:pt>
                <c:pt idx="3">
                  <c:v> 2 ESTRELLAS </c:v>
                </c:pt>
                <c:pt idx="4">
                  <c:v> 1 ESTRELLAS </c:v>
                </c:pt>
                <c:pt idx="5">
                  <c:v> ÚNICA </c:v>
                </c:pt>
              </c:strCache>
            </c:strRef>
          </c:cat>
          <c:val>
            <c:numRef>
              <c:f>'Aloj x categoria'!$C$16:$H$16</c:f>
              <c:numCache>
                <c:formatCode>0%</c:formatCode>
                <c:ptCount val="6"/>
                <c:pt idx="0">
                  <c:v>2.7210884353741496E-2</c:v>
                </c:pt>
                <c:pt idx="1">
                  <c:v>5.4421768707482991E-2</c:v>
                </c:pt>
                <c:pt idx="2">
                  <c:v>0.14557823129251701</c:v>
                </c:pt>
                <c:pt idx="3">
                  <c:v>0.43537414965986393</c:v>
                </c:pt>
                <c:pt idx="4">
                  <c:v>0.31700680272108844</c:v>
                </c:pt>
                <c:pt idx="5">
                  <c:v>2.0408163265306121E-2</c:v>
                </c:pt>
              </c:numCache>
            </c:numRef>
          </c:val>
          <c:extLst>
            <c:ext xmlns:c16="http://schemas.microsoft.com/office/drawing/2014/chart" uri="{C3380CC4-5D6E-409C-BE32-E72D297353CC}">
              <c16:uniqueId val="{00000000-F624-4F23-B29C-CA95AE84B7DD}"/>
            </c:ext>
          </c:extLst>
        </c:ser>
        <c:dLbls>
          <c:showLegendKey val="0"/>
          <c:showVal val="0"/>
          <c:showCatName val="1"/>
          <c:showSerName val="0"/>
          <c:showPercent val="0"/>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'Aloj-Capacidad-TASA'!$B$1</c:f>
          <c:strCache>
            <c:ptCount val="1"/>
            <c:pt idx="0">
              <c:v>Capacidad Hotelera que pagan TASA de FACILIDADES TURISTICAS por categorias</c:v>
            </c:pt>
          </c:strCache>
        </c:strRef>
      </c:tx>
      <c:overlay val="0"/>
      <c:spPr>
        <a:noFill/>
        <a:ln>
          <a:noFill/>
        </a:ln>
        <a:effectLst/>
      </c:spPr>
      <c:txPr>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endParaRPr lang="es-EC"/>
        </a:p>
      </c:txPr>
    </c:title>
    <c:autoTitleDeleted val="0"/>
    <c:plotArea>
      <c:layout/>
      <c:barChart>
        <c:barDir val="col"/>
        <c:grouping val="clustered"/>
        <c:varyColors val="0"/>
        <c:ser>
          <c:idx val="1"/>
          <c:order val="1"/>
          <c:tx>
            <c:strRef>
              <c:f>'Aloj-Capacidad-TASA'!$D$4</c:f>
              <c:strCache>
                <c:ptCount val="1"/>
                <c:pt idx="0">
                  <c:v>No. Habitaciones</c:v>
                </c:pt>
              </c:strCache>
            </c:strRef>
          </c:tx>
          <c:spPr>
            <a:solidFill>
              <a:schemeClr val="accent2"/>
            </a:solidFill>
            <a:ln>
              <a:noFill/>
            </a:ln>
            <a:effectLst/>
          </c:spPr>
          <c:invertIfNegative val="0"/>
          <c:dLbls>
            <c:spPr>
              <a:solidFill>
                <a:schemeClr val="lt1"/>
              </a:solidFill>
              <a:ln w="25400" cap="flat" cmpd="sng" algn="ctr">
                <a:solidFill>
                  <a:schemeClr val="accent2"/>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('Aloj-Capacidad-TASA'!$B$5,'Aloj-Capacidad-TASA'!$B$7,'Aloj-Capacidad-TASA'!$B$10,'Aloj-Capacidad-TASA'!$B$12,'Aloj-Capacidad-TASA'!$B$15,'Aloj-Capacidad-TASA'!$B$18,'Aloj-Capacidad-TASA'!$B$21)</c:f>
              <c:strCache>
                <c:ptCount val="7"/>
                <c:pt idx="0">
                  <c:v>CASA DE HUÉSPEDES</c:v>
                </c:pt>
                <c:pt idx="1">
                  <c:v>HACIENDA TURÍSTICA</c:v>
                </c:pt>
                <c:pt idx="2">
                  <c:v>HOSTAL</c:v>
                </c:pt>
                <c:pt idx="3">
                  <c:v>HOSTERÍA</c:v>
                </c:pt>
                <c:pt idx="4">
                  <c:v>HOTEL</c:v>
                </c:pt>
                <c:pt idx="5">
                  <c:v>LODGE</c:v>
                </c:pt>
                <c:pt idx="6">
                  <c:v>Extrahotelero</c:v>
                </c:pt>
              </c:strCache>
            </c:strRef>
          </c:cat>
          <c:val>
            <c:numRef>
              <c:f>('Aloj-Capacidad-TASA'!$D$5,'Aloj-Capacidad-TASA'!$D$7,'Aloj-Capacidad-TASA'!$D$10,'Aloj-Capacidad-TASA'!$D$12,'Aloj-Capacidad-TASA'!$D$15,'Aloj-Capacidad-TASA'!$D$18,'Aloj-Capacidad-TASA'!$D$21)</c:f>
              <c:numCache>
                <c:formatCode>General</c:formatCode>
                <c:ptCount val="7"/>
                <c:pt idx="0">
                  <c:v>34</c:v>
                </c:pt>
                <c:pt idx="1">
                  <c:v>40</c:v>
                </c:pt>
                <c:pt idx="2">
                  <c:v>288</c:v>
                </c:pt>
                <c:pt idx="3">
                  <c:v>146</c:v>
                </c:pt>
                <c:pt idx="4">
                  <c:v>3004</c:v>
                </c:pt>
                <c:pt idx="5">
                  <c:v>66</c:v>
                </c:pt>
                <c:pt idx="6" formatCode="_(* #,##0.00_);_(* \(#,##0.00\);_(* &quot;-&quot;??_);_(@_)">
                  <c:v>0</c:v>
                </c:pt>
              </c:numCache>
            </c:numRef>
          </c:val>
          <c:extLst>
            <c:ext xmlns:c16="http://schemas.microsoft.com/office/drawing/2014/chart" uri="{C3380CC4-5D6E-409C-BE32-E72D297353CC}">
              <c16:uniqueId val="{00000001-9FCC-4D6B-ADCC-688AFE8BC7D4}"/>
            </c:ext>
          </c:extLst>
        </c:ser>
        <c:ser>
          <c:idx val="2"/>
          <c:order val="2"/>
          <c:tx>
            <c:strRef>
              <c:f>'Aloj-Capacidad-TASA'!$E$4</c:f>
              <c:strCache>
                <c:ptCount val="1"/>
                <c:pt idx="0">
                  <c:v>No. Plazas</c:v>
                </c:pt>
              </c:strCache>
            </c:strRef>
          </c:tx>
          <c:spPr>
            <a:solidFill>
              <a:schemeClr val="accent3"/>
            </a:solidFill>
            <a:ln>
              <a:noFill/>
            </a:ln>
            <a:effectLst/>
          </c:spPr>
          <c:invertIfNegative val="0"/>
          <c:dLbls>
            <c:dLbl>
              <c:idx val="0"/>
              <c:layout>
                <c:manualLayout>
                  <c:x val="1.626016260162599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9FCC-4D6B-ADCC-688AFE8BC7D4}"/>
                </c:ext>
              </c:extLst>
            </c:dLbl>
            <c:dLbl>
              <c:idx val="1"/>
              <c:layout>
                <c:manualLayout>
                  <c:x val="2.1615671629503026E-2"/>
                  <c:y val="-3.59879732724751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FCC-4D6B-ADCC-688AFE8BC7D4}"/>
                </c:ext>
              </c:extLst>
            </c:dLbl>
            <c:dLbl>
              <c:idx val="2"/>
              <c:layout>
                <c:manualLayout>
                  <c:x val="1.897018970189697E-2"/>
                  <c:y val="-2.60756192959583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9FCC-4D6B-ADCC-688AFE8BC7D4}"/>
                </c:ext>
              </c:extLst>
            </c:dLbl>
            <c:dLbl>
              <c:idx val="3"/>
              <c:layout>
                <c:manualLayout>
                  <c:x val="2.7100271002710029E-2"/>
                  <c:y val="-2.17296827466320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9FCC-4D6B-ADCC-688AFE8BC7D4}"/>
                </c:ext>
              </c:extLst>
            </c:dLbl>
            <c:dLbl>
              <c:idx val="4"/>
              <c:layout>
                <c:manualLayout>
                  <c:x val="-8.6720867208672184E-2"/>
                  <c:y val="-1.738374619730551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FCC-4D6B-ADCC-688AFE8BC7D4}"/>
                </c:ext>
              </c:extLst>
            </c:dLbl>
            <c:dLbl>
              <c:idx val="5"/>
              <c:layout>
                <c:manualLayout>
                  <c:x val="1.0840108401083912E-2"/>
                  <c:y val="-9.561060408518043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9FCC-4D6B-ADCC-688AFE8BC7D4}"/>
                </c:ext>
              </c:extLst>
            </c:dLbl>
            <c:spPr>
              <a:solidFill>
                <a:schemeClr val="lt1"/>
              </a:solidFill>
              <a:ln w="25400" cap="flat" cmpd="sng" algn="ctr">
                <a:solidFill>
                  <a:schemeClr val="accent3"/>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('Aloj-Capacidad-TASA'!$B$5,'Aloj-Capacidad-TASA'!$B$7,'Aloj-Capacidad-TASA'!$B$10,'Aloj-Capacidad-TASA'!$B$12,'Aloj-Capacidad-TASA'!$B$15,'Aloj-Capacidad-TASA'!$B$18,'Aloj-Capacidad-TASA'!$B$21)</c:f>
              <c:strCache>
                <c:ptCount val="7"/>
                <c:pt idx="0">
                  <c:v>CASA DE HUÉSPEDES</c:v>
                </c:pt>
                <c:pt idx="1">
                  <c:v>HACIENDA TURÍSTICA</c:v>
                </c:pt>
                <c:pt idx="2">
                  <c:v>HOSTAL</c:v>
                </c:pt>
                <c:pt idx="3">
                  <c:v>HOSTERÍA</c:v>
                </c:pt>
                <c:pt idx="4">
                  <c:v>HOTEL</c:v>
                </c:pt>
                <c:pt idx="5">
                  <c:v>LODGE</c:v>
                </c:pt>
                <c:pt idx="6">
                  <c:v>Extrahotelero</c:v>
                </c:pt>
              </c:strCache>
            </c:strRef>
          </c:cat>
          <c:val>
            <c:numRef>
              <c:f>('Aloj-Capacidad-TASA'!$E$5,'Aloj-Capacidad-TASA'!$E$7,'Aloj-Capacidad-TASA'!$E$10,'Aloj-Capacidad-TASA'!$E$12,'Aloj-Capacidad-TASA'!$E$15,'Aloj-Capacidad-TASA'!$E$18,'Aloj-Capacidad-TASA'!$E$21)</c:f>
              <c:numCache>
                <c:formatCode>General</c:formatCode>
                <c:ptCount val="7"/>
                <c:pt idx="0">
                  <c:v>53</c:v>
                </c:pt>
                <c:pt idx="1">
                  <c:v>101</c:v>
                </c:pt>
                <c:pt idx="2">
                  <c:v>593</c:v>
                </c:pt>
                <c:pt idx="3">
                  <c:v>336</c:v>
                </c:pt>
                <c:pt idx="4">
                  <c:v>5984</c:v>
                </c:pt>
                <c:pt idx="5">
                  <c:v>141</c:v>
                </c:pt>
                <c:pt idx="6" formatCode="_(* #,##0.00_);_(* \(#,##0.00\);_(* &quot;-&quot;??_);_(@_)">
                  <c:v>0</c:v>
                </c:pt>
              </c:numCache>
            </c:numRef>
          </c:val>
          <c:extLst>
            <c:ext xmlns:c16="http://schemas.microsoft.com/office/drawing/2014/chart" uri="{C3380CC4-5D6E-409C-BE32-E72D297353CC}">
              <c16:uniqueId val="{00000002-9FCC-4D6B-ADCC-688AFE8BC7D4}"/>
            </c:ext>
          </c:extLst>
        </c:ser>
        <c:dLbls>
          <c:showLegendKey val="0"/>
          <c:showVal val="0"/>
          <c:showCatName val="0"/>
          <c:showSerName val="0"/>
          <c:showPercent val="0"/>
          <c:showBubbleSize val="0"/>
        </c:dLbls>
        <c:gapWidth val="150"/>
        <c:axId val="1918179887"/>
        <c:axId val="1918179471"/>
      </c:barChart>
      <c:lineChart>
        <c:grouping val="stacked"/>
        <c:varyColors val="0"/>
        <c:ser>
          <c:idx val="0"/>
          <c:order val="0"/>
          <c:tx>
            <c:strRef>
              <c:f>'Aloj-Capacidad-TASA'!$C$4</c:f>
              <c:strCache>
                <c:ptCount val="1"/>
                <c:pt idx="0">
                  <c:v>N° Establecimientos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dLbls>
            <c:dLbl>
              <c:idx val="1"/>
              <c:layout>
                <c:manualLayout>
                  <c:x val="-2.9276453366792136E-2"/>
                  <c:y val="-5.855290673358443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9FCC-4D6B-ADCC-688AFE8BC7D4}"/>
                </c:ext>
              </c:extLst>
            </c:dLbl>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('Aloj-Capacidad-TASA'!$B$5,'Aloj-Capacidad-TASA'!$B$7,'Aloj-Capacidad-TASA'!$B$10,'Aloj-Capacidad-TASA'!$B$12,'Aloj-Capacidad-TASA'!$B$15,'Aloj-Capacidad-TASA'!$B$18,'Aloj-Capacidad-TASA'!$B$21)</c:f>
              <c:strCache>
                <c:ptCount val="7"/>
                <c:pt idx="0">
                  <c:v>CASA DE HUÉSPEDES</c:v>
                </c:pt>
                <c:pt idx="1">
                  <c:v>HACIENDA TURÍSTICA</c:v>
                </c:pt>
                <c:pt idx="2">
                  <c:v>HOSTAL</c:v>
                </c:pt>
                <c:pt idx="3">
                  <c:v>HOSTERÍA</c:v>
                </c:pt>
                <c:pt idx="4">
                  <c:v>HOTEL</c:v>
                </c:pt>
                <c:pt idx="5">
                  <c:v>LODGE</c:v>
                </c:pt>
                <c:pt idx="6">
                  <c:v>Extrahotelero</c:v>
                </c:pt>
              </c:strCache>
            </c:strRef>
          </c:cat>
          <c:val>
            <c:numRef>
              <c:f>('Aloj-Capacidad-TASA'!$C$5,'Aloj-Capacidad-TASA'!$C$7,'Aloj-Capacidad-TASA'!$C$10,'Aloj-Capacidad-TASA'!$C$12,'Aloj-Capacidad-TASA'!$C$15,'Aloj-Capacidad-TASA'!$C$18,'Aloj-Capacidad-TASA'!$C$21)</c:f>
              <c:numCache>
                <c:formatCode>General</c:formatCode>
                <c:ptCount val="7"/>
                <c:pt idx="0">
                  <c:v>9</c:v>
                </c:pt>
                <c:pt idx="1">
                  <c:v>4</c:v>
                </c:pt>
                <c:pt idx="2">
                  <c:v>23</c:v>
                </c:pt>
                <c:pt idx="3">
                  <c:v>12</c:v>
                </c:pt>
                <c:pt idx="4">
                  <c:v>39</c:v>
                </c:pt>
                <c:pt idx="5">
                  <c:v>5</c:v>
                </c:pt>
                <c:pt idx="6" formatCode="_(* #,##0.00_);_(* \(#,##0.00\);_(* &quot;-&quot;??_);_(@_)">
                  <c:v>0</c:v>
                </c:pt>
              </c:numCache>
            </c:numRef>
          </c:val>
          <c:smooth val="0"/>
          <c:extLst>
            <c:ext xmlns:c16="http://schemas.microsoft.com/office/drawing/2014/chart" uri="{C3380CC4-5D6E-409C-BE32-E72D297353CC}">
              <c16:uniqueId val="{00000000-9FCC-4D6B-ADCC-688AFE8BC7D4}"/>
            </c:ext>
          </c:extLst>
        </c:ser>
        <c:dLbls>
          <c:showLegendKey val="0"/>
          <c:showVal val="0"/>
          <c:showCatName val="0"/>
          <c:showSerName val="0"/>
          <c:showPercent val="0"/>
          <c:showBubbleSize val="0"/>
        </c:dLbls>
        <c:marker val="1"/>
        <c:smooth val="0"/>
        <c:axId val="1235476335"/>
        <c:axId val="1235485487"/>
      </c:lineChart>
      <c:valAx>
        <c:axId val="1918179471"/>
        <c:scaling>
          <c:orientation val="minMax"/>
        </c:scaling>
        <c:delete val="0"/>
        <c:axPos val="l"/>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918179887"/>
        <c:crosses val="autoZero"/>
        <c:crossBetween val="between"/>
      </c:valAx>
      <c:catAx>
        <c:axId val="1918179887"/>
        <c:scaling>
          <c:orientation val="minMax"/>
        </c:scaling>
        <c:delete val="1"/>
        <c:axPos val="b"/>
        <c:numFmt formatCode="General" sourceLinked="1"/>
        <c:majorTickMark val="out"/>
        <c:minorTickMark val="none"/>
        <c:tickLblPos val="nextTo"/>
        <c:crossAx val="1918179471"/>
        <c:crosses val="autoZero"/>
        <c:auto val="1"/>
        <c:lblAlgn val="ctr"/>
        <c:lblOffset val="100"/>
        <c:noMultiLvlLbl val="0"/>
      </c:catAx>
      <c:valAx>
        <c:axId val="1235485487"/>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crossAx val="1235476335"/>
        <c:crosses val="max"/>
        <c:crossBetween val="between"/>
      </c:valAx>
      <c:catAx>
        <c:axId val="1235476335"/>
        <c:scaling>
          <c:orientation val="minMax"/>
        </c:scaling>
        <c:delete val="1"/>
        <c:axPos val="b"/>
        <c:numFmt formatCode="General" sourceLinked="1"/>
        <c:majorTickMark val="out"/>
        <c:minorTickMark val="none"/>
        <c:tickLblPos val="nextTo"/>
        <c:crossAx val="1235485487"/>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solidFill>
                <a:latin typeface="+mn-lt"/>
                <a:ea typeface="+mn-ea"/>
                <a:cs typeface="+mn-cs"/>
              </a:defRPr>
            </a:pPr>
            <a:r>
              <a:rPr lang="en-US"/>
              <a:t>EMPLEO EN EL SECTOR TURÍSTICO DEL DMQ </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solidFill>
              <a:latin typeface="+mn-lt"/>
              <a:ea typeface="+mn-ea"/>
              <a:cs typeface="+mn-cs"/>
            </a:defRPr>
          </a:pPr>
          <a:endParaRPr lang="es-EC"/>
        </a:p>
      </c:txPr>
    </c:title>
    <c:autoTitleDeleted val="0"/>
    <c:plotArea>
      <c:layout>
        <c:manualLayout>
          <c:layoutTarget val="inner"/>
          <c:xMode val="edge"/>
          <c:yMode val="edge"/>
          <c:x val="1.7230576441102756E-2"/>
          <c:y val="9.6725882538624797E-2"/>
          <c:w val="0.97023809523809523"/>
          <c:h val="0.75155989688371361"/>
        </c:manualLayout>
      </c:layout>
      <c:barChart>
        <c:barDir val="col"/>
        <c:grouping val="clustered"/>
        <c:varyColors val="0"/>
        <c:ser>
          <c:idx val="0"/>
          <c:order val="0"/>
          <c:tx>
            <c:strRef>
              <c:f>EMPLEO_tur_DMQ!$F$5</c:f>
              <c:strCache>
                <c:ptCount val="1"/>
                <c:pt idx="0">
                  <c:v>MUJERES</c:v>
                </c:pt>
              </c:strCache>
            </c:strRef>
          </c:tx>
          <c:spPr>
            <a:solidFill>
              <a:schemeClr val="accent1"/>
            </a:solidFill>
            <a:ln w="9525" cap="flat" cmpd="sng" algn="ctr">
              <a:solidFill>
                <a:schemeClr val="dk1">
                  <a:tint val="92000"/>
                  <a:shade val="95000"/>
                  <a:satMod val="105000"/>
                </a:schemeClr>
              </a:solidFill>
              <a:prstDash val="solid"/>
              <a:round/>
            </a:ln>
            <a:effectLst/>
          </c:spPr>
          <c:invertIfNegative val="0"/>
          <c:dLbls>
            <c:numFmt formatCode="#,##0" sourceLinked="0"/>
            <c:spPr>
              <a:solidFill>
                <a:schemeClr val="bg1">
                  <a:lumMod val="95000"/>
                </a:schemeClr>
              </a:solidFill>
              <a:ln>
                <a:noFill/>
              </a:ln>
              <a:effectLst/>
            </c:spPr>
            <c:txPr>
              <a:bodyPr rot="0" spcFirstLastPara="1" vertOverflow="ellipsis" vert="horz" wrap="square" anchor="ctr" anchorCtr="1"/>
              <a:lstStyle/>
              <a:p>
                <a:pPr>
                  <a:defRPr sz="800" b="1" i="0" u="none" strike="noStrike" kern="1200" baseline="0">
                    <a:solidFill>
                      <a:srgbClr val="FF5050"/>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EMPLEO_tur_DMQ!$A$6:$A$10</c:f>
              <c:strCache>
                <c:ptCount val="5"/>
                <c:pt idx="0">
                  <c:v>ALIMENTOS Y BEBIDAS</c:v>
                </c:pt>
                <c:pt idx="1">
                  <c:v>ALOJAMIENTO</c:v>
                </c:pt>
                <c:pt idx="2">
                  <c:v>INTERMEDIACIÓN Y OPERACIÓN</c:v>
                </c:pt>
                <c:pt idx="3">
                  <c:v>RECREACIÓN, DIVERSIÓN Y ESPARCIMIENTO</c:v>
                </c:pt>
                <c:pt idx="4">
                  <c:v>TRANSPORTE TURÍSTICO</c:v>
                </c:pt>
              </c:strCache>
            </c:strRef>
          </c:cat>
          <c:val>
            <c:numRef>
              <c:f>EMPLEO_tur_DMQ!$F$6:$F$10</c:f>
              <c:numCache>
                <c:formatCode>_(* #,##0_);_(* \(#,##0\);_(* "-"??_);_(@_)</c:formatCode>
                <c:ptCount val="5"/>
                <c:pt idx="0">
                  <c:v>8909</c:v>
                </c:pt>
                <c:pt idx="1">
                  <c:v>2109</c:v>
                </c:pt>
                <c:pt idx="2">
                  <c:v>2601</c:v>
                </c:pt>
                <c:pt idx="3">
                  <c:v>189</c:v>
                </c:pt>
                <c:pt idx="4">
                  <c:v>240</c:v>
                </c:pt>
              </c:numCache>
            </c:numRef>
          </c:val>
          <c:extLst>
            <c:ext xmlns:c16="http://schemas.microsoft.com/office/drawing/2014/chart" uri="{C3380CC4-5D6E-409C-BE32-E72D297353CC}">
              <c16:uniqueId val="{00000000-3D60-4443-ADC3-72309050B5BF}"/>
            </c:ext>
          </c:extLst>
        </c:ser>
        <c:ser>
          <c:idx val="1"/>
          <c:order val="1"/>
          <c:tx>
            <c:strRef>
              <c:f>EMPLEO_tur_DMQ!$G$5</c:f>
              <c:strCache>
                <c:ptCount val="1"/>
                <c:pt idx="0">
                  <c:v>HOMBRES</c:v>
                </c:pt>
              </c:strCache>
            </c:strRef>
          </c:tx>
          <c:spPr>
            <a:solidFill>
              <a:schemeClr val="accent3"/>
            </a:solidFill>
            <a:ln w="9525" cap="flat" cmpd="sng" algn="ctr">
              <a:solidFill>
                <a:schemeClr val="dk1">
                  <a:tint val="92000"/>
                  <a:shade val="95000"/>
                  <a:satMod val="105000"/>
                </a:schemeClr>
              </a:solidFill>
              <a:prstDash val="solid"/>
              <a:round/>
            </a:ln>
            <a:effectLst/>
          </c:spPr>
          <c:invertIfNegative val="0"/>
          <c:dLbls>
            <c:numFmt formatCode="#,##0" sourceLinked="0"/>
            <c:spPr>
              <a:solidFill>
                <a:schemeClr val="bg1">
                  <a:lumMod val="95000"/>
                </a:schemeClr>
              </a:solidFill>
              <a:ln>
                <a:noFill/>
              </a:ln>
              <a:effectLst/>
            </c:spPr>
            <c:txPr>
              <a:bodyPr rot="0" spcFirstLastPara="1" vertOverflow="ellipsis" vert="horz" wrap="square" anchor="ctr" anchorCtr="1"/>
              <a:lstStyle/>
              <a:p>
                <a:pPr>
                  <a:defRPr sz="800" b="1" i="0" u="none" strike="noStrike" kern="1200" baseline="0">
                    <a:solidFill>
                      <a:schemeClr val="tx2">
                        <a:lumMod val="75000"/>
                      </a:schemeClr>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EMPLEO_tur_DMQ!$A$6:$A$10</c:f>
              <c:strCache>
                <c:ptCount val="5"/>
                <c:pt idx="0">
                  <c:v>ALIMENTOS Y BEBIDAS</c:v>
                </c:pt>
                <c:pt idx="1">
                  <c:v>ALOJAMIENTO</c:v>
                </c:pt>
                <c:pt idx="2">
                  <c:v>INTERMEDIACIÓN Y OPERACIÓN</c:v>
                </c:pt>
                <c:pt idx="3">
                  <c:v>RECREACIÓN, DIVERSIÓN Y ESPARCIMIENTO</c:v>
                </c:pt>
                <c:pt idx="4">
                  <c:v>TRANSPORTE TURÍSTICO</c:v>
                </c:pt>
              </c:strCache>
            </c:strRef>
          </c:cat>
          <c:val>
            <c:numRef>
              <c:f>EMPLEO_tur_DMQ!$G$6:$G$10</c:f>
              <c:numCache>
                <c:formatCode>_(* #,##0_);_(* \(#,##0\);_(* "-"??_);_(@_)</c:formatCode>
                <c:ptCount val="5"/>
                <c:pt idx="0">
                  <c:v>11075</c:v>
                </c:pt>
                <c:pt idx="1">
                  <c:v>3057</c:v>
                </c:pt>
                <c:pt idx="2">
                  <c:v>1756</c:v>
                </c:pt>
                <c:pt idx="3">
                  <c:v>243</c:v>
                </c:pt>
                <c:pt idx="4">
                  <c:v>496</c:v>
                </c:pt>
              </c:numCache>
            </c:numRef>
          </c:val>
          <c:extLst>
            <c:ext xmlns:c16="http://schemas.microsoft.com/office/drawing/2014/chart" uri="{C3380CC4-5D6E-409C-BE32-E72D297353CC}">
              <c16:uniqueId val="{00000001-3D60-4443-ADC3-72309050B5BF}"/>
            </c:ext>
          </c:extLst>
        </c:ser>
        <c:ser>
          <c:idx val="2"/>
          <c:order val="2"/>
          <c:tx>
            <c:strRef>
              <c:f>EMPLEO_tur_DMQ!$H$5</c:f>
              <c:strCache>
                <c:ptCount val="1"/>
                <c:pt idx="0">
                  <c:v>TOTAL</c:v>
                </c:pt>
              </c:strCache>
            </c:strRef>
          </c:tx>
          <c:spPr>
            <a:solidFill>
              <a:schemeClr val="accent5"/>
            </a:solidFill>
            <a:ln w="9525" cap="flat" cmpd="sng" algn="ctr">
              <a:solidFill>
                <a:schemeClr val="dk1">
                  <a:tint val="92000"/>
                  <a:shade val="95000"/>
                  <a:satMod val="105000"/>
                </a:schemeClr>
              </a:solidFill>
              <a:prstDash val="solid"/>
              <a:round/>
            </a:ln>
            <a:effectLst/>
          </c:spPr>
          <c:invertIfNegative val="0"/>
          <c:dPt>
            <c:idx val="7"/>
            <c:invertIfNegative val="0"/>
            <c:bubble3D val="0"/>
            <c:extLst>
              <c:ext xmlns:c16="http://schemas.microsoft.com/office/drawing/2014/chart" uri="{C3380CC4-5D6E-409C-BE32-E72D297353CC}">
                <c16:uniqueId val="{00000002-3D60-4443-ADC3-72309050B5BF}"/>
              </c:ext>
            </c:extLst>
          </c:dPt>
          <c:dLbls>
            <c:numFmt formatCode="#,##0" sourceLinked="0"/>
            <c:spPr>
              <a:solidFill>
                <a:schemeClr val="bg1">
                  <a:lumMod val="95000"/>
                </a:schemeClr>
              </a:solidFill>
              <a:ln>
                <a:noFill/>
              </a:ln>
              <a:effectLst/>
            </c:spPr>
            <c:txPr>
              <a:bodyPr rot="0" spcFirstLastPara="1" vertOverflow="ellipsis" vert="horz" wrap="square" anchor="ctr" anchorCtr="1"/>
              <a:lstStyle/>
              <a:p>
                <a:pPr>
                  <a:defRPr sz="900" b="1"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EMPLEO_tur_DMQ!$A$6:$A$10</c:f>
              <c:strCache>
                <c:ptCount val="5"/>
                <c:pt idx="0">
                  <c:v>ALIMENTOS Y BEBIDAS</c:v>
                </c:pt>
                <c:pt idx="1">
                  <c:v>ALOJAMIENTO</c:v>
                </c:pt>
                <c:pt idx="2">
                  <c:v>INTERMEDIACIÓN Y OPERACIÓN</c:v>
                </c:pt>
                <c:pt idx="3">
                  <c:v>RECREACIÓN, DIVERSIÓN Y ESPARCIMIENTO</c:v>
                </c:pt>
                <c:pt idx="4">
                  <c:v>TRANSPORTE TURÍSTICO</c:v>
                </c:pt>
              </c:strCache>
            </c:strRef>
          </c:cat>
          <c:val>
            <c:numRef>
              <c:f>EMPLEO_tur_DMQ!$H$6:$H$10</c:f>
              <c:numCache>
                <c:formatCode>_(* #,##0_);_(* \(#,##0\);_(* "-"??_);_(@_)</c:formatCode>
                <c:ptCount val="5"/>
                <c:pt idx="0">
                  <c:v>19984</c:v>
                </c:pt>
                <c:pt idx="1">
                  <c:v>5166</c:v>
                </c:pt>
                <c:pt idx="2">
                  <c:v>4357</c:v>
                </c:pt>
                <c:pt idx="3">
                  <c:v>432</c:v>
                </c:pt>
                <c:pt idx="4">
                  <c:v>736</c:v>
                </c:pt>
              </c:numCache>
            </c:numRef>
          </c:val>
          <c:extLst>
            <c:ext xmlns:c16="http://schemas.microsoft.com/office/drawing/2014/chart" uri="{C3380CC4-5D6E-409C-BE32-E72D297353CC}">
              <c16:uniqueId val="{00000003-3D60-4443-ADC3-72309050B5BF}"/>
            </c:ext>
          </c:extLst>
        </c:ser>
        <c:dLbls>
          <c:showLegendKey val="0"/>
          <c:showVal val="1"/>
          <c:showCatName val="0"/>
          <c:showSerName val="0"/>
          <c:showPercent val="0"/>
          <c:showBubbleSize val="0"/>
        </c:dLbls>
        <c:gapWidth val="150"/>
        <c:overlap val="-25"/>
        <c:axId val="344542272"/>
        <c:axId val="344542664"/>
      </c:barChart>
      <c:catAx>
        <c:axId val="344542272"/>
        <c:scaling>
          <c:orientation val="minMax"/>
        </c:scaling>
        <c:delete val="0"/>
        <c:axPos val="b"/>
        <c:numFmt formatCode="General" sourceLinked="0"/>
        <c:majorTickMark val="none"/>
        <c:minorTickMark val="none"/>
        <c:tickLblPos val="nextTo"/>
        <c:spPr>
          <a:noFill/>
          <a:ln w="9525" cap="flat" cmpd="sng" algn="ctr">
            <a:solidFill>
              <a:schemeClr val="dk1">
                <a:tint val="75000"/>
                <a:shade val="95000"/>
                <a:satMod val="105000"/>
              </a:schemeClr>
            </a:solidFill>
            <a:prstDash val="solid"/>
            <a:round/>
          </a:ln>
          <a:effectLst/>
        </c:spPr>
        <c:txPr>
          <a:bodyPr rot="-60000000" spcFirstLastPara="1" vertOverflow="ellipsis" vert="horz" wrap="square" anchor="ctr" anchorCtr="1"/>
          <a:lstStyle/>
          <a:p>
            <a:pPr>
              <a:defRPr sz="800" b="1" i="0" u="none" strike="noStrike" kern="1200" baseline="0">
                <a:solidFill>
                  <a:schemeClr val="dk1"/>
                </a:solidFill>
                <a:latin typeface="+mn-lt"/>
                <a:ea typeface="+mn-ea"/>
                <a:cs typeface="+mn-cs"/>
              </a:defRPr>
            </a:pPr>
            <a:endParaRPr lang="es-EC"/>
          </a:p>
        </c:txPr>
        <c:crossAx val="344542664"/>
        <c:crosses val="autoZero"/>
        <c:auto val="1"/>
        <c:lblAlgn val="ctr"/>
        <c:lblOffset val="100"/>
        <c:noMultiLvlLbl val="0"/>
      </c:catAx>
      <c:valAx>
        <c:axId val="344542664"/>
        <c:scaling>
          <c:orientation val="minMax"/>
        </c:scaling>
        <c:delete val="1"/>
        <c:axPos val="l"/>
        <c:numFmt formatCode="_(* #,##0_);_(* \(#,##0\);_(* &quot;-&quot;??_);_(@_)" sourceLinked="1"/>
        <c:majorTickMark val="out"/>
        <c:minorTickMark val="none"/>
        <c:tickLblPos val="nextTo"/>
        <c:crossAx val="344542272"/>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1000" b="0" i="0" u="none" strike="noStrike" kern="1200" baseline="0">
              <a:solidFill>
                <a:schemeClr val="dk1"/>
              </a:solidFill>
              <a:latin typeface="+mn-lt"/>
              <a:ea typeface="+mn-ea"/>
              <a:cs typeface="+mn-cs"/>
            </a:defRPr>
          </a:pPr>
          <a:endParaRPr lang="es-EC"/>
        </a:p>
      </c:txPr>
    </c:legend>
    <c:plotVisOnly val="1"/>
    <c:dispBlanksAs val="gap"/>
    <c:showDLblsOverMax val="0"/>
  </c:chart>
  <c:spPr>
    <a:solidFill>
      <a:schemeClr val="lt1"/>
    </a:solidFill>
    <a:ln w="9525" cap="flat" cmpd="sng" algn="ctr">
      <a:solidFill>
        <a:schemeClr val="dk1">
          <a:tint val="75000"/>
          <a:shade val="95000"/>
          <a:satMod val="105000"/>
        </a:schemeClr>
      </a:solidFill>
      <a:prstDash val="solid"/>
      <a:round/>
    </a:ln>
    <a:effectLst/>
  </c:spPr>
  <c:txPr>
    <a:bodyPr/>
    <a:lstStyle/>
    <a:p>
      <a:pPr>
        <a:defRPr/>
      </a:pPr>
      <a:endParaRPr lang="es-EC"/>
    </a:p>
  </c:txPr>
  <c:printSettings>
    <c:headerFooter/>
    <c:pageMargins b="0.75" l="0.7" r="0.7" t="0.75" header="0.3" footer="0.3"/>
    <c:pageSetup/>
  </c:printSettings>
  <c:userShapes r:id="rId3"/>
</c:chartSpace>
</file>

<file path=xl/charts/chart6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'perfil-mas visitado'!$U$7</c:f>
          <c:strCache>
            <c:ptCount val="1"/>
            <c:pt idx="0">
              <c:v>Sitios más visitados en el DMQ</c:v>
            </c:pt>
          </c:strCache>
        </c:strRef>
      </c:tx>
      <c:overlay val="0"/>
      <c:spPr>
        <a:noFill/>
        <a:ln>
          <a:noFill/>
        </a:ln>
        <a:effectLst/>
      </c:spPr>
      <c:txPr>
        <a:bodyPr rot="0" spcFirstLastPara="1" vertOverflow="ellipsis" vert="horz" wrap="square" anchor="ctr" anchorCtr="1"/>
        <a:lstStyle/>
        <a:p>
          <a:pPr>
            <a:defRPr sz="1800" b="1" i="0" u="none" strike="noStrike" kern="1200" cap="all" baseline="0">
              <a:solidFill>
                <a:schemeClr val="tx1">
                  <a:lumMod val="65000"/>
                  <a:lumOff val="35000"/>
                </a:schemeClr>
              </a:solidFill>
              <a:latin typeface="+mn-lt"/>
              <a:ea typeface="+mn-ea"/>
              <a:cs typeface="+mn-cs"/>
            </a:defRPr>
          </a:pPr>
          <a:endParaRPr lang="es-EC"/>
        </a:p>
      </c:txPr>
    </c:title>
    <c:autoTitleDeleted val="0"/>
    <c:view3D>
      <c:rotX val="50"/>
      <c:rotY val="90"/>
      <c:depthPercent val="100"/>
      <c:rAngAx val="0"/>
      <c:perspective val="5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22883065960807"/>
          <c:y val="0.21136135679766571"/>
          <c:w val="0.76071827713483231"/>
          <c:h val="0.66861746496577501"/>
        </c:manualLayout>
      </c:layout>
      <c:pie3DChart>
        <c:varyColors val="1"/>
        <c:ser>
          <c:idx val="0"/>
          <c:order val="0"/>
          <c:tx>
            <c:strRef>
              <c:f>'perfil-mas visitado'!$O$4</c:f>
              <c:strCache>
                <c:ptCount val="1"/>
                <c:pt idx="0">
                  <c:v>Visitas de turistas a lugares de la ciudad de Quito</c:v>
                </c:pt>
              </c:strCache>
            </c:strRef>
          </c:tx>
          <c:dPt>
            <c:idx val="0"/>
            <c:bubble3D val="0"/>
            <c:spPr>
              <a:solidFill>
                <a:schemeClr val="accent1">
                  <a:alpha val="90000"/>
                </a:schemeClr>
              </a:solidFill>
              <a:ln w="19050">
                <a:solidFill>
                  <a:schemeClr val="accent1">
                    <a:lumMod val="75000"/>
                  </a:schemeClr>
                </a:solidFill>
              </a:ln>
              <a:effectLst>
                <a:innerShdw blurRad="114300">
                  <a:schemeClr val="accent1">
                    <a:lumMod val="75000"/>
                  </a:schemeClr>
                </a:innerShdw>
              </a:effectLst>
              <a:scene3d>
                <a:camera prst="orthographicFront"/>
                <a:lightRig rig="threePt" dir="t"/>
              </a:scene3d>
              <a:sp3d contourW="19050" prstMaterial="flat">
                <a:contourClr>
                  <a:schemeClr val="accent1">
                    <a:lumMod val="75000"/>
                  </a:schemeClr>
                </a:contourClr>
              </a:sp3d>
            </c:spPr>
            <c:extLst>
              <c:ext xmlns:c16="http://schemas.microsoft.com/office/drawing/2014/chart" uri="{C3380CC4-5D6E-409C-BE32-E72D297353CC}">
                <c16:uniqueId val="{00000001-466D-48D8-8C52-882251EB8CC6}"/>
              </c:ext>
            </c:extLst>
          </c:dPt>
          <c:dPt>
            <c:idx val="1"/>
            <c:bubble3D val="0"/>
            <c:spPr>
              <a:solidFill>
                <a:schemeClr val="accent2">
                  <a:alpha val="90000"/>
                </a:schemeClr>
              </a:solidFill>
              <a:ln w="19050">
                <a:solidFill>
                  <a:schemeClr val="accent2">
                    <a:lumMod val="75000"/>
                  </a:schemeClr>
                </a:solidFill>
              </a:ln>
              <a:effectLst>
                <a:innerShdw blurRad="114300">
                  <a:schemeClr val="accent2">
                    <a:lumMod val="75000"/>
                  </a:schemeClr>
                </a:innerShdw>
              </a:effectLst>
              <a:scene3d>
                <a:camera prst="orthographicFront"/>
                <a:lightRig rig="threePt" dir="t"/>
              </a:scene3d>
              <a:sp3d contourW="19050" prstMaterial="flat">
                <a:contourClr>
                  <a:schemeClr val="accent2">
                    <a:lumMod val="75000"/>
                  </a:schemeClr>
                </a:contourClr>
              </a:sp3d>
            </c:spPr>
            <c:extLst>
              <c:ext xmlns:c16="http://schemas.microsoft.com/office/drawing/2014/chart" uri="{C3380CC4-5D6E-409C-BE32-E72D297353CC}">
                <c16:uniqueId val="{00000003-466D-48D8-8C52-882251EB8CC6}"/>
              </c:ext>
            </c:extLst>
          </c:dPt>
          <c:dPt>
            <c:idx val="2"/>
            <c:bubble3D val="0"/>
            <c:spPr>
              <a:solidFill>
                <a:schemeClr val="accent3">
                  <a:alpha val="90000"/>
                </a:schemeClr>
              </a:solidFill>
              <a:ln w="19050">
                <a:solidFill>
                  <a:schemeClr val="accent3">
                    <a:lumMod val="75000"/>
                  </a:schemeClr>
                </a:solidFill>
              </a:ln>
              <a:effectLst>
                <a:innerShdw blurRad="114300">
                  <a:schemeClr val="accent3">
                    <a:lumMod val="75000"/>
                  </a:schemeClr>
                </a:innerShdw>
              </a:effectLst>
              <a:scene3d>
                <a:camera prst="orthographicFront"/>
                <a:lightRig rig="threePt" dir="t"/>
              </a:scene3d>
              <a:sp3d contourW="19050" prstMaterial="flat">
                <a:contourClr>
                  <a:schemeClr val="accent3">
                    <a:lumMod val="75000"/>
                  </a:schemeClr>
                </a:contourClr>
              </a:sp3d>
            </c:spPr>
            <c:extLst>
              <c:ext xmlns:c16="http://schemas.microsoft.com/office/drawing/2014/chart" uri="{C3380CC4-5D6E-409C-BE32-E72D297353CC}">
                <c16:uniqueId val="{00000005-466D-48D8-8C52-882251EB8CC6}"/>
              </c:ext>
            </c:extLst>
          </c:dPt>
          <c:dPt>
            <c:idx val="3"/>
            <c:bubble3D val="0"/>
            <c:spPr>
              <a:solidFill>
                <a:schemeClr val="accent4">
                  <a:alpha val="90000"/>
                </a:schemeClr>
              </a:solidFill>
              <a:ln w="19050">
                <a:solidFill>
                  <a:schemeClr val="accent4">
                    <a:lumMod val="75000"/>
                  </a:schemeClr>
                </a:solidFill>
              </a:ln>
              <a:effectLst>
                <a:innerShdw blurRad="114300">
                  <a:schemeClr val="accent4">
                    <a:lumMod val="75000"/>
                  </a:schemeClr>
                </a:innerShdw>
              </a:effectLst>
              <a:scene3d>
                <a:camera prst="orthographicFront"/>
                <a:lightRig rig="threePt" dir="t"/>
              </a:scene3d>
              <a:sp3d contourW="19050" prstMaterial="flat">
                <a:contourClr>
                  <a:schemeClr val="accent4">
                    <a:lumMod val="75000"/>
                  </a:schemeClr>
                </a:contourClr>
              </a:sp3d>
            </c:spPr>
            <c:extLst>
              <c:ext xmlns:c16="http://schemas.microsoft.com/office/drawing/2014/chart" uri="{C3380CC4-5D6E-409C-BE32-E72D297353CC}">
                <c16:uniqueId val="{00000007-466D-48D8-8C52-882251EB8CC6}"/>
              </c:ext>
            </c:extLst>
          </c:dPt>
          <c:dPt>
            <c:idx val="4"/>
            <c:bubble3D val="0"/>
            <c:spPr>
              <a:solidFill>
                <a:schemeClr val="accent5">
                  <a:alpha val="90000"/>
                </a:schemeClr>
              </a:solidFill>
              <a:ln w="19050">
                <a:solidFill>
                  <a:schemeClr val="accent5">
                    <a:lumMod val="75000"/>
                  </a:schemeClr>
                </a:solidFill>
              </a:ln>
              <a:effectLst>
                <a:innerShdw blurRad="114300">
                  <a:schemeClr val="accent5">
                    <a:lumMod val="75000"/>
                  </a:schemeClr>
                </a:innerShdw>
              </a:effectLst>
              <a:scene3d>
                <a:camera prst="orthographicFront"/>
                <a:lightRig rig="threePt" dir="t"/>
              </a:scene3d>
              <a:sp3d contourW="19050" prstMaterial="flat">
                <a:contourClr>
                  <a:schemeClr val="accent5">
                    <a:lumMod val="75000"/>
                  </a:schemeClr>
                </a:contourClr>
              </a:sp3d>
            </c:spPr>
            <c:extLst>
              <c:ext xmlns:c16="http://schemas.microsoft.com/office/drawing/2014/chart" uri="{C3380CC4-5D6E-409C-BE32-E72D297353CC}">
                <c16:uniqueId val="{00000009-466D-48D8-8C52-882251EB8CC6}"/>
              </c:ext>
            </c:extLst>
          </c:dPt>
          <c:dPt>
            <c:idx val="5"/>
            <c:bubble3D val="0"/>
            <c:spPr>
              <a:solidFill>
                <a:schemeClr val="accent6">
                  <a:alpha val="90000"/>
                </a:schemeClr>
              </a:solidFill>
              <a:ln w="19050">
                <a:solidFill>
                  <a:schemeClr val="accent6">
                    <a:lumMod val="75000"/>
                  </a:schemeClr>
                </a:solidFill>
              </a:ln>
              <a:effectLst>
                <a:innerShdw blurRad="114300">
                  <a:schemeClr val="accent6">
                    <a:lumMod val="75000"/>
                  </a:schemeClr>
                </a:innerShdw>
              </a:effectLst>
              <a:scene3d>
                <a:camera prst="orthographicFront"/>
                <a:lightRig rig="threePt" dir="t"/>
              </a:scene3d>
              <a:sp3d contourW="19050" prstMaterial="flat">
                <a:contourClr>
                  <a:schemeClr val="accent6">
                    <a:lumMod val="75000"/>
                  </a:schemeClr>
                </a:contourClr>
              </a:sp3d>
            </c:spPr>
            <c:extLst>
              <c:ext xmlns:c16="http://schemas.microsoft.com/office/drawing/2014/chart" uri="{C3380CC4-5D6E-409C-BE32-E72D297353CC}">
                <c16:uniqueId val="{0000000B-466D-48D8-8C52-882251EB8CC6}"/>
              </c:ext>
            </c:extLst>
          </c:dPt>
          <c:dPt>
            <c:idx val="6"/>
            <c:bubble3D val="0"/>
            <c:spPr>
              <a:solidFill>
                <a:schemeClr val="accent1">
                  <a:lumMod val="60000"/>
                  <a:alpha val="90000"/>
                </a:schemeClr>
              </a:solidFill>
              <a:ln w="19050">
                <a:solidFill>
                  <a:schemeClr val="accent1">
                    <a:lumMod val="60000"/>
                    <a:lumMod val="75000"/>
                  </a:schemeClr>
                </a:solidFill>
              </a:ln>
              <a:effectLst>
                <a:innerShdw blurRad="114300">
                  <a:schemeClr val="accent1">
                    <a:lumMod val="60000"/>
                    <a:lumMod val="75000"/>
                  </a:schemeClr>
                </a:innerShdw>
              </a:effectLst>
              <a:scene3d>
                <a:camera prst="orthographicFront"/>
                <a:lightRig rig="threePt" dir="t"/>
              </a:scene3d>
              <a:sp3d contourW="19050" prstMaterial="flat">
                <a:contourClr>
                  <a:schemeClr val="accent1">
                    <a:lumMod val="60000"/>
                    <a:lumMod val="75000"/>
                  </a:schemeClr>
                </a:contourClr>
              </a:sp3d>
            </c:spPr>
            <c:extLst>
              <c:ext xmlns:c16="http://schemas.microsoft.com/office/drawing/2014/chart" uri="{C3380CC4-5D6E-409C-BE32-E72D297353CC}">
                <c16:uniqueId val="{0000000D-466D-48D8-8C52-882251EB8CC6}"/>
              </c:ext>
            </c:extLst>
          </c:dPt>
          <c:dPt>
            <c:idx val="7"/>
            <c:bubble3D val="0"/>
            <c:spPr>
              <a:solidFill>
                <a:schemeClr val="accent2">
                  <a:lumMod val="60000"/>
                  <a:alpha val="90000"/>
                </a:schemeClr>
              </a:solidFill>
              <a:ln w="19050">
                <a:solidFill>
                  <a:schemeClr val="accent2">
                    <a:lumMod val="60000"/>
                    <a:lumMod val="75000"/>
                  </a:schemeClr>
                </a:solidFill>
              </a:ln>
              <a:effectLst>
                <a:innerShdw blurRad="114300">
                  <a:schemeClr val="accent2">
                    <a:lumMod val="60000"/>
                    <a:lumMod val="75000"/>
                  </a:schemeClr>
                </a:innerShdw>
              </a:effectLst>
              <a:scene3d>
                <a:camera prst="orthographicFront"/>
                <a:lightRig rig="threePt" dir="t"/>
              </a:scene3d>
              <a:sp3d contourW="19050" prstMaterial="flat">
                <a:contourClr>
                  <a:schemeClr val="accent2">
                    <a:lumMod val="60000"/>
                    <a:lumMod val="75000"/>
                  </a:schemeClr>
                </a:contourClr>
              </a:sp3d>
            </c:spPr>
            <c:extLst>
              <c:ext xmlns:c16="http://schemas.microsoft.com/office/drawing/2014/chart" uri="{C3380CC4-5D6E-409C-BE32-E72D297353CC}">
                <c16:uniqueId val="{0000000F-466D-48D8-8C52-882251EB8CC6}"/>
              </c:ext>
            </c:extLst>
          </c:dPt>
          <c:dLbls>
            <c:dLbl>
              <c:idx val="0"/>
              <c:layout>
                <c:manualLayout>
                  <c:x val="5.1446761043648433E-2"/>
                  <c:y val="8.0917702706195561E-3"/>
                </c:manualLayout>
              </c:layout>
              <c:numFmt formatCode="0.0%" sourceLinked="0"/>
              <c:spPr>
                <a:solidFill>
                  <a:schemeClr val="lt1">
                    <a:alpha val="90000"/>
                  </a:schemeClr>
                </a:solidFill>
                <a:ln w="12700" cap="flat" cmpd="sng" algn="ctr">
                  <a:solidFill>
                    <a:schemeClr val="accent1"/>
                  </a:solidFill>
                  <a:round/>
                </a:ln>
                <a:effectLst>
                  <a:outerShdw blurRad="50800" dist="38100" dir="2700000" algn="tl" rotWithShape="0">
                    <a:schemeClr val="accent1">
                      <a:lumMod val="75000"/>
                      <a:alpha val="40000"/>
                    </a:schemeClr>
                  </a:outerShdw>
                </a:effectLst>
              </c:spPr>
              <c:txPr>
                <a:bodyPr rot="0" spcFirstLastPara="1" vertOverflow="clip" horzOverflow="clip" vert="horz" wrap="square" lIns="38100" tIns="19050" rIns="38100" bIns="19050" anchor="ctr" anchorCtr="1">
                  <a:spAutoFit/>
                </a:bodyPr>
                <a:lstStyle/>
                <a:p>
                  <a:pPr>
                    <a:defRPr sz="700" b="0" i="0" u="none" strike="noStrike" kern="1200" baseline="0">
                      <a:solidFill>
                        <a:schemeClr val="accent1"/>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66D-48D8-8C52-882251EB8CC6}"/>
                </c:ext>
              </c:extLst>
            </c:dLbl>
            <c:dLbl>
              <c:idx val="1"/>
              <c:layout>
                <c:manualLayout>
                  <c:x val="-4.0174666944779489E-2"/>
                  <c:y val="4.0967716922122567E-2"/>
                </c:manualLayout>
              </c:layout>
              <c:numFmt formatCode="0.0%" sourceLinked="0"/>
              <c:spPr>
                <a:solidFill>
                  <a:schemeClr val="lt1">
                    <a:alpha val="90000"/>
                  </a:schemeClr>
                </a:solidFill>
                <a:ln w="12700" cap="flat" cmpd="sng" algn="ctr">
                  <a:solidFill>
                    <a:schemeClr val="accent2"/>
                  </a:solidFill>
                  <a:round/>
                </a:ln>
                <a:effectLst>
                  <a:outerShdw blurRad="50800" dist="38100" dir="2700000" algn="tl" rotWithShape="0">
                    <a:schemeClr val="accent2">
                      <a:lumMod val="75000"/>
                      <a:alpha val="40000"/>
                    </a:schemeClr>
                  </a:outerShdw>
                </a:effectLst>
              </c:spPr>
              <c:txPr>
                <a:bodyPr rot="0" spcFirstLastPara="1" vertOverflow="clip" horzOverflow="clip" vert="horz" wrap="square" lIns="38100" tIns="19050" rIns="38100" bIns="19050" anchor="ctr" anchorCtr="1">
                  <a:spAutoFit/>
                </a:bodyPr>
                <a:lstStyle/>
                <a:p>
                  <a:pPr>
                    <a:defRPr sz="700" b="0" i="0" u="none" strike="noStrike" kern="1200" baseline="0">
                      <a:solidFill>
                        <a:schemeClr val="accent2"/>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6D-48D8-8C52-882251EB8CC6}"/>
                </c:ext>
              </c:extLst>
            </c:dLbl>
            <c:dLbl>
              <c:idx val="2"/>
              <c:layout>
                <c:manualLayout>
                  <c:x val="-2.3034996871230742E-2"/>
                  <c:y val="7.6623308089293256E-3"/>
                </c:manualLayout>
              </c:layout>
              <c:numFmt formatCode="0.0%" sourceLinked="0"/>
              <c:spPr>
                <a:solidFill>
                  <a:schemeClr val="lt1">
                    <a:alpha val="90000"/>
                  </a:schemeClr>
                </a:solidFill>
                <a:ln w="12700" cap="flat" cmpd="sng" algn="ctr">
                  <a:solidFill>
                    <a:schemeClr val="accent3"/>
                  </a:solidFill>
                  <a:round/>
                </a:ln>
                <a:effectLst>
                  <a:outerShdw blurRad="50800" dist="38100" dir="2700000" algn="tl" rotWithShape="0">
                    <a:schemeClr val="accent3">
                      <a:lumMod val="75000"/>
                      <a:alpha val="40000"/>
                    </a:schemeClr>
                  </a:outerShdw>
                </a:effectLst>
              </c:spPr>
              <c:txPr>
                <a:bodyPr rot="0" spcFirstLastPara="1" vertOverflow="clip" horzOverflow="clip" vert="horz" wrap="square" lIns="38100" tIns="19050" rIns="38100" bIns="19050" anchor="ctr" anchorCtr="1">
                  <a:spAutoFit/>
                </a:bodyPr>
                <a:lstStyle/>
                <a:p>
                  <a:pPr>
                    <a:defRPr sz="700" b="0" i="0" u="none" strike="noStrike" kern="1200" baseline="0">
                      <a:solidFill>
                        <a:schemeClr val="accent3"/>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6D-48D8-8C52-882251EB8CC6}"/>
                </c:ext>
              </c:extLst>
            </c:dLbl>
            <c:dLbl>
              <c:idx val="3"/>
              <c:layout>
                <c:manualLayout>
                  <c:x val="-5.0424333662836572E-2"/>
                  <c:y val="9.995304436230798E-3"/>
                </c:manualLayout>
              </c:layout>
              <c:numFmt formatCode="0.0%" sourceLinked="0"/>
              <c:spPr>
                <a:solidFill>
                  <a:schemeClr val="lt1">
                    <a:alpha val="90000"/>
                  </a:schemeClr>
                </a:solidFill>
                <a:ln w="12700" cap="flat" cmpd="sng" algn="ctr">
                  <a:solidFill>
                    <a:schemeClr val="accent4"/>
                  </a:solidFill>
                  <a:round/>
                </a:ln>
                <a:effectLst>
                  <a:outerShdw blurRad="50800" dist="38100" dir="2700000" algn="tl" rotWithShape="0">
                    <a:schemeClr val="accent4">
                      <a:lumMod val="75000"/>
                      <a:alpha val="40000"/>
                    </a:schemeClr>
                  </a:outerShdw>
                </a:effectLst>
              </c:spPr>
              <c:txPr>
                <a:bodyPr rot="0" spcFirstLastPara="1" vertOverflow="clip" horzOverflow="clip" vert="horz" wrap="square" lIns="38100" tIns="19050" rIns="38100" bIns="19050" anchor="ctr" anchorCtr="1">
                  <a:spAutoFit/>
                </a:bodyPr>
                <a:lstStyle/>
                <a:p>
                  <a:pPr>
                    <a:defRPr sz="700" b="0" i="0" u="none" strike="noStrike" kern="1200" baseline="0">
                      <a:solidFill>
                        <a:schemeClr val="accent4"/>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6D-48D8-8C52-882251EB8CC6}"/>
                </c:ext>
              </c:extLst>
            </c:dLbl>
            <c:dLbl>
              <c:idx val="4"/>
              <c:layout>
                <c:manualLayout>
                  <c:x val="-0.1011423181912993"/>
                  <c:y val="-3.1947065057251416E-2"/>
                </c:manualLayout>
              </c:layout>
              <c:numFmt formatCode="0.0%" sourceLinked="0"/>
              <c:spPr>
                <a:solidFill>
                  <a:schemeClr val="lt1">
                    <a:alpha val="90000"/>
                  </a:schemeClr>
                </a:solidFill>
                <a:ln w="12700" cap="flat" cmpd="sng" algn="ctr">
                  <a:solidFill>
                    <a:schemeClr val="accent5"/>
                  </a:solidFill>
                  <a:round/>
                </a:ln>
                <a:effectLst>
                  <a:outerShdw blurRad="50800" dist="38100" dir="2700000" algn="tl" rotWithShape="0">
                    <a:schemeClr val="accent5">
                      <a:lumMod val="75000"/>
                      <a:alpha val="40000"/>
                    </a:schemeClr>
                  </a:outerShdw>
                </a:effectLst>
              </c:spPr>
              <c:txPr>
                <a:bodyPr rot="0" spcFirstLastPara="1" vertOverflow="clip" horzOverflow="clip" vert="horz" wrap="square" lIns="38100" tIns="19050" rIns="38100" bIns="19050" anchor="ctr" anchorCtr="1">
                  <a:spAutoFit/>
                </a:bodyPr>
                <a:lstStyle/>
                <a:p>
                  <a:pPr>
                    <a:defRPr sz="700" b="0" i="0" u="none" strike="noStrike" kern="1200" baseline="0">
                      <a:solidFill>
                        <a:schemeClr val="accent5"/>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9-466D-48D8-8C52-882251EB8CC6}"/>
                </c:ext>
              </c:extLst>
            </c:dLbl>
            <c:dLbl>
              <c:idx val="5"/>
              <c:layout>
                <c:manualLayout>
                  <c:x val="-3.5235020450361434E-2"/>
                  <c:y val="-7.1599270249080277E-2"/>
                </c:manualLayout>
              </c:layout>
              <c:numFmt formatCode="0.0%" sourceLinked="0"/>
              <c:spPr>
                <a:solidFill>
                  <a:schemeClr val="lt1">
                    <a:alpha val="90000"/>
                  </a:schemeClr>
                </a:solidFill>
                <a:ln w="12700" cap="flat" cmpd="sng" algn="ctr">
                  <a:solidFill>
                    <a:schemeClr val="accent6"/>
                  </a:solidFill>
                  <a:round/>
                </a:ln>
                <a:effectLst>
                  <a:outerShdw blurRad="50800" dist="38100" dir="2700000" algn="tl" rotWithShape="0">
                    <a:schemeClr val="accent6">
                      <a:lumMod val="75000"/>
                      <a:alpha val="40000"/>
                    </a:schemeClr>
                  </a:outerShdw>
                </a:effectLst>
              </c:spPr>
              <c:txPr>
                <a:bodyPr rot="0" spcFirstLastPara="1" vertOverflow="clip" horzOverflow="clip" vert="horz" wrap="square" lIns="38100" tIns="19050" rIns="38100" bIns="19050" anchor="ctr" anchorCtr="1">
                  <a:spAutoFit/>
                </a:bodyPr>
                <a:lstStyle/>
                <a:p>
                  <a:pPr>
                    <a:defRPr sz="700" b="0" i="0" u="none" strike="noStrike" kern="1200" baseline="0">
                      <a:solidFill>
                        <a:schemeClr val="accent6"/>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466D-48D8-8C52-882251EB8CC6}"/>
                </c:ext>
              </c:extLst>
            </c:dLbl>
            <c:dLbl>
              <c:idx val="6"/>
              <c:layout>
                <c:manualLayout>
                  <c:x val="4.5057904903552284E-2"/>
                  <c:y val="-0.18067850896464979"/>
                </c:manualLayout>
              </c:layout>
              <c:numFmt formatCode="0.0%" sourceLinked="0"/>
              <c:spPr>
                <a:solidFill>
                  <a:schemeClr val="lt1">
                    <a:alpha val="90000"/>
                  </a:schemeClr>
                </a:solidFill>
                <a:ln w="12700" cap="flat" cmpd="sng" algn="ctr">
                  <a:solidFill>
                    <a:schemeClr val="accent1">
                      <a:lumMod val="60000"/>
                    </a:schemeClr>
                  </a:solidFill>
                  <a:round/>
                </a:ln>
                <a:effectLst>
                  <a:outerShdw blurRad="50800" dist="38100" dir="2700000" algn="tl" rotWithShape="0">
                    <a:schemeClr val="accent1">
                      <a:lumMod val="60000"/>
                      <a:lumMod val="75000"/>
                      <a:alpha val="40000"/>
                    </a:schemeClr>
                  </a:outerShdw>
                </a:effectLst>
              </c:spPr>
              <c:txPr>
                <a:bodyPr rot="0" spcFirstLastPara="1" vertOverflow="clip" horzOverflow="clip" vert="horz" wrap="square" lIns="38100" tIns="19050" rIns="38100" bIns="19050" anchor="ctr" anchorCtr="1">
                  <a:spAutoFit/>
                </a:bodyPr>
                <a:lstStyle/>
                <a:p>
                  <a:pPr>
                    <a:defRPr sz="700" b="0" i="0" u="none" strike="noStrike" kern="1200" baseline="0">
                      <a:solidFill>
                        <a:schemeClr val="accent1">
                          <a:lumMod val="60000"/>
                        </a:schemeClr>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D-466D-48D8-8C52-882251EB8CC6}"/>
                </c:ext>
              </c:extLst>
            </c:dLbl>
            <c:dLbl>
              <c:idx val="7"/>
              <c:layout>
                <c:manualLayout>
                  <c:x val="0.154124262018555"/>
                  <c:y val="-6.9804778705402942E-2"/>
                </c:manualLayout>
              </c:layout>
              <c:numFmt formatCode="0.0%" sourceLinked="0"/>
              <c:spPr>
                <a:solidFill>
                  <a:schemeClr val="lt1">
                    <a:alpha val="90000"/>
                  </a:schemeClr>
                </a:solidFill>
                <a:ln w="12700" cap="flat" cmpd="sng" algn="ctr">
                  <a:solidFill>
                    <a:schemeClr val="accent2">
                      <a:lumMod val="60000"/>
                    </a:schemeClr>
                  </a:solidFill>
                  <a:round/>
                </a:ln>
                <a:effectLst>
                  <a:outerShdw blurRad="50800" dist="38100" dir="2700000" algn="tl" rotWithShape="0">
                    <a:schemeClr val="accent2">
                      <a:lumMod val="60000"/>
                      <a:lumMod val="75000"/>
                      <a:alpha val="40000"/>
                    </a:schemeClr>
                  </a:outerShdw>
                </a:effectLst>
              </c:spPr>
              <c:txPr>
                <a:bodyPr rot="0" spcFirstLastPara="1" vertOverflow="clip" horzOverflow="clip" vert="horz" wrap="square" lIns="38100" tIns="19050" rIns="38100" bIns="19050" anchor="ctr" anchorCtr="1">
                  <a:spAutoFit/>
                </a:bodyPr>
                <a:lstStyle/>
                <a:p>
                  <a:pPr>
                    <a:defRPr sz="700" b="0" i="0" u="none" strike="noStrike" kern="1200" baseline="0">
                      <a:solidFill>
                        <a:schemeClr val="accent2">
                          <a:lumMod val="60000"/>
                        </a:schemeClr>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F-466D-48D8-8C52-882251EB8CC6}"/>
                </c:ext>
              </c:extLst>
            </c:dLbl>
            <c:numFmt formatCode="0.0%" sourceLinked="0"/>
            <c:spPr>
              <a:solidFill>
                <a:sysClr val="window" lastClr="FFFFFF">
                  <a:alpha val="90000"/>
                </a:sysClr>
              </a:solidFill>
              <a:ln w="12700" cap="flat" cmpd="sng" algn="ctr">
                <a:solidFill>
                  <a:srgbClr val="4F81BD"/>
                </a:solidFill>
                <a:round/>
              </a:ln>
              <a:effectLst>
                <a:outerShdw blurRad="50800" dist="38100" dir="2700000" algn="tl" rotWithShape="0">
                  <a:srgbClr val="4F81BD">
                    <a:lumMod val="75000"/>
                    <a:alpha val="40000"/>
                  </a:srgbClr>
                </a:outerShdw>
              </a:effectLst>
            </c:spPr>
            <c:txPr>
              <a:bodyPr rot="0" spcFirstLastPara="1" vertOverflow="clip" horzOverflow="clip" vert="horz" wrap="square" lIns="38100" tIns="19050" rIns="38100" bIns="19050" anchor="ctr" anchorCtr="1">
                <a:spAutoFit/>
              </a:bodyPr>
              <a:lstStyle/>
              <a:p>
                <a:pPr>
                  <a:defRPr sz="700" b="0" i="0" u="none" strike="noStrike" kern="1200" baseline="0">
                    <a:solidFill>
                      <a:schemeClr val="accent1"/>
                    </a:solidFill>
                    <a:effectLst/>
                    <a:latin typeface="+mn-lt"/>
                    <a:ea typeface="+mn-ea"/>
                    <a:cs typeface="+mn-cs"/>
                  </a:defRPr>
                </a:pPr>
                <a:endParaRPr lang="es-EC"/>
              </a:p>
            </c:txPr>
            <c:dLblPos val="inEnd"/>
            <c:showLegendKey val="0"/>
            <c:showVal val="1"/>
            <c:showCatName val="1"/>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'perfil-mas visitado'!$T$8:$T$15</c:f>
              <c:strCache>
                <c:ptCount val="8"/>
                <c:pt idx="0">
                  <c:v>CENTRO HISTÓRICO</c:v>
                </c:pt>
                <c:pt idx="1">
                  <c:v>LA MARISCAL</c:v>
                </c:pt>
                <c:pt idx="2">
                  <c:v>LOS MIRADORES</c:v>
                </c:pt>
                <c:pt idx="3">
                  <c:v>IGLESIAS, MUSEOS, TEATROS</c:v>
                </c:pt>
                <c:pt idx="4">
                  <c:v>PARQUES</c:v>
                </c:pt>
                <c:pt idx="5">
                  <c:v>CENTROS COMERCIALES</c:v>
                </c:pt>
                <c:pt idx="6">
                  <c:v>BARRIOS TRADICIONALES</c:v>
                </c:pt>
                <c:pt idx="7">
                  <c:v>Mitad del Mundo</c:v>
                </c:pt>
              </c:strCache>
            </c:strRef>
          </c:cat>
          <c:val>
            <c:numRef>
              <c:f>'perfil-mas visitado'!$W$8:$W$15</c:f>
              <c:numCache>
                <c:formatCode>0%</c:formatCode>
                <c:ptCount val="8"/>
                <c:pt idx="0">
                  <c:v>0.6742506707873368</c:v>
                </c:pt>
                <c:pt idx="1">
                  <c:v>0.11612695536597829</c:v>
                </c:pt>
                <c:pt idx="2">
                  <c:v>0.11768089312716092</c:v>
                </c:pt>
                <c:pt idx="3">
                  <c:v>1.8261089015937364E-2</c:v>
                </c:pt>
                <c:pt idx="4">
                  <c:v>6.2836055971855834E-2</c:v>
                </c:pt>
                <c:pt idx="5">
                  <c:v>6.0223746068559167E-3</c:v>
                </c:pt>
                <c:pt idx="6">
                  <c:v>4.8219611248748974E-3</c:v>
                </c:pt>
                <c:pt idx="7">
                  <c:v>0.860930066613669</c:v>
                </c:pt>
              </c:numCache>
            </c:numRef>
          </c:val>
          <c:extLst>
            <c:ext xmlns:c16="http://schemas.microsoft.com/office/drawing/2014/chart" uri="{C3380CC4-5D6E-409C-BE32-E72D297353CC}">
              <c16:uniqueId val="{00000010-466D-48D8-8C52-882251EB8CC6}"/>
            </c:ext>
          </c:extLst>
        </c:ser>
        <c:dLbls>
          <c:dLblPos val="inEnd"/>
          <c:showLegendKey val="0"/>
          <c:showVal val="0"/>
          <c:showCatName val="0"/>
          <c:showSerName val="0"/>
          <c:showPercent val="1"/>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4803149606299213" l="0.47" r="0.53" t="0.74803149606299213" header="0.31496062992125984" footer="0.31496062992125984"/>
    <c:pageSetup orientation="landscape" verticalDpi="597"/>
  </c:printSettings>
</c:chartSpace>
</file>

<file path=xl/charts/chart6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cap="all" baseline="0">
                <a:solidFill>
                  <a:schemeClr val="tx1">
                    <a:lumMod val="65000"/>
                    <a:lumOff val="35000"/>
                  </a:schemeClr>
                </a:solidFill>
                <a:latin typeface="+mn-lt"/>
                <a:ea typeface="+mn-ea"/>
                <a:cs typeface="+mn-cs"/>
              </a:defRPr>
            </a:pPr>
            <a:r>
              <a:rPr lang="es-EC" sz="1800" b="1" i="0" cap="all" baseline="0">
                <a:effectLst/>
              </a:rPr>
              <a:t>PARROQUIAS más visitadAs ALREDEDOR </a:t>
            </a:r>
          </a:p>
          <a:p>
            <a:pPr>
              <a:defRPr/>
            </a:pPr>
            <a:r>
              <a:rPr lang="es-EC" sz="1800" b="1" i="0" cap="all" baseline="0">
                <a:effectLst/>
              </a:rPr>
              <a:t>DEL DMQ </a:t>
            </a:r>
            <a:endParaRPr lang="es-EC">
              <a:effectLst/>
            </a:endParaRPr>
          </a:p>
          <a:p>
            <a:pPr>
              <a:defRPr/>
            </a:pPr>
            <a:r>
              <a:rPr lang="es-EC" sz="1400" b="1" i="0" cap="all" baseline="0">
                <a:effectLst/>
              </a:rPr>
              <a:t> (% estimado)</a:t>
            </a:r>
            <a:endParaRPr lang="es-EC" sz="1200">
              <a:effectLst/>
            </a:endParaRPr>
          </a:p>
        </c:rich>
      </c:tx>
      <c:overlay val="0"/>
      <c:spPr>
        <a:noFill/>
        <a:ln>
          <a:noFill/>
        </a:ln>
        <a:effectLst/>
      </c:spPr>
      <c:txPr>
        <a:bodyPr rot="0" spcFirstLastPara="1" vertOverflow="ellipsis" vert="horz" wrap="square" anchor="ctr" anchorCtr="1"/>
        <a:lstStyle/>
        <a:p>
          <a:pPr>
            <a:defRPr sz="1600" b="1" i="0" u="none" strike="noStrike" kern="1200" cap="all" baseline="0">
              <a:solidFill>
                <a:schemeClr val="tx1">
                  <a:lumMod val="65000"/>
                  <a:lumOff val="35000"/>
                </a:schemeClr>
              </a:solidFill>
              <a:latin typeface="+mn-lt"/>
              <a:ea typeface="+mn-ea"/>
              <a:cs typeface="+mn-cs"/>
            </a:defRPr>
          </a:pPr>
          <a:endParaRPr lang="es-EC"/>
        </a:p>
      </c:txPr>
    </c:title>
    <c:autoTitleDeleted val="0"/>
    <c:view3D>
      <c:rotX val="30"/>
      <c:rotY val="14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1.812696911590288E-3"/>
          <c:y val="0.25080930495337195"/>
          <c:w val="0.71270566321652307"/>
          <c:h val="0.60567617082052783"/>
        </c:manualLayout>
      </c:layout>
      <c:pie3DChart>
        <c:varyColors val="1"/>
        <c:ser>
          <c:idx val="1"/>
          <c:order val="0"/>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1-2CCC-4E3D-87CA-2F609A995CD1}"/>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3-2CCC-4E3D-87CA-2F609A995CD1}"/>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5-2CCC-4E3D-87CA-2F609A995CD1}"/>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7-2CCC-4E3D-87CA-2F609A995CD1}"/>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9-2CCC-4E3D-87CA-2F609A995CD1}"/>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B-2CCC-4E3D-87CA-2F609A995CD1}"/>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D-2CCC-4E3D-87CA-2F609A995CD1}"/>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F-2CCC-4E3D-87CA-2F609A995CD1}"/>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11-2CCC-4E3D-87CA-2F609A995CD1}"/>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13-2CCC-4E3D-87CA-2F609A995CD1}"/>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15-2CCC-4E3D-87CA-2F609A995CD1}"/>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17-2CCC-4E3D-87CA-2F609A995CD1}"/>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19-2CCC-4E3D-87CA-2F609A995CD1}"/>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1B-2CCC-4E3D-87CA-2F609A995CD1}"/>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1D-2CCC-4E3D-87CA-2F609A995CD1}"/>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1F-2CCC-4E3D-87CA-2F609A995CD1}"/>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1-2CCC-4E3D-87CA-2F609A995CD1}"/>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3-2CCC-4E3D-87CA-2F609A995CD1}"/>
              </c:ext>
            </c:extLst>
          </c:dPt>
          <c:dLbls>
            <c:dLbl>
              <c:idx val="0"/>
              <c:layout>
                <c:manualLayout>
                  <c:x val="1.1461318051575927E-2"/>
                  <c:y val="-0.1313803633468078"/>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CCC-4E3D-87CA-2F609A995CD1}"/>
                </c:ext>
              </c:extLst>
            </c:dLbl>
            <c:dLbl>
              <c:idx val="1"/>
              <c:layout>
                <c:manualLayout>
                  <c:x val="6.3037249283667607E-2"/>
                  <c:y val="-8.7905701764721997E-2"/>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4"/>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CCC-4E3D-87CA-2F609A995CD1}"/>
                </c:ext>
              </c:extLst>
            </c:dLbl>
            <c:dLbl>
              <c:idx val="2"/>
              <c:layout>
                <c:manualLayout>
                  <c:x val="0.14139493084909061"/>
                  <c:y val="-0.33171336488921793"/>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6"/>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CCC-4E3D-87CA-2F609A995CD1}"/>
                </c:ext>
              </c:extLst>
            </c:dLbl>
            <c:dLbl>
              <c:idx val="3"/>
              <c:layout>
                <c:manualLayout>
                  <c:x val="0.14456168067797673"/>
                  <c:y val="-0.27572485063298718"/>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lumMod val="60000"/>
                        </a:schemeClr>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CCC-4E3D-87CA-2F609A995CD1}"/>
                </c:ext>
              </c:extLst>
            </c:dLbl>
            <c:dLbl>
              <c:idx val="4"/>
              <c:layout>
                <c:manualLayout>
                  <c:x val="0.15585960562821002"/>
                  <c:y val="-0.21536068675176293"/>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4">
                          <a:lumMod val="60000"/>
                        </a:schemeClr>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CCC-4E3D-87CA-2F609A995CD1}"/>
                </c:ext>
              </c:extLst>
            </c:dLbl>
            <c:dLbl>
              <c:idx val="5"/>
              <c:layout>
                <c:manualLayout>
                  <c:x val="0.17752559524120526"/>
                  <c:y val="-0.17423813476306915"/>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6">
                          <a:lumMod val="60000"/>
                        </a:schemeClr>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2CCC-4E3D-87CA-2F609A995CD1}"/>
                </c:ext>
              </c:extLst>
            </c:dLbl>
            <c:dLbl>
              <c:idx val="6"/>
              <c:layout>
                <c:manualLayout>
                  <c:x val="0.18402269806105762"/>
                  <c:y val="-0.13303452453058767"/>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lumMod val="80000"/>
                          <a:lumOff val="20000"/>
                        </a:schemeClr>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D-2CCC-4E3D-87CA-2F609A995CD1}"/>
                </c:ext>
              </c:extLst>
            </c:dLbl>
            <c:dLbl>
              <c:idx val="7"/>
              <c:layout>
                <c:manualLayout>
                  <c:x val="0.12945532882602812"/>
                  <c:y val="-7.0105809423394727E-2"/>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4">
                          <a:lumMod val="80000"/>
                          <a:lumOff val="20000"/>
                        </a:schemeClr>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F-2CCC-4E3D-87CA-2F609A995CD1}"/>
                </c:ext>
              </c:extLst>
            </c:dLbl>
            <c:dLbl>
              <c:idx val="8"/>
              <c:layout>
                <c:manualLayout>
                  <c:x val="0.12607449856733524"/>
                  <c:y val="-2.485574441696364E-2"/>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6">
                          <a:lumMod val="80000"/>
                          <a:lumOff val="20000"/>
                        </a:schemeClr>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1-2CCC-4E3D-87CA-2F609A995CD1}"/>
                </c:ext>
              </c:extLst>
            </c:dLbl>
            <c:dLbl>
              <c:idx val="9"/>
              <c:layout>
                <c:manualLayout>
                  <c:x val="0.13774978055623768"/>
                  <c:y val="2.113264143868809E-2"/>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lumMod val="80000"/>
                        </a:schemeClr>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3-2CCC-4E3D-87CA-2F609A995CD1}"/>
                </c:ext>
              </c:extLst>
            </c:dLbl>
            <c:dLbl>
              <c:idx val="10"/>
              <c:layout>
                <c:manualLayout>
                  <c:x val="0.14713736918278097"/>
                  <c:y val="6.3527247773273496E-2"/>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4">
                          <a:lumMod val="80000"/>
                        </a:schemeClr>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5-2CCC-4E3D-87CA-2F609A995CD1}"/>
                </c:ext>
              </c:extLst>
            </c:dLbl>
            <c:dLbl>
              <c:idx val="11"/>
              <c:layout>
                <c:manualLayout>
                  <c:x val="0.29652664935499207"/>
                  <c:y val="0.13626605224283392"/>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7-2CCC-4E3D-87CA-2F609A995CD1}"/>
                </c:ext>
              </c:extLst>
            </c:dLbl>
            <c:dLbl>
              <c:idx val="12"/>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19-2CCC-4E3D-87CA-2F609A995CD1}"/>
                </c:ext>
              </c:extLst>
            </c:dLbl>
            <c:dLbl>
              <c:idx val="13"/>
              <c:layout>
                <c:manualLayout>
                  <c:x val="0.19906684152502965"/>
                  <c:y val="0.18592122503055977"/>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B-2CCC-4E3D-87CA-2F609A995CD1}"/>
                </c:ext>
              </c:extLst>
            </c:dLbl>
            <c:dLbl>
              <c:idx val="14"/>
              <c:layout>
                <c:manualLayout>
                  <c:x val="4.3545871583600237E-2"/>
                  <c:y val="0.1962501819767021"/>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D-2CCC-4E3D-87CA-2F609A995CD1}"/>
                </c:ext>
              </c:extLst>
            </c:dLbl>
            <c:dLbl>
              <c:idx val="15"/>
              <c:layout>
                <c:manualLayout>
                  <c:x val="-0.1762570992669534"/>
                  <c:y val="0.13427644029984892"/>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F-2CCC-4E3D-87CA-2F609A995CD1}"/>
                </c:ext>
              </c:extLst>
            </c:dLbl>
            <c:dLbl>
              <c:idx val="16"/>
              <c:layout>
                <c:manualLayout>
                  <c:x val="3.1104193988285882E-2"/>
                  <c:y val="0.11361852640756424"/>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21-2CCC-4E3D-87CA-2F609A995CD1}"/>
                </c:ext>
              </c:extLst>
            </c:dLbl>
            <c:dLbl>
              <c:idx val="17"/>
              <c:layout>
                <c:manualLayout>
                  <c:x val="-6.2208387976571841E-2"/>
                  <c:y val="9.2960612515280067E-2"/>
                </c:manualLayout>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solidFill>
                      <a:latin typeface="+mn-lt"/>
                      <a:ea typeface="+mn-ea"/>
                      <a:cs typeface="+mn-cs"/>
                    </a:defRPr>
                  </a:pPr>
                  <a:endParaRPr lang="es-EC"/>
                </a:p>
              </c:txPr>
              <c:dLblPos val="bestFit"/>
              <c:showLegendKey val="0"/>
              <c:showVal val="0"/>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23-2CCC-4E3D-87CA-2F609A995CD1}"/>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'perfil-Alrededor_parroquia'!$H$11:$H$28</c:f>
              <c:numCache>
                <c:formatCode>0.0%</c:formatCode>
                <c:ptCount val="18"/>
                <c:pt idx="1">
                  <c:v>0.860930066613669</c:v>
                </c:pt>
                <c:pt idx="2">
                  <c:v>3.9229471316085486E-2</c:v>
                </c:pt>
                <c:pt idx="3">
                  <c:v>3.2733408323959504E-2</c:v>
                </c:pt>
                <c:pt idx="4">
                  <c:v>7.9021372328458937E-3</c:v>
                </c:pt>
                <c:pt idx="5">
                  <c:v>7.1428571428571426E-3</c:v>
                </c:pt>
                <c:pt idx="6">
                  <c:v>6.5241844769403827E-3</c:v>
                </c:pt>
                <c:pt idx="7">
                  <c:v>6.2710911136107991E-3</c:v>
                </c:pt>
                <c:pt idx="8">
                  <c:v>6.0461192350956131E-3</c:v>
                </c:pt>
                <c:pt idx="9">
                  <c:v>5.2024746906636672E-3</c:v>
                </c:pt>
                <c:pt idx="10">
                  <c:v>4.7525309336332961E-3</c:v>
                </c:pt>
                <c:pt idx="11">
                  <c:v>3.6839145106861643E-3</c:v>
                </c:pt>
                <c:pt idx="12">
                  <c:v>2.5590551181102362E-3</c:v>
                </c:pt>
                <c:pt idx="13">
                  <c:v>2.530933633295838E-3</c:v>
                </c:pt>
                <c:pt idx="14">
                  <c:v>2.4465691788526436E-3</c:v>
                </c:pt>
                <c:pt idx="15">
                  <c:v>2.2778402699662544E-3</c:v>
                </c:pt>
                <c:pt idx="16">
                  <c:v>1.9403824521934759E-3</c:v>
                </c:pt>
                <c:pt idx="17">
                  <c:v>1.8841394825646794E-3</c:v>
                </c:pt>
              </c:numCache>
            </c:numRef>
          </c:val>
          <c:extLst>
            <c:ext xmlns:c16="http://schemas.microsoft.com/office/drawing/2014/chart" uri="{C3380CC4-5D6E-409C-BE32-E72D297353CC}">
              <c16:uniqueId val="{00000024-2CCC-4E3D-87CA-2F609A995CD1}"/>
            </c:ext>
          </c:extLst>
        </c:ser>
        <c:ser>
          <c:idx val="0"/>
          <c:order val="1"/>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5-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6-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7-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8-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9-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A-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B-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C-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D-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E-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2F-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0-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1-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2-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3-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4-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5-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6-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5-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6-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7-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8-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9-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A-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B-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C-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D-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E-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2F-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0-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1-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2-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3-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4-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5-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6-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'perfil-Alrededor_parroquia'!$I$11:$I$28</c:f>
              <c:numCache>
                <c:formatCode>#,##0</c:formatCode>
                <c:ptCount val="18"/>
                <c:pt idx="0" formatCode="General">
                  <c:v>0</c:v>
                </c:pt>
                <c:pt idx="1">
                  <c:v>30566</c:v>
                </c:pt>
                <c:pt idx="2" formatCode="General">
                  <c:v>1395</c:v>
                </c:pt>
                <c:pt idx="3">
                  <c:v>1164</c:v>
                </c:pt>
                <c:pt idx="4" formatCode="General">
                  <c:v>281</c:v>
                </c:pt>
                <c:pt idx="5" formatCode="General">
                  <c:v>254</c:v>
                </c:pt>
                <c:pt idx="6" formatCode="General">
                  <c:v>232</c:v>
                </c:pt>
                <c:pt idx="7" formatCode="General">
                  <c:v>223</c:v>
                </c:pt>
                <c:pt idx="8" formatCode="General">
                  <c:v>215</c:v>
                </c:pt>
                <c:pt idx="9" formatCode="General">
                  <c:v>185</c:v>
                </c:pt>
                <c:pt idx="10" formatCode="General">
                  <c:v>169</c:v>
                </c:pt>
                <c:pt idx="11" formatCode="General">
                  <c:v>131</c:v>
                </c:pt>
                <c:pt idx="12" formatCode="General">
                  <c:v>91</c:v>
                </c:pt>
                <c:pt idx="13" formatCode="General">
                  <c:v>90</c:v>
                </c:pt>
                <c:pt idx="14" formatCode="General">
                  <c:v>87</c:v>
                </c:pt>
                <c:pt idx="15" formatCode="General">
                  <c:v>81</c:v>
                </c:pt>
                <c:pt idx="16">
                  <c:v>69</c:v>
                </c:pt>
                <c:pt idx="17" formatCode="General">
                  <c:v>67</c:v>
                </c:pt>
              </c:numCache>
            </c:numRef>
          </c:val>
          <c:extLst>
            <c:ext xmlns:c16="http://schemas.microsoft.com/office/drawing/2014/chart" uri="{C3380CC4-5D6E-409C-BE32-E72D297353CC}">
              <c16:uniqueId val="{00000025-2CCC-4E3D-87CA-2F609A995CD1}"/>
            </c:ext>
          </c:extLst>
        </c:ser>
        <c:ser>
          <c:idx val="2"/>
          <c:order val="2"/>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7-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8-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9-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A-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B-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C-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D-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E-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3F-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0-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1-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2-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3-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4-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5-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6-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7-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8-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7-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8-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9-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A-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B-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C-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D-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E-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3F-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0-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1-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2-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3-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4-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5-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6-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7-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8-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'perfil-Alrededor_parroquia'!$J$11:$J$28</c:f>
              <c:numCache>
                <c:formatCode>General</c:formatCode>
                <c:ptCount val="18"/>
                <c:pt idx="0">
                  <c:v>0</c:v>
                </c:pt>
                <c:pt idx="1">
                  <c:v>486</c:v>
                </c:pt>
                <c:pt idx="2" formatCode="#,##0">
                  <c:v>1986</c:v>
                </c:pt>
                <c:pt idx="3">
                  <c:v>631</c:v>
                </c:pt>
                <c:pt idx="4">
                  <c:v>0</c:v>
                </c:pt>
                <c:pt idx="5">
                  <c:v>523</c:v>
                </c:pt>
                <c:pt idx="6">
                  <c:v>142</c:v>
                </c:pt>
                <c:pt idx="7">
                  <c:v>986</c:v>
                </c:pt>
                <c:pt idx="8">
                  <c:v>233</c:v>
                </c:pt>
                <c:pt idx="9">
                  <c:v>196</c:v>
                </c:pt>
                <c:pt idx="10">
                  <c:v>1024</c:v>
                </c:pt>
                <c:pt idx="11">
                  <c:v>275</c:v>
                </c:pt>
                <c:pt idx="12">
                  <c:v>43</c:v>
                </c:pt>
                <c:pt idx="13">
                  <c:v>1466</c:v>
                </c:pt>
                <c:pt idx="14">
                  <c:v>303</c:v>
                </c:pt>
                <c:pt idx="15">
                  <c:v>33</c:v>
                </c:pt>
                <c:pt idx="16" formatCode="#,##0">
                  <c:v>174</c:v>
                </c:pt>
                <c:pt idx="17">
                  <c:v>41</c:v>
                </c:pt>
              </c:numCache>
            </c:numRef>
          </c:val>
          <c:extLst>
            <c:ext xmlns:c16="http://schemas.microsoft.com/office/drawing/2014/chart" uri="{C3380CC4-5D6E-409C-BE32-E72D297353CC}">
              <c16:uniqueId val="{00000026-2CCC-4E3D-87CA-2F609A995CD1}"/>
            </c:ext>
          </c:extLst>
        </c:ser>
        <c:ser>
          <c:idx val="3"/>
          <c:order val="3"/>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9-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A-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B-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C-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D-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E-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4F-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0-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1-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2-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3-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4-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5-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6-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7-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8-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9-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A-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9-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A-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B-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C-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D-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E-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4F-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0-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1-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2-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3-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4-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5-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6-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7-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8-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9-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A-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'perfil-Alrededor_parroquia'!$K$11:$K$28</c:f>
              <c:numCache>
                <c:formatCode>0.00</c:formatCode>
                <c:ptCount val="18"/>
                <c:pt idx="0" formatCode="General">
                  <c:v>0</c:v>
                </c:pt>
                <c:pt idx="1">
                  <c:v>0</c:v>
                </c:pt>
                <c:pt idx="2">
                  <c:v>1.42</c:v>
                </c:pt>
                <c:pt idx="3">
                  <c:v>0</c:v>
                </c:pt>
                <c:pt idx="4">
                  <c:v>0</c:v>
                </c:pt>
                <c:pt idx="5">
                  <c:v>2.06</c:v>
                </c:pt>
                <c:pt idx="6">
                  <c:v>0</c:v>
                </c:pt>
                <c:pt idx="7">
                  <c:v>4.41</c:v>
                </c:pt>
                <c:pt idx="8">
                  <c:v>1.08</c:v>
                </c:pt>
                <c:pt idx="9">
                  <c:v>1.06</c:v>
                </c:pt>
                <c:pt idx="10">
                  <c:v>6.07</c:v>
                </c:pt>
                <c:pt idx="11">
                  <c:v>2.1</c:v>
                </c:pt>
                <c:pt idx="12">
                  <c:v>0</c:v>
                </c:pt>
                <c:pt idx="13">
                  <c:v>16.34</c:v>
                </c:pt>
                <c:pt idx="14">
                  <c:v>3.5</c:v>
                </c:pt>
                <c:pt idx="15">
                  <c:v>0</c:v>
                </c:pt>
                <c:pt idx="16">
                  <c:v>2.5299999999999998</c:v>
                </c:pt>
                <c:pt idx="17">
                  <c:v>0</c:v>
                </c:pt>
              </c:numCache>
            </c:numRef>
          </c:val>
          <c:extLst>
            <c:ext xmlns:c16="http://schemas.microsoft.com/office/drawing/2014/chart" uri="{C3380CC4-5D6E-409C-BE32-E72D297353CC}">
              <c16:uniqueId val="{00000027-2CCC-4E3D-87CA-2F609A995CD1}"/>
            </c:ext>
          </c:extLst>
        </c:ser>
        <c:ser>
          <c:idx val="4"/>
          <c:order val="4"/>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B-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C-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D-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E-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5F-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0-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1-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2-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3-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4-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5-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6-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7-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8-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9-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A-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B-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C-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B-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C-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D-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E-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5F-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0-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1-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2-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3-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4-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5-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6-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7-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8-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9-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A-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B-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C-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'perfil-Alrededor_parroquia'!$L$11:$L$28</c:f>
              <c:numCache>
                <c:formatCode>General</c:formatCode>
                <c:ptCount val="18"/>
              </c:numCache>
            </c:numRef>
          </c:val>
          <c:extLst>
            <c:ext xmlns:c16="http://schemas.microsoft.com/office/drawing/2014/chart" uri="{C3380CC4-5D6E-409C-BE32-E72D297353CC}">
              <c16:uniqueId val="{00000028-2CCC-4E3D-87CA-2F609A995CD1}"/>
            </c:ext>
          </c:extLst>
        </c:ser>
        <c:ser>
          <c:idx val="5"/>
          <c:order val="5"/>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D-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E-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6F-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0-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1-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2-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3-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4-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5-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6-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7-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8-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9-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A-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B-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C-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D-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E-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D-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E-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6F-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0-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1-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2-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3-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4-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5-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6-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7-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8-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9-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A-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B-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C-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D-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E-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'perfil-Alrededor_parroquia'!$M$11:$M$28</c:f>
              <c:numCache>
                <c:formatCode>General</c:formatCode>
                <c:ptCount val="18"/>
                <c:pt idx="0" formatCode="#,##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numCache>
            </c:numRef>
          </c:val>
          <c:extLst>
            <c:ext xmlns:c16="http://schemas.microsoft.com/office/drawing/2014/chart" uri="{C3380CC4-5D6E-409C-BE32-E72D297353CC}">
              <c16:uniqueId val="{00000029-2CCC-4E3D-87CA-2F609A995CD1}"/>
            </c:ext>
          </c:extLst>
        </c:ser>
        <c:ser>
          <c:idx val="6"/>
          <c:order val="6"/>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7F-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0-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1-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2-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3-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4-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5-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6-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7-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8-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9-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A-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B-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C-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D-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E-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8F-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0-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7F-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0-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1-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2-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3-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4-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5-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6-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7-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8-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9-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A-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B-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C-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D-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E-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8F-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0-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'perfil-Alrededor_parroquia'!$N$11:$N$28</c:f>
              <c:numCache>
                <c:formatCode>0%</c:formatCode>
                <c:ptCount val="18"/>
                <c:pt idx="1">
                  <c:v>0.860930066613669</c:v>
                </c:pt>
                <c:pt idx="2">
                  <c:v>5.7400724326694713E-2</c:v>
                </c:pt>
                <c:pt idx="3">
                  <c:v>2.3439544531789782E-2</c:v>
                </c:pt>
                <c:pt idx="4">
                  <c:v>5.2531831907035318E-3</c:v>
                </c:pt>
                <c:pt idx="5">
                  <c:v>7.1239124812828179E-3</c:v>
                </c:pt>
                <c:pt idx="6">
                  <c:v>7.0526682224570257E-3</c:v>
                </c:pt>
                <c:pt idx="7">
                  <c:v>5.3344262913229759E-3</c:v>
                </c:pt>
                <c:pt idx="8">
                  <c:v>4.5938924159215173E-3</c:v>
                </c:pt>
                <c:pt idx="9">
                  <c:v>3.7914975584902896E-3</c:v>
                </c:pt>
                <c:pt idx="10">
                  <c:v>1.7531159123190584E-3</c:v>
                </c:pt>
                <c:pt idx="11">
                  <c:v>2.9838625067202733E-3</c:v>
                </c:pt>
                <c:pt idx="12">
                  <c:v>2.9813041095389861E-3</c:v>
                </c:pt>
                <c:pt idx="13">
                  <c:v>2.7203570672784498E-3</c:v>
                </c:pt>
                <c:pt idx="14">
                  <c:v>2.4996255033128819E-3</c:v>
                </c:pt>
                <c:pt idx="15">
                  <c:v>1.6211255758997614E-3</c:v>
                </c:pt>
                <c:pt idx="16">
                  <c:v>2.1651481459230054E-3</c:v>
                </c:pt>
                <c:pt idx="17">
                  <c:v>1.6125883063825312E-3</c:v>
                </c:pt>
              </c:numCache>
            </c:numRef>
          </c:val>
          <c:extLst>
            <c:ext xmlns:c16="http://schemas.microsoft.com/office/drawing/2014/chart" uri="{C3380CC4-5D6E-409C-BE32-E72D297353CC}">
              <c16:uniqueId val="{0000002A-2CCC-4E3D-87CA-2F609A995CD1}"/>
            </c:ext>
          </c:extLst>
        </c:ser>
        <c:ser>
          <c:idx val="7"/>
          <c:order val="7"/>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1-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2-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3-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4-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5-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6-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7-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8-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9-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A-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B-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C-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D-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E-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9F-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0-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1-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2-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1-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2-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3-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4-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5-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6-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7-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8-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9-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A-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B-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C-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D-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E-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9F-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0-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1-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2-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'perfil-Alrededor_parroquia'!$O$11:$O$28</c:f>
              <c:numCache>
                <c:formatCode>_(* #,##0_);_(* \(#,##0\);_(* "-"??_);_(@_)</c:formatCode>
                <c:ptCount val="18"/>
                <c:pt idx="0" formatCode="General">
                  <c:v>0</c:v>
                </c:pt>
                <c:pt idx="1">
                  <c:v>30000</c:v>
                </c:pt>
                <c:pt idx="2">
                  <c:v>2000.1876999999999</c:v>
                </c:pt>
                <c:pt idx="3">
                  <c:v>816.77521000000002</c:v>
                </c:pt>
                <c:pt idx="4">
                  <c:v>183.05260999999999</c:v>
                </c:pt>
                <c:pt idx="5">
                  <c:v>248.24011000000002</c:v>
                </c:pt>
                <c:pt idx="6">
                  <c:v>245.75753</c:v>
                </c:pt>
                <c:pt idx="7">
                  <c:v>185.88361</c:v>
                </c:pt>
                <c:pt idx="8">
                  <c:v>160.07893999999999</c:v>
                </c:pt>
                <c:pt idx="9">
                  <c:v>132.11866000000001</c:v>
                </c:pt>
                <c:pt idx="10">
                  <c:v>61.08914</c:v>
                </c:pt>
                <c:pt idx="11">
                  <c:v>103.97578</c:v>
                </c:pt>
                <c:pt idx="12">
                  <c:v>103.88663</c:v>
                </c:pt>
                <c:pt idx="13">
                  <c:v>94.793660000000003</c:v>
                </c:pt>
                <c:pt idx="14">
                  <c:v>87.102040000000002</c:v>
                </c:pt>
                <c:pt idx="15">
                  <c:v>56.489800000000002</c:v>
                </c:pt>
                <c:pt idx="16">
                  <c:v>75.446830000000006</c:v>
                </c:pt>
                <c:pt idx="17">
                  <c:v>56.192309999999999</c:v>
                </c:pt>
              </c:numCache>
            </c:numRef>
          </c:val>
          <c:extLst>
            <c:ext xmlns:c16="http://schemas.microsoft.com/office/drawing/2014/chart" uri="{C3380CC4-5D6E-409C-BE32-E72D297353CC}">
              <c16:uniqueId val="{0000002B-2CCC-4E3D-87CA-2F609A995CD1}"/>
            </c:ext>
          </c:extLst>
        </c:ser>
        <c:ser>
          <c:idx val="8"/>
          <c:order val="8"/>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3-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4-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5-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6-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7-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8-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9-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A-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B-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C-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D-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E-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AF-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0-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1-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2-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3-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4-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3-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4-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5-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6-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7-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8-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9-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A-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B-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C-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D-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E-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AF-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0-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1-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2-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3-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4-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'perfil-Alrededor_parroquia'!$P$11:$P$28</c:f>
              <c:numCache>
                <c:formatCode>_(* #,##0_);_(* \(#,##0\);_(* "-"??_);_(@_)</c:formatCode>
                <c:ptCount val="18"/>
                <c:pt idx="0" formatCode="General">
                  <c:v>0</c:v>
                </c:pt>
                <c:pt idx="1">
                  <c:v>486</c:v>
                </c:pt>
                <c:pt idx="2">
                  <c:v>4486.1441400000003</c:v>
                </c:pt>
                <c:pt idx="3">
                  <c:v>4729.6940599999998</c:v>
                </c:pt>
                <c:pt idx="4">
                  <c:v>1199.0211400000001</c:v>
                </c:pt>
                <c:pt idx="5">
                  <c:v>1548.87698</c:v>
                </c:pt>
                <c:pt idx="6">
                  <c:v>4071.4134199999999</c:v>
                </c:pt>
                <c:pt idx="7">
                  <c:v>485.88486999999998</c:v>
                </c:pt>
                <c:pt idx="8">
                  <c:v>602.01189999999997</c:v>
                </c:pt>
                <c:pt idx="9">
                  <c:v>179.51549</c:v>
                </c:pt>
                <c:pt idx="10">
                  <c:v>433.94388000000004</c:v>
                </c:pt>
                <c:pt idx="11">
                  <c:v>207.95156</c:v>
                </c:pt>
                <c:pt idx="12">
                  <c:v>2600.4627800000003</c:v>
                </c:pt>
                <c:pt idx="13">
                  <c:v>94.793660000000003</c:v>
                </c:pt>
                <c:pt idx="14">
                  <c:v>178.93876</c:v>
                </c:pt>
                <c:pt idx="15">
                  <c:v>56.489800000000002</c:v>
                </c:pt>
                <c:pt idx="16">
                  <c:v>861.84611000000018</c:v>
                </c:pt>
                <c:pt idx="17">
                  <c:v>112.38462</c:v>
                </c:pt>
              </c:numCache>
            </c:numRef>
          </c:val>
          <c:extLst>
            <c:ext xmlns:c16="http://schemas.microsoft.com/office/drawing/2014/chart" uri="{C3380CC4-5D6E-409C-BE32-E72D297353CC}">
              <c16:uniqueId val="{0000002C-2CCC-4E3D-87CA-2F609A995CD1}"/>
            </c:ext>
          </c:extLst>
        </c:ser>
        <c:ser>
          <c:idx val="9"/>
          <c:order val="9"/>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5-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6-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7-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8-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9-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A-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B-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C-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D-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E-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BF-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0-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1-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2-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3-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4-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5-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6-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5-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6-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7-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8-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9-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A-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B-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C-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D-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E-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BF-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0-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1-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2-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3-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4-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5-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6-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'perfil-Alrededor_parroquia'!$Q$11:$Q$28</c:f>
              <c:numCache>
                <c:formatCode>#,##0</c:formatCode>
                <c:ptCount val="18"/>
                <c:pt idx="0" formatCode="General">
                  <c:v>0</c:v>
                </c:pt>
                <c:pt idx="1">
                  <c:v>0</c:v>
                </c:pt>
                <c:pt idx="2" formatCode="#,##0.00">
                  <c:v>2.3928823587263661</c:v>
                </c:pt>
                <c:pt idx="3" formatCode="#,##0.00">
                  <c:v>5.119262051570292</c:v>
                </c:pt>
                <c:pt idx="4" formatCode="#,##0.00">
                  <c:v>4.4590058000605808</c:v>
                </c:pt>
                <c:pt idx="5" formatCode="#,##0.00">
                  <c:v>7.64877392490523</c:v>
                </c:pt>
                <c:pt idx="6" formatCode="#,##0.00">
                  <c:v>16.513291640154129</c:v>
                </c:pt>
                <c:pt idx="7" formatCode="#,##0.00">
                  <c:v>2.6139199147251335</c:v>
                </c:pt>
                <c:pt idx="8" formatCode="#,##0.00">
                  <c:v>3.815645863187592</c:v>
                </c:pt>
                <c:pt idx="9" formatCode="#,##0.00">
                  <c:v>1.3587444044618677</c:v>
                </c:pt>
                <c:pt idx="10" formatCode="#,##0.00">
                  <c:v>6</c:v>
                </c:pt>
                <c:pt idx="11" formatCode="#,##0.00">
                  <c:v>2</c:v>
                </c:pt>
                <c:pt idx="12" formatCode="#,##0.00">
                  <c:v>25.031736807710484</c:v>
                </c:pt>
                <c:pt idx="13" formatCode="#,##0.00">
                  <c:v>1</c:v>
                </c:pt>
                <c:pt idx="14" formatCode="#,##0.00">
                  <c:v>2.5</c:v>
                </c:pt>
                <c:pt idx="15" formatCode="#,##0.00">
                  <c:v>1</c:v>
                </c:pt>
                <c:pt idx="16" formatCode="#,##0.00">
                  <c:v>11.423224938675357</c:v>
                </c:pt>
                <c:pt idx="17" formatCode="#,##0.00">
                  <c:v>2</c:v>
                </c:pt>
              </c:numCache>
            </c:numRef>
          </c:val>
          <c:extLst>
            <c:ext xmlns:c16="http://schemas.microsoft.com/office/drawing/2014/chart" uri="{C3380CC4-5D6E-409C-BE32-E72D297353CC}">
              <c16:uniqueId val="{0000002D-2CCC-4E3D-87CA-2F609A995CD1}"/>
            </c:ext>
          </c:extLst>
        </c:ser>
        <c:ser>
          <c:idx val="10"/>
          <c:order val="10"/>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7-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8-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9-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A-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B-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C-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D-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E-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CF-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0-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1-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2-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3-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4-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5-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6-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7-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8-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7-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8-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9-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A-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B-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C-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D-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E-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CF-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0-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1-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2-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3-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4-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5-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6-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7-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8-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'perfil-Alrededor_parroquia'!$R$11:$R$28</c:f>
              <c:numCache>
                <c:formatCode>General</c:formatCode>
                <c:ptCount val="18"/>
              </c:numCache>
            </c:numRef>
          </c:val>
          <c:extLst>
            <c:ext xmlns:c16="http://schemas.microsoft.com/office/drawing/2014/chart" uri="{C3380CC4-5D6E-409C-BE32-E72D297353CC}">
              <c16:uniqueId val="{0000002E-2CCC-4E3D-87CA-2F609A995CD1}"/>
            </c:ext>
          </c:extLst>
        </c:ser>
        <c:ser>
          <c:idx val="11"/>
          <c:order val="11"/>
          <c:dPt>
            <c:idx val="0"/>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9-D8F7-4DE9-9B45-9ABA9407C62E}"/>
              </c:ext>
            </c:extLst>
          </c:dPt>
          <c:dPt>
            <c:idx val="1"/>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A-D8F7-4DE9-9B45-9ABA9407C62E}"/>
              </c:ext>
            </c:extLst>
          </c:dPt>
          <c:dPt>
            <c:idx val="2"/>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B-D8F7-4DE9-9B45-9ABA9407C62E}"/>
              </c:ext>
            </c:extLst>
          </c:dPt>
          <c:dPt>
            <c:idx val="3"/>
            <c:bubble3D val="0"/>
            <c:spPr>
              <a:solidFill>
                <a:schemeClr val="accent2">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C-D8F7-4DE9-9B45-9ABA9407C62E}"/>
              </c:ext>
            </c:extLst>
          </c:dPt>
          <c:dPt>
            <c:idx val="4"/>
            <c:bubble3D val="0"/>
            <c:spPr>
              <a:solidFill>
                <a:schemeClr val="accent4">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D-D8F7-4DE9-9B45-9ABA9407C62E}"/>
              </c:ext>
            </c:extLst>
          </c:dPt>
          <c:dPt>
            <c:idx val="5"/>
            <c:bubble3D val="0"/>
            <c:spPr>
              <a:solidFill>
                <a:schemeClr val="accent6">
                  <a:lumMod val="6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E-D8F7-4DE9-9B45-9ABA9407C62E}"/>
              </c:ext>
            </c:extLst>
          </c:dPt>
          <c:dPt>
            <c:idx val="6"/>
            <c:bubble3D val="0"/>
            <c:spPr>
              <a:solidFill>
                <a:schemeClr val="accent2">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DF-D8F7-4DE9-9B45-9ABA9407C62E}"/>
              </c:ext>
            </c:extLst>
          </c:dPt>
          <c:dPt>
            <c:idx val="7"/>
            <c:bubble3D val="0"/>
            <c:spPr>
              <a:solidFill>
                <a:schemeClr val="accent4">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0-D8F7-4DE9-9B45-9ABA9407C62E}"/>
              </c:ext>
            </c:extLst>
          </c:dPt>
          <c:dPt>
            <c:idx val="8"/>
            <c:bubble3D val="0"/>
            <c:spPr>
              <a:solidFill>
                <a:schemeClr val="accent6">
                  <a:lumMod val="80000"/>
                  <a:lumOff val="2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1-D8F7-4DE9-9B45-9ABA9407C62E}"/>
              </c:ext>
            </c:extLst>
          </c:dPt>
          <c:dPt>
            <c:idx val="9"/>
            <c:bubble3D val="0"/>
            <c:spPr>
              <a:solidFill>
                <a:schemeClr val="accent2">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2-D8F7-4DE9-9B45-9ABA9407C62E}"/>
              </c:ext>
            </c:extLst>
          </c:dPt>
          <c:dPt>
            <c:idx val="10"/>
            <c:bubble3D val="0"/>
            <c:spPr>
              <a:solidFill>
                <a:schemeClr val="accent4">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3-D8F7-4DE9-9B45-9ABA9407C62E}"/>
              </c:ext>
            </c:extLst>
          </c:dPt>
          <c:dPt>
            <c:idx val="11"/>
            <c:bubble3D val="0"/>
            <c:spPr>
              <a:solidFill>
                <a:schemeClr val="accent6">
                  <a:lumMod val="8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4-D8F7-4DE9-9B45-9ABA9407C62E}"/>
              </c:ext>
            </c:extLst>
          </c:dPt>
          <c:dPt>
            <c:idx val="12"/>
            <c:bubble3D val="0"/>
            <c:spPr>
              <a:solidFill>
                <a:schemeClr val="accent2">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5-D8F7-4DE9-9B45-9ABA9407C62E}"/>
              </c:ext>
            </c:extLst>
          </c:dPt>
          <c:dPt>
            <c:idx val="13"/>
            <c:bubble3D val="0"/>
            <c:spPr>
              <a:solidFill>
                <a:schemeClr val="accent4">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6-D8F7-4DE9-9B45-9ABA9407C62E}"/>
              </c:ext>
            </c:extLst>
          </c:dPt>
          <c:dPt>
            <c:idx val="14"/>
            <c:bubble3D val="0"/>
            <c:spPr>
              <a:solidFill>
                <a:schemeClr val="accent6">
                  <a:lumMod val="60000"/>
                  <a:lumOff val="4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7-D8F7-4DE9-9B45-9ABA9407C62E}"/>
              </c:ext>
            </c:extLst>
          </c:dPt>
          <c:dPt>
            <c:idx val="15"/>
            <c:bubble3D val="0"/>
            <c:spPr>
              <a:solidFill>
                <a:schemeClr val="accent2">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8-D8F7-4DE9-9B45-9ABA9407C62E}"/>
              </c:ext>
            </c:extLst>
          </c:dPt>
          <c:dPt>
            <c:idx val="16"/>
            <c:bubble3D val="0"/>
            <c:spPr>
              <a:solidFill>
                <a:schemeClr val="accent4">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9-D8F7-4DE9-9B45-9ABA9407C62E}"/>
              </c:ext>
            </c:extLst>
          </c:dPt>
          <c:dPt>
            <c:idx val="17"/>
            <c:bubble3D val="0"/>
            <c:spPr>
              <a:solidFill>
                <a:schemeClr val="accent6">
                  <a:lumMod val="50000"/>
                </a:schemeClr>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EA-D8F7-4DE9-9B45-9ABA9407C62E}"/>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9-D8F7-4DE9-9B45-9ABA9407C62E}"/>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A-D8F7-4DE9-9B45-9ABA9407C62E}"/>
                </c:ext>
              </c:extLst>
            </c:dLbl>
            <c:dLbl>
              <c:idx val="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B-D8F7-4DE9-9B45-9ABA9407C62E}"/>
                </c:ext>
              </c:extLst>
            </c:dLbl>
            <c:dLbl>
              <c:idx val="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C-D8F7-4DE9-9B45-9ABA9407C62E}"/>
                </c:ext>
              </c:extLst>
            </c:dLbl>
            <c:dLbl>
              <c:idx val="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D-D8F7-4DE9-9B45-9ABA9407C62E}"/>
                </c:ext>
              </c:extLst>
            </c:dLbl>
            <c:dLbl>
              <c:idx val="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E-D8F7-4DE9-9B45-9ABA9407C62E}"/>
                </c:ext>
              </c:extLst>
            </c:dLbl>
            <c:dLbl>
              <c:idx val="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DF-D8F7-4DE9-9B45-9ABA9407C62E}"/>
                </c:ext>
              </c:extLst>
            </c:dLbl>
            <c:dLbl>
              <c:idx val="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0-D8F7-4DE9-9B45-9ABA9407C62E}"/>
                </c:ext>
              </c:extLst>
            </c:dLbl>
            <c:dLbl>
              <c:idx val="8"/>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lumOff val="2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1-D8F7-4DE9-9B45-9ABA9407C62E}"/>
                </c:ext>
              </c:extLst>
            </c:dLbl>
            <c:dLbl>
              <c:idx val="9"/>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2-D8F7-4DE9-9B45-9ABA9407C62E}"/>
                </c:ext>
              </c:extLst>
            </c:dLbl>
            <c:dLbl>
              <c:idx val="10"/>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3-D8F7-4DE9-9B45-9ABA9407C62E}"/>
                </c:ext>
              </c:extLst>
            </c:dLbl>
            <c:dLbl>
              <c:idx val="11"/>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8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4-D8F7-4DE9-9B45-9ABA9407C62E}"/>
                </c:ext>
              </c:extLst>
            </c:dLbl>
            <c:dLbl>
              <c:idx val="12"/>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5-D8F7-4DE9-9B45-9ABA9407C62E}"/>
                </c:ext>
              </c:extLst>
            </c:dLbl>
            <c:dLbl>
              <c:idx val="13"/>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6-D8F7-4DE9-9B45-9ABA9407C62E}"/>
                </c:ext>
              </c:extLst>
            </c:dLbl>
            <c:dLbl>
              <c:idx val="14"/>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60000"/>
                          <a:lumOff val="4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7-D8F7-4DE9-9B45-9ABA9407C62E}"/>
                </c:ext>
              </c:extLst>
            </c:dLbl>
            <c:dLbl>
              <c:idx val="15"/>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2">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8-D8F7-4DE9-9B45-9ABA9407C62E}"/>
                </c:ext>
              </c:extLst>
            </c:dLbl>
            <c:dLbl>
              <c:idx val="16"/>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4">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9-D8F7-4DE9-9B45-9ABA9407C62E}"/>
                </c:ext>
              </c:extLst>
            </c:dLbl>
            <c:dLbl>
              <c:idx val="17"/>
              <c:spPr>
                <a:noFill/>
                <a:ln>
                  <a:noFill/>
                </a:ln>
                <a:effectLst/>
              </c:spPr>
              <c:txPr>
                <a:bodyPr rot="0" spcFirstLastPara="1" vertOverflow="ellipsis" vert="horz" wrap="square" lIns="38100" tIns="19050" rIns="38100" bIns="19050" anchor="ctr" anchorCtr="1">
                  <a:spAutoFit/>
                </a:bodyPr>
                <a:lstStyle/>
                <a:p>
                  <a:pPr>
                    <a:defRPr sz="1000" b="1" i="0" u="none" strike="noStrike" kern="1200" spc="0" baseline="0">
                      <a:solidFill>
                        <a:schemeClr val="accent6">
                          <a:lumMod val="50000"/>
                        </a:schemeClr>
                      </a:solidFill>
                      <a:latin typeface="+mn-lt"/>
                      <a:ea typeface="+mn-ea"/>
                      <a:cs typeface="+mn-cs"/>
                    </a:defRPr>
                  </a:pPr>
                  <a:endParaRPr lang="es-EC"/>
                </a:p>
              </c:txPr>
              <c:dLblPos val="outEnd"/>
              <c:showLegendKey val="0"/>
              <c:showVal val="0"/>
              <c:showCatName val="1"/>
              <c:showSerName val="0"/>
              <c:showPercent val="0"/>
              <c:showBubbleSize val="0"/>
              <c:extLst>
                <c:ext xmlns:c16="http://schemas.microsoft.com/office/drawing/2014/chart" uri="{C3380CC4-5D6E-409C-BE32-E72D297353CC}">
                  <c16:uniqueId val="{000000EA-D8F7-4DE9-9B45-9ABA9407C62E}"/>
                </c:ext>
              </c:extLst>
            </c:dLbl>
            <c:spPr>
              <a:noFill/>
              <a:ln>
                <a:noFill/>
              </a:ln>
              <a:effectLst/>
            </c:spPr>
            <c:dLblPos val="outEnd"/>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'perfil-Alrededor_parroquia'!$G$11:$G$28</c:f>
              <c:strCache>
                <c:ptCount val="18"/>
                <c:pt idx="0">
                  <c:v>Parroquia</c:v>
                </c:pt>
                <c:pt idx="1">
                  <c:v>Mitad del Mundo</c:v>
                </c:pt>
                <c:pt idx="2">
                  <c:v>Mindo</c:v>
                </c:pt>
                <c:pt idx="3">
                  <c:v>Otro lugar</c:v>
                </c:pt>
                <c:pt idx="4">
                  <c:v>Cumbayá</c:v>
                </c:pt>
                <c:pt idx="5">
                  <c:v>Papallacta</c:v>
                </c:pt>
                <c:pt idx="6">
                  <c:v>El Quinche</c:v>
                </c:pt>
                <c:pt idx="7">
                  <c:v>Machachi</c:v>
                </c:pt>
                <c:pt idx="8">
                  <c:v>Guayllabamba</c:v>
                </c:pt>
                <c:pt idx="9">
                  <c:v>Conocoto</c:v>
                </c:pt>
                <c:pt idx="10">
                  <c:v>Puerto Quito</c:v>
                </c:pt>
                <c:pt idx="11">
                  <c:v>Cayambe</c:v>
                </c:pt>
                <c:pt idx="12">
                  <c:v>Tumbaco</c:v>
                </c:pt>
                <c:pt idx="13">
                  <c:v>Sangolquí</c:v>
                </c:pt>
                <c:pt idx="14">
                  <c:v>San Rafael</c:v>
                </c:pt>
                <c:pt idx="15">
                  <c:v>Pululahua</c:v>
                </c:pt>
                <c:pt idx="16">
                  <c:v>Calderón</c:v>
                </c:pt>
                <c:pt idx="17">
                  <c:v>Nanegal</c:v>
                </c:pt>
              </c:strCache>
            </c:strRef>
          </c:cat>
          <c:val>
            <c:numRef>
              <c:f>'perfil-Alrededor_parroquia'!$S$11:$S$28</c:f>
              <c:numCache>
                <c:formatCode>General</c:formatCode>
                <c:ptCount val="18"/>
              </c:numCache>
            </c:numRef>
          </c:val>
          <c:extLst>
            <c:ext xmlns:c16="http://schemas.microsoft.com/office/drawing/2014/chart" uri="{C3380CC4-5D6E-409C-BE32-E72D297353CC}">
              <c16:uniqueId val="{0000002F-2CCC-4E3D-87CA-2F609A995CD1}"/>
            </c:ext>
          </c:extLst>
        </c:ser>
        <c:dLbls>
          <c:dLblPos val="outEnd"/>
          <c:showLegendKey val="0"/>
          <c:showVal val="0"/>
          <c:showCatName val="1"/>
          <c:showSerName val="0"/>
          <c:showPercent val="0"/>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6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title>
      <c:tx>
        <c:rich>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r>
              <a:rPr lang="en-US"/>
              <a:t>Visitas a otras ciudades del Ecuador</a:t>
            </a:r>
            <a:endParaRPr lang="es-EC"/>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endParaRPr lang="es-EC"/>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gradFill rotWithShape="1">
              <a:gsLst>
                <a:gs pos="0">
                  <a:schemeClr val="accent4">
                    <a:tint val="50000"/>
                    <a:satMod val="300000"/>
                  </a:schemeClr>
                </a:gs>
                <a:gs pos="35000">
                  <a:schemeClr val="accent4">
                    <a:tint val="37000"/>
                    <a:satMod val="300000"/>
                  </a:schemeClr>
                </a:gs>
                <a:gs pos="100000">
                  <a:schemeClr val="accent4">
                    <a:tint val="15000"/>
                    <a:satMod val="350000"/>
                  </a:schemeClr>
                </a:gs>
              </a:gsLst>
              <a:lin ang="16200000" scaled="1"/>
            </a:gradFill>
            <a:ln w="9525" cap="flat" cmpd="sng" algn="ctr">
              <a:solidFill>
                <a:schemeClr val="accent4">
                  <a:shade val="95000"/>
                </a:schemeClr>
              </a:solidFill>
              <a:round/>
            </a:ln>
            <a:effectLst>
              <a:outerShdw blurRad="40000" dist="20000" dir="5400000" rotWithShape="0">
                <a:srgbClr val="000000">
                  <a:alpha val="38000"/>
                </a:srgbClr>
              </a:outerShdw>
            </a:effectLst>
            <a:sp3d contourW="9525">
              <a:contourClr>
                <a:schemeClr val="accent4">
                  <a:shade val="95000"/>
                </a:schemeClr>
              </a:contourClr>
            </a:sp3d>
          </c:spPr>
          <c:invertIfNegative val="0"/>
          <c:cat>
            <c:strRef>
              <c:f>'Perfil-otras-cyties'!$A$12:$A$26</c:f>
              <c:strCache>
                <c:ptCount val="15"/>
                <c:pt idx="0">
                  <c:v>Baños de Agua Santa</c:v>
                </c:pt>
                <c:pt idx="1">
                  <c:v>Guayaquil</c:v>
                </c:pt>
                <c:pt idx="2">
                  <c:v>Cuenca</c:v>
                </c:pt>
                <c:pt idx="3">
                  <c:v>Manta</c:v>
                </c:pt>
                <c:pt idx="4">
                  <c:v>Puerto Baquerizo Moreno</c:v>
                </c:pt>
                <c:pt idx="5">
                  <c:v>Otavalo</c:v>
                </c:pt>
                <c:pt idx="6">
                  <c:v>Latacunga</c:v>
                </c:pt>
                <c:pt idx="7">
                  <c:v>Ambato</c:v>
                </c:pt>
                <c:pt idx="8">
                  <c:v>Esmeraldas</c:v>
                </c:pt>
                <c:pt idx="9">
                  <c:v>Puerto López</c:v>
                </c:pt>
                <c:pt idx="10">
                  <c:v>Puyo</c:v>
                </c:pt>
                <c:pt idx="11">
                  <c:v>Ibarra</c:v>
                </c:pt>
                <c:pt idx="12">
                  <c:v>Santa Elena</c:v>
                </c:pt>
                <c:pt idx="13">
                  <c:v>Riobamba</c:v>
                </c:pt>
                <c:pt idx="14">
                  <c:v>Otros</c:v>
                </c:pt>
              </c:strCache>
            </c:strRef>
          </c:cat>
          <c:val>
            <c:numRef>
              <c:f>'Perfil-otras-cyties'!$B$12:$B$26</c:f>
              <c:numCache>
                <c:formatCode>#,##0</c:formatCode>
                <c:ptCount val="15"/>
                <c:pt idx="0">
                  <c:v>6558.4625199999982</c:v>
                </c:pt>
                <c:pt idx="1">
                  <c:v>5993.069529999997</c:v>
                </c:pt>
                <c:pt idx="2">
                  <c:v>5524.7786599999972</c:v>
                </c:pt>
                <c:pt idx="3">
                  <c:v>4375.9498100000001</c:v>
                </c:pt>
                <c:pt idx="4">
                  <c:v>3471.8460299999983</c:v>
                </c:pt>
                <c:pt idx="5">
                  <c:v>2778.0834499999996</c:v>
                </c:pt>
                <c:pt idx="6">
                  <c:v>2540.8164300000003</c:v>
                </c:pt>
                <c:pt idx="7">
                  <c:v>2216.6014600000003</c:v>
                </c:pt>
                <c:pt idx="8">
                  <c:v>2015.1596299999999</c:v>
                </c:pt>
                <c:pt idx="9">
                  <c:v>2013.0848300000002</c:v>
                </c:pt>
                <c:pt idx="10">
                  <c:v>1943.8291000000002</c:v>
                </c:pt>
                <c:pt idx="11">
                  <c:v>1876.1559199999999</c:v>
                </c:pt>
                <c:pt idx="12">
                  <c:v>1854.0026399999999</c:v>
                </c:pt>
                <c:pt idx="13">
                  <c:v>1638.3375800000001</c:v>
                </c:pt>
                <c:pt idx="14">
                  <c:v>1613.3193300000003</c:v>
                </c:pt>
              </c:numCache>
            </c:numRef>
          </c:val>
          <c:extLst>
            <c:ext xmlns:c16="http://schemas.microsoft.com/office/drawing/2014/chart" uri="{C3380CC4-5D6E-409C-BE32-E72D297353CC}">
              <c16:uniqueId val="{00000000-22C6-4A95-9239-A96B438CBF13}"/>
            </c:ext>
          </c:extLst>
        </c:ser>
        <c:dLbls>
          <c:showLegendKey val="0"/>
          <c:showVal val="0"/>
          <c:showCatName val="0"/>
          <c:showSerName val="0"/>
          <c:showPercent val="0"/>
          <c:showBubbleSize val="0"/>
        </c:dLbls>
        <c:gapWidth val="150"/>
        <c:shape val="box"/>
        <c:axId val="-999549584"/>
        <c:axId val="-999550128"/>
        <c:axId val="0"/>
      </c:bar3DChart>
      <c:catAx>
        <c:axId val="-99954958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s-EC"/>
          </a:p>
        </c:txPr>
        <c:crossAx val="-999550128"/>
        <c:crosses val="autoZero"/>
        <c:auto val="1"/>
        <c:lblAlgn val="ctr"/>
        <c:lblOffset val="100"/>
        <c:noMultiLvlLbl val="0"/>
      </c:catAx>
      <c:valAx>
        <c:axId val="-99955012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s-EC"/>
          </a:p>
        </c:txPr>
        <c:crossAx val="-99954958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chartSpace>
</file>

<file path=xl/charts/chart6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r>
              <a:rPr lang="es-EC"/>
              <a:t>INGRESO ANUAL DE DIVISAS POR GASTO TURÍSTICO - receptivo -</a:t>
            </a:r>
          </a:p>
          <a:p>
            <a:pPr>
              <a:defRPr/>
            </a:pPr>
            <a:r>
              <a:rPr lang="es-EC"/>
              <a:t>MILLONES DE USD$ </a:t>
            </a:r>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endParaRPr lang="es-EC"/>
        </a:p>
      </c:txPr>
    </c:title>
    <c:autoTitleDeleted val="0"/>
    <c:plotArea>
      <c:layout>
        <c:manualLayout>
          <c:layoutTarget val="inner"/>
          <c:xMode val="edge"/>
          <c:yMode val="edge"/>
          <c:x val="7.4533108260612685E-2"/>
          <c:y val="0.31096042688756809"/>
          <c:w val="0.82952005647076721"/>
          <c:h val="0.62999764127263858"/>
        </c:manualLayout>
      </c:layout>
      <c:barChart>
        <c:barDir val="col"/>
        <c:grouping val="clustered"/>
        <c:varyColors val="0"/>
        <c:ser>
          <c:idx val="1"/>
          <c:order val="0"/>
          <c:spPr>
            <a:gradFill rotWithShape="1">
              <a:gsLst>
                <a:gs pos="0">
                  <a:schemeClr val="accent2">
                    <a:tint val="50000"/>
                    <a:satMod val="300000"/>
                  </a:schemeClr>
                </a:gs>
                <a:gs pos="35000">
                  <a:schemeClr val="accent2">
                    <a:tint val="37000"/>
                    <a:satMod val="300000"/>
                  </a:schemeClr>
                </a:gs>
                <a:gs pos="100000">
                  <a:schemeClr val="accent2">
                    <a:tint val="15000"/>
                    <a:satMod val="350000"/>
                  </a:schemeClr>
                </a:gs>
              </a:gsLst>
              <a:lin ang="16200000" scaled="1"/>
            </a:gradFill>
            <a:ln w="9525" cap="flat" cmpd="sng" algn="ctr">
              <a:solidFill>
                <a:schemeClr val="accent2">
                  <a:shade val="95000"/>
                </a:schemeClr>
              </a:solidFill>
              <a:round/>
            </a:ln>
            <a:effectLst>
              <a:outerShdw blurRad="40000" dist="20000" dir="5400000" rotWithShape="0">
                <a:srgbClr val="000000">
                  <a:alpha val="38000"/>
                </a:srgbClr>
              </a:outerShdw>
            </a:effectLst>
          </c:spPr>
          <c:invertIfNegative val="0"/>
          <c:dPt>
            <c:idx val="6"/>
            <c:invertIfNegative val="0"/>
            <c:bubble3D val="0"/>
            <c:extLst>
              <c:ext xmlns:c16="http://schemas.microsoft.com/office/drawing/2014/chart" uri="{C3380CC4-5D6E-409C-BE32-E72D297353CC}">
                <c16:uniqueId val="{00000000-E8DD-4E08-9052-49EFD97CD5C0}"/>
              </c:ext>
            </c:extLst>
          </c:dPt>
          <c:dPt>
            <c:idx val="7"/>
            <c:invertIfNegative val="0"/>
            <c:bubble3D val="0"/>
            <c:extLst>
              <c:ext xmlns:c16="http://schemas.microsoft.com/office/drawing/2014/chart" uri="{C3380CC4-5D6E-409C-BE32-E72D297353CC}">
                <c16:uniqueId val="{00000001-E8DD-4E08-9052-49EFD97CD5C0}"/>
              </c:ext>
            </c:extLst>
          </c:dPt>
          <c:dPt>
            <c:idx val="8"/>
            <c:invertIfNegative val="0"/>
            <c:bubble3D val="0"/>
            <c:spPr>
              <a:gradFill rotWithShape="1">
                <a:gsLst>
                  <a:gs pos="0">
                    <a:schemeClr val="accent2">
                      <a:tint val="50000"/>
                      <a:satMod val="300000"/>
                    </a:schemeClr>
                  </a:gs>
                  <a:gs pos="35000">
                    <a:schemeClr val="accent2">
                      <a:tint val="37000"/>
                      <a:satMod val="300000"/>
                    </a:schemeClr>
                  </a:gs>
                  <a:gs pos="100000">
                    <a:schemeClr val="accent2">
                      <a:tint val="15000"/>
                      <a:satMod val="350000"/>
                    </a:schemeClr>
                  </a:gs>
                </a:gsLst>
                <a:lin ang="16200000" scaled="1"/>
              </a:gradFill>
              <a:ln w="9525" cap="flat" cmpd="sng" algn="ctr">
                <a:solidFill>
                  <a:schemeClr val="accent2">
                    <a:shade val="95000"/>
                  </a:schemeClr>
                </a:solidFill>
                <a:round/>
              </a:ln>
              <a:effectLst>
                <a:outerShdw blurRad="40000" dist="23000" dir="5400000" rotWithShape="0">
                  <a:srgbClr val="000000">
                    <a:alpha val="35000"/>
                  </a:srgbClr>
                </a:outerShdw>
              </a:effectLst>
            </c:spPr>
            <c:extLst>
              <c:ext xmlns:c16="http://schemas.microsoft.com/office/drawing/2014/chart" uri="{C3380CC4-5D6E-409C-BE32-E72D297353CC}">
                <c16:uniqueId val="{00000003-E8DD-4E08-9052-49EFD97CD5C0}"/>
              </c:ext>
            </c:extLst>
          </c:dPt>
          <c:dLbls>
            <c:spPr>
              <a:solidFill>
                <a:schemeClr val="lt1"/>
              </a:solidFill>
              <a:ln w="25400" cap="flat" cmpd="sng" algn="ctr">
                <a:solidFill>
                  <a:schemeClr val="accent3"/>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'Ingresos-divisas'!$B$7:$O$7</c:f>
              <c:strCache>
                <c:ptCount val="6"/>
                <c:pt idx="0">
                  <c:v>2016</c:v>
                </c:pt>
                <c:pt idx="1">
                  <c:v>2017</c:v>
                </c:pt>
                <c:pt idx="2">
                  <c:v>2018</c:v>
                </c:pt>
                <c:pt idx="3">
                  <c:v>2019</c:v>
                </c:pt>
                <c:pt idx="4">
                  <c:v>2020</c:v>
                </c:pt>
                <c:pt idx="5">
                  <c:v>2021 (e) </c:v>
                </c:pt>
              </c:strCache>
            </c:strRef>
          </c:cat>
          <c:val>
            <c:numRef>
              <c:f>'Ingresos-divisas'!$B$18:$O$18</c:f>
              <c:numCache>
                <c:formatCode>_(* #,##0_);_(* \(#,##0\);_(* "-"??_);_(@_)</c:formatCode>
                <c:ptCount val="6"/>
                <c:pt idx="0">
                  <c:v>476.88278732000003</c:v>
                </c:pt>
                <c:pt idx="1">
                  <c:v>496.11003242000004</c:v>
                </c:pt>
                <c:pt idx="2">
                  <c:v>526.1692714400001</c:v>
                </c:pt>
                <c:pt idx="3">
                  <c:v>520.01320980000003</c:v>
                </c:pt>
                <c:pt idx="4">
                  <c:v>108.41772728999997</c:v>
                </c:pt>
                <c:pt idx="5">
                  <c:v>159.99069251999998</c:v>
                </c:pt>
              </c:numCache>
            </c:numRef>
          </c:val>
          <c:extLst>
            <c:ext xmlns:c16="http://schemas.microsoft.com/office/drawing/2014/chart" uri="{C3380CC4-5D6E-409C-BE32-E72D297353CC}">
              <c16:uniqueId val="{00000004-E8DD-4E08-9052-49EFD97CD5C0}"/>
            </c:ext>
          </c:extLst>
        </c:ser>
        <c:dLbls>
          <c:showLegendKey val="0"/>
          <c:showVal val="0"/>
          <c:showCatName val="0"/>
          <c:showSerName val="0"/>
          <c:showPercent val="0"/>
          <c:showBubbleSize val="0"/>
        </c:dLbls>
        <c:gapWidth val="150"/>
        <c:axId val="-999543600"/>
        <c:axId val="-999543056"/>
      </c:barChart>
      <c:catAx>
        <c:axId val="-9995436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s-EC"/>
          </a:p>
        </c:txPr>
        <c:crossAx val="-999543056"/>
        <c:crosses val="autoZero"/>
        <c:auto val="1"/>
        <c:lblAlgn val="ctr"/>
        <c:lblOffset val="100"/>
        <c:noMultiLvlLbl val="0"/>
      </c:catAx>
      <c:valAx>
        <c:axId val="-999543056"/>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s-EC"/>
          </a:p>
        </c:txPr>
        <c:crossAx val="-99954360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4803149606299213" l="0.70866141732283472" r="0.70866141732283472" t="0.74803149606299213" header="0.31496062992125984" footer="0.31496062992125984"/>
    <c:pageSetup orientation="landscape" verticalDpi="597"/>
  </c:printSettings>
  <c:userShapes r:id="rId3"/>
</c:chartSpace>
</file>

<file path=xl/charts/chart6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s-EC"/>
              <a:t>Variación ingreso anual de divisas por gasto turístico</a:t>
            </a:r>
            <a:r>
              <a:rPr lang="es-EC" baseline="0"/>
              <a:t> </a:t>
            </a:r>
            <a:endParaRPr lang="es-EC"/>
          </a:p>
          <a:p>
            <a:pPr>
              <a:defRPr/>
            </a:pPr>
            <a:r>
              <a:rPr lang="es-EC"/>
              <a:t>(%)</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s-EC"/>
        </a:p>
      </c:txPr>
    </c:title>
    <c:autoTitleDeleted val="0"/>
    <c:plotArea>
      <c:layout/>
      <c:lineChart>
        <c:grouping val="standard"/>
        <c:varyColors val="0"/>
        <c:ser>
          <c:idx val="0"/>
          <c:order val="0"/>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EC"/>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'Ingresos-divisas'!$C$6:$M$6</c:f>
              <c:strCache>
                <c:ptCount val="4"/>
                <c:pt idx="0">
                  <c:v>2016 Diciembre</c:v>
                </c:pt>
                <c:pt idx="1">
                  <c:v>2017 (estimado) total</c:v>
                </c:pt>
                <c:pt idx="2">
                  <c:v>2018 (estimado) total</c:v>
                </c:pt>
                <c:pt idx="3">
                  <c:v>2019 (estimado) total</c:v>
                </c:pt>
              </c:strCache>
            </c:strRef>
          </c:cat>
          <c:val>
            <c:numRef>
              <c:f>'Ingresos-divisas'!$C$19:$M$19</c:f>
              <c:numCache>
                <c:formatCode>0%</c:formatCode>
                <c:ptCount val="4"/>
                <c:pt idx="0">
                  <c:v>0.18345141682725097</c:v>
                </c:pt>
                <c:pt idx="1">
                  <c:v>4.0318597381242993E-2</c:v>
                </c:pt>
                <c:pt idx="2">
                  <c:v>6.0589863247418219E-2</c:v>
                </c:pt>
                <c:pt idx="3">
                  <c:v>-1.1699774149015574E-2</c:v>
                </c:pt>
              </c:numCache>
            </c:numRef>
          </c:val>
          <c:smooth val="0"/>
          <c:extLst>
            <c:ext xmlns:c16="http://schemas.microsoft.com/office/drawing/2014/chart" uri="{C3380CC4-5D6E-409C-BE32-E72D297353CC}">
              <c16:uniqueId val="{00000000-A451-4E2A-BA24-974938A12E56}"/>
            </c:ext>
          </c:extLst>
        </c:ser>
        <c:dLbls>
          <c:dLblPos val="ctr"/>
          <c:showLegendKey val="0"/>
          <c:showVal val="1"/>
          <c:showCatName val="0"/>
          <c:showSerName val="0"/>
          <c:showPercent val="0"/>
          <c:showBubbleSize val="0"/>
        </c:dLbls>
        <c:marker val="1"/>
        <c:smooth val="0"/>
        <c:axId val="-999553936"/>
        <c:axId val="-999549040"/>
      </c:lineChart>
      <c:catAx>
        <c:axId val="-999553936"/>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s-EC"/>
          </a:p>
        </c:txPr>
        <c:crossAx val="-999549040"/>
        <c:crosses val="autoZero"/>
        <c:auto val="1"/>
        <c:lblAlgn val="ctr"/>
        <c:lblOffset val="100"/>
        <c:noMultiLvlLbl val="0"/>
      </c:catAx>
      <c:valAx>
        <c:axId val="-999549040"/>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 sourceLinked="1"/>
        <c:majorTickMark val="none"/>
        <c:minorTickMark val="none"/>
        <c:tickLblPos val="nextTo"/>
        <c:crossAx val="-999553936"/>
        <c:crosses val="autoZero"/>
        <c:crossBetween val="between"/>
      </c:valAx>
      <c:spPr>
        <a:noFill/>
        <a:ln>
          <a:noFill/>
        </a:ln>
        <a:effectLst/>
      </c:spPr>
    </c:plotArea>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EC"/>
    </a:p>
  </c:txPr>
  <c:printSettings>
    <c:headerFooter/>
    <c:pageMargins b="0.75" l="0.7" r="0.7" t="0.75" header="0.3" footer="0.3"/>
    <c:pageSetup/>
  </c:printSettings>
</c:chartSpace>
</file>

<file path=xl/charts/chart6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EC"/>
              <a:t>Distribución del Gasto del Turista del DMQ</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EC"/>
        </a:p>
      </c:txPr>
    </c:title>
    <c:autoTitleDeleted val="0"/>
    <c:plotArea>
      <c:layout>
        <c:manualLayout>
          <c:layoutTarget val="inner"/>
          <c:xMode val="edge"/>
          <c:yMode val="edge"/>
          <c:x val="0.2182210113469657"/>
          <c:y val="0.20332547825848485"/>
          <c:w val="0.39437682340903196"/>
          <c:h val="0.73583809339115924"/>
        </c:manualLayout>
      </c:layout>
      <c:pieChart>
        <c:varyColors val="1"/>
        <c:ser>
          <c:idx val="0"/>
          <c:order val="0"/>
          <c:explosion val="25"/>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01-45CE-43B2-ACCA-21BEB6731782}"/>
              </c:ext>
            </c:extLst>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03-45CE-43B2-ACCA-21BEB6731782}"/>
              </c:ext>
            </c:extLst>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05-45CE-43B2-ACCA-21BEB6731782}"/>
              </c:ext>
            </c:extLst>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07-45CE-43B2-ACCA-21BEB6731782}"/>
              </c:ext>
            </c:extLst>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09-45CE-43B2-ACCA-21BEB6731782}"/>
              </c:ext>
            </c:extLst>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0B-45CE-43B2-ACCA-21BEB6731782}"/>
              </c:ext>
            </c:extLst>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0D-45CE-43B2-ACCA-21BEB6731782}"/>
              </c:ext>
            </c:extLst>
          </c:dPt>
          <c:dPt>
            <c:idx val="7"/>
            <c:bubble3D val="0"/>
            <c:spPr>
              <a:gradFill rotWithShape="1">
                <a:gsLst>
                  <a:gs pos="0">
                    <a:schemeClr val="accent2">
                      <a:lumMod val="60000"/>
                      <a:shade val="51000"/>
                      <a:satMod val="130000"/>
                    </a:schemeClr>
                  </a:gs>
                  <a:gs pos="80000">
                    <a:schemeClr val="accent2">
                      <a:lumMod val="60000"/>
                      <a:shade val="93000"/>
                      <a:satMod val="130000"/>
                    </a:schemeClr>
                  </a:gs>
                  <a:gs pos="100000">
                    <a:schemeClr val="accent2">
                      <a:lumMod val="60000"/>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0F-45CE-43B2-ACCA-21BEB6731782}"/>
              </c:ext>
            </c:extLst>
          </c:dPt>
          <c:dPt>
            <c:idx val="8"/>
            <c:bubble3D val="0"/>
            <c:spPr>
              <a:gradFill rotWithShape="1">
                <a:gsLst>
                  <a:gs pos="0">
                    <a:schemeClr val="accent3">
                      <a:lumMod val="60000"/>
                      <a:shade val="51000"/>
                      <a:satMod val="130000"/>
                    </a:schemeClr>
                  </a:gs>
                  <a:gs pos="80000">
                    <a:schemeClr val="accent3">
                      <a:lumMod val="60000"/>
                      <a:shade val="93000"/>
                      <a:satMod val="130000"/>
                    </a:schemeClr>
                  </a:gs>
                  <a:gs pos="100000">
                    <a:schemeClr val="accent3">
                      <a:lumMod val="60000"/>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11-45CE-43B2-ACCA-21BEB6731782}"/>
              </c:ext>
            </c:extLst>
          </c:dPt>
          <c:dPt>
            <c:idx val="9"/>
            <c:bubble3D val="0"/>
            <c:spPr>
              <a:gradFill rotWithShape="1">
                <a:gsLst>
                  <a:gs pos="0">
                    <a:schemeClr val="accent4">
                      <a:lumMod val="60000"/>
                      <a:shade val="51000"/>
                      <a:satMod val="130000"/>
                    </a:schemeClr>
                  </a:gs>
                  <a:gs pos="80000">
                    <a:schemeClr val="accent4">
                      <a:lumMod val="60000"/>
                      <a:shade val="93000"/>
                      <a:satMod val="130000"/>
                    </a:schemeClr>
                  </a:gs>
                  <a:gs pos="100000">
                    <a:schemeClr val="accent4">
                      <a:lumMod val="60000"/>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13-45CE-43B2-ACCA-21BEB6731782}"/>
              </c:ext>
            </c:extLst>
          </c:dPt>
          <c:dPt>
            <c:idx val="10"/>
            <c:bubble3D val="0"/>
            <c:spPr>
              <a:gradFill rotWithShape="1">
                <a:gsLst>
                  <a:gs pos="0">
                    <a:schemeClr val="accent5">
                      <a:lumMod val="60000"/>
                      <a:shade val="51000"/>
                      <a:satMod val="130000"/>
                    </a:schemeClr>
                  </a:gs>
                  <a:gs pos="80000">
                    <a:schemeClr val="accent5">
                      <a:lumMod val="60000"/>
                      <a:shade val="93000"/>
                      <a:satMod val="130000"/>
                    </a:schemeClr>
                  </a:gs>
                  <a:gs pos="100000">
                    <a:schemeClr val="accent5">
                      <a:lumMod val="60000"/>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15-45CE-43B2-ACCA-21BEB6731782}"/>
              </c:ext>
            </c:extLst>
          </c:dPt>
          <c:dPt>
            <c:idx val="11"/>
            <c:bubble3D val="0"/>
            <c:spPr>
              <a:gradFill rotWithShape="1">
                <a:gsLst>
                  <a:gs pos="0">
                    <a:schemeClr val="accent6">
                      <a:lumMod val="60000"/>
                      <a:shade val="51000"/>
                      <a:satMod val="130000"/>
                    </a:schemeClr>
                  </a:gs>
                  <a:gs pos="80000">
                    <a:schemeClr val="accent6">
                      <a:lumMod val="60000"/>
                      <a:shade val="93000"/>
                      <a:satMod val="130000"/>
                    </a:schemeClr>
                  </a:gs>
                  <a:gs pos="100000">
                    <a:schemeClr val="accent6">
                      <a:lumMod val="60000"/>
                      <a:shade val="94000"/>
                      <a:satMod val="135000"/>
                    </a:schemeClr>
                  </a:gs>
                </a:gsLst>
                <a:lin ang="16200000" scaled="0"/>
              </a:gradFill>
              <a:ln>
                <a:noFill/>
              </a:ln>
              <a:effectLst>
                <a:outerShdw blurRad="40000" dist="23000" dir="5400000" rotWithShape="0">
                  <a:srgbClr val="000000">
                    <a:alpha val="35000"/>
                  </a:srgbClr>
                </a:outerShdw>
              </a:effectLst>
            </c:spPr>
            <c:extLst>
              <c:ext xmlns:c16="http://schemas.microsoft.com/office/drawing/2014/chart" uri="{C3380CC4-5D6E-409C-BE32-E72D297353CC}">
                <c16:uniqueId val="{00000017-45CE-43B2-ACCA-21BEB6731782}"/>
              </c:ext>
            </c:extLst>
          </c:dPt>
          <c:dLbls>
            <c:dLbl>
              <c:idx val="0"/>
              <c:layout>
                <c:manualLayout>
                  <c:x val="-0.10995710104423899"/>
                  <c:y val="-0.15733019522113703"/>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5CE-43B2-ACCA-21BEB6731782}"/>
                </c:ext>
              </c:extLst>
            </c:dLbl>
            <c:dLbl>
              <c:idx val="1"/>
              <c:layout>
                <c:manualLayout>
                  <c:x val="5.0991017190422205E-2"/>
                  <c:y val="-0.10571490975478846"/>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5CE-43B2-ACCA-21BEB6731782}"/>
                </c:ext>
              </c:extLst>
            </c:dLbl>
            <c:dLbl>
              <c:idx val="2"/>
              <c:layout>
                <c:manualLayout>
                  <c:x val="-0.39166444444444853"/>
                  <c:y val="-1.5344044141512654E-3"/>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5CE-43B2-ACCA-21BEB6731782}"/>
                </c:ext>
              </c:extLst>
            </c:dLbl>
            <c:dLbl>
              <c:idx val="3"/>
              <c:layout>
                <c:manualLayout>
                  <c:x val="-5.5691163604549433E-2"/>
                  <c:y val="2.133522213714786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5CE-43B2-ACCA-21BEB6731782}"/>
                </c:ext>
              </c:extLst>
            </c:dLbl>
            <c:dLbl>
              <c:idx val="4"/>
              <c:layout>
                <c:manualLayout>
                  <c:x val="-0.24032981481481483"/>
                  <c:y val="0.11782835659417938"/>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9-45CE-43B2-ACCA-21BEB6731782}"/>
                </c:ext>
              </c:extLst>
            </c:dLbl>
            <c:dLbl>
              <c:idx val="5"/>
              <c:layout>
                <c:manualLayout>
                  <c:x val="-5.7886384891543727E-2"/>
                  <c:y val="1.3940126856837187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45CE-43B2-ACCA-21BEB6731782}"/>
                </c:ext>
              </c:extLst>
            </c:dLbl>
            <c:dLbl>
              <c:idx val="6"/>
              <c:layout>
                <c:manualLayout>
                  <c:x val="-0.30288435185185769"/>
                  <c:y val="0.21694309206967646"/>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D-45CE-43B2-ACCA-21BEB6731782}"/>
                </c:ext>
              </c:extLst>
            </c:dLbl>
            <c:dLbl>
              <c:idx val="7"/>
              <c:layout>
                <c:manualLayout>
                  <c:x val="-9.1205237276374931E-2"/>
                  <c:y val="-4.5903185036227173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F-45CE-43B2-ACCA-21BEB6731782}"/>
                </c:ext>
              </c:extLst>
            </c:dLbl>
            <c:dLbl>
              <c:idx val="8"/>
              <c:layout>
                <c:manualLayout>
                  <c:x val="-0.27001907407407438"/>
                  <c:y val="-3.0563669804176416E-5"/>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1-45CE-43B2-ACCA-21BEB6731782}"/>
                </c:ext>
              </c:extLst>
            </c:dLbl>
            <c:dLbl>
              <c:idx val="9"/>
              <c:layout>
                <c:manualLayout>
                  <c:x val="-0.2348223148148148"/>
                  <c:y val="-0.11289408200800606"/>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3-45CE-43B2-ACCA-21BEB6731782}"/>
                </c:ext>
              </c:extLst>
            </c:dLbl>
            <c:dLbl>
              <c:idx val="10"/>
              <c:layout>
                <c:manualLayout>
                  <c:x val="1.9586485510037468E-2"/>
                  <c:y val="-6.1106997480891205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5-45CE-43B2-ACCA-21BEB6731782}"/>
                </c:ext>
              </c:extLst>
            </c:dLbl>
            <c:dLbl>
              <c:idx val="11"/>
              <c:layout>
                <c:manualLayout>
                  <c:x val="-3.6951645269244784E-2"/>
                  <c:y val="-5.4110398081872992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7-45CE-43B2-ACCA-21BEB6731782}"/>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EC"/>
              </a:p>
            </c:txPr>
            <c:showLegendKey val="0"/>
            <c:showVal val="1"/>
            <c:showCatName val="1"/>
            <c:showSerName val="0"/>
            <c:showPercent val="0"/>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'perfil-Dist_Gasto'!$A$5:$A$15</c:f>
              <c:strCache>
                <c:ptCount val="11"/>
                <c:pt idx="0">
                  <c:v> Alimentación</c:v>
                </c:pt>
                <c:pt idx="1">
                  <c:v> Alojamiento</c:v>
                </c:pt>
                <c:pt idx="2">
                  <c:v> Compras de artesanías</c:v>
                </c:pt>
                <c:pt idx="3">
                  <c:v> Diversiones y entretenimiento</c:v>
                </c:pt>
                <c:pt idx="4">
                  <c:v> Taxi en Quito</c:v>
                </c:pt>
                <c:pt idx="5">
                  <c:v> Compras de bienes</c:v>
                </c:pt>
                <c:pt idx="6">
                  <c:v> Transporte aéreo interno</c:v>
                </c:pt>
                <c:pt idx="7">
                  <c:v> Servicios culturales</c:v>
                </c:pt>
                <c:pt idx="8">
                  <c:v> Transporte interprovincial</c:v>
                </c:pt>
                <c:pt idx="9">
                  <c:v> Alquiler de vehículos</c:v>
                </c:pt>
                <c:pt idx="10">
                  <c:v> Otros</c:v>
                </c:pt>
              </c:strCache>
            </c:strRef>
          </c:cat>
          <c:val>
            <c:numRef>
              <c:f>'perfil-Dist_Gasto'!$J$5:$J$15</c:f>
              <c:numCache>
                <c:formatCode>0%</c:formatCode>
                <c:ptCount val="11"/>
                <c:pt idx="0">
                  <c:v>0.33993151412278977</c:v>
                </c:pt>
                <c:pt idx="1">
                  <c:v>0.21250289893409563</c:v>
                </c:pt>
                <c:pt idx="2">
                  <c:v>9.4294684039892329E-2</c:v>
                </c:pt>
                <c:pt idx="3">
                  <c:v>8.4470338361226138E-2</c:v>
                </c:pt>
                <c:pt idx="4">
                  <c:v>7.5852009241054091E-2</c:v>
                </c:pt>
                <c:pt idx="5">
                  <c:v>9.2752396748935609E-2</c:v>
                </c:pt>
                <c:pt idx="6">
                  <c:v>1.1918100477814809E-2</c:v>
                </c:pt>
                <c:pt idx="7">
                  <c:v>8.6826894866460485E-3</c:v>
                </c:pt>
                <c:pt idx="8">
                  <c:v>1.0787914450116761E-2</c:v>
                </c:pt>
                <c:pt idx="9">
                  <c:v>1.0577365714831699E-2</c:v>
                </c:pt>
                <c:pt idx="10">
                  <c:v>5.8230088422597137E-2</c:v>
                </c:pt>
              </c:numCache>
            </c:numRef>
          </c:val>
          <c:extLst>
            <c:ext xmlns:c16="http://schemas.microsoft.com/office/drawing/2014/chart" uri="{C3380CC4-5D6E-409C-BE32-E72D297353CC}">
              <c16:uniqueId val="{00000018-45CE-43B2-ACCA-21BEB6731782}"/>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EC"/>
    </a:p>
  </c:txPr>
  <c:printSettings>
    <c:headerFooter/>
    <c:pageMargins b="0.75000000000000533" l="0.70000000000000062" r="0.70000000000000062" t="0.75000000000000533" header="0.30000000000000032" footer="0.30000000000000032"/>
    <c:pageSetup/>
  </c:printSettings>
  <c:userShapes r:id="rId3"/>
</c:chartSpace>
</file>

<file path=xl/charts/chart6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cap="none" spc="50" normalizeH="0" baseline="0">
                <a:solidFill>
                  <a:schemeClr val="tx1">
                    <a:lumMod val="65000"/>
                    <a:lumOff val="35000"/>
                  </a:schemeClr>
                </a:solidFill>
                <a:latin typeface="+mj-lt"/>
                <a:ea typeface="+mj-ea"/>
                <a:cs typeface="+mj-cs"/>
              </a:defRPr>
            </a:pPr>
            <a:r>
              <a:rPr lang="es-EC"/>
              <a:t>Distribución del Gasto del Turista del DMQ</a:t>
            </a:r>
          </a:p>
          <a:p>
            <a:pPr>
              <a:defRPr/>
            </a:pPr>
            <a:r>
              <a:rPr lang="es-EC"/>
              <a:t>2013-2014</a:t>
            </a:r>
          </a:p>
        </c:rich>
      </c:tx>
      <c:overlay val="0"/>
      <c:spPr>
        <a:noFill/>
        <a:ln>
          <a:noFill/>
        </a:ln>
        <a:effectLst/>
      </c:spPr>
      <c:txPr>
        <a:bodyPr rot="0" spcFirstLastPara="1" vertOverflow="ellipsis" vert="horz" wrap="square" anchor="ctr" anchorCtr="1"/>
        <a:lstStyle/>
        <a:p>
          <a:pPr>
            <a:defRPr sz="1600" b="0" i="0" u="none" strike="noStrike" kern="1200" cap="none" spc="50" normalizeH="0" baseline="0">
              <a:solidFill>
                <a:schemeClr val="tx1">
                  <a:lumMod val="65000"/>
                  <a:lumOff val="35000"/>
                </a:schemeClr>
              </a:solidFill>
              <a:latin typeface="+mj-lt"/>
              <a:ea typeface="+mj-ea"/>
              <a:cs typeface="+mj-cs"/>
            </a:defRPr>
          </a:pPr>
          <a:endParaRPr lang="es-EC"/>
        </a:p>
      </c:txPr>
    </c:title>
    <c:autoTitleDeleted val="0"/>
    <c:plotArea>
      <c:layout>
        <c:manualLayout>
          <c:layoutTarget val="inner"/>
          <c:xMode val="edge"/>
          <c:yMode val="edge"/>
          <c:x val="9.5966964112765243E-2"/>
          <c:y val="0.20854571631925914"/>
          <c:w val="0.70906581494091858"/>
          <c:h val="0.65554797058204162"/>
        </c:manualLayout>
      </c:layout>
      <c:barChart>
        <c:barDir val="col"/>
        <c:grouping val="clustered"/>
        <c:varyColors val="0"/>
        <c:ser>
          <c:idx val="5"/>
          <c:order val="0"/>
          <c:tx>
            <c:strRef>
              <c:f>'perfil-Dist_Gasto'!$G$3</c:f>
              <c:strCache>
                <c:ptCount val="1"/>
                <c:pt idx="0">
                  <c:v>2013</c:v>
                </c:pt>
              </c:strCache>
            </c:strRef>
          </c:tx>
          <c:spPr>
            <a:solidFill>
              <a:schemeClr val="accent6">
                <a:alpha val="70000"/>
              </a:schemeClr>
            </a:solidFill>
            <a:ln>
              <a:noFill/>
            </a:ln>
            <a:effectLst/>
          </c:spPr>
          <c:invertIfNegative val="0"/>
          <c:cat>
            <c:strRef>
              <c:f>('perfil-Dist_Gasto'!$A$5:$A$8,'perfil-Dist_Gasto'!$A$10,'perfil-Dist_Gasto'!$A$12,'perfil-Dist_Gasto'!$A$16)</c:f>
              <c:strCache>
                <c:ptCount val="7"/>
                <c:pt idx="0">
                  <c:v> Alimentación</c:v>
                </c:pt>
                <c:pt idx="1">
                  <c:v> Alojamiento</c:v>
                </c:pt>
                <c:pt idx="2">
                  <c:v> Compras de artesanías</c:v>
                </c:pt>
                <c:pt idx="3">
                  <c:v> Diversiones y entretenimiento</c:v>
                </c:pt>
                <c:pt idx="4">
                  <c:v> Compras de bienes</c:v>
                </c:pt>
                <c:pt idx="5">
                  <c:v> Servicios culturales</c:v>
                </c:pt>
                <c:pt idx="6">
                  <c:v>Transporte </c:v>
                </c:pt>
              </c:strCache>
            </c:strRef>
          </c:cat>
          <c:val>
            <c:numRef>
              <c:f>('perfil-Dist_Gasto'!$G$5:$G$8,'perfil-Dist_Gasto'!$G$10,'perfil-Dist_Gasto'!$G$12,'perfil-Dist_Gasto'!$G$16)</c:f>
              <c:numCache>
                <c:formatCode>#,##0</c:formatCode>
                <c:ptCount val="7"/>
                <c:pt idx="0">
                  <c:v>6944389.8163498146</c:v>
                </c:pt>
                <c:pt idx="1">
                  <c:v>6512344.6845427286</c:v>
                </c:pt>
                <c:pt idx="2">
                  <c:v>4282595.5165914791</c:v>
                </c:pt>
                <c:pt idx="3">
                  <c:v>2540099.1150209731</c:v>
                </c:pt>
                <c:pt idx="4">
                  <c:v>1933104.9398758516</c:v>
                </c:pt>
                <c:pt idx="5">
                  <c:v>375183.72901114501</c:v>
                </c:pt>
                <c:pt idx="6">
                  <c:v>3242919.3755796803</c:v>
                </c:pt>
              </c:numCache>
            </c:numRef>
          </c:val>
          <c:extLst>
            <c:ext xmlns:c16="http://schemas.microsoft.com/office/drawing/2014/chart" uri="{C3380CC4-5D6E-409C-BE32-E72D297353CC}">
              <c16:uniqueId val="{00000000-EE32-471C-9943-3A14AB78C8EF}"/>
            </c:ext>
          </c:extLst>
        </c:ser>
        <c:ser>
          <c:idx val="0"/>
          <c:order val="1"/>
          <c:tx>
            <c:strRef>
              <c:f>'perfil-Dist_Gasto'!$H$3</c:f>
              <c:strCache>
                <c:ptCount val="1"/>
                <c:pt idx="0">
                  <c:v>2014</c:v>
                </c:pt>
              </c:strCache>
            </c:strRef>
          </c:tx>
          <c:spPr>
            <a:solidFill>
              <a:schemeClr val="accent1">
                <a:alpha val="70000"/>
              </a:schemeClr>
            </a:solidFill>
            <a:ln>
              <a:noFill/>
            </a:ln>
            <a:effectLst/>
          </c:spPr>
          <c:invertIfNegative val="0"/>
          <c:val>
            <c:numRef>
              <c:f>('perfil-Dist_Gasto'!$H$5:$H$8,'perfil-Dist_Gasto'!$H$10,'perfil-Dist_Gasto'!$H$12,'perfil-Dist_Gasto'!$H$16)</c:f>
              <c:numCache>
                <c:formatCode>#,##0</c:formatCode>
                <c:ptCount val="7"/>
                <c:pt idx="0">
                  <c:v>8128373.42682995</c:v>
                </c:pt>
                <c:pt idx="1">
                  <c:v>8160283.4778109426</c:v>
                </c:pt>
                <c:pt idx="2">
                  <c:v>4109727.1923769698</c:v>
                </c:pt>
                <c:pt idx="3">
                  <c:v>2481763.6134149819</c:v>
                </c:pt>
                <c:pt idx="4">
                  <c:v>1771306.929985987</c:v>
                </c:pt>
                <c:pt idx="5">
                  <c:v>244512.18601699866</c:v>
                </c:pt>
                <c:pt idx="6">
                  <c:v>4044426.093378976</c:v>
                </c:pt>
              </c:numCache>
            </c:numRef>
          </c:val>
          <c:extLst>
            <c:ext xmlns:c16="http://schemas.microsoft.com/office/drawing/2014/chart" uri="{C3380CC4-5D6E-409C-BE32-E72D297353CC}">
              <c16:uniqueId val="{00000001-EE32-471C-9943-3A14AB78C8EF}"/>
            </c:ext>
          </c:extLst>
        </c:ser>
        <c:dLbls>
          <c:showLegendKey val="0"/>
          <c:showVal val="0"/>
          <c:showCatName val="0"/>
          <c:showSerName val="0"/>
          <c:showPercent val="0"/>
          <c:showBubbleSize val="0"/>
        </c:dLbls>
        <c:gapWidth val="80"/>
        <c:overlap val="25"/>
        <c:axId val="-999539792"/>
        <c:axId val="-999539248"/>
      </c:barChart>
      <c:catAx>
        <c:axId val="-999539792"/>
        <c:scaling>
          <c:orientation val="minMax"/>
        </c:scaling>
        <c:delete val="0"/>
        <c:axPos val="b"/>
        <c:numFmt formatCode="General" sourceLinked="0"/>
        <c:majorTickMark val="none"/>
        <c:minorTickMark val="none"/>
        <c:tickLblPos val="nextTo"/>
        <c:spPr>
          <a:noFill/>
          <a:ln w="1587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cap="none" spc="20" normalizeH="0" baseline="0">
                <a:solidFill>
                  <a:schemeClr val="tx1">
                    <a:lumMod val="65000"/>
                    <a:lumOff val="35000"/>
                  </a:schemeClr>
                </a:solidFill>
                <a:latin typeface="+mn-lt"/>
                <a:ea typeface="+mn-ea"/>
                <a:cs typeface="+mn-cs"/>
              </a:defRPr>
            </a:pPr>
            <a:endParaRPr lang="es-EC"/>
          </a:p>
        </c:txPr>
        <c:crossAx val="-999539248"/>
        <c:crosses val="autoZero"/>
        <c:auto val="1"/>
        <c:lblAlgn val="ctr"/>
        <c:lblOffset val="100"/>
        <c:noMultiLvlLbl val="0"/>
      </c:catAx>
      <c:valAx>
        <c:axId val="-999539248"/>
        <c:scaling>
          <c:orientation val="minMax"/>
        </c:scaling>
        <c:delete val="0"/>
        <c:axPos val="l"/>
        <c:majorGridlines>
          <c:spPr>
            <a:ln w="9525" cap="flat" cmpd="sng" algn="ctr">
              <a:solidFill>
                <a:schemeClr val="tx1">
                  <a:lumMod val="5000"/>
                  <a:lumOff val="9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spc="20" baseline="0">
                <a:solidFill>
                  <a:schemeClr val="tx1">
                    <a:lumMod val="65000"/>
                    <a:lumOff val="35000"/>
                  </a:schemeClr>
                </a:solidFill>
                <a:latin typeface="+mn-lt"/>
                <a:ea typeface="+mn-ea"/>
                <a:cs typeface="+mn-cs"/>
              </a:defRPr>
            </a:pPr>
            <a:endParaRPr lang="es-EC"/>
          </a:p>
        </c:txPr>
        <c:crossAx val="-999539792"/>
        <c:crosses val="autoZero"/>
        <c:crossBetween val="between"/>
      </c:valAx>
      <c:spPr>
        <a:noFill/>
        <a:ln>
          <a:noFill/>
        </a:ln>
        <a:effectLst/>
      </c:spPr>
    </c:plotArea>
    <c:legend>
      <c:legendPos val="b"/>
      <c:layout>
        <c:manualLayout>
          <c:xMode val="edge"/>
          <c:yMode val="edge"/>
          <c:x val="0.46651057249141736"/>
          <c:y val="0.23368302915935413"/>
          <c:w val="0.11390491549940172"/>
          <c:h val="6.6469364771440095E-2"/>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 l="0.70000000000000062" r="0.70000000000000062" t="0.750000000000005" header="0.30000000000000032" footer="0.30000000000000032"/>
    <c:pageSetup/>
  </c:printSettings>
  <c:userShapes r:id="rId3"/>
</c:chartSpace>
</file>

<file path=xl/charts/chart7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s-EC"/>
              <a:t>NIVEL DE INSTRUCCIÓN</a:t>
            </a:r>
          </a:p>
          <a:p>
            <a:pPr>
              <a:defRPr/>
            </a:pPr>
            <a:r>
              <a:rPr lang="es-EC"/>
              <a:t>DEL TURISTA DE QUITO</a:t>
            </a:r>
          </a:p>
        </c:rich>
      </c:tx>
      <c:layout>
        <c:manualLayout>
          <c:xMode val="edge"/>
          <c:yMode val="edge"/>
          <c:x val="0.31579598515978208"/>
          <c:y val="2.0470823569171369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s-EC"/>
        </a:p>
      </c:txPr>
    </c:title>
    <c:autoTitleDeleted val="0"/>
    <c:view3D>
      <c:rotX val="75"/>
      <c:rotY val="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7685088540984448"/>
          <c:y val="0.34920619143013953"/>
          <c:w val="0.48582364936724914"/>
          <c:h val="0.62231680482019625"/>
        </c:manualLayout>
      </c:layout>
      <c:pie3DChart>
        <c:varyColors val="1"/>
        <c:ser>
          <c:idx val="0"/>
          <c:order val="0"/>
          <c:dPt>
            <c:idx val="0"/>
            <c:bubble3D val="0"/>
            <c:explosion val="6"/>
            <c:spPr>
              <a:solidFill>
                <a:schemeClr val="accent1"/>
              </a:solidFill>
              <a:ln>
                <a:noFill/>
              </a:ln>
              <a:effectLst>
                <a:outerShdw blurRad="254000" sx="102000" sy="102000" algn="ctr" rotWithShape="0">
                  <a:prstClr val="black">
                    <a:alpha val="20000"/>
                  </a:prstClr>
                </a:outerShdw>
              </a:effectLst>
              <a:sp3d/>
            </c:spPr>
            <c:extLst>
              <c:ext xmlns:c16="http://schemas.microsoft.com/office/drawing/2014/chart" uri="{C3380CC4-5D6E-409C-BE32-E72D297353CC}">
                <c16:uniqueId val="{00000001-935C-4E3C-B1A7-68B5562AD790}"/>
              </c:ext>
            </c:extLst>
          </c:dPt>
          <c:dPt>
            <c:idx val="1"/>
            <c:bubble3D val="0"/>
            <c:explosion val="15"/>
            <c:spPr>
              <a:solidFill>
                <a:schemeClr val="accent3"/>
              </a:solidFill>
              <a:ln>
                <a:noFill/>
              </a:ln>
              <a:effectLst>
                <a:outerShdw blurRad="254000" sx="102000" sy="102000" algn="ctr" rotWithShape="0">
                  <a:prstClr val="black">
                    <a:alpha val="20000"/>
                  </a:prstClr>
                </a:outerShdw>
              </a:effectLst>
              <a:sp3d/>
            </c:spPr>
            <c:extLst>
              <c:ext xmlns:c16="http://schemas.microsoft.com/office/drawing/2014/chart" uri="{C3380CC4-5D6E-409C-BE32-E72D297353CC}">
                <c16:uniqueId val="{00000003-935C-4E3C-B1A7-68B5562AD790}"/>
              </c:ext>
            </c:extLst>
          </c:dPt>
          <c:dPt>
            <c:idx val="2"/>
            <c:bubble3D val="0"/>
            <c:explosion val="8"/>
            <c:spPr>
              <a:solidFill>
                <a:schemeClr val="accent5"/>
              </a:solidFill>
              <a:ln>
                <a:noFill/>
              </a:ln>
              <a:effectLst>
                <a:outerShdw blurRad="254000" sx="102000" sy="102000" algn="ctr" rotWithShape="0">
                  <a:prstClr val="black">
                    <a:alpha val="20000"/>
                  </a:prstClr>
                </a:outerShdw>
              </a:effectLst>
              <a:sp3d/>
            </c:spPr>
            <c:extLst>
              <c:ext xmlns:c16="http://schemas.microsoft.com/office/drawing/2014/chart" uri="{C3380CC4-5D6E-409C-BE32-E72D297353CC}">
                <c16:uniqueId val="{00000005-935C-4E3C-B1A7-68B5562AD790}"/>
              </c:ext>
            </c:extLst>
          </c:dPt>
          <c:dPt>
            <c:idx val="3"/>
            <c:bubble3D val="0"/>
            <c:spPr>
              <a:solidFill>
                <a:schemeClr val="accent1">
                  <a:lumMod val="60000"/>
                </a:schemeClr>
              </a:solidFill>
              <a:ln>
                <a:noFill/>
              </a:ln>
              <a:effectLst>
                <a:outerShdw blurRad="254000" sx="102000" sy="102000" algn="ctr" rotWithShape="0">
                  <a:prstClr val="black">
                    <a:alpha val="20000"/>
                  </a:prstClr>
                </a:outerShdw>
              </a:effectLst>
              <a:sp3d/>
            </c:spPr>
            <c:extLst>
              <c:ext xmlns:c16="http://schemas.microsoft.com/office/drawing/2014/chart" uri="{C3380CC4-5D6E-409C-BE32-E72D297353CC}">
                <c16:uniqueId val="{00000007-935C-4E3C-B1A7-68B5562AD790}"/>
              </c:ext>
            </c:extLst>
          </c:dPt>
          <c:dLbls>
            <c:dLbl>
              <c:idx val="0"/>
              <c:layout>
                <c:manualLayout>
                  <c:x val="9.7600976794361624E-2"/>
                  <c:y val="-6.6374093286241484E-2"/>
                </c:manualLayout>
              </c:layout>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935C-4E3C-B1A7-68B5562AD790}"/>
                </c:ext>
              </c:extLst>
            </c:dLbl>
            <c:dLbl>
              <c:idx val="1"/>
              <c:layout>
                <c:manualLayout>
                  <c:x val="0.13839571899256842"/>
                  <c:y val="0.16865675130179131"/>
                </c:manualLayout>
              </c:layout>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935C-4E3C-B1A7-68B5562AD790}"/>
                </c:ext>
              </c:extLst>
            </c:dLbl>
            <c:dLbl>
              <c:idx val="3"/>
              <c:layout>
                <c:manualLayout>
                  <c:x val="-0.12431730025772664"/>
                  <c:y val="2.7495915909510362E-2"/>
                </c:manualLayout>
              </c:layout>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935C-4E3C-B1A7-68B5562AD790}"/>
                </c:ext>
              </c:extLst>
            </c:dLbl>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EC"/>
              </a:p>
            </c:txPr>
            <c:showLegendKey val="0"/>
            <c:showVal val="1"/>
            <c:showCatName val="1"/>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'perfil-Nvl_Educ'!$C$3:$C$6</c:f>
              <c:strCache>
                <c:ptCount val="4"/>
                <c:pt idx="0">
                  <c:v>Primaria</c:v>
                </c:pt>
                <c:pt idx="1">
                  <c:v>Secundaria</c:v>
                </c:pt>
                <c:pt idx="2">
                  <c:v>Superior</c:v>
                </c:pt>
                <c:pt idx="3">
                  <c:v>Postgrado</c:v>
                </c:pt>
              </c:strCache>
            </c:strRef>
          </c:cat>
          <c:val>
            <c:numRef>
              <c:f>'perfil-Nvl_Educ'!$L$3:$L$6</c:f>
              <c:numCache>
                <c:formatCode>0%</c:formatCode>
                <c:ptCount val="4"/>
                <c:pt idx="0">
                  <c:v>1.2438868716236702E-2</c:v>
                </c:pt>
                <c:pt idx="1">
                  <c:v>0.19852460050928405</c:v>
                </c:pt>
                <c:pt idx="2">
                  <c:v>0.61212288538610038</c:v>
                </c:pt>
                <c:pt idx="3">
                  <c:v>0.17691364538837881</c:v>
                </c:pt>
              </c:numCache>
            </c:numRef>
          </c:val>
          <c:extLst>
            <c:ext xmlns:c16="http://schemas.microsoft.com/office/drawing/2014/chart" uri="{C3380CC4-5D6E-409C-BE32-E72D297353CC}">
              <c16:uniqueId val="{00000008-935C-4E3C-B1A7-68B5562AD790}"/>
            </c:ext>
          </c:extLst>
        </c:ser>
        <c:dLbls>
          <c:showLegendKey val="0"/>
          <c:showVal val="0"/>
          <c:showCatName val="1"/>
          <c:showSerName val="0"/>
          <c:showPercent val="0"/>
          <c:showBubbleSize val="0"/>
          <c:showLeaderLines val="1"/>
        </c:dLbls>
      </c:pie3D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EC"/>
        </a:p>
      </c:txPr>
    </c:legend>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EC"/>
    </a:p>
  </c:txPr>
  <c:printSettings>
    <c:headerFooter/>
    <c:pageMargins b="0.75000000000000533" l="0.70000000000000062" r="0.70000000000000062" t="0.75000000000000533" header="0.30000000000000032" footer="0.30000000000000032"/>
    <c:pageSetup/>
  </c:printSettings>
</c:chartSpace>
</file>

<file path=xl/charts/chart7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GRUPOS DE EDAD</a:t>
            </a:r>
          </a:p>
          <a:p>
            <a:pPr>
              <a:defRPr/>
            </a:pPr>
            <a:r>
              <a:rPr lang="es-EC"/>
              <a:t>DEL TURISTA DE QUITO</a:t>
            </a:r>
          </a:p>
        </c:rich>
      </c:tx>
      <c:overlay val="1"/>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7.0035433070866154E-2"/>
          <c:y val="0.20071684587813798"/>
          <c:w val="0.58888888888888891"/>
          <c:h val="0.75985663082437926"/>
        </c:manualLayout>
      </c:layout>
      <c:pie3DChart>
        <c:varyColors val="1"/>
        <c:ser>
          <c:idx val="0"/>
          <c:order val="0"/>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A028-4D7E-97D4-45E4B5F1469D}"/>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A028-4D7E-97D4-45E4B5F1469D}"/>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5-A028-4D7E-97D4-45E4B5F1469D}"/>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7-A028-4D7E-97D4-45E4B5F1469D}"/>
              </c:ext>
            </c:extLst>
          </c:dPt>
          <c:dLbls>
            <c:spPr>
              <a:solidFill>
                <a:schemeClr val="lt1"/>
              </a:solidFill>
              <a:ln w="25400" cap="flat" cmpd="sng" algn="ctr">
                <a:solidFill>
                  <a:schemeClr val="dk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'perfil-Edad'!$C$3:$C$6</c:f>
              <c:strCache>
                <c:ptCount val="4"/>
                <c:pt idx="0">
                  <c:v> de 17 a 30 años</c:v>
                </c:pt>
                <c:pt idx="1">
                  <c:v> de 31 a 45 años</c:v>
                </c:pt>
                <c:pt idx="2">
                  <c:v> de 46 a 60 años</c:v>
                </c:pt>
                <c:pt idx="3">
                  <c:v> de 61 y más años</c:v>
                </c:pt>
              </c:strCache>
            </c:strRef>
          </c:cat>
          <c:val>
            <c:numRef>
              <c:f>'perfil-Edad'!$L$3:$L$6</c:f>
              <c:numCache>
                <c:formatCode>0%</c:formatCode>
                <c:ptCount val="4"/>
                <c:pt idx="0">
                  <c:v>0.37526121555220571</c:v>
                </c:pt>
                <c:pt idx="1">
                  <c:v>0.36870310932825595</c:v>
                </c:pt>
                <c:pt idx="2">
                  <c:v>0.18031116518218343</c:v>
                </c:pt>
                <c:pt idx="3">
                  <c:v>7.5724509937354953E-2</c:v>
                </c:pt>
              </c:numCache>
            </c:numRef>
          </c:val>
          <c:extLst>
            <c:ext xmlns:c16="http://schemas.microsoft.com/office/drawing/2014/chart" uri="{C3380CC4-5D6E-409C-BE32-E72D297353CC}">
              <c16:uniqueId val="{00000008-A028-4D7E-97D4-45E4B5F1469D}"/>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33" l="0.70000000000000062" r="0.70000000000000062" t="0.75000000000000533" header="0.30000000000000032" footer="0.30000000000000032"/>
    <c:pageSetup/>
  </c:printSettings>
  <c:userShapes r:id="rId3"/>
</c:chartSpace>
</file>

<file path=xl/charts/chart7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cap="all" baseline="0">
                <a:solidFill>
                  <a:schemeClr val="tx1">
                    <a:lumMod val="65000"/>
                    <a:lumOff val="35000"/>
                  </a:schemeClr>
                </a:solidFill>
                <a:latin typeface="+mn-lt"/>
                <a:ea typeface="+mn-ea"/>
                <a:cs typeface="+mn-cs"/>
              </a:defRPr>
            </a:pPr>
            <a:r>
              <a:rPr lang="es-EC"/>
              <a:t>Turismo MICE</a:t>
            </a:r>
          </a:p>
        </c:rich>
      </c:tx>
      <c:overlay val="1"/>
      <c:spPr>
        <a:noFill/>
        <a:ln>
          <a:noFill/>
        </a:ln>
        <a:effectLst/>
      </c:spPr>
      <c:txPr>
        <a:bodyPr rot="0" spcFirstLastPara="1" vertOverflow="ellipsis" vert="horz" wrap="square" anchor="ctr" anchorCtr="1"/>
        <a:lstStyle/>
        <a:p>
          <a:pPr>
            <a:defRPr sz="1800" b="1" i="0" u="none" strike="noStrike" kern="1200" cap="all" baseline="0">
              <a:solidFill>
                <a:schemeClr val="tx1">
                  <a:lumMod val="65000"/>
                  <a:lumOff val="35000"/>
                </a:schemeClr>
              </a:solidFill>
              <a:latin typeface="+mn-lt"/>
              <a:ea typeface="+mn-ea"/>
              <a:cs typeface="+mn-cs"/>
            </a:defRPr>
          </a:pPr>
          <a:endParaRPr lang="es-EC"/>
        </a:p>
      </c:txPr>
    </c:title>
    <c:autoTitleDeleted val="0"/>
    <c:view3D>
      <c:rotX val="5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3272588389150123E-2"/>
          <c:y val="0.21161550723333089"/>
          <c:w val="0.49036147544454478"/>
          <c:h val="0.69735397295470569"/>
        </c:manualLayout>
      </c:layout>
      <c:pie3DChart>
        <c:varyColors val="1"/>
        <c:ser>
          <c:idx val="0"/>
          <c:order val="0"/>
          <c:dPt>
            <c:idx val="0"/>
            <c:bubble3D val="0"/>
            <c:spPr>
              <a:solidFill>
                <a:schemeClr val="accent1">
                  <a:alpha val="90000"/>
                </a:schemeClr>
              </a:solidFill>
              <a:ln w="19050">
                <a:solidFill>
                  <a:schemeClr val="accent1">
                    <a:lumMod val="75000"/>
                  </a:schemeClr>
                </a:solidFill>
              </a:ln>
              <a:effectLst>
                <a:innerShdw blurRad="114300">
                  <a:schemeClr val="accent1">
                    <a:lumMod val="75000"/>
                  </a:schemeClr>
                </a:innerShdw>
              </a:effectLst>
              <a:scene3d>
                <a:camera prst="orthographicFront"/>
                <a:lightRig rig="threePt" dir="t"/>
              </a:scene3d>
              <a:sp3d contourW="19050" prstMaterial="flat">
                <a:contourClr>
                  <a:schemeClr val="accent1">
                    <a:lumMod val="75000"/>
                  </a:schemeClr>
                </a:contourClr>
              </a:sp3d>
            </c:spPr>
            <c:extLst>
              <c:ext xmlns:c16="http://schemas.microsoft.com/office/drawing/2014/chart" uri="{C3380CC4-5D6E-409C-BE32-E72D297353CC}">
                <c16:uniqueId val="{00000001-A084-4192-AF47-A82E2C4F4933}"/>
              </c:ext>
            </c:extLst>
          </c:dPt>
          <c:dPt>
            <c:idx val="1"/>
            <c:bubble3D val="0"/>
            <c:spPr>
              <a:solidFill>
                <a:schemeClr val="accent2">
                  <a:alpha val="90000"/>
                </a:schemeClr>
              </a:solidFill>
              <a:ln w="19050">
                <a:solidFill>
                  <a:schemeClr val="accent2">
                    <a:lumMod val="75000"/>
                  </a:schemeClr>
                </a:solidFill>
              </a:ln>
              <a:effectLst>
                <a:innerShdw blurRad="114300">
                  <a:schemeClr val="accent2">
                    <a:lumMod val="75000"/>
                  </a:schemeClr>
                </a:innerShdw>
              </a:effectLst>
              <a:scene3d>
                <a:camera prst="orthographicFront"/>
                <a:lightRig rig="threePt" dir="t"/>
              </a:scene3d>
              <a:sp3d contourW="19050" prstMaterial="flat">
                <a:contourClr>
                  <a:schemeClr val="accent2">
                    <a:lumMod val="75000"/>
                  </a:schemeClr>
                </a:contourClr>
              </a:sp3d>
            </c:spPr>
            <c:extLst>
              <c:ext xmlns:c16="http://schemas.microsoft.com/office/drawing/2014/chart" uri="{C3380CC4-5D6E-409C-BE32-E72D297353CC}">
                <c16:uniqueId val="{00000003-A084-4192-AF47-A82E2C4F4933}"/>
              </c:ext>
            </c:extLst>
          </c:dPt>
          <c:dPt>
            <c:idx val="2"/>
            <c:bubble3D val="0"/>
            <c:spPr>
              <a:solidFill>
                <a:schemeClr val="accent3">
                  <a:alpha val="90000"/>
                </a:schemeClr>
              </a:solidFill>
              <a:ln w="19050">
                <a:solidFill>
                  <a:schemeClr val="accent3">
                    <a:lumMod val="75000"/>
                  </a:schemeClr>
                </a:solidFill>
              </a:ln>
              <a:effectLst>
                <a:innerShdw blurRad="114300">
                  <a:schemeClr val="accent3">
                    <a:lumMod val="75000"/>
                  </a:schemeClr>
                </a:innerShdw>
              </a:effectLst>
              <a:scene3d>
                <a:camera prst="orthographicFront"/>
                <a:lightRig rig="threePt" dir="t"/>
              </a:scene3d>
              <a:sp3d contourW="19050" prstMaterial="flat">
                <a:contourClr>
                  <a:schemeClr val="accent3">
                    <a:lumMod val="75000"/>
                  </a:schemeClr>
                </a:contourClr>
              </a:sp3d>
            </c:spPr>
            <c:extLst>
              <c:ext xmlns:c16="http://schemas.microsoft.com/office/drawing/2014/chart" uri="{C3380CC4-5D6E-409C-BE32-E72D297353CC}">
                <c16:uniqueId val="{00000005-A084-4192-AF47-A82E2C4F4933}"/>
              </c:ext>
            </c:extLst>
          </c:dPt>
          <c:dPt>
            <c:idx val="3"/>
            <c:bubble3D val="0"/>
            <c:spPr>
              <a:solidFill>
                <a:schemeClr val="accent4">
                  <a:alpha val="90000"/>
                </a:schemeClr>
              </a:solidFill>
              <a:ln w="19050">
                <a:solidFill>
                  <a:schemeClr val="accent4">
                    <a:lumMod val="75000"/>
                  </a:schemeClr>
                </a:solidFill>
              </a:ln>
              <a:effectLst>
                <a:innerShdw blurRad="114300">
                  <a:schemeClr val="accent4">
                    <a:lumMod val="75000"/>
                  </a:schemeClr>
                </a:innerShdw>
              </a:effectLst>
              <a:scene3d>
                <a:camera prst="orthographicFront"/>
                <a:lightRig rig="threePt" dir="t"/>
              </a:scene3d>
              <a:sp3d contourW="19050" prstMaterial="flat">
                <a:contourClr>
                  <a:schemeClr val="accent4">
                    <a:lumMod val="75000"/>
                  </a:schemeClr>
                </a:contourClr>
              </a:sp3d>
            </c:spPr>
            <c:extLst>
              <c:ext xmlns:c16="http://schemas.microsoft.com/office/drawing/2014/chart" uri="{C3380CC4-5D6E-409C-BE32-E72D297353CC}">
                <c16:uniqueId val="{00000007-A084-4192-AF47-A82E2C4F4933}"/>
              </c:ext>
            </c:extLst>
          </c:dPt>
          <c:dPt>
            <c:idx val="4"/>
            <c:bubble3D val="0"/>
            <c:spPr>
              <a:solidFill>
                <a:schemeClr val="accent5">
                  <a:alpha val="90000"/>
                </a:schemeClr>
              </a:solidFill>
              <a:ln w="19050">
                <a:solidFill>
                  <a:schemeClr val="accent5">
                    <a:lumMod val="75000"/>
                  </a:schemeClr>
                </a:solidFill>
              </a:ln>
              <a:effectLst>
                <a:innerShdw blurRad="114300">
                  <a:schemeClr val="accent5">
                    <a:lumMod val="75000"/>
                  </a:schemeClr>
                </a:innerShdw>
              </a:effectLst>
              <a:scene3d>
                <a:camera prst="orthographicFront"/>
                <a:lightRig rig="threePt" dir="t"/>
              </a:scene3d>
              <a:sp3d contourW="19050" prstMaterial="flat">
                <a:contourClr>
                  <a:schemeClr val="accent5">
                    <a:lumMod val="75000"/>
                  </a:schemeClr>
                </a:contourClr>
              </a:sp3d>
            </c:spPr>
            <c:extLst>
              <c:ext xmlns:c16="http://schemas.microsoft.com/office/drawing/2014/chart" uri="{C3380CC4-5D6E-409C-BE32-E72D297353CC}">
                <c16:uniqueId val="{00000009-A084-4192-AF47-A82E2C4F4933}"/>
              </c:ext>
            </c:extLst>
          </c:dPt>
          <c:dPt>
            <c:idx val="5"/>
            <c:bubble3D val="0"/>
            <c:spPr>
              <a:solidFill>
                <a:schemeClr val="accent6">
                  <a:alpha val="90000"/>
                </a:schemeClr>
              </a:solidFill>
              <a:ln w="19050">
                <a:solidFill>
                  <a:schemeClr val="accent6">
                    <a:lumMod val="75000"/>
                  </a:schemeClr>
                </a:solidFill>
              </a:ln>
              <a:effectLst>
                <a:innerShdw blurRad="114300">
                  <a:schemeClr val="accent6">
                    <a:lumMod val="75000"/>
                  </a:schemeClr>
                </a:innerShdw>
              </a:effectLst>
              <a:scene3d>
                <a:camera prst="orthographicFront"/>
                <a:lightRig rig="threePt" dir="t"/>
              </a:scene3d>
              <a:sp3d contourW="19050" prstMaterial="flat">
                <a:contourClr>
                  <a:schemeClr val="accent6">
                    <a:lumMod val="75000"/>
                  </a:schemeClr>
                </a:contourClr>
              </a:sp3d>
            </c:spPr>
            <c:extLst>
              <c:ext xmlns:c16="http://schemas.microsoft.com/office/drawing/2014/chart" uri="{C3380CC4-5D6E-409C-BE32-E72D297353CC}">
                <c16:uniqueId val="{0000000B-A084-4192-AF47-A82E2C4F4933}"/>
              </c:ext>
            </c:extLst>
          </c:dPt>
          <c:dPt>
            <c:idx val="6"/>
            <c:bubble3D val="0"/>
            <c:spPr>
              <a:solidFill>
                <a:schemeClr val="accent1">
                  <a:lumMod val="60000"/>
                  <a:alpha val="90000"/>
                </a:schemeClr>
              </a:solidFill>
              <a:ln w="19050">
                <a:solidFill>
                  <a:schemeClr val="accent1">
                    <a:lumMod val="60000"/>
                    <a:lumMod val="75000"/>
                  </a:schemeClr>
                </a:solidFill>
              </a:ln>
              <a:effectLst>
                <a:innerShdw blurRad="114300">
                  <a:schemeClr val="accent1">
                    <a:lumMod val="60000"/>
                    <a:lumMod val="75000"/>
                  </a:schemeClr>
                </a:innerShdw>
              </a:effectLst>
              <a:scene3d>
                <a:camera prst="orthographicFront"/>
                <a:lightRig rig="threePt" dir="t"/>
              </a:scene3d>
              <a:sp3d contourW="19050" prstMaterial="flat">
                <a:contourClr>
                  <a:schemeClr val="accent1">
                    <a:lumMod val="60000"/>
                    <a:lumMod val="75000"/>
                  </a:schemeClr>
                </a:contourClr>
              </a:sp3d>
            </c:spPr>
            <c:extLst>
              <c:ext xmlns:c16="http://schemas.microsoft.com/office/drawing/2014/chart" uri="{C3380CC4-5D6E-409C-BE32-E72D297353CC}">
                <c16:uniqueId val="{0000000D-A084-4192-AF47-A82E2C4F4933}"/>
              </c:ext>
            </c:extLst>
          </c:dPt>
          <c:dPt>
            <c:idx val="7"/>
            <c:bubble3D val="0"/>
            <c:spPr>
              <a:solidFill>
                <a:schemeClr val="accent2">
                  <a:lumMod val="60000"/>
                  <a:alpha val="90000"/>
                </a:schemeClr>
              </a:solidFill>
              <a:ln w="19050">
                <a:solidFill>
                  <a:schemeClr val="accent2">
                    <a:lumMod val="60000"/>
                    <a:lumMod val="75000"/>
                  </a:schemeClr>
                </a:solidFill>
              </a:ln>
              <a:effectLst>
                <a:innerShdw blurRad="114300">
                  <a:schemeClr val="accent2">
                    <a:lumMod val="60000"/>
                    <a:lumMod val="75000"/>
                  </a:schemeClr>
                </a:innerShdw>
              </a:effectLst>
              <a:scene3d>
                <a:camera prst="orthographicFront"/>
                <a:lightRig rig="threePt" dir="t"/>
              </a:scene3d>
              <a:sp3d contourW="19050" prstMaterial="flat">
                <a:contourClr>
                  <a:schemeClr val="accent2">
                    <a:lumMod val="60000"/>
                    <a:lumMod val="75000"/>
                  </a:schemeClr>
                </a:contourClr>
              </a:sp3d>
            </c:spPr>
            <c:extLst>
              <c:ext xmlns:c16="http://schemas.microsoft.com/office/drawing/2014/chart" uri="{C3380CC4-5D6E-409C-BE32-E72D297353CC}">
                <c16:uniqueId val="{0000000F-A084-4192-AF47-A82E2C4F4933}"/>
              </c:ext>
            </c:extLst>
          </c:dPt>
          <c:dPt>
            <c:idx val="8"/>
            <c:bubble3D val="0"/>
            <c:spPr>
              <a:solidFill>
                <a:schemeClr val="accent3">
                  <a:lumMod val="60000"/>
                  <a:alpha val="90000"/>
                </a:schemeClr>
              </a:solidFill>
              <a:ln w="19050">
                <a:solidFill>
                  <a:schemeClr val="accent3">
                    <a:lumMod val="60000"/>
                    <a:lumMod val="75000"/>
                  </a:schemeClr>
                </a:solidFill>
              </a:ln>
              <a:effectLst>
                <a:innerShdw blurRad="114300">
                  <a:schemeClr val="accent3">
                    <a:lumMod val="60000"/>
                    <a:lumMod val="75000"/>
                  </a:schemeClr>
                </a:innerShdw>
              </a:effectLst>
              <a:scene3d>
                <a:camera prst="orthographicFront"/>
                <a:lightRig rig="threePt" dir="t"/>
              </a:scene3d>
              <a:sp3d contourW="19050" prstMaterial="flat">
                <a:contourClr>
                  <a:schemeClr val="accent3">
                    <a:lumMod val="60000"/>
                    <a:lumMod val="75000"/>
                  </a:schemeClr>
                </a:contourClr>
              </a:sp3d>
            </c:spPr>
            <c:extLst>
              <c:ext xmlns:c16="http://schemas.microsoft.com/office/drawing/2014/chart" uri="{C3380CC4-5D6E-409C-BE32-E72D297353CC}">
                <c16:uniqueId val="{00000011-A084-4192-AF47-A82E2C4F4933}"/>
              </c:ext>
            </c:extLst>
          </c:dPt>
          <c:dPt>
            <c:idx val="9"/>
            <c:bubble3D val="0"/>
            <c:spPr>
              <a:solidFill>
                <a:schemeClr val="accent4">
                  <a:lumMod val="60000"/>
                  <a:alpha val="90000"/>
                </a:schemeClr>
              </a:solidFill>
              <a:ln w="19050">
                <a:solidFill>
                  <a:schemeClr val="accent4">
                    <a:lumMod val="60000"/>
                    <a:lumMod val="75000"/>
                  </a:schemeClr>
                </a:solidFill>
              </a:ln>
              <a:effectLst>
                <a:innerShdw blurRad="114300">
                  <a:schemeClr val="accent4">
                    <a:lumMod val="60000"/>
                    <a:lumMod val="75000"/>
                  </a:schemeClr>
                </a:innerShdw>
              </a:effectLst>
              <a:scene3d>
                <a:camera prst="orthographicFront"/>
                <a:lightRig rig="threePt" dir="t"/>
              </a:scene3d>
              <a:sp3d contourW="19050" prstMaterial="flat">
                <a:contourClr>
                  <a:schemeClr val="accent4">
                    <a:lumMod val="60000"/>
                    <a:lumMod val="75000"/>
                  </a:schemeClr>
                </a:contourClr>
              </a:sp3d>
            </c:spPr>
            <c:extLst>
              <c:ext xmlns:c16="http://schemas.microsoft.com/office/drawing/2014/chart" uri="{C3380CC4-5D6E-409C-BE32-E72D297353CC}">
                <c16:uniqueId val="{00000013-A084-4192-AF47-A82E2C4F4933}"/>
              </c:ext>
            </c:extLst>
          </c:dPt>
          <c:dPt>
            <c:idx val="10"/>
            <c:bubble3D val="0"/>
            <c:spPr>
              <a:solidFill>
                <a:schemeClr val="accent5">
                  <a:lumMod val="60000"/>
                  <a:alpha val="90000"/>
                </a:schemeClr>
              </a:solidFill>
              <a:ln w="19050">
                <a:solidFill>
                  <a:schemeClr val="accent5">
                    <a:lumMod val="60000"/>
                    <a:lumMod val="75000"/>
                  </a:schemeClr>
                </a:solidFill>
              </a:ln>
              <a:effectLst>
                <a:innerShdw blurRad="114300">
                  <a:schemeClr val="accent5">
                    <a:lumMod val="60000"/>
                    <a:lumMod val="75000"/>
                  </a:schemeClr>
                </a:innerShdw>
              </a:effectLst>
              <a:scene3d>
                <a:camera prst="orthographicFront"/>
                <a:lightRig rig="threePt" dir="t"/>
              </a:scene3d>
              <a:sp3d contourW="19050" prstMaterial="flat">
                <a:contourClr>
                  <a:schemeClr val="accent5">
                    <a:lumMod val="60000"/>
                    <a:lumMod val="75000"/>
                  </a:schemeClr>
                </a:contourClr>
              </a:sp3d>
            </c:spPr>
            <c:extLst>
              <c:ext xmlns:c16="http://schemas.microsoft.com/office/drawing/2014/chart" uri="{C3380CC4-5D6E-409C-BE32-E72D297353CC}">
                <c16:uniqueId val="{00000015-A084-4192-AF47-A82E2C4F4933}"/>
              </c:ext>
            </c:extLst>
          </c:dPt>
          <c:dPt>
            <c:idx val="11"/>
            <c:bubble3D val="0"/>
            <c:spPr>
              <a:solidFill>
                <a:schemeClr val="accent6">
                  <a:lumMod val="60000"/>
                  <a:alpha val="90000"/>
                </a:schemeClr>
              </a:solidFill>
              <a:ln w="19050">
                <a:solidFill>
                  <a:schemeClr val="accent6">
                    <a:lumMod val="60000"/>
                    <a:lumMod val="75000"/>
                  </a:schemeClr>
                </a:solidFill>
              </a:ln>
              <a:effectLst>
                <a:innerShdw blurRad="114300">
                  <a:schemeClr val="accent6">
                    <a:lumMod val="60000"/>
                    <a:lumMod val="75000"/>
                  </a:schemeClr>
                </a:innerShdw>
              </a:effectLst>
              <a:scene3d>
                <a:camera prst="orthographicFront"/>
                <a:lightRig rig="threePt" dir="t"/>
              </a:scene3d>
              <a:sp3d contourW="19050" prstMaterial="flat">
                <a:contourClr>
                  <a:schemeClr val="accent6">
                    <a:lumMod val="60000"/>
                    <a:lumMod val="75000"/>
                  </a:schemeClr>
                </a:contourClr>
              </a:sp3d>
            </c:spPr>
            <c:extLst>
              <c:ext xmlns:c16="http://schemas.microsoft.com/office/drawing/2014/chart" uri="{C3380CC4-5D6E-409C-BE32-E72D297353CC}">
                <c16:uniqueId val="{00000017-A084-4192-AF47-A82E2C4F4933}"/>
              </c:ext>
            </c:extLst>
          </c:dPt>
          <c:dPt>
            <c:idx val="12"/>
            <c:bubble3D val="0"/>
            <c:spPr>
              <a:solidFill>
                <a:schemeClr val="accent1">
                  <a:lumMod val="80000"/>
                  <a:lumOff val="20000"/>
                  <a:alpha val="90000"/>
                </a:schemeClr>
              </a:solidFill>
              <a:ln w="19050">
                <a:solidFill>
                  <a:schemeClr val="accent1">
                    <a:lumMod val="80000"/>
                    <a:lumOff val="20000"/>
                    <a:lumMod val="75000"/>
                  </a:schemeClr>
                </a:solidFill>
              </a:ln>
              <a:effectLst>
                <a:innerShdw blurRad="114300">
                  <a:schemeClr val="accent1">
                    <a:lumMod val="80000"/>
                    <a:lumOff val="20000"/>
                    <a:lumMod val="75000"/>
                  </a:schemeClr>
                </a:innerShdw>
              </a:effectLst>
              <a:scene3d>
                <a:camera prst="orthographicFront"/>
                <a:lightRig rig="threePt" dir="t"/>
              </a:scene3d>
              <a:sp3d contourW="19050" prstMaterial="flat">
                <a:contourClr>
                  <a:schemeClr val="accent1">
                    <a:lumMod val="80000"/>
                    <a:lumOff val="20000"/>
                    <a:lumMod val="75000"/>
                  </a:schemeClr>
                </a:contourClr>
              </a:sp3d>
            </c:spPr>
            <c:extLst>
              <c:ext xmlns:c16="http://schemas.microsoft.com/office/drawing/2014/chart" uri="{C3380CC4-5D6E-409C-BE32-E72D297353CC}">
                <c16:uniqueId val="{00000019-A084-4192-AF47-A82E2C4F4933}"/>
              </c:ext>
            </c:extLst>
          </c:dPt>
          <c:dLbls>
            <c:dLbl>
              <c:idx val="0"/>
              <c:layout>
                <c:manualLayout>
                  <c:x val="0.10509557166281368"/>
                  <c:y val="9.6030117447440277E-2"/>
                </c:manualLayout>
              </c:layout>
              <c:spPr>
                <a:solidFill>
                  <a:schemeClr val="lt1">
                    <a:alpha val="90000"/>
                  </a:schemeClr>
                </a:solidFill>
                <a:ln w="12700" cap="flat" cmpd="sng" algn="ctr">
                  <a:solidFill>
                    <a:schemeClr val="accent1"/>
                  </a:solidFill>
                  <a:round/>
                </a:ln>
                <a:effectLst>
                  <a:outerShdw blurRad="50800" dist="38100" dir="2700000" algn="tl" rotWithShape="0">
                    <a:schemeClr val="accent1">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1"/>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084-4192-AF47-A82E2C4F4933}"/>
                </c:ext>
              </c:extLst>
            </c:dLbl>
            <c:dLbl>
              <c:idx val="1"/>
              <c:layout>
                <c:manualLayout>
                  <c:x val="0.12385508102877869"/>
                  <c:y val="-0.20496513693364096"/>
                </c:manualLayout>
              </c:layout>
              <c:spPr>
                <a:solidFill>
                  <a:schemeClr val="lt1">
                    <a:alpha val="90000"/>
                  </a:schemeClr>
                </a:solidFill>
                <a:ln w="12700" cap="flat" cmpd="sng" algn="ctr">
                  <a:solidFill>
                    <a:schemeClr val="accent2"/>
                  </a:solidFill>
                  <a:round/>
                </a:ln>
                <a:effectLst>
                  <a:outerShdw blurRad="50800" dist="38100" dir="2700000" algn="tl" rotWithShape="0">
                    <a:schemeClr val="accent2">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2"/>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084-4192-AF47-A82E2C4F4933}"/>
                </c:ext>
              </c:extLst>
            </c:dLbl>
            <c:dLbl>
              <c:idx val="2"/>
              <c:spPr>
                <a:solidFill>
                  <a:schemeClr val="lt1">
                    <a:alpha val="90000"/>
                  </a:schemeClr>
                </a:solidFill>
                <a:ln w="12700" cap="flat" cmpd="sng" algn="ctr">
                  <a:solidFill>
                    <a:schemeClr val="accent3"/>
                  </a:solidFill>
                  <a:round/>
                </a:ln>
                <a:effectLst>
                  <a:outerShdw blurRad="50800" dist="38100" dir="2700000" algn="tl" rotWithShape="0">
                    <a:schemeClr val="accent3">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3"/>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05-A084-4192-AF47-A82E2C4F4933}"/>
                </c:ext>
              </c:extLst>
            </c:dLbl>
            <c:dLbl>
              <c:idx val="3"/>
              <c:spPr>
                <a:solidFill>
                  <a:schemeClr val="lt1">
                    <a:alpha val="90000"/>
                  </a:schemeClr>
                </a:solidFill>
                <a:ln w="12700" cap="flat" cmpd="sng" algn="ctr">
                  <a:solidFill>
                    <a:schemeClr val="accent4"/>
                  </a:solidFill>
                  <a:round/>
                </a:ln>
                <a:effectLst>
                  <a:outerShdw blurRad="50800" dist="38100" dir="2700000" algn="tl" rotWithShape="0">
                    <a:schemeClr val="accent4">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4"/>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07-A084-4192-AF47-A82E2C4F4933}"/>
                </c:ext>
              </c:extLst>
            </c:dLbl>
            <c:dLbl>
              <c:idx val="4"/>
              <c:spPr>
                <a:solidFill>
                  <a:schemeClr val="lt1">
                    <a:alpha val="90000"/>
                  </a:schemeClr>
                </a:solidFill>
                <a:ln w="12700" cap="flat" cmpd="sng" algn="ctr">
                  <a:solidFill>
                    <a:schemeClr val="accent5"/>
                  </a:solidFill>
                  <a:round/>
                </a:ln>
                <a:effectLst>
                  <a:outerShdw blurRad="50800" dist="38100" dir="2700000" algn="tl" rotWithShape="0">
                    <a:schemeClr val="accent5">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5"/>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09-A084-4192-AF47-A82E2C4F4933}"/>
                </c:ext>
              </c:extLst>
            </c:dLbl>
            <c:dLbl>
              <c:idx val="5"/>
              <c:spPr>
                <a:solidFill>
                  <a:schemeClr val="lt1">
                    <a:alpha val="90000"/>
                  </a:schemeClr>
                </a:solidFill>
                <a:ln w="12700" cap="flat" cmpd="sng" algn="ctr">
                  <a:solidFill>
                    <a:schemeClr val="accent6"/>
                  </a:solidFill>
                  <a:round/>
                </a:ln>
                <a:effectLst>
                  <a:outerShdw blurRad="50800" dist="38100" dir="2700000" algn="tl" rotWithShape="0">
                    <a:schemeClr val="accent6">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6"/>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0B-A084-4192-AF47-A82E2C4F4933}"/>
                </c:ext>
              </c:extLst>
            </c:dLbl>
            <c:dLbl>
              <c:idx val="6"/>
              <c:layout>
                <c:manualLayout>
                  <c:x val="-4.8552624867197566E-2"/>
                  <c:y val="7.9275807541962905E-3"/>
                </c:manualLayout>
              </c:layout>
              <c:spPr>
                <a:solidFill>
                  <a:schemeClr val="lt1">
                    <a:alpha val="90000"/>
                  </a:schemeClr>
                </a:solidFill>
                <a:ln w="12700" cap="flat" cmpd="sng" algn="ctr">
                  <a:solidFill>
                    <a:schemeClr val="accent1">
                      <a:lumMod val="60000"/>
                    </a:schemeClr>
                  </a:solidFill>
                  <a:round/>
                </a:ln>
                <a:effectLst>
                  <a:outerShdw blurRad="50800" dist="38100" dir="2700000" algn="tl" rotWithShape="0">
                    <a:schemeClr val="accent1">
                      <a:lumMod val="60000"/>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1">
                          <a:lumMod val="60000"/>
                        </a:schemeClr>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D-A084-4192-AF47-A82E2C4F4933}"/>
                </c:ext>
              </c:extLst>
            </c:dLbl>
            <c:dLbl>
              <c:idx val="7"/>
              <c:layout>
                <c:manualLayout>
                  <c:x val="0.29867087093060701"/>
                  <c:y val="-5.9074823636639427E-2"/>
                </c:manualLayout>
              </c:layout>
              <c:spPr>
                <a:solidFill>
                  <a:schemeClr val="lt1">
                    <a:alpha val="90000"/>
                  </a:schemeClr>
                </a:solidFill>
                <a:ln w="12700" cap="flat" cmpd="sng" algn="ctr">
                  <a:solidFill>
                    <a:schemeClr val="accent2">
                      <a:lumMod val="60000"/>
                    </a:schemeClr>
                  </a:solidFill>
                  <a:round/>
                </a:ln>
                <a:effectLst>
                  <a:outerShdw blurRad="50800" dist="38100" dir="2700000" algn="tl" rotWithShape="0">
                    <a:schemeClr val="accent2">
                      <a:lumMod val="60000"/>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2">
                          <a:lumMod val="60000"/>
                        </a:schemeClr>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F-A084-4192-AF47-A82E2C4F4933}"/>
                </c:ext>
              </c:extLst>
            </c:dLbl>
            <c:dLbl>
              <c:idx val="8"/>
              <c:spPr>
                <a:solidFill>
                  <a:schemeClr val="lt1">
                    <a:alpha val="90000"/>
                  </a:schemeClr>
                </a:solidFill>
                <a:ln w="12700" cap="flat" cmpd="sng" algn="ctr">
                  <a:solidFill>
                    <a:schemeClr val="accent3">
                      <a:lumMod val="60000"/>
                    </a:schemeClr>
                  </a:solidFill>
                  <a:round/>
                </a:ln>
                <a:effectLst>
                  <a:outerShdw blurRad="50800" dist="38100" dir="2700000" algn="tl" rotWithShape="0">
                    <a:schemeClr val="accent3">
                      <a:lumMod val="60000"/>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3">
                          <a:lumMod val="60000"/>
                        </a:schemeClr>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11-A084-4192-AF47-A82E2C4F4933}"/>
                </c:ext>
              </c:extLst>
            </c:dLbl>
            <c:dLbl>
              <c:idx val="9"/>
              <c:spPr>
                <a:solidFill>
                  <a:schemeClr val="lt1">
                    <a:alpha val="90000"/>
                  </a:schemeClr>
                </a:solidFill>
                <a:ln w="12700" cap="flat" cmpd="sng" algn="ctr">
                  <a:solidFill>
                    <a:schemeClr val="accent4">
                      <a:lumMod val="60000"/>
                    </a:schemeClr>
                  </a:solidFill>
                  <a:round/>
                </a:ln>
                <a:effectLst>
                  <a:outerShdw blurRad="50800" dist="38100" dir="2700000" algn="tl" rotWithShape="0">
                    <a:schemeClr val="accent4">
                      <a:lumMod val="60000"/>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4">
                          <a:lumMod val="60000"/>
                        </a:schemeClr>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13-A084-4192-AF47-A82E2C4F4933}"/>
                </c:ext>
              </c:extLst>
            </c:dLbl>
            <c:dLbl>
              <c:idx val="10"/>
              <c:spPr>
                <a:solidFill>
                  <a:schemeClr val="lt1">
                    <a:alpha val="90000"/>
                  </a:schemeClr>
                </a:solidFill>
                <a:ln w="12700" cap="flat" cmpd="sng" algn="ctr">
                  <a:solidFill>
                    <a:schemeClr val="accent5">
                      <a:lumMod val="60000"/>
                    </a:schemeClr>
                  </a:solidFill>
                  <a:round/>
                </a:ln>
                <a:effectLst>
                  <a:outerShdw blurRad="50800" dist="38100" dir="2700000" algn="tl" rotWithShape="0">
                    <a:schemeClr val="accent5">
                      <a:lumMod val="60000"/>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5">
                          <a:lumMod val="60000"/>
                        </a:schemeClr>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15-A084-4192-AF47-A82E2C4F4933}"/>
                </c:ext>
              </c:extLst>
            </c:dLbl>
            <c:dLbl>
              <c:idx val="11"/>
              <c:spPr>
                <a:solidFill>
                  <a:schemeClr val="lt1">
                    <a:alpha val="90000"/>
                  </a:schemeClr>
                </a:solidFill>
                <a:ln w="12700" cap="flat" cmpd="sng" algn="ctr">
                  <a:solidFill>
                    <a:schemeClr val="accent6">
                      <a:lumMod val="60000"/>
                    </a:schemeClr>
                  </a:solidFill>
                  <a:round/>
                </a:ln>
                <a:effectLst>
                  <a:outerShdw blurRad="50800" dist="38100" dir="2700000" algn="tl" rotWithShape="0">
                    <a:schemeClr val="accent6">
                      <a:lumMod val="60000"/>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6">
                          <a:lumMod val="60000"/>
                        </a:schemeClr>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17-A084-4192-AF47-A82E2C4F4933}"/>
                </c:ext>
              </c:extLst>
            </c:dLbl>
            <c:dLbl>
              <c:idx val="12"/>
              <c:spPr>
                <a:solidFill>
                  <a:sysClr val="window" lastClr="FFFFFF">
                    <a:alpha val="90000"/>
                  </a:sysClr>
                </a:solidFill>
                <a:ln w="12700" cap="flat" cmpd="sng" algn="ctr">
                  <a:solidFill>
                    <a:srgbClr val="4F81BD"/>
                  </a:solidFill>
                  <a:round/>
                </a:ln>
                <a:effectLst>
                  <a:outerShdw blurRad="50800" dist="38100" dir="2700000" algn="tl" rotWithShape="0">
                    <a:srgbClr val="4F81BD">
                      <a:lumMod val="75000"/>
                      <a:alpha val="40000"/>
                    </a:srgb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1">
                          <a:lumMod val="80000"/>
                          <a:lumOff val="20000"/>
                        </a:schemeClr>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19-A084-4192-AF47-A82E2C4F4933}"/>
                </c:ext>
              </c:extLst>
            </c:dLbl>
            <c:spPr>
              <a:solidFill>
                <a:sysClr val="window" lastClr="FFFFFF">
                  <a:alpha val="90000"/>
                </a:sysClr>
              </a:solidFill>
              <a:ln w="12700" cap="flat" cmpd="sng" algn="ctr">
                <a:solidFill>
                  <a:srgbClr val="4F81BD"/>
                </a:solidFill>
                <a:round/>
              </a:ln>
              <a:effectLst>
                <a:outerShdw blurRad="50800" dist="38100" dir="2700000" algn="tl" rotWithShape="0">
                  <a:srgbClr val="4F81BD">
                    <a:lumMod val="75000"/>
                    <a:alpha val="40000"/>
                  </a:srgbClr>
                </a:outerShdw>
              </a:effectLst>
            </c:spPr>
            <c:dLblPos val="inEnd"/>
            <c:showLegendKey val="0"/>
            <c:showVal val="1"/>
            <c:showCatName val="1"/>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'perfil-Motivo Viaje-2015'!$D$5:$D$17</c:f>
              <c:strCache>
                <c:ptCount val="8"/>
                <c:pt idx="0">
                  <c:v>Visita a familiares o amigos</c:v>
                </c:pt>
                <c:pt idx="1">
                  <c:v>Ocio, recreo, vacaciones</c:v>
                </c:pt>
                <c:pt idx="2">
                  <c:v>Segmento MICE</c:v>
                </c:pt>
                <c:pt idx="6">
                  <c:v>Religión, peregrinaciones</c:v>
                </c:pt>
                <c:pt idx="7">
                  <c:v>Otros</c:v>
                </c:pt>
              </c:strCache>
            </c:strRef>
          </c:cat>
          <c:val>
            <c:numRef>
              <c:f>'perfil-Motivo Viaje-2015'!$P$5:$P$17</c:f>
              <c:numCache>
                <c:formatCode>0%</c:formatCode>
                <c:ptCount val="13"/>
                <c:pt idx="0">
                  <c:v>0.30896932164838087</c:v>
                </c:pt>
                <c:pt idx="1">
                  <c:v>0.49165033542154496</c:v>
                </c:pt>
                <c:pt idx="2">
                  <c:v>0.14763681509898588</c:v>
                </c:pt>
                <c:pt idx="6">
                  <c:v>7.259491324665703E-3</c:v>
                </c:pt>
                <c:pt idx="7">
                  <c:v>4.4484036506428487E-2</c:v>
                </c:pt>
              </c:numCache>
            </c:numRef>
          </c:val>
          <c:extLst>
            <c:ext xmlns:c16="http://schemas.microsoft.com/office/drawing/2014/chart" uri="{C3380CC4-5D6E-409C-BE32-E72D297353CC}">
              <c16:uniqueId val="{0000001A-A084-4192-AF47-A82E2C4F4933}"/>
            </c:ext>
          </c:extLst>
        </c:ser>
        <c:dLbls>
          <c:dLblPos val="inEnd"/>
          <c:showLegendKey val="0"/>
          <c:showVal val="0"/>
          <c:showCatName val="1"/>
          <c:showSerName val="0"/>
          <c:showPercent val="0"/>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55" l="0.70000000000000062" r="0.70000000000000062" t="0.75000000000000555" header="0.30000000000000032" footer="0.30000000000000032"/>
    <c:pageSetup/>
  </c:printSettings>
  <c:userShapes r:id="rId3"/>
</c:chartSpace>
</file>

<file path=xl/charts/chart7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cap="all" baseline="0">
                <a:solidFill>
                  <a:schemeClr val="tx1">
                    <a:lumMod val="65000"/>
                    <a:lumOff val="35000"/>
                  </a:schemeClr>
                </a:solidFill>
                <a:latin typeface="+mn-lt"/>
                <a:ea typeface="+mn-ea"/>
                <a:cs typeface="+mn-cs"/>
              </a:defRPr>
            </a:pPr>
            <a:r>
              <a:rPr lang="es-EC" sz="1800" b="1" i="0" baseline="0">
                <a:effectLst/>
              </a:rPr>
              <a:t>MOTIVO DE VIAJE DEL TURISTA</a:t>
            </a:r>
          </a:p>
        </c:rich>
      </c:tx>
      <c:overlay val="0"/>
      <c:spPr>
        <a:noFill/>
        <a:ln>
          <a:noFill/>
        </a:ln>
        <a:effectLst/>
      </c:spPr>
      <c:txPr>
        <a:bodyPr rot="0" spcFirstLastPara="1" vertOverflow="ellipsis" vert="horz" wrap="square" anchor="ctr" anchorCtr="1"/>
        <a:lstStyle/>
        <a:p>
          <a:pPr>
            <a:defRPr sz="1800" b="1" i="0" u="none" strike="noStrike" kern="1200" cap="all" baseline="0">
              <a:solidFill>
                <a:schemeClr val="tx1">
                  <a:lumMod val="65000"/>
                  <a:lumOff val="35000"/>
                </a:schemeClr>
              </a:solidFill>
              <a:latin typeface="+mn-lt"/>
              <a:ea typeface="+mn-ea"/>
              <a:cs typeface="+mn-cs"/>
            </a:defRPr>
          </a:pPr>
          <a:endParaRPr lang="es-EC"/>
        </a:p>
      </c:txPr>
    </c:title>
    <c:autoTitleDeleted val="0"/>
    <c:view3D>
      <c:rotX val="5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4.9633389734912575E-2"/>
          <c:y val="0.3227794700844876"/>
          <c:w val="0.77890580936266218"/>
          <c:h val="0.67003365455230501"/>
        </c:manualLayout>
      </c:layout>
      <c:pie3DChart>
        <c:varyColors val="1"/>
        <c:ser>
          <c:idx val="0"/>
          <c:order val="0"/>
          <c:dPt>
            <c:idx val="0"/>
            <c:bubble3D val="0"/>
            <c:spPr>
              <a:solidFill>
                <a:schemeClr val="accent1">
                  <a:alpha val="90000"/>
                </a:schemeClr>
              </a:solidFill>
              <a:ln w="19050">
                <a:solidFill>
                  <a:schemeClr val="accent1">
                    <a:lumMod val="75000"/>
                  </a:schemeClr>
                </a:solidFill>
              </a:ln>
              <a:effectLst>
                <a:innerShdw blurRad="114300">
                  <a:schemeClr val="accent1">
                    <a:lumMod val="75000"/>
                  </a:schemeClr>
                </a:innerShdw>
              </a:effectLst>
              <a:scene3d>
                <a:camera prst="orthographicFront"/>
                <a:lightRig rig="threePt" dir="t"/>
              </a:scene3d>
              <a:sp3d contourW="19050" prstMaterial="flat">
                <a:contourClr>
                  <a:schemeClr val="accent1">
                    <a:lumMod val="75000"/>
                  </a:schemeClr>
                </a:contourClr>
              </a:sp3d>
            </c:spPr>
            <c:extLst>
              <c:ext xmlns:c16="http://schemas.microsoft.com/office/drawing/2014/chart" uri="{C3380CC4-5D6E-409C-BE32-E72D297353CC}">
                <c16:uniqueId val="{00000001-2011-4D6D-988B-BD83DE92A51C}"/>
              </c:ext>
            </c:extLst>
          </c:dPt>
          <c:dPt>
            <c:idx val="1"/>
            <c:bubble3D val="0"/>
            <c:spPr>
              <a:solidFill>
                <a:schemeClr val="accent2">
                  <a:alpha val="90000"/>
                </a:schemeClr>
              </a:solidFill>
              <a:ln w="19050">
                <a:solidFill>
                  <a:schemeClr val="accent2">
                    <a:lumMod val="75000"/>
                  </a:schemeClr>
                </a:solidFill>
              </a:ln>
              <a:effectLst>
                <a:innerShdw blurRad="114300">
                  <a:schemeClr val="accent2">
                    <a:lumMod val="75000"/>
                  </a:schemeClr>
                </a:innerShdw>
              </a:effectLst>
              <a:scene3d>
                <a:camera prst="orthographicFront"/>
                <a:lightRig rig="threePt" dir="t"/>
              </a:scene3d>
              <a:sp3d contourW="19050" prstMaterial="flat">
                <a:contourClr>
                  <a:schemeClr val="accent2">
                    <a:lumMod val="75000"/>
                  </a:schemeClr>
                </a:contourClr>
              </a:sp3d>
            </c:spPr>
            <c:extLst>
              <c:ext xmlns:c16="http://schemas.microsoft.com/office/drawing/2014/chart" uri="{C3380CC4-5D6E-409C-BE32-E72D297353CC}">
                <c16:uniqueId val="{00000003-2011-4D6D-988B-BD83DE92A51C}"/>
              </c:ext>
            </c:extLst>
          </c:dPt>
          <c:dPt>
            <c:idx val="2"/>
            <c:bubble3D val="0"/>
            <c:spPr>
              <a:solidFill>
                <a:schemeClr val="accent3">
                  <a:alpha val="90000"/>
                </a:schemeClr>
              </a:solidFill>
              <a:ln w="19050">
                <a:solidFill>
                  <a:schemeClr val="accent3">
                    <a:lumMod val="75000"/>
                  </a:schemeClr>
                </a:solidFill>
              </a:ln>
              <a:effectLst>
                <a:innerShdw blurRad="114300">
                  <a:schemeClr val="accent3">
                    <a:lumMod val="75000"/>
                  </a:schemeClr>
                </a:innerShdw>
              </a:effectLst>
              <a:scene3d>
                <a:camera prst="orthographicFront"/>
                <a:lightRig rig="threePt" dir="t"/>
              </a:scene3d>
              <a:sp3d contourW="19050" prstMaterial="flat">
                <a:contourClr>
                  <a:schemeClr val="accent3">
                    <a:lumMod val="75000"/>
                  </a:schemeClr>
                </a:contourClr>
              </a:sp3d>
            </c:spPr>
            <c:extLst>
              <c:ext xmlns:c16="http://schemas.microsoft.com/office/drawing/2014/chart" uri="{C3380CC4-5D6E-409C-BE32-E72D297353CC}">
                <c16:uniqueId val="{00000005-2011-4D6D-988B-BD83DE92A51C}"/>
              </c:ext>
            </c:extLst>
          </c:dPt>
          <c:dPt>
            <c:idx val="3"/>
            <c:bubble3D val="0"/>
            <c:spPr>
              <a:solidFill>
                <a:schemeClr val="accent4">
                  <a:alpha val="90000"/>
                </a:schemeClr>
              </a:solidFill>
              <a:ln w="19050">
                <a:solidFill>
                  <a:schemeClr val="accent4">
                    <a:lumMod val="75000"/>
                  </a:schemeClr>
                </a:solidFill>
              </a:ln>
              <a:effectLst>
                <a:innerShdw blurRad="114300">
                  <a:schemeClr val="accent4">
                    <a:lumMod val="75000"/>
                  </a:schemeClr>
                </a:innerShdw>
              </a:effectLst>
              <a:scene3d>
                <a:camera prst="orthographicFront"/>
                <a:lightRig rig="threePt" dir="t"/>
              </a:scene3d>
              <a:sp3d contourW="19050" prstMaterial="flat">
                <a:contourClr>
                  <a:schemeClr val="accent4">
                    <a:lumMod val="75000"/>
                  </a:schemeClr>
                </a:contourClr>
              </a:sp3d>
            </c:spPr>
            <c:extLst>
              <c:ext xmlns:c16="http://schemas.microsoft.com/office/drawing/2014/chart" uri="{C3380CC4-5D6E-409C-BE32-E72D297353CC}">
                <c16:uniqueId val="{00000007-2011-4D6D-988B-BD83DE92A51C}"/>
              </c:ext>
            </c:extLst>
          </c:dPt>
          <c:dPt>
            <c:idx val="4"/>
            <c:bubble3D val="0"/>
            <c:spPr>
              <a:solidFill>
                <a:schemeClr val="accent5">
                  <a:alpha val="90000"/>
                </a:schemeClr>
              </a:solidFill>
              <a:ln w="19050">
                <a:solidFill>
                  <a:schemeClr val="accent5">
                    <a:lumMod val="75000"/>
                  </a:schemeClr>
                </a:solidFill>
              </a:ln>
              <a:effectLst>
                <a:innerShdw blurRad="114300">
                  <a:schemeClr val="accent5">
                    <a:lumMod val="75000"/>
                  </a:schemeClr>
                </a:innerShdw>
              </a:effectLst>
              <a:scene3d>
                <a:camera prst="orthographicFront"/>
                <a:lightRig rig="threePt" dir="t"/>
              </a:scene3d>
              <a:sp3d contourW="19050" prstMaterial="flat">
                <a:contourClr>
                  <a:schemeClr val="accent5">
                    <a:lumMod val="75000"/>
                  </a:schemeClr>
                </a:contourClr>
              </a:sp3d>
            </c:spPr>
            <c:extLst>
              <c:ext xmlns:c16="http://schemas.microsoft.com/office/drawing/2014/chart" uri="{C3380CC4-5D6E-409C-BE32-E72D297353CC}">
                <c16:uniqueId val="{00000009-2011-4D6D-988B-BD83DE92A51C}"/>
              </c:ext>
            </c:extLst>
          </c:dPt>
          <c:dPt>
            <c:idx val="5"/>
            <c:bubble3D val="0"/>
            <c:spPr>
              <a:solidFill>
                <a:schemeClr val="accent6">
                  <a:alpha val="90000"/>
                </a:schemeClr>
              </a:solidFill>
              <a:ln w="19050">
                <a:solidFill>
                  <a:schemeClr val="accent6">
                    <a:lumMod val="75000"/>
                  </a:schemeClr>
                </a:solidFill>
              </a:ln>
              <a:effectLst>
                <a:innerShdw blurRad="114300">
                  <a:schemeClr val="accent6">
                    <a:lumMod val="75000"/>
                  </a:schemeClr>
                </a:innerShdw>
              </a:effectLst>
              <a:scene3d>
                <a:camera prst="orthographicFront"/>
                <a:lightRig rig="threePt" dir="t"/>
              </a:scene3d>
              <a:sp3d contourW="19050" prstMaterial="flat">
                <a:contourClr>
                  <a:schemeClr val="accent6">
                    <a:lumMod val="75000"/>
                  </a:schemeClr>
                </a:contourClr>
              </a:sp3d>
            </c:spPr>
            <c:extLst>
              <c:ext xmlns:c16="http://schemas.microsoft.com/office/drawing/2014/chart" uri="{C3380CC4-5D6E-409C-BE32-E72D297353CC}">
                <c16:uniqueId val="{0000000B-2011-4D6D-988B-BD83DE92A51C}"/>
              </c:ext>
            </c:extLst>
          </c:dPt>
          <c:dPt>
            <c:idx val="6"/>
            <c:bubble3D val="0"/>
            <c:spPr>
              <a:solidFill>
                <a:schemeClr val="accent1">
                  <a:lumMod val="60000"/>
                  <a:alpha val="90000"/>
                </a:schemeClr>
              </a:solidFill>
              <a:ln w="19050">
                <a:solidFill>
                  <a:schemeClr val="accent1">
                    <a:lumMod val="60000"/>
                    <a:lumMod val="75000"/>
                  </a:schemeClr>
                </a:solidFill>
              </a:ln>
              <a:effectLst>
                <a:innerShdw blurRad="114300">
                  <a:schemeClr val="accent1">
                    <a:lumMod val="60000"/>
                    <a:lumMod val="75000"/>
                  </a:schemeClr>
                </a:innerShdw>
              </a:effectLst>
              <a:scene3d>
                <a:camera prst="orthographicFront"/>
                <a:lightRig rig="threePt" dir="t"/>
              </a:scene3d>
              <a:sp3d contourW="19050" prstMaterial="flat">
                <a:contourClr>
                  <a:schemeClr val="accent1">
                    <a:lumMod val="60000"/>
                    <a:lumMod val="75000"/>
                  </a:schemeClr>
                </a:contourClr>
              </a:sp3d>
            </c:spPr>
            <c:extLst>
              <c:ext xmlns:c16="http://schemas.microsoft.com/office/drawing/2014/chart" uri="{C3380CC4-5D6E-409C-BE32-E72D297353CC}">
                <c16:uniqueId val="{0000000D-2011-4D6D-988B-BD83DE92A51C}"/>
              </c:ext>
            </c:extLst>
          </c:dPt>
          <c:dLbls>
            <c:dLbl>
              <c:idx val="0"/>
              <c:spPr>
                <a:solidFill>
                  <a:schemeClr val="lt1">
                    <a:alpha val="90000"/>
                  </a:schemeClr>
                </a:solidFill>
                <a:ln w="12700" cap="flat" cmpd="sng" algn="ctr">
                  <a:solidFill>
                    <a:schemeClr val="accent1"/>
                  </a:solidFill>
                  <a:round/>
                </a:ln>
                <a:effectLst>
                  <a:outerShdw blurRad="50800" dist="38100" dir="2700000" algn="tl" rotWithShape="0">
                    <a:schemeClr val="accent1">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1"/>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01-2011-4D6D-988B-BD83DE92A51C}"/>
                </c:ext>
              </c:extLst>
            </c:dLbl>
            <c:dLbl>
              <c:idx val="1"/>
              <c:spPr>
                <a:solidFill>
                  <a:schemeClr val="lt1">
                    <a:alpha val="90000"/>
                  </a:schemeClr>
                </a:solidFill>
                <a:ln w="12700" cap="flat" cmpd="sng" algn="ctr">
                  <a:solidFill>
                    <a:schemeClr val="accent2"/>
                  </a:solidFill>
                  <a:round/>
                </a:ln>
                <a:effectLst>
                  <a:outerShdw blurRad="50800" dist="38100" dir="2700000" algn="tl" rotWithShape="0">
                    <a:schemeClr val="accent2">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2"/>
                      </a:solidFill>
                      <a:effectLst/>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03-2011-4D6D-988B-BD83DE92A51C}"/>
                </c:ext>
              </c:extLst>
            </c:dLbl>
            <c:dLbl>
              <c:idx val="2"/>
              <c:layout>
                <c:manualLayout>
                  <c:x val="-0.10519276461000751"/>
                  <c:y val="0.13478963923075293"/>
                </c:manualLayout>
              </c:layout>
              <c:spPr>
                <a:solidFill>
                  <a:schemeClr val="lt1"/>
                </a:solidFill>
                <a:ln w="25400" cap="flat" cmpd="sng" algn="ctr">
                  <a:solidFill>
                    <a:schemeClr val="accent4"/>
                  </a:solidFill>
                  <a:prstDash val="solid"/>
                  <a:round/>
                </a:ln>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dk1"/>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011-4D6D-988B-BD83DE92A51C}"/>
                </c:ext>
              </c:extLst>
            </c:dLbl>
            <c:dLbl>
              <c:idx val="3"/>
              <c:layout>
                <c:manualLayout>
                  <c:x val="-0.16543746752468125"/>
                  <c:y val="9.3707964788583731E-2"/>
                </c:manualLayout>
              </c:layout>
              <c:spPr>
                <a:solidFill>
                  <a:schemeClr val="lt1"/>
                </a:solidFill>
                <a:ln w="25400" cap="flat" cmpd="sng" algn="ctr">
                  <a:solidFill>
                    <a:schemeClr val="accent4"/>
                  </a:solidFill>
                  <a:prstDash val="solid"/>
                  <a:round/>
                </a:ln>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dk1"/>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011-4D6D-988B-BD83DE92A51C}"/>
                </c:ext>
              </c:extLst>
            </c:dLbl>
            <c:dLbl>
              <c:idx val="4"/>
              <c:layout>
                <c:manualLayout>
                  <c:x val="-0.13763672941897492"/>
                  <c:y val="-5.5403235453477181E-2"/>
                </c:manualLayout>
              </c:layout>
              <c:spPr>
                <a:solidFill>
                  <a:schemeClr val="lt1"/>
                </a:solidFill>
                <a:ln w="25400" cap="flat" cmpd="sng" algn="ctr">
                  <a:solidFill>
                    <a:schemeClr val="accent4"/>
                  </a:solidFill>
                  <a:prstDash val="solid"/>
                  <a:round/>
                </a:ln>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dk1"/>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011-4D6D-988B-BD83DE92A51C}"/>
                </c:ext>
              </c:extLst>
            </c:dLbl>
            <c:dLbl>
              <c:idx val="5"/>
              <c:layout>
                <c:manualLayout>
                  <c:x val="2.9104280746632558E-2"/>
                  <c:y val="-7.532090660249241E-2"/>
                </c:manualLayout>
              </c:layout>
              <c:spPr>
                <a:solidFill>
                  <a:schemeClr val="lt1">
                    <a:alpha val="90000"/>
                  </a:schemeClr>
                </a:solidFill>
                <a:ln w="12700" cap="flat" cmpd="sng" algn="ctr">
                  <a:solidFill>
                    <a:schemeClr val="accent6"/>
                  </a:solidFill>
                  <a:round/>
                </a:ln>
                <a:effectLst>
                  <a:outerShdw blurRad="50800" dist="38100" dir="2700000" algn="tl" rotWithShape="0">
                    <a:schemeClr val="accent6">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6"/>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2011-4D6D-988B-BD83DE92A51C}"/>
                </c:ext>
              </c:extLst>
            </c:dLbl>
            <c:dLbl>
              <c:idx val="6"/>
              <c:layout>
                <c:manualLayout>
                  <c:x val="0.22060602830737527"/>
                  <c:y val="-2.9552257710413577E-2"/>
                </c:manualLayout>
              </c:layout>
              <c:spPr>
                <a:solidFill>
                  <a:schemeClr val="lt1">
                    <a:alpha val="90000"/>
                  </a:schemeClr>
                </a:solidFill>
                <a:ln w="12700" cap="flat" cmpd="sng" algn="ctr">
                  <a:solidFill>
                    <a:schemeClr val="accent1">
                      <a:lumMod val="60000"/>
                    </a:schemeClr>
                  </a:solidFill>
                  <a:round/>
                </a:ln>
                <a:effectLst>
                  <a:outerShdw blurRad="50800" dist="38100" dir="2700000" algn="tl" rotWithShape="0">
                    <a:schemeClr val="accent1">
                      <a:lumMod val="60000"/>
                      <a:lumMod val="75000"/>
                      <a:alpha val="40000"/>
                    </a:schemeClr>
                  </a:outerShdw>
                </a:effectLst>
              </c:spPr>
              <c:txPr>
                <a:bodyPr rot="0" spcFirstLastPara="1" vertOverflow="clip" horzOverflow="clip" vert="horz" wrap="square" lIns="38100" tIns="19050" rIns="38100" bIns="19050" anchor="ctr" anchorCtr="1">
                  <a:spAutoFit/>
                </a:bodyPr>
                <a:lstStyle/>
                <a:p>
                  <a:pPr>
                    <a:defRPr sz="1000" b="0" i="0" u="none" strike="noStrike" kern="1200" baseline="0">
                      <a:solidFill>
                        <a:schemeClr val="accent1">
                          <a:lumMod val="60000"/>
                        </a:schemeClr>
                      </a:solidFill>
                      <a:effectLst/>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D-2011-4D6D-988B-BD83DE92A51C}"/>
                </c:ext>
              </c:extLst>
            </c:dLbl>
            <c:spPr>
              <a:solidFill>
                <a:sysClr val="window" lastClr="FFFFFF">
                  <a:alpha val="90000"/>
                </a:sysClr>
              </a:solidFill>
              <a:ln w="12700" cap="flat" cmpd="sng" algn="ctr">
                <a:solidFill>
                  <a:srgbClr val="4F81BD"/>
                </a:solidFill>
                <a:round/>
              </a:ln>
              <a:effectLst>
                <a:outerShdw blurRad="50800" dist="38100" dir="2700000" algn="tl" rotWithShape="0">
                  <a:srgbClr val="4F81BD">
                    <a:lumMod val="75000"/>
                    <a:alpha val="40000"/>
                  </a:srgbClr>
                </a:outerShdw>
              </a:effectLst>
            </c:spPr>
            <c:dLblPos val="inEnd"/>
            <c:showLegendKey val="0"/>
            <c:showVal val="1"/>
            <c:showCatName val="1"/>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'perfil-Motivo Viaje-2015'!$C$5:$C$11</c:f>
              <c:strCache>
                <c:ptCount val="7"/>
                <c:pt idx="0">
                  <c:v>Visita a familiares o amigos</c:v>
                </c:pt>
                <c:pt idx="1">
                  <c:v>Ocio, recreo, vacaciones</c:v>
                </c:pt>
                <c:pt idx="2">
                  <c:v>Negocios</c:v>
                </c:pt>
                <c:pt idx="3">
                  <c:v>Reuniones, congresos, Conferencias</c:v>
                </c:pt>
                <c:pt idx="4">
                  <c:v>Prestación de servcios profesionales</c:v>
                </c:pt>
                <c:pt idx="5">
                  <c:v>Estudios</c:v>
                </c:pt>
                <c:pt idx="6">
                  <c:v>Religión, peregrinaciones</c:v>
                </c:pt>
              </c:strCache>
            </c:strRef>
          </c:cat>
          <c:val>
            <c:numRef>
              <c:f>'perfil-Motivo Viaje-2015'!$O$5:$O$11</c:f>
              <c:numCache>
                <c:formatCode>0%</c:formatCode>
                <c:ptCount val="7"/>
                <c:pt idx="0">
                  <c:v>0.30896932164838087</c:v>
                </c:pt>
                <c:pt idx="1">
                  <c:v>0.49165033542154496</c:v>
                </c:pt>
                <c:pt idx="2">
                  <c:v>9.8147448296362308E-2</c:v>
                </c:pt>
                <c:pt idx="3">
                  <c:v>2.6051081131205592E-2</c:v>
                </c:pt>
                <c:pt idx="4">
                  <c:v>2.1471863868682346E-2</c:v>
                </c:pt>
                <c:pt idx="5">
                  <c:v>1.9664218027356218E-3</c:v>
                </c:pt>
                <c:pt idx="6">
                  <c:v>7.259491324665703E-3</c:v>
                </c:pt>
              </c:numCache>
            </c:numRef>
          </c:val>
          <c:extLst>
            <c:ext xmlns:c16="http://schemas.microsoft.com/office/drawing/2014/chart" uri="{C3380CC4-5D6E-409C-BE32-E72D297353CC}">
              <c16:uniqueId val="{0000000E-2011-4D6D-988B-BD83DE92A51C}"/>
            </c:ext>
          </c:extLst>
        </c:ser>
        <c:dLbls>
          <c:dLblPos val="inEnd"/>
          <c:showLegendKey val="0"/>
          <c:showVal val="0"/>
          <c:showCatName val="0"/>
          <c:showSerName val="0"/>
          <c:showPercent val="1"/>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 l="0.7" r="0.7" t="0.75" header="0.3" footer="0.3"/>
    <c:pageSetup/>
  </c:printSettings>
  <c:userShapes r:id="rId3"/>
</c:chartSpace>
</file>

<file path=xl/charts/chart7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RAZÓN PRINCIPAL DE</a:t>
            </a:r>
          </a:p>
          <a:p>
            <a:pPr>
              <a:defRPr/>
            </a:pPr>
            <a:r>
              <a:rPr lang="es-EC"/>
              <a:t>LLEGADAS A QUITO</a:t>
            </a:r>
          </a:p>
        </c:rich>
      </c:tx>
      <c:layout>
        <c:manualLayout>
          <c:xMode val="edge"/>
          <c:yMode val="edge"/>
          <c:x val="0.24643689720511971"/>
          <c:y val="6.8857589984350542E-2"/>
        </c:manualLayout>
      </c:layout>
      <c:overlay val="1"/>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2.7836163458744928E-2"/>
          <c:y val="0.25626754886597403"/>
          <c:w val="0.54330504606446473"/>
          <c:h val="0.71817704605106181"/>
        </c:manualLayout>
      </c:layout>
      <c:pie3DChart>
        <c:varyColors val="1"/>
        <c:ser>
          <c:idx val="0"/>
          <c:order val="0"/>
          <c:dPt>
            <c:idx val="0"/>
            <c:bubble3D val="0"/>
            <c:explosion val="18"/>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1899-4898-AE54-A32699286776}"/>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1899-4898-AE54-A32699286776}"/>
              </c:ext>
            </c:extLst>
          </c:dPt>
          <c:dLbls>
            <c:spPr>
              <a:solidFill>
                <a:schemeClr val="lt1"/>
              </a:solidFill>
              <a:ln w="25400" cap="flat" cmpd="sng" algn="ctr">
                <a:solidFill>
                  <a:schemeClr val="dk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'perfil-Razon llegada'!$C$7:$C$8</c:f>
              <c:strCache>
                <c:ptCount val="2"/>
                <c:pt idx="0">
                  <c:v>Paso obligado por ser puerto de entrada</c:v>
                </c:pt>
                <c:pt idx="1">
                  <c:v>Destino escogido</c:v>
                </c:pt>
              </c:strCache>
            </c:strRef>
          </c:cat>
          <c:val>
            <c:numRef>
              <c:f>'perfil-Razon llegada'!$L$7:$L$8</c:f>
              <c:numCache>
                <c:formatCode>0%</c:formatCode>
                <c:ptCount val="2"/>
                <c:pt idx="0">
                  <c:v>0.12514364642127582</c:v>
                </c:pt>
                <c:pt idx="1">
                  <c:v>0.87485635357872427</c:v>
                </c:pt>
              </c:numCache>
            </c:numRef>
          </c:val>
          <c:extLst>
            <c:ext xmlns:c16="http://schemas.microsoft.com/office/drawing/2014/chart" uri="{C3380CC4-5D6E-409C-BE32-E72D297353CC}">
              <c16:uniqueId val="{00000004-1899-4898-AE54-A32699286776}"/>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C"/>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33" l="0.70000000000000062" r="0.70000000000000062" t="0.75000000000000533" header="0.30000000000000032" footer="0.30000000000000032"/>
    <c:pageSetup/>
  </c:printSettings>
  <c:userShapes r:id="rId3"/>
</c:chartSpace>
</file>

<file path=xl/charts/chart7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¿CÓMO SE ENTERA SOBRE QUITO?</a:t>
            </a:r>
          </a:p>
        </c:rich>
      </c:tx>
      <c:overlay val="1"/>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7879250469735852"/>
          <c:y val="0.17781883931175269"/>
          <c:w val="0.5087630411101115"/>
          <c:h val="0.80995978606887931"/>
        </c:manualLayout>
      </c:layout>
      <c:pie3DChart>
        <c:varyColors val="1"/>
        <c:ser>
          <c:idx val="0"/>
          <c:order val="0"/>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2920-428F-8346-7173486B45CF}"/>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2920-428F-8346-7173486B45CF}"/>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5-2920-428F-8346-7173486B45CF}"/>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7-2920-428F-8346-7173486B45CF}"/>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2920-428F-8346-7173486B45CF}"/>
              </c:ext>
            </c:extLst>
          </c:dPt>
          <c:dPt>
            <c:idx val="5"/>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B-2920-428F-8346-7173486B45CF}"/>
              </c:ext>
            </c:extLst>
          </c:dPt>
          <c:dPt>
            <c:idx val="6"/>
            <c:bubble3D val="0"/>
            <c:spPr>
              <a:solidFill>
                <a:schemeClr val="accent1">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D-2920-428F-8346-7173486B45CF}"/>
              </c:ext>
            </c:extLst>
          </c:dPt>
          <c:dPt>
            <c:idx val="7"/>
            <c:bubble3D val="0"/>
            <c:spPr>
              <a:solidFill>
                <a:schemeClr val="accent2">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0F-2920-428F-8346-7173486B45CF}"/>
              </c:ext>
            </c:extLst>
          </c:dPt>
          <c:dPt>
            <c:idx val="8"/>
            <c:bubble3D val="0"/>
            <c:spPr>
              <a:solidFill>
                <a:schemeClr val="accent3">
                  <a:lumMod val="60000"/>
                </a:schemeClr>
              </a:solidFill>
              <a:ln w="25400">
                <a:solidFill>
                  <a:schemeClr val="lt1"/>
                </a:solidFill>
              </a:ln>
              <a:effectLst/>
              <a:sp3d contourW="25400">
                <a:contourClr>
                  <a:schemeClr val="lt1"/>
                </a:contourClr>
              </a:sp3d>
            </c:spPr>
            <c:extLst>
              <c:ext xmlns:c16="http://schemas.microsoft.com/office/drawing/2014/chart" uri="{C3380CC4-5D6E-409C-BE32-E72D297353CC}">
                <c16:uniqueId val="{00000011-2920-428F-8346-7173486B45CF}"/>
              </c:ext>
            </c:extLst>
          </c:dPt>
          <c:dLbls>
            <c:dLbl>
              <c:idx val="0"/>
              <c:layout>
                <c:manualLayout>
                  <c:x val="-0.12162013174537034"/>
                  <c:y val="0.10913105861767274"/>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920-428F-8346-7173486B45CF}"/>
                </c:ext>
              </c:extLst>
            </c:dLbl>
            <c:dLbl>
              <c:idx val="1"/>
              <c:layout>
                <c:manualLayout>
                  <c:x val="4.1343919753763232E-2"/>
                  <c:y val="-4.0341090696996318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920-428F-8346-7173486B45CF}"/>
                </c:ext>
              </c:extLst>
            </c:dLbl>
            <c:dLbl>
              <c:idx val="2"/>
              <c:layout>
                <c:manualLayout>
                  <c:x val="3.4544337946614677E-2"/>
                  <c:y val="-3.733426655001458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920-428F-8346-7173486B45CF}"/>
                </c:ext>
              </c:extLst>
            </c:dLbl>
            <c:dLbl>
              <c:idx val="3"/>
              <c:layout>
                <c:manualLayout>
                  <c:x val="4.7060879228536474E-2"/>
                  <c:y val="-4.4026829979585888E-3"/>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920-428F-8346-7173486B45CF}"/>
                </c:ext>
              </c:extLst>
            </c:dLbl>
            <c:dLbl>
              <c:idx val="4"/>
              <c:layout>
                <c:manualLayout>
                  <c:x val="0.18968642847220699"/>
                  <c:y val="-0.15947856517935258"/>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920-428F-8346-7173486B45CF}"/>
                </c:ext>
              </c:extLst>
            </c:dLbl>
            <c:dLbl>
              <c:idx val="5"/>
              <c:layout>
                <c:manualLayout>
                  <c:x val="-4.492634103188356E-2"/>
                  <c:y val="7.7493846602508021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2920-428F-8346-7173486B45CF}"/>
                </c:ext>
              </c:extLst>
            </c:dLbl>
            <c:dLbl>
              <c:idx val="6"/>
              <c:layout>
                <c:manualLayout>
                  <c:x val="-4.3699105856893246E-2"/>
                  <c:y val="1.1717002041411489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D-2920-428F-8346-7173486B45CF}"/>
                </c:ext>
              </c:extLst>
            </c:dLbl>
            <c:dLbl>
              <c:idx val="7"/>
              <c:layout>
                <c:manualLayout>
                  <c:x val="-2.1823525541201584E-3"/>
                  <c:y val="-7.165517643627882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F-2920-428F-8346-7173486B45CF}"/>
                </c:ext>
              </c:extLst>
            </c:dLbl>
            <c:dLbl>
              <c:idx val="8"/>
              <c:layout>
                <c:manualLayout>
                  <c:x val="6.1675549609223605E-2"/>
                  <c:y val="-4.2031379410906997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1-2920-428F-8346-7173486B45CF}"/>
                </c:ext>
              </c:extLst>
            </c:dLbl>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inEnd"/>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'perfil-Medio Info'!$C$21:$C$29</c:f>
              <c:strCache>
                <c:ptCount val="9"/>
                <c:pt idx="0">
                  <c:v>Internet</c:v>
                </c:pt>
                <c:pt idx="1">
                  <c:v>Documentales</c:v>
                </c:pt>
                <c:pt idx="2">
                  <c:v>Agencias de Viaje</c:v>
                </c:pt>
                <c:pt idx="3">
                  <c:v>Eventos internacionales*/</c:v>
                </c:pt>
                <c:pt idx="4">
                  <c:v>Familiares y amigos</c:v>
                </c:pt>
                <c:pt idx="5">
                  <c:v>Ferias internacionales</c:v>
                </c:pt>
                <c:pt idx="6">
                  <c:v>Revistas internacionales</c:v>
                </c:pt>
                <c:pt idx="7">
                  <c:v>Promociones</c:v>
                </c:pt>
                <c:pt idx="8">
                  <c:v>Otros</c:v>
                </c:pt>
              </c:strCache>
            </c:strRef>
          </c:cat>
          <c:val>
            <c:numRef>
              <c:f>'perfil-Medio Info'!$M$21:$M$29</c:f>
              <c:numCache>
                <c:formatCode>0%</c:formatCode>
                <c:ptCount val="9"/>
                <c:pt idx="0">
                  <c:v>0.37074571280172297</c:v>
                </c:pt>
                <c:pt idx="1">
                  <c:v>3.309839260234388E-2</c:v>
                </c:pt>
                <c:pt idx="2">
                  <c:v>3.2293464400959739E-2</c:v>
                </c:pt>
                <c:pt idx="3">
                  <c:v>3.2202399053100961E-2</c:v>
                </c:pt>
                <c:pt idx="4">
                  <c:v>0.41043911560428048</c:v>
                </c:pt>
                <c:pt idx="5">
                  <c:v>9.148610323482842E-2</c:v>
                </c:pt>
                <c:pt idx="6">
                  <c:v>3.3097532783683669E-3</c:v>
                </c:pt>
                <c:pt idx="7">
                  <c:v>8.2258215575614878E-3</c:v>
                </c:pt>
                <c:pt idx="8">
                  <c:v>1.8199237466833676E-2</c:v>
                </c:pt>
              </c:numCache>
            </c:numRef>
          </c:val>
          <c:extLst>
            <c:ext xmlns:c16="http://schemas.microsoft.com/office/drawing/2014/chart" uri="{C3380CC4-5D6E-409C-BE32-E72D297353CC}">
              <c16:uniqueId val="{00000012-2920-428F-8346-7173486B45CF}"/>
            </c:ext>
          </c:extLst>
        </c:ser>
        <c:dLbls>
          <c:dLblPos val="inEnd"/>
          <c:showLegendKey val="0"/>
          <c:showVal val="0"/>
          <c:showCatName val="1"/>
          <c:showSerName val="0"/>
          <c:showPercent val="0"/>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33" l="0.70000000000000062" r="0.70000000000000062" t="0.75000000000000533" header="0.30000000000000032" footer="0.30000000000000032"/>
    <c:pageSetup/>
  </c:printSettings>
  <c:userShapes r:id="rId3"/>
</c:chartSpace>
</file>

<file path=xl/charts/chart7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CON QUIÉN VIAJA EL</a:t>
            </a:r>
          </a:p>
          <a:p>
            <a:pPr>
              <a:defRPr/>
            </a:pPr>
            <a:r>
              <a:rPr lang="es-EC"/>
              <a:t>VISITANTE DE QUITO?</a:t>
            </a:r>
          </a:p>
        </c:rich>
      </c:tx>
      <c:overlay val="1"/>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1.4457575369664745E-2"/>
          <c:y val="0.22661520462062798"/>
          <c:w val="0.9577731960260415"/>
          <c:h val="0.70772312953692884"/>
        </c:manualLayout>
      </c:layout>
      <c:pie3DChart>
        <c:varyColors val="1"/>
        <c:ser>
          <c:idx val="0"/>
          <c:order val="0"/>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1B1B-42B8-8E90-46E40B0B1F84}"/>
              </c:ext>
            </c:extLst>
          </c:dPt>
          <c:dPt>
            <c:idx val="1"/>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3-1B1B-42B8-8E90-46E40B0B1F84}"/>
              </c:ext>
            </c:extLst>
          </c:dPt>
          <c:dPt>
            <c:idx val="2"/>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5-1B1B-42B8-8E90-46E40B0B1F84}"/>
              </c:ext>
            </c:extLst>
          </c:dPt>
          <c:dLbls>
            <c:dLbl>
              <c:idx val="2"/>
              <c:layout>
                <c:manualLayout>
                  <c:x val="3.2305537039839627E-2"/>
                  <c:y val="1.2732740603761644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B1B-42B8-8E90-46E40B0B1F84}"/>
                </c:ext>
              </c:extLst>
            </c:dLbl>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inEnd"/>
            <c:showLegendKey val="0"/>
            <c:showVal val="1"/>
            <c:showCatName val="1"/>
            <c:showSerName val="0"/>
            <c:showPercent val="0"/>
            <c:showBubbleSize val="0"/>
            <c:showLeaderLines val="0"/>
            <c:extLst>
              <c:ext xmlns:c15="http://schemas.microsoft.com/office/drawing/2012/chart" uri="{CE6537A1-D6FC-4f65-9D91-7224C49458BB}"/>
            </c:extLst>
          </c:dLbls>
          <c:cat>
            <c:strRef>
              <c:f>'perfil-viaja con'!$C$3:$C$5</c:f>
              <c:strCache>
                <c:ptCount val="3"/>
                <c:pt idx="0">
                  <c:v>Solo</c:v>
                </c:pt>
                <c:pt idx="1">
                  <c:v>Con Familia</c:v>
                </c:pt>
                <c:pt idx="2">
                  <c:v>Con amigos</c:v>
                </c:pt>
              </c:strCache>
            </c:strRef>
          </c:cat>
          <c:val>
            <c:numRef>
              <c:f>'perfil-viaja con'!$L$3:$L$5</c:f>
              <c:numCache>
                <c:formatCode>0%</c:formatCode>
                <c:ptCount val="3"/>
                <c:pt idx="0">
                  <c:v>0.57373568740068503</c:v>
                </c:pt>
                <c:pt idx="1">
                  <c:v>0.23574623374525358</c:v>
                </c:pt>
                <c:pt idx="2">
                  <c:v>0.19051807885406136</c:v>
                </c:pt>
              </c:numCache>
            </c:numRef>
          </c:val>
          <c:extLst>
            <c:ext xmlns:c16="http://schemas.microsoft.com/office/drawing/2014/chart" uri="{C3380CC4-5D6E-409C-BE32-E72D297353CC}">
              <c16:uniqueId val="{00000006-1B1B-42B8-8E90-46E40B0B1F84}"/>
            </c:ext>
          </c:extLst>
        </c:ser>
        <c:dLbls>
          <c:dLblPos val="inEnd"/>
          <c:showLegendKey val="0"/>
          <c:showVal val="0"/>
          <c:showCatName val="1"/>
          <c:showSerName val="0"/>
          <c:showPercent val="0"/>
          <c:showBubbleSize val="0"/>
          <c:showLeaderLines val="0"/>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33" l="0.70000000000000062" r="0.70000000000000062" t="0.75000000000000533" header="0.30000000000000032" footer="0.30000000000000032"/>
    <c:pageSetup/>
  </c:printSettings>
  <c:userShapes r:id="rId3"/>
</c:chartSpace>
</file>

<file path=xl/charts/chart7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r>
              <a:rPr lang="es-EC"/>
              <a:t>¿CÓMO EL TURISTA</a:t>
            </a:r>
          </a:p>
          <a:p>
            <a:pPr>
              <a:defRPr/>
            </a:pPr>
            <a:r>
              <a:rPr lang="es-EC"/>
              <a:t>ORGANIZA SU VIAJE?</a:t>
            </a:r>
          </a:p>
        </c:rich>
      </c:tx>
      <c:overlay val="1"/>
      <c:spPr>
        <a:noFill/>
        <a:ln>
          <a:noFill/>
        </a:ln>
        <a:effectLst/>
      </c:spPr>
      <c:txPr>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endParaRPr lang="es-EC"/>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6.102535780221862E-2"/>
          <c:y val="0.2679752217013065"/>
          <c:w val="0.50079255940867962"/>
          <c:h val="0.70535721190541534"/>
        </c:manualLayout>
      </c:layout>
      <c:pie3DChart>
        <c:varyColors val="1"/>
        <c:ser>
          <c:idx val="0"/>
          <c:order val="0"/>
          <c:dPt>
            <c:idx val="0"/>
            <c:bubble3D val="0"/>
            <c:spPr>
              <a:gradFill rotWithShape="1">
                <a:gsLst>
                  <a:gs pos="0">
                    <a:schemeClr val="accent1">
                      <a:tint val="50000"/>
                      <a:satMod val="300000"/>
                    </a:schemeClr>
                  </a:gs>
                  <a:gs pos="35000">
                    <a:schemeClr val="accent1">
                      <a:tint val="37000"/>
                      <a:satMod val="300000"/>
                    </a:schemeClr>
                  </a:gs>
                  <a:gs pos="100000">
                    <a:schemeClr val="accent1">
                      <a:tint val="15000"/>
                      <a:satMod val="350000"/>
                    </a:schemeClr>
                  </a:gs>
                </a:gsLst>
                <a:lin ang="16200000" scaled="1"/>
              </a:gradFill>
              <a:ln>
                <a:noFill/>
              </a:ln>
              <a:effectLst>
                <a:outerShdw blurRad="40000" dist="20000" dir="5400000" rotWithShape="0">
                  <a:srgbClr val="000000">
                    <a:alpha val="38000"/>
                  </a:srgbClr>
                </a:outerShdw>
              </a:effectLst>
              <a:sp3d/>
            </c:spPr>
            <c:extLst>
              <c:ext xmlns:c16="http://schemas.microsoft.com/office/drawing/2014/chart" uri="{C3380CC4-5D6E-409C-BE32-E72D297353CC}">
                <c16:uniqueId val="{00000001-52DC-42BA-B5FC-1A475D16F9B3}"/>
              </c:ext>
            </c:extLst>
          </c:dPt>
          <c:dPt>
            <c:idx val="1"/>
            <c:bubble3D val="0"/>
            <c:spPr>
              <a:gradFill rotWithShape="1">
                <a:gsLst>
                  <a:gs pos="0">
                    <a:schemeClr val="accent2">
                      <a:tint val="50000"/>
                      <a:satMod val="300000"/>
                    </a:schemeClr>
                  </a:gs>
                  <a:gs pos="35000">
                    <a:schemeClr val="accent2">
                      <a:tint val="37000"/>
                      <a:satMod val="300000"/>
                    </a:schemeClr>
                  </a:gs>
                  <a:gs pos="100000">
                    <a:schemeClr val="accent2">
                      <a:tint val="15000"/>
                      <a:satMod val="350000"/>
                    </a:schemeClr>
                  </a:gs>
                </a:gsLst>
                <a:lin ang="16200000" scaled="1"/>
              </a:gradFill>
              <a:ln>
                <a:noFill/>
              </a:ln>
              <a:effectLst>
                <a:outerShdw blurRad="40000" dist="20000" dir="5400000" rotWithShape="0">
                  <a:srgbClr val="000000">
                    <a:alpha val="38000"/>
                  </a:srgbClr>
                </a:outerShdw>
              </a:effectLst>
              <a:sp3d/>
            </c:spPr>
            <c:extLst>
              <c:ext xmlns:c16="http://schemas.microsoft.com/office/drawing/2014/chart" uri="{C3380CC4-5D6E-409C-BE32-E72D297353CC}">
                <c16:uniqueId val="{00000003-52DC-42BA-B5FC-1A475D16F9B3}"/>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s-EC"/>
              </a:p>
            </c:txPr>
            <c:showLegendKey val="0"/>
            <c:showVal val="1"/>
            <c:showCatName val="1"/>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'perfil-Organiza viaje'!$C$3:$C$4</c:f>
              <c:strCache>
                <c:ptCount val="2"/>
                <c:pt idx="0">
                  <c:v>Agencias de viaje</c:v>
                </c:pt>
                <c:pt idx="1">
                  <c:v>Cuenta Propia</c:v>
                </c:pt>
              </c:strCache>
            </c:strRef>
          </c:cat>
          <c:val>
            <c:numRef>
              <c:f>'perfil-Organiza viaje'!$L$3:$L$4</c:f>
              <c:numCache>
                <c:formatCode>0%</c:formatCode>
                <c:ptCount val="2"/>
                <c:pt idx="0">
                  <c:v>7.6772160412235266E-2</c:v>
                </c:pt>
                <c:pt idx="1">
                  <c:v>0.92322783958776478</c:v>
                </c:pt>
              </c:numCache>
            </c:numRef>
          </c:val>
          <c:extLst>
            <c:ext xmlns:c16="http://schemas.microsoft.com/office/drawing/2014/chart" uri="{C3380CC4-5D6E-409C-BE32-E72D297353CC}">
              <c16:uniqueId val="{00000004-52DC-42BA-B5FC-1A475D16F9B3}"/>
            </c:ext>
          </c:extLst>
        </c:ser>
        <c:dLbls>
          <c:showLegendKey val="0"/>
          <c:showVal val="0"/>
          <c:showCatName val="0"/>
          <c:showSerName val="0"/>
          <c:showPercent val="0"/>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33" l="0.70000000000000062" r="0.70000000000000062" t="0.75000000000000533" header="0.30000000000000032" footer="0.30000000000000032"/>
    <c:pageSetup/>
  </c:printSettings>
  <c:userShapes r:id="rId3"/>
</c:chartSpace>
</file>

<file path=xl/charts/chart7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C"/>
              <a:t>¿QUE TIPO DE HOSPEDAJE TOMA EL TURISTA?</a:t>
            </a:r>
          </a:p>
        </c:rich>
      </c:tx>
      <c:layout>
        <c:manualLayout>
          <c:xMode val="edge"/>
          <c:yMode val="edge"/>
          <c:x val="0.13537621045637432"/>
          <c:y val="3.5277777777777776E-2"/>
        </c:manualLayout>
      </c:layout>
      <c:overlay val="1"/>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C"/>
        </a:p>
      </c:txPr>
    </c:title>
    <c:autoTitleDeleted val="0"/>
    <c:view3D>
      <c:rotX val="30"/>
      <c:rotY val="8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7485254521085146E-2"/>
          <c:y val="0.18009265510567568"/>
          <c:w val="0.56821896887043466"/>
          <c:h val="0.81990734489432426"/>
        </c:manualLayout>
      </c:layout>
      <c:pie3DChart>
        <c:varyColors val="1"/>
        <c:ser>
          <c:idx val="0"/>
          <c:order val="0"/>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CDC4-431B-A3CB-970E48D9BBAD}"/>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CDC4-431B-A3CB-970E48D9BBAD}"/>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5-CDC4-431B-A3CB-970E48D9BBAD}"/>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7-CDC4-431B-A3CB-970E48D9BBAD}"/>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CDC4-431B-A3CB-970E48D9BBAD}"/>
              </c:ext>
            </c:extLst>
          </c:dPt>
          <c:dPt>
            <c:idx val="5"/>
            <c:bubble3D val="0"/>
            <c:spPr>
              <a:solidFill>
                <a:schemeClr val="accent6"/>
              </a:solidFill>
              <a:ln w="25400">
                <a:solidFill>
                  <a:schemeClr val="lt1"/>
                </a:solidFill>
              </a:ln>
              <a:effectLst/>
              <a:sp3d contourW="25400">
                <a:contourClr>
                  <a:schemeClr val="lt1"/>
                </a:contourClr>
              </a:sp3d>
            </c:spPr>
            <c:extLst>
              <c:ext xmlns:c16="http://schemas.microsoft.com/office/drawing/2014/chart" uri="{C3380CC4-5D6E-409C-BE32-E72D297353CC}">
                <c16:uniqueId val="{0000000B-CDC4-431B-A3CB-970E48D9BBAD}"/>
              </c:ext>
            </c:extLst>
          </c:dPt>
          <c:dLbls>
            <c:dLbl>
              <c:idx val="0"/>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01-CDC4-431B-A3CB-970E48D9BBAD}"/>
                </c:ext>
              </c:extLst>
            </c:dLbl>
            <c:dLbl>
              <c:idx val="1"/>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03-CDC4-431B-A3CB-970E48D9BBAD}"/>
                </c:ext>
              </c:extLst>
            </c:dLbl>
            <c:dLbl>
              <c:idx val="2"/>
              <c:layout>
                <c:manualLayout>
                  <c:x val="-0.19694864506814649"/>
                  <c:y val="9.7242283950617278E-2"/>
                </c:manualLayout>
              </c:layout>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CDC4-431B-A3CB-970E48D9BBAD}"/>
                </c:ext>
              </c:extLst>
            </c:dLbl>
            <c:dLbl>
              <c:idx val="3"/>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inEnd"/>
              <c:showLegendKey val="0"/>
              <c:showVal val="1"/>
              <c:showCatName val="1"/>
              <c:showSerName val="0"/>
              <c:showPercent val="0"/>
              <c:showBubbleSize val="0"/>
              <c:extLst>
                <c:ext xmlns:c16="http://schemas.microsoft.com/office/drawing/2014/chart" uri="{C3380CC4-5D6E-409C-BE32-E72D297353CC}">
                  <c16:uniqueId val="{00000007-CDC4-431B-A3CB-970E48D9BBAD}"/>
                </c:ext>
              </c:extLst>
            </c:dLbl>
            <c:dLbl>
              <c:idx val="4"/>
              <c:layout>
                <c:manualLayout>
                  <c:x val="4.9348148148148231E-2"/>
                  <c:y val="5.2897839506172842E-2"/>
                </c:manualLayout>
              </c:layout>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9-CDC4-431B-A3CB-970E48D9BBAD}"/>
                </c:ext>
              </c:extLst>
            </c:dLbl>
            <c:dLbl>
              <c:idx val="5"/>
              <c:layout>
                <c:manualLayout>
                  <c:x val="4.3203703703703793E-2"/>
                  <c:y val="0.25015617283950609"/>
                </c:manualLayout>
              </c:layout>
              <c:spPr>
                <a:solidFill>
                  <a:schemeClr val="lt1"/>
                </a:solidFill>
                <a:ln w="25400" cap="flat" cmpd="sng" algn="ctr">
                  <a:solidFill>
                    <a:schemeClr val="accent1"/>
                  </a:solidFill>
                  <a:prstDash val="solid"/>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C"/>
                </a:p>
              </c:txPr>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CDC4-431B-A3CB-970E48D9BBAD}"/>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C"/>
              </a:p>
            </c:txPr>
            <c:dLblPos val="inEnd"/>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'perfil-Hospedaje tipo'!$C$3:$C$7</c:f>
              <c:strCache>
                <c:ptCount val="5"/>
                <c:pt idx="0">
                  <c:v>Hotel</c:v>
                </c:pt>
                <c:pt idx="1">
                  <c:v>Hostal residencia</c:v>
                </c:pt>
                <c:pt idx="2">
                  <c:v>Casa de amigos y familiares</c:v>
                </c:pt>
                <c:pt idx="3">
                  <c:v>Vivienda propia</c:v>
                </c:pt>
                <c:pt idx="4">
                  <c:v>Vivienda privada "hotel" (vía internet)</c:v>
                </c:pt>
              </c:strCache>
            </c:strRef>
          </c:cat>
          <c:val>
            <c:numRef>
              <c:f>'perfil-Hospedaje tipo'!$L$3:$L$7</c:f>
              <c:numCache>
                <c:formatCode>0%</c:formatCode>
                <c:ptCount val="5"/>
                <c:pt idx="0">
                  <c:v>0.38803103740346051</c:v>
                </c:pt>
                <c:pt idx="1">
                  <c:v>0.12307518164505615</c:v>
                </c:pt>
                <c:pt idx="2">
                  <c:v>0.38259381455816716</c:v>
                </c:pt>
                <c:pt idx="3">
                  <c:v>1.795232479569292E-2</c:v>
                </c:pt>
                <c:pt idx="4">
                  <c:v>1.6688705586733237E-2</c:v>
                </c:pt>
              </c:numCache>
            </c:numRef>
          </c:val>
          <c:extLst>
            <c:ext xmlns:c16="http://schemas.microsoft.com/office/drawing/2014/chart" uri="{C3380CC4-5D6E-409C-BE32-E72D297353CC}">
              <c16:uniqueId val="{0000000C-CDC4-431B-A3CB-970E48D9BBAD}"/>
            </c:ext>
          </c:extLst>
        </c:ser>
        <c:dLbls>
          <c:dLblPos val="inEnd"/>
          <c:showLegendKey val="0"/>
          <c:showVal val="0"/>
          <c:showCatName val="1"/>
          <c:showSerName val="0"/>
          <c:showPercent val="0"/>
          <c:showBubbleSize val="0"/>
          <c:showLeaderLines val="1"/>
        </c:dLbls>
      </c:pie3D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C"/>
    </a:p>
  </c:txPr>
  <c:printSettings>
    <c:headerFooter/>
    <c:pageMargins b="0.75000000000000533" l="0.70000000000000062" r="0.70000000000000062" t="0.75000000000000533" header="0.30000000000000032" footer="0.30000000000000032"/>
    <c:pageSetup/>
  </c:printSettings>
  <c:userShapes r:id="rId3"/>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0.xml><?xml version="1.0" encoding="utf-8"?>
<cs:colorStyle xmlns:cs="http://schemas.microsoft.com/office/drawing/2012/chartStyle" xmlns:a="http://schemas.openxmlformats.org/drawingml/2006/main" meth="withinLinear" id="16">
  <a:schemeClr val="accent3"/>
</cs:colorStyle>
</file>

<file path=xl/charts/colors4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5.xml><?xml version="1.0" encoding="utf-8"?>
<cs:colorStyle xmlns:cs="http://schemas.microsoft.com/office/drawing/2012/chartStyle" xmlns:a="http://schemas.openxmlformats.org/drawingml/2006/main" meth="withinLinear" id="16">
  <a:schemeClr val="accent3"/>
</cs:colorStyle>
</file>

<file path=xl/charts/colors4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5.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2.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4.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5.xml><?xml version="1.0" encoding="utf-8"?>
<cs:colorStyle xmlns:cs="http://schemas.microsoft.com/office/drawing/2012/chartStyle" xmlns:a="http://schemas.openxmlformats.org/drawingml/2006/main" meth="withinLinear" id="17">
  <a:schemeClr val="accent4"/>
</cs:colorStyle>
</file>

<file path=xl/charts/colors6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0.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6.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2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34">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1000" kern="120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cs:styleClr val="auto"/>
    </cs:fontRef>
    <cs:spPr/>
    <cs:defRPr sz="900" b="1" i="0" u="none" strike="noStrike" kern="1200" baseline="0"/>
  </cs:dataLabel>
  <cs:dataLabelCallout>
    <cs:lnRef idx="0"/>
    <cs:fillRef idx="0"/>
    <cs:effectRef idx="0"/>
    <cs:fontRef idx="minor">
      <a:schemeClr val="dk1">
        <a:lumMod val="65000"/>
        <a:lumOff val="35000"/>
      </a:schemeClr>
    </cs:fontRef>
    <cs:spPr>
      <a:solidFill>
        <a:schemeClr val="lt1"/>
      </a:solidFill>
      <a:ln w="9575">
        <a:solidFill>
          <a:schemeClr val="lt1">
            <a:lumMod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19050" cap="rnd" cmpd="sng" algn="ctr">
        <a:solidFill>
          <a:schemeClr val="phClr">
            <a:shade val="95000"/>
            <a:satMod val="105000"/>
          </a:schemeClr>
        </a:solidFill>
        <a:round/>
      </a:ln>
    </cs:spPr>
  </cs:dataPointLine>
  <cs:dataPointMarker>
    <cs:lnRef idx="0"/>
    <cs:fillRef idx="0"/>
    <cs:effectRef idx="0"/>
    <cs:fontRef idx="minor">
      <a:schemeClr val="dk1"/>
    </cs:fontRef>
    <cs:spPr>
      <a:solidFill>
        <a:schemeClr val="lt1"/>
      </a:solidFill>
    </cs:spPr>
  </cs:dataPointMarker>
  <cs:dataPointMarkerLayout symbol="circle" size="17"/>
  <cs:dataPointWireframe>
    <cs:lnRef idx="0">
      <cs:styleClr val="auto"/>
    </cs:lnRef>
    <cs:fillRef idx="1"/>
    <cs:effectRef idx="0"/>
    <cs:fontRef idx="minor">
      <a:schemeClr val="dk1"/>
    </cs:fontRef>
    <cs:spPr>
      <a:ln w="9525">
        <a:solidFill>
          <a:schemeClr val="phClr"/>
        </a:solidFill>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35000"/>
            <a:lumOff val="65000"/>
          </a:schemeClr>
        </a:solidFill>
      </a:ln>
    </cs:spPr>
  </cs:dropLine>
  <cs:errorBar>
    <cs:lnRef idx="0"/>
    <cs:fillRef idx="0"/>
    <cs:effectRef idx="0"/>
    <cs:fontRef idx="minor">
      <a:schemeClr val="dk1"/>
    </cs:fontRef>
    <cs:spPr>
      <a:ln w="9525">
        <a:solidFill>
          <a:schemeClr val="dk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ln>
    </cs:spPr>
  </cs:seriesLine>
  <cs:title>
    <cs:lnRef idx="0"/>
    <cs:fillRef idx="0"/>
    <cs:effectRef idx="0"/>
    <cs:fontRef idx="minor">
      <a:schemeClr val="dk1"/>
    </cs:fontRef>
    <cs:defRPr sz="1440" b="0" kern="1200" cap="all" spc="0" baseline="0">
      <a:gradFill>
        <a:gsLst>
          <a:gs pos="0">
            <a:schemeClr val="dk1">
              <a:lumMod val="50000"/>
              <a:lumOff val="50000"/>
            </a:schemeClr>
          </a:gs>
          <a:gs pos="100000">
            <a:schemeClr val="dk1">
              <a:lumMod val="85000"/>
              <a:lumOff val="15000"/>
            </a:schemeClr>
          </a:gs>
        </a:gsLst>
        <a:lin ang="5400000" scaled="0"/>
      </a:gradFill>
    </cs:defRPr>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50000"/>
            <a:lumOff val="50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34">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1000" kern="120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cs:styleClr val="auto"/>
    </cs:fontRef>
    <cs:spPr/>
    <cs:defRPr sz="900" b="1" i="0" u="none" strike="noStrike" kern="1200" baseline="0"/>
  </cs:dataLabel>
  <cs:dataLabelCallout>
    <cs:lnRef idx="0"/>
    <cs:fillRef idx="0"/>
    <cs:effectRef idx="0"/>
    <cs:fontRef idx="minor">
      <a:schemeClr val="dk1">
        <a:lumMod val="65000"/>
        <a:lumOff val="35000"/>
      </a:schemeClr>
    </cs:fontRef>
    <cs:spPr>
      <a:solidFill>
        <a:schemeClr val="lt1"/>
      </a:solidFill>
      <a:ln w="9575">
        <a:solidFill>
          <a:schemeClr val="lt1">
            <a:lumMod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19050" cap="rnd" cmpd="sng" algn="ctr">
        <a:solidFill>
          <a:schemeClr val="phClr">
            <a:shade val="95000"/>
            <a:satMod val="105000"/>
          </a:schemeClr>
        </a:solidFill>
        <a:round/>
      </a:ln>
    </cs:spPr>
  </cs:dataPointLine>
  <cs:dataPointMarker>
    <cs:lnRef idx="0"/>
    <cs:fillRef idx="0"/>
    <cs:effectRef idx="0"/>
    <cs:fontRef idx="minor">
      <a:schemeClr val="dk1"/>
    </cs:fontRef>
    <cs:spPr>
      <a:solidFill>
        <a:schemeClr val="lt1"/>
      </a:solidFill>
    </cs:spPr>
  </cs:dataPointMarker>
  <cs:dataPointMarkerLayout symbol="circle" size="17"/>
  <cs:dataPointWireframe>
    <cs:lnRef idx="0">
      <cs:styleClr val="auto"/>
    </cs:lnRef>
    <cs:fillRef idx="1"/>
    <cs:effectRef idx="0"/>
    <cs:fontRef idx="minor">
      <a:schemeClr val="dk1"/>
    </cs:fontRef>
    <cs:spPr>
      <a:ln w="9525">
        <a:solidFill>
          <a:schemeClr val="phClr"/>
        </a:solidFill>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35000"/>
            <a:lumOff val="65000"/>
          </a:schemeClr>
        </a:solidFill>
      </a:ln>
    </cs:spPr>
  </cs:dropLine>
  <cs:errorBar>
    <cs:lnRef idx="0"/>
    <cs:fillRef idx="0"/>
    <cs:effectRef idx="0"/>
    <cs:fontRef idx="minor">
      <a:schemeClr val="dk1"/>
    </cs:fontRef>
    <cs:spPr>
      <a:ln w="9525">
        <a:solidFill>
          <a:schemeClr val="dk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ln>
    </cs:spPr>
  </cs:seriesLine>
  <cs:title>
    <cs:lnRef idx="0"/>
    <cs:fillRef idx="0"/>
    <cs:effectRef idx="0"/>
    <cs:fontRef idx="minor">
      <a:schemeClr val="dk1"/>
    </cs:fontRef>
    <cs:defRPr sz="1440" b="0" kern="1200" cap="all" spc="0" baseline="0">
      <a:gradFill>
        <a:gsLst>
          <a:gs pos="0">
            <a:schemeClr val="dk1">
              <a:lumMod val="50000"/>
              <a:lumOff val="50000"/>
            </a:schemeClr>
          </a:gs>
          <a:gs pos="100000">
            <a:schemeClr val="dk1">
              <a:lumMod val="85000"/>
              <a:lumOff val="15000"/>
            </a:schemeClr>
          </a:gs>
        </a:gsLst>
        <a:lin ang="5400000" scaled="0"/>
      </a:gradFill>
    </cs:defRPr>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50000"/>
            <a:lumOff val="50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11.xml><?xml version="1.0" encoding="utf-8"?>
<cs:chartStyle xmlns:cs="http://schemas.microsoft.com/office/drawing/2012/chartStyle" xmlns:a="http://schemas.openxmlformats.org/drawingml/2006/main" id="234">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1000" kern="120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cs:styleClr val="auto"/>
    </cs:fontRef>
    <cs:spPr/>
    <cs:defRPr sz="900" b="1" i="0" u="none" strike="noStrike" kern="1200" baseline="0"/>
  </cs:dataLabel>
  <cs:dataLabelCallout>
    <cs:lnRef idx="0"/>
    <cs:fillRef idx="0"/>
    <cs:effectRef idx="0"/>
    <cs:fontRef idx="minor">
      <a:schemeClr val="dk1">
        <a:lumMod val="65000"/>
        <a:lumOff val="35000"/>
      </a:schemeClr>
    </cs:fontRef>
    <cs:spPr>
      <a:solidFill>
        <a:schemeClr val="lt1"/>
      </a:solidFill>
      <a:ln w="9575">
        <a:solidFill>
          <a:schemeClr val="lt1">
            <a:lumMod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19050" cap="rnd" cmpd="sng" algn="ctr">
        <a:solidFill>
          <a:schemeClr val="phClr">
            <a:shade val="95000"/>
            <a:satMod val="105000"/>
          </a:schemeClr>
        </a:solidFill>
        <a:round/>
      </a:ln>
    </cs:spPr>
  </cs:dataPointLine>
  <cs:dataPointMarker>
    <cs:lnRef idx="0"/>
    <cs:fillRef idx="0"/>
    <cs:effectRef idx="0"/>
    <cs:fontRef idx="minor">
      <a:schemeClr val="dk1"/>
    </cs:fontRef>
    <cs:spPr>
      <a:solidFill>
        <a:schemeClr val="lt1"/>
      </a:solidFill>
    </cs:spPr>
  </cs:dataPointMarker>
  <cs:dataPointMarkerLayout symbol="circle" size="17"/>
  <cs:dataPointWireframe>
    <cs:lnRef idx="0">
      <cs:styleClr val="auto"/>
    </cs:lnRef>
    <cs:fillRef idx="1"/>
    <cs:effectRef idx="0"/>
    <cs:fontRef idx="minor">
      <a:schemeClr val="dk1"/>
    </cs:fontRef>
    <cs:spPr>
      <a:ln w="9525">
        <a:solidFill>
          <a:schemeClr val="phClr"/>
        </a:solidFill>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35000"/>
            <a:lumOff val="65000"/>
          </a:schemeClr>
        </a:solidFill>
      </a:ln>
    </cs:spPr>
  </cs:dropLine>
  <cs:errorBar>
    <cs:lnRef idx="0"/>
    <cs:fillRef idx="0"/>
    <cs:effectRef idx="0"/>
    <cs:fontRef idx="minor">
      <a:schemeClr val="dk1"/>
    </cs:fontRef>
    <cs:spPr>
      <a:ln w="9525">
        <a:solidFill>
          <a:schemeClr val="dk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ln>
    </cs:spPr>
  </cs:seriesLine>
  <cs:title>
    <cs:lnRef idx="0"/>
    <cs:fillRef idx="0"/>
    <cs:effectRef idx="0"/>
    <cs:fontRef idx="minor">
      <a:schemeClr val="dk1"/>
    </cs:fontRef>
    <cs:defRPr sz="1440" b="0" kern="1200" cap="all" spc="0" baseline="0">
      <a:gradFill>
        <a:gsLst>
          <a:gs pos="0">
            <a:schemeClr val="dk1">
              <a:lumMod val="50000"/>
              <a:lumOff val="50000"/>
            </a:schemeClr>
          </a:gs>
          <a:gs pos="100000">
            <a:schemeClr val="dk1">
              <a:lumMod val="85000"/>
              <a:lumOff val="15000"/>
            </a:schemeClr>
          </a:gs>
        </a:gsLst>
        <a:lin ang="5400000" scaled="0"/>
      </a:gradFill>
    </cs:defRPr>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50000"/>
            <a:lumOff val="50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12.xml><?xml version="1.0" encoding="utf-8"?>
<cs:chartStyle xmlns:cs="http://schemas.microsoft.com/office/drawing/2012/chartStyle" xmlns:a="http://schemas.openxmlformats.org/drawingml/2006/main" id="268">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13.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36">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75000"/>
                <a:lumOff val="25000"/>
              </a:schemeClr>
            </a:gs>
            <a:gs pos="0">
              <a:schemeClr val="dk1">
                <a:lumMod val="65000"/>
                <a:lumOff val="35000"/>
              </a:schemeClr>
            </a:gs>
          </a:gsLst>
          <a:lin ang="5400000" scaled="0"/>
        </a:gradFill>
        <a:round/>
      </a:ln>
    </cs:spPr>
  </cs:gridlineMajor>
  <cs:gridlineMinor>
    <cs:lnRef idx="0"/>
    <cs:fillRef idx="0"/>
    <cs:effectRef idx="0"/>
    <cs:fontRef idx="minor">
      <a:schemeClr val="dk1"/>
    </cs:fontRef>
    <cs:spPr>
      <a:ln w="9525" cap="flat" cmpd="sng" algn="ctr">
        <a:gradFill>
          <a:gsLst>
            <a:gs pos="100000">
              <a:schemeClr val="dk1">
                <a:lumMod val="75000"/>
                <a:lumOff val="25000"/>
                <a:alpha val="25000"/>
              </a:schemeClr>
            </a:gs>
            <a:gs pos="0">
              <a:schemeClr val="dk1">
                <a:lumMod val="65000"/>
                <a:lumOff val="35000"/>
                <a:alpha val="25000"/>
              </a:schemeClr>
            </a:gs>
          </a:gsLst>
          <a:lin ang="5400000" scaled="0"/>
        </a:gra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defRPr sz="900" kern="1200"/>
  </cs:valueAxis>
  <cs:wall>
    <cs:lnRef idx="0"/>
    <cs:fillRef idx="0"/>
    <cs:effectRef idx="0"/>
    <cs:fontRef idx="minor">
      <a:schemeClr val="dk1"/>
    </cs:fontRef>
  </cs:wall>
</cs:chartStyle>
</file>

<file path=xl/charts/style21.xml><?xml version="1.0" encoding="utf-8"?>
<cs:chartStyle xmlns:cs="http://schemas.microsoft.com/office/drawing/2012/chartStyle" xmlns:a="http://schemas.openxmlformats.org/drawingml/2006/main" id="230">
  <cs:axisTitle>
    <cs:lnRef idx="0"/>
    <cs:fillRef idx="0"/>
    <cs:effectRef idx="0"/>
    <cs:fontRef idx="minor">
      <a:schemeClr val="dk1">
        <a:lumMod val="65000"/>
        <a:lumOff val="35000"/>
      </a:schemeClr>
    </cs:fontRef>
    <cs:defRPr sz="900" kern="1200" cap="all"/>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b="0" kern="1200" spc="20" baseline="0"/>
  </cs:categoryAxis>
  <cs:chartArea mods="allowNoLineOverride">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0"/>
    <cs:effectRef idx="0"/>
    <cs:fontRef idx="minor">
      <a:schemeClr val="dk1"/>
    </cs:fontRef>
    <cs:spPr>
      <a:ln w="22225" cap="rnd" cmpd="sng" algn="ctr">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cap="flat" cmpd="sng" algn="ctr">
        <a:solidFill>
          <a:schemeClr val="phClr"/>
        </a:solidFill>
        <a:round/>
      </a:ln>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65000"/>
            <a:lumOff val="35000"/>
          </a:schemeClr>
        </a:solidFill>
      </a:ln>
    </cs:spPr>
  </cs:downBar>
  <cs:dropLine>
    <cs:lnRef idx="0"/>
    <cs:fillRef idx="0"/>
    <cs:effectRef idx="0"/>
    <cs:fontRef idx="minor">
      <a:schemeClr val="dk1"/>
    </cs:fontRef>
    <cs:spPr>
      <a:ln w="9525" cap="flat" cmpd="sng" algn="ctr">
        <a:solidFill>
          <a:schemeClr val="dk1">
            <a:lumMod val="35000"/>
            <a:lumOff val="65000"/>
            <a:alpha val="33000"/>
          </a:schemeClr>
        </a:solidFill>
        <a:round/>
      </a:ln>
    </cs:spPr>
  </cs:dropLine>
  <cs:errorBar>
    <cs:lnRef idx="0"/>
    <cs:fillRef idx="0"/>
    <cs:effectRef idx="0"/>
    <cs:fontRef idx="minor">
      <a:schemeClr val="dk1"/>
    </cs:fontRef>
    <cs:spPr>
      <a:ln w="9525">
        <a:solidFill>
          <a:schemeClr val="dk1">
            <a:lumMod val="65000"/>
            <a:lumOff val="35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gradFill>
        <a:gsLst>
          <a:gs pos="100000">
            <a:schemeClr val="lt1">
              <a:lumMod val="95000"/>
            </a:schemeClr>
          </a:gs>
          <a:gs pos="0">
            <a:schemeClr val="lt1"/>
          </a:gs>
        </a:gsLst>
        <a:lin ang="5400000" scaled="0"/>
      </a:gradFill>
    </cs:spPr>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prstDash val="dash"/>
      </a:ln>
    </cs:spPr>
  </cs:seriesLine>
  <cs:title>
    <cs:lnRef idx="0"/>
    <cs:fillRef idx="0"/>
    <cs:effectRef idx="0"/>
    <cs:fontRef idx="minor">
      <a:schemeClr val="dk1">
        <a:lumMod val="50000"/>
        <a:lumOff val="50000"/>
      </a:schemeClr>
    </cs:fontRef>
    <cs:defRPr sz="1400" kern="1200" cap="none" spc="20" baseline="0"/>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65000"/>
        <a:lumOff val="35000"/>
      </a:schemeClr>
    </cs:fontRef>
    <cs:defRPr sz="900" kern="1200" spc="20" baseline="0"/>
  </cs:valueAxis>
  <cs:wall>
    <cs:lnRef idx="0"/>
    <cs:fillRef idx="0"/>
    <cs:effectRef idx="0"/>
    <cs:fontRef idx="minor">
      <a:schemeClr val="dk1"/>
    </cs:fontRef>
  </cs:wall>
</cs:chartStyle>
</file>

<file path=xl/charts/style2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3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b="0" i="0" u="none" strike="noStrike" kern="1200" baseline="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2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342">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2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09">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lt1"/>
    </cs:fontRef>
  </cs:dataPoint>
  <cs:dataPoint3D>
    <cs:lnRef idx="0"/>
    <cs:fillRef idx="3">
      <cs:styleClr val="auto"/>
    </cs:fillRef>
    <cs:effectRef idx="3"/>
    <cs:fontRef idx="minor">
      <a:schemeClr val="lt1"/>
    </cs:fontRef>
  </cs:dataPoint3D>
  <cs:dataPointLine>
    <cs:lnRef idx="0">
      <cs:styleClr val="auto"/>
    </cs:lnRef>
    <cs:fillRef idx="3"/>
    <cs:effectRef idx="3"/>
    <cs:fontRef idx="minor">
      <a:schemeClr val="lt1"/>
    </cs:fontRef>
    <cs:spPr>
      <a:ln w="34925" cap="rnd">
        <a:solidFill>
          <a:schemeClr val="phClr"/>
        </a:solidFill>
        <a:round/>
      </a:ln>
    </cs:spPr>
  </cs:dataPointLine>
  <cs:dataPointMarker>
    <cs:lnRef idx="0">
      <cs:styleClr val="auto"/>
    </cs:lnRef>
    <cs:fillRef idx="3">
      <cs:styleClr val="auto"/>
    </cs:fillRef>
    <cs:effectRef idx="3"/>
    <cs:fontRef idx="minor">
      <a:schemeClr val="lt1"/>
    </cs:fontRef>
    <cs:spPr>
      <a:ln w="9525">
        <a:solidFill>
          <a:schemeClr val="phClr"/>
        </a:solidFill>
        <a:round/>
      </a:ln>
    </cs:spPr>
  </cs:dataPointMarker>
  <cs:dataPointMarkerLayout symbol="circle" size="6"/>
  <cs:dataPointWireframe>
    <cs:lnRef idx="0">
      <cs:styleClr val="auto"/>
    </cs:lnRef>
    <cs:fillRef idx="3"/>
    <cs:effectRef idx="3"/>
    <cs:fontRef idx="minor">
      <a:schemeClr val="lt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lt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lt1"/>
    </cs:fontRef>
    <cs:spPr>
      <a:ln w="9525">
        <a:solidFill>
          <a:schemeClr val="lt1">
            <a:lumMod val="95000"/>
            <a:alpha val="54000"/>
          </a:schemeClr>
        </a:solidFill>
        <a:prstDash val="dash"/>
      </a:ln>
    </cs:spPr>
  </cs:dropLine>
  <cs:errorBar>
    <cs:lnRef idx="0"/>
    <cs:fillRef idx="0"/>
    <cs:effectRef idx="0"/>
    <cs:fontRef idx="minor">
      <a:schemeClr val="lt1"/>
    </cs:fontRef>
    <cs:spPr>
      <a:ln w="9525" cap="flat" cmpd="sng" algn="ctr">
        <a:solidFill>
          <a:schemeClr val="lt1">
            <a:lumMod val="95000"/>
          </a:schemeClr>
        </a:solidFill>
        <a:round/>
      </a:ln>
    </cs:spPr>
  </cs:errorBar>
  <cs:floor>
    <cs:lnRef idx="0"/>
    <cs:fillRef idx="0"/>
    <cs:effectRef idx="0"/>
    <cs:fontRef idx="minor">
      <a:schemeClr val="lt1"/>
    </cs:fontRef>
  </cs:floor>
  <cs:gridlineMajor>
    <cs:lnRef idx="0"/>
    <cs:fillRef idx="0"/>
    <cs:effectRef idx="0"/>
    <cs:fontRef idx="minor">
      <a:schemeClr val="lt1"/>
    </cs:fontRef>
    <cs:spPr>
      <a:ln w="9525" cap="flat" cmpd="sng" algn="ctr">
        <a:solidFill>
          <a:schemeClr val="lt1">
            <a:lumMod val="95000"/>
            <a:alpha val="10000"/>
          </a:schemeClr>
        </a:solidFill>
        <a:round/>
      </a:ln>
    </cs:spPr>
  </cs:gridlineMajor>
  <cs:gridlineMinor>
    <cs:lnRef idx="0"/>
    <cs:fillRef idx="0"/>
    <cs:effectRef idx="0"/>
    <cs:fontRef idx="minor">
      <a:schemeClr val="lt1"/>
    </cs:fontRef>
    <cs:spPr>
      <a:ln>
        <a:solidFill>
          <a:schemeClr val="lt1">
            <a:lumMod val="95000"/>
            <a:alpha val="5000"/>
          </a:schemeClr>
        </a:solidFill>
      </a:ln>
    </cs:spPr>
  </cs:gridlineMinor>
  <cs:hiLoLine>
    <cs:lnRef idx="0"/>
    <cs:fillRef idx="0"/>
    <cs:effectRef idx="0"/>
    <cs:fontRef idx="minor">
      <a:schemeClr val="lt1"/>
    </cs:fontRef>
    <cs:spPr>
      <a:ln w="9525">
        <a:solidFill>
          <a:schemeClr val="lt1">
            <a:lumMod val="95000"/>
            <a:alpha val="54000"/>
          </a:schemeClr>
        </a:solidFill>
        <a:prstDash val="dash"/>
      </a:ln>
    </cs:spPr>
  </cs:hiLoLine>
  <cs:leaderLine>
    <cs:lnRef idx="0"/>
    <cs:fillRef idx="0"/>
    <cs:effectRef idx="0"/>
    <cs:fontRef idx="minor">
      <a:schemeClr val="lt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lt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lt1"/>
    </cs:fontRef>
  </cs:wall>
</cs:chartStyle>
</file>

<file path=xl/charts/style31.xml><?xml version="1.0" encoding="utf-8"?>
<cs:chartStyle xmlns:cs="http://schemas.microsoft.com/office/drawing/2012/chartStyle" xmlns:a="http://schemas.openxmlformats.org/drawingml/2006/main" id="236">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75000"/>
                <a:lumOff val="25000"/>
              </a:schemeClr>
            </a:gs>
            <a:gs pos="0">
              <a:schemeClr val="dk1">
                <a:lumMod val="65000"/>
                <a:lumOff val="35000"/>
              </a:schemeClr>
            </a:gs>
          </a:gsLst>
          <a:lin ang="5400000" scaled="0"/>
        </a:gradFill>
        <a:round/>
      </a:ln>
    </cs:spPr>
  </cs:gridlineMajor>
  <cs:gridlineMinor>
    <cs:lnRef idx="0"/>
    <cs:fillRef idx="0"/>
    <cs:effectRef idx="0"/>
    <cs:fontRef idx="minor">
      <a:schemeClr val="dk1"/>
    </cs:fontRef>
    <cs:spPr>
      <a:ln w="9525" cap="flat" cmpd="sng" algn="ctr">
        <a:gradFill>
          <a:gsLst>
            <a:gs pos="100000">
              <a:schemeClr val="dk1">
                <a:lumMod val="75000"/>
                <a:lumOff val="25000"/>
                <a:alpha val="25000"/>
              </a:schemeClr>
            </a:gs>
            <a:gs pos="0">
              <a:schemeClr val="dk1">
                <a:lumMod val="65000"/>
                <a:lumOff val="35000"/>
                <a:alpha val="25000"/>
              </a:schemeClr>
            </a:gs>
          </a:gsLst>
          <a:lin ang="5400000" scaled="0"/>
        </a:gra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defRPr sz="900" kern="1200"/>
  </cs:valueAxis>
  <cs:wall>
    <cs:lnRef idx="0"/>
    <cs:fillRef idx="0"/>
    <cs:effectRef idx="0"/>
    <cs:fontRef idx="minor">
      <a:schemeClr val="dk1"/>
    </cs:fontRef>
  </cs:wall>
</cs:chartStyle>
</file>

<file path=xl/charts/style32.xml><?xml version="1.0" encoding="utf-8"?>
<cs:chartStyle xmlns:cs="http://schemas.microsoft.com/office/drawing/2012/chartStyle" xmlns:a="http://schemas.openxmlformats.org/drawingml/2006/main" id="328">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gradFill>
        <a:gsLst>
          <a:gs pos="100000">
            <a:schemeClr val="dk1">
              <a:lumMod val="95000"/>
              <a:lumOff val="5000"/>
            </a:schemeClr>
          </a:gs>
          <a:gs pos="0">
            <a:schemeClr val="dk1">
              <a:lumMod val="75000"/>
              <a:lumOff val="25000"/>
            </a:schemeClr>
          </a:gs>
        </a:gsLst>
        <a:path path="circle">
          <a:fillToRect l="50000" t="50000" r="50000" b="50000"/>
        </a:path>
      </a:gradFill>
      <a:ln w="9525">
        <a:solidFill>
          <a:schemeClr val="dk1">
            <a:lumMod val="75000"/>
            <a:lumOff val="25000"/>
          </a:schemeClr>
        </a:solidFill>
      </a:ln>
    </cs:spPr>
  </cs:downBar>
  <cs:dropLine>
    <cs:lnRef idx="0"/>
    <cs:fillRef idx="0"/>
    <cs:effectRef idx="0"/>
    <cs:fontRef idx="minor">
      <a:schemeClr val="tx1"/>
    </cs:fontRef>
    <cs:spPr>
      <a:ln w="9525" cap="flat" cmpd="sng" algn="ctr">
        <a:solidFill>
          <a:schemeClr val="lt1"/>
        </a:solidFill>
        <a:round/>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cap="flat" cmpd="sng" algn="ctr">
        <a:solidFill>
          <a:schemeClr val="lt1"/>
        </a:solidFill>
        <a:round/>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gradFill>
        <a:gsLst>
          <a:gs pos="100000">
            <a:schemeClr val="lt1">
              <a:lumMod val="85000"/>
            </a:schemeClr>
          </a:gs>
          <a:gs pos="0">
            <a:schemeClr val="lt1"/>
          </a:gs>
        </a:gsLst>
        <a:path path="circle">
          <a:fillToRect l="50000" t="50000" r="50000" b="50000"/>
        </a:path>
      </a:gradFill>
      <a:ln w="9525" cap="flat" cmpd="sng" algn="ctr">
        <a:solidFill>
          <a:schemeClr val="lt1"/>
        </a:solidFill>
        <a:round/>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3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3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9.xml><?xml version="1.0" encoding="utf-8"?>
<cs:chartStyle xmlns:cs="http://schemas.microsoft.com/office/drawing/2012/chartStyle" xmlns:a="http://schemas.openxmlformats.org/drawingml/2006/main" id="23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b="0" i="0" u="none" strike="noStrike" kern="1200" baseline="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40.xml><?xml version="1.0" encoding="utf-8"?>
<cs:chartStyle xmlns:cs="http://schemas.microsoft.com/office/drawing/2012/chartStyle" xmlns:a="http://schemas.openxmlformats.org/drawingml/2006/main" id="204">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defRPr sz="900" kern="1200">
      <a:effectLst/>
    </cs:defRPr>
  </cs:categoryAxis>
  <cs:chartArea>
    <cs:lnRef idx="0"/>
    <cs:fillRef idx="0"/>
    <cs:effectRef idx="0"/>
    <cs:fontRef idx="minor">
      <a:schemeClr val="dk1"/>
    </cs:fontRef>
    <cs: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cs:spPr>
    <cs:defRPr sz="1000" kern="1200"/>
  </cs:chartArea>
  <cs:dataLabel>
    <cs:lnRef idx="0"/>
    <cs:fillRef idx="0"/>
    <cs:effectRef idx="0"/>
    <cs:fontRef idx="minor">
      <a:schemeClr val="lt1"/>
    </cs:fontRef>
    <cs:spPr/>
    <cs:defRPr sz="10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1000" b="1"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
  <cs:dataPoint3D>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3D>
  <cs:dataPointLine>
    <cs:lnRef idx="0">
      <cs:styleClr val="auto"/>
    </cs:lnRef>
    <cs:fillRef idx="0"/>
    <cs:effectRef idx="0"/>
    <cs:fontRef idx="minor">
      <a:schemeClr val="dk1"/>
    </cs:fontRef>
    <cs:spPr>
      <a:ln w="28575" cap="rnd">
        <a:gradFill>
          <a:gsLst>
            <a:gs pos="0">
              <a:schemeClr val="phClr"/>
            </a:gs>
            <a:gs pos="100000">
              <a:schemeClr val="phClr">
                <a:lumMod val="84000"/>
              </a:schemeClr>
            </a:gs>
          </a:gsLst>
          <a:lin ang="5400000" scaled="1"/>
        </a:gradFill>
        <a:round/>
      </a:ln>
    </cs:spPr>
  </cs:dataPointLine>
  <cs:dataPointMarker>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35000"/>
          <a:lumOff val="6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50000"/>
            <a:lumOff val="50000"/>
          </a:schemeClr>
        </a:solidFill>
        <a:round/>
      </a:ln>
    </cs:spPr>
  </cs:dropLine>
  <cs:errorBar>
    <cs:lnRef idx="0"/>
    <cs:fillRef idx="0"/>
    <cs:effectRef idx="0"/>
    <cs:fontRef idx="minor">
      <a:schemeClr val="dk1"/>
    </cs:fontRef>
    <cs:spPr>
      <a:ln w="9525">
        <a:solidFill>
          <a:schemeClr val="dk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50000"/>
            <a:lumOff val="50000"/>
          </a:schemeClr>
        </a:solidFill>
        <a:round/>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65000"/>
        <a:lumOff val="35000"/>
      </a:schemeClr>
    </cs:fontRef>
    <cs:defRPr kern="1200">
      <a:effectLst/>
    </cs:defRPr>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lumMod val="95000"/>
        </a:schemeClr>
      </a:solidFill>
      <a:ln w="9525">
        <a:solidFill>
          <a:schemeClr val="dk1">
            <a:lumMod val="15000"/>
            <a:lumOff val="85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41.xml><?xml version="1.0" encoding="utf-8"?>
<cs:chartStyle xmlns:cs="http://schemas.microsoft.com/office/drawing/2012/chartStyle" xmlns:a="http://schemas.openxmlformats.org/drawingml/2006/main" id="242">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9525" cap="rnd">
        <a:solidFill>
          <a:schemeClr val="phClr"/>
        </a:solidFill>
        <a:round/>
      </a:ln>
    </cs:spPr>
  </cs:dataPointLine>
  <cs:dataPointMarker>
    <cs:lnRef idx="0">
      <cs:styleClr val="auto"/>
    </cs:lnRef>
    <cs:fillRef idx="3">
      <cs:styleClr val="auto"/>
    </cs:fillRef>
    <cs:effectRef idx="2"/>
    <cs:fontRef idx="minor">
      <a:schemeClr val="tx2"/>
    </cs:fontRef>
    <cs:spPr>
      <a:ln w="9525">
        <a:solidFill>
          <a:schemeClr val="phClr"/>
        </a:solidFill>
        <a:round/>
      </a:ln>
    </cs:spPr>
  </cs:dataPointMarker>
  <cs:dataPointMarkerLayout symbol="circle" size="5"/>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9525" cap="rnd">
        <a:solidFill>
          <a:schemeClr val="phClr"/>
        </a:solidFill>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spPr>
      <a:ln>
        <a:solidFill>
          <a:schemeClr val="tx2">
            <a:lumMod val="40000"/>
            <a:lumOff val="60000"/>
          </a:schemeClr>
        </a:solidFill>
      </a:ln>
    </cs:spPr>
    <cs:defRPr sz="900" kern="1200"/>
  </cs:valueAxis>
  <cs:wall>
    <cs:lnRef idx="0"/>
    <cs:fillRef idx="0"/>
    <cs:effectRef idx="0"/>
    <cs:fontRef idx="minor">
      <a:schemeClr val="tx2"/>
    </cs:fontRef>
  </cs:wall>
</cs:chartStyle>
</file>

<file path=xl/charts/style4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3.xml><?xml version="1.0" encoding="utf-8"?>
<cs:chartStyle xmlns:cs="http://schemas.microsoft.com/office/drawing/2012/chartStyle" xmlns:a="http://schemas.openxmlformats.org/drawingml/2006/main" id="23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b="0" i="0" u="none" strike="noStrike" kern="1200" baseline="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44.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45.xml><?xml version="1.0" encoding="utf-8"?>
<cs:chartStyle xmlns:cs="http://schemas.microsoft.com/office/drawing/2012/chartStyle" xmlns:a="http://schemas.openxmlformats.org/drawingml/2006/main" id="204">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defRPr sz="900" kern="1200">
      <a:effectLst/>
    </cs:defRPr>
  </cs:categoryAxis>
  <cs:chartArea>
    <cs:lnRef idx="0"/>
    <cs:fillRef idx="0"/>
    <cs:effectRef idx="0"/>
    <cs:fontRef idx="minor">
      <a:schemeClr val="dk1"/>
    </cs:fontRef>
    <cs: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cs:spPr>
    <cs:defRPr sz="1000" kern="1200"/>
  </cs:chartArea>
  <cs:dataLabel>
    <cs:lnRef idx="0"/>
    <cs:fillRef idx="0"/>
    <cs:effectRef idx="0"/>
    <cs:fontRef idx="minor">
      <a:schemeClr val="lt1"/>
    </cs:fontRef>
    <cs:spPr/>
    <cs:defRPr sz="10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1000" b="1"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
  <cs:dataPoint3D>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3D>
  <cs:dataPointLine>
    <cs:lnRef idx="0">
      <cs:styleClr val="auto"/>
    </cs:lnRef>
    <cs:fillRef idx="0"/>
    <cs:effectRef idx="0"/>
    <cs:fontRef idx="minor">
      <a:schemeClr val="dk1"/>
    </cs:fontRef>
    <cs:spPr>
      <a:ln w="28575" cap="rnd">
        <a:gradFill>
          <a:gsLst>
            <a:gs pos="0">
              <a:schemeClr val="phClr"/>
            </a:gs>
            <a:gs pos="100000">
              <a:schemeClr val="phClr">
                <a:lumMod val="84000"/>
              </a:schemeClr>
            </a:gs>
          </a:gsLst>
          <a:lin ang="5400000" scaled="1"/>
        </a:gradFill>
        <a:round/>
      </a:ln>
    </cs:spPr>
  </cs:dataPointLine>
  <cs:dataPointMarker>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35000"/>
          <a:lumOff val="6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50000"/>
            <a:lumOff val="50000"/>
          </a:schemeClr>
        </a:solidFill>
        <a:round/>
      </a:ln>
    </cs:spPr>
  </cs:dropLine>
  <cs:errorBar>
    <cs:lnRef idx="0"/>
    <cs:fillRef idx="0"/>
    <cs:effectRef idx="0"/>
    <cs:fontRef idx="minor">
      <a:schemeClr val="dk1"/>
    </cs:fontRef>
    <cs:spPr>
      <a:ln w="9525">
        <a:solidFill>
          <a:schemeClr val="dk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50000"/>
            <a:lumOff val="50000"/>
          </a:schemeClr>
        </a:solidFill>
        <a:round/>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65000"/>
        <a:lumOff val="35000"/>
      </a:schemeClr>
    </cs:fontRef>
    <cs:defRPr kern="1200">
      <a:effectLst/>
    </cs:defRPr>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lumMod val="95000"/>
        </a:schemeClr>
      </a:solidFill>
      <a:ln w="9525">
        <a:solidFill>
          <a:schemeClr val="dk1">
            <a:lumMod val="15000"/>
            <a:lumOff val="85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4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7.xml><?xml version="1.0" encoding="utf-8"?>
<cs:chartStyle xmlns:cs="http://schemas.microsoft.com/office/drawing/2012/chartStyle" xmlns:a="http://schemas.openxmlformats.org/drawingml/2006/main" id="293">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bg1"/>
    </cs:fontRef>
    <cs:spPr>
      <a:solidFill>
        <a:schemeClr val="tx1">
          <a:lumMod val="50000"/>
          <a:lumOff val="50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gradFill flip="none" rotWithShape="1">
        <a:gsLst>
          <a:gs pos="0">
            <a:schemeClr val="phClr"/>
          </a:gs>
          <a:gs pos="75000">
            <a:schemeClr val="phClr">
              <a:lumMod val="60000"/>
              <a:lumOff val="40000"/>
            </a:schemeClr>
          </a:gs>
          <a:gs pos="51000">
            <a:schemeClr val="phClr">
              <a:alpha val="75000"/>
            </a:schemeClr>
          </a:gs>
          <a:gs pos="100000">
            <a:schemeClr val="phClr">
              <a:lumMod val="20000"/>
              <a:lumOff val="80000"/>
              <a:alpha val="15000"/>
            </a:schemeClr>
          </a:gs>
        </a:gsLst>
        <a:lin ang="5400000" scaled="0"/>
      </a:gradFill>
    </cs:spPr>
  </cs:dataPoint>
  <cs:dataPoint3D>
    <cs:lnRef idx="0"/>
    <cs:fillRef idx="0">
      <cs:styleClr val="auto"/>
    </cs:fillRef>
    <cs:effectRef idx="0"/>
    <cs:fontRef idx="minor">
      <a:schemeClr val="tx1"/>
    </cs:fontRef>
    <cs:spPr>
      <a:gradFill>
        <a:gsLst>
          <a:gs pos="100000">
            <a:schemeClr val="phClr">
              <a:alpha val="0"/>
            </a:schemeClr>
          </a:gs>
          <a:gs pos="50000">
            <a:schemeClr val="phClr"/>
          </a:gs>
        </a:gsLst>
        <a:lin ang="5400000" scaled="0"/>
      </a:gradFill>
      <a:sp3d/>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styleClr val="auto"/>
    </cs:lnRef>
    <cs:fillRef idx="0">
      <cs:styleClr val="auto"/>
    </cs:fillRef>
    <cs:effectRef idx="0"/>
    <cs:fontRef idx="minor">
      <a:schemeClr val="dk1"/>
    </cs:fontRef>
    <cs:spPr>
      <a:gradFill flip="none" rotWithShape="1">
        <a:gsLst>
          <a:gs pos="0">
            <a:schemeClr val="phClr"/>
          </a:gs>
          <a:gs pos="75000">
            <a:schemeClr val="phClr">
              <a:lumMod val="60000"/>
              <a:lumOff val="40000"/>
            </a:schemeClr>
          </a:gs>
          <a:gs pos="51000">
            <a:schemeClr val="phClr">
              <a:alpha val="75000"/>
            </a:schemeClr>
          </a:gs>
          <a:gs pos="100000">
            <a:schemeClr val="phClr">
              <a:lumMod val="20000"/>
              <a:lumOff val="80000"/>
              <a:alpha val="15000"/>
            </a:schemeClr>
          </a:gs>
        </a:gsLst>
        <a:lin ang="5400000" scaled="0"/>
      </a:gradFill>
      <a:ln w="9525" cap="flat" cmpd="sng" algn="ctr">
        <a:solidFill>
          <a:schemeClr val="phClr">
            <a:shade val="95000"/>
          </a:scheme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65000"/>
            <a:lumOff val="3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cap="flat" cmpd="sng" algn="ctr">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tx1">
            <a:lumMod val="5000"/>
            <a:lumOff val="9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headEnd type="none" w="sm" len="sm"/>
        <a:tailEnd type="none" w="sm" len="sm"/>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800" b="1" kern="1200" cap="all" spc="50" baseline="0"/>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48.xml><?xml version="1.0" encoding="utf-8"?>
<cs:chartStyle xmlns:cs="http://schemas.microsoft.com/office/drawing/2012/chartStyle" xmlns:a="http://schemas.openxmlformats.org/drawingml/2006/main" id="231">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49.xml><?xml version="1.0" encoding="utf-8"?>
<cs:chartStyle xmlns:cs="http://schemas.microsoft.com/office/drawing/2012/chartStyle" xmlns:a="http://schemas.openxmlformats.org/drawingml/2006/main" id="233">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9525" cap="flat" cmpd="sng" algn="ctr">
        <a:solidFill>
          <a:schemeClr val="lt1">
            <a:lumMod val="95000"/>
            <a:alpha val="10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50.xml><?xml version="1.0" encoding="utf-8"?>
<cs:chartStyle xmlns:cs="http://schemas.microsoft.com/office/drawing/2012/chartStyle" xmlns:a="http://schemas.openxmlformats.org/drawingml/2006/main" id="230">
  <cs:axisTitle>
    <cs:lnRef idx="0"/>
    <cs:fillRef idx="0"/>
    <cs:effectRef idx="0"/>
    <cs:fontRef idx="minor">
      <a:schemeClr val="dk1">
        <a:lumMod val="65000"/>
        <a:lumOff val="35000"/>
      </a:schemeClr>
    </cs:fontRef>
    <cs:defRPr sz="900" kern="1200" cap="all"/>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b="0" kern="1200" spc="20" baseline="0"/>
  </cs:categoryAxis>
  <cs:chartArea mods="allowNoLineOverride">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0"/>
    <cs:effectRef idx="0"/>
    <cs:fontRef idx="minor">
      <a:schemeClr val="dk1"/>
    </cs:fontRef>
    <cs:spPr>
      <a:ln w="22225" cap="rnd" cmpd="sng" algn="ctr">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cap="flat" cmpd="sng" algn="ctr">
        <a:solidFill>
          <a:schemeClr val="phClr"/>
        </a:solidFill>
        <a:round/>
      </a:ln>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65000"/>
            <a:lumOff val="35000"/>
          </a:schemeClr>
        </a:solidFill>
      </a:ln>
    </cs:spPr>
  </cs:downBar>
  <cs:dropLine>
    <cs:lnRef idx="0"/>
    <cs:fillRef idx="0"/>
    <cs:effectRef idx="0"/>
    <cs:fontRef idx="minor">
      <a:schemeClr val="dk1"/>
    </cs:fontRef>
    <cs:spPr>
      <a:ln w="9525" cap="flat" cmpd="sng" algn="ctr">
        <a:solidFill>
          <a:schemeClr val="dk1">
            <a:lumMod val="35000"/>
            <a:lumOff val="65000"/>
            <a:alpha val="33000"/>
          </a:schemeClr>
        </a:solidFill>
        <a:round/>
      </a:ln>
    </cs:spPr>
  </cs:dropLine>
  <cs:errorBar>
    <cs:lnRef idx="0"/>
    <cs:fillRef idx="0"/>
    <cs:effectRef idx="0"/>
    <cs:fontRef idx="minor">
      <a:schemeClr val="dk1"/>
    </cs:fontRef>
    <cs:spPr>
      <a:ln w="9525">
        <a:solidFill>
          <a:schemeClr val="dk1">
            <a:lumMod val="65000"/>
            <a:lumOff val="35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gradFill>
        <a:gsLst>
          <a:gs pos="100000">
            <a:schemeClr val="lt1">
              <a:lumMod val="95000"/>
            </a:schemeClr>
          </a:gs>
          <a:gs pos="0">
            <a:schemeClr val="lt1"/>
          </a:gs>
        </a:gsLst>
        <a:lin ang="5400000" scaled="0"/>
      </a:gradFill>
    </cs:spPr>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prstDash val="dash"/>
      </a:ln>
    </cs:spPr>
  </cs:seriesLine>
  <cs:title>
    <cs:lnRef idx="0"/>
    <cs:fillRef idx="0"/>
    <cs:effectRef idx="0"/>
    <cs:fontRef idx="minor">
      <a:schemeClr val="dk1">
        <a:lumMod val="50000"/>
        <a:lumOff val="50000"/>
      </a:schemeClr>
    </cs:fontRef>
    <cs:defRPr sz="1400" kern="1200" cap="none" spc="20" baseline="0"/>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65000"/>
        <a:lumOff val="35000"/>
      </a:schemeClr>
    </cs:fontRef>
    <cs:defRPr sz="900" kern="1200" spc="20" baseline="0"/>
  </cs:valueAxis>
  <cs:wall>
    <cs:lnRef idx="0"/>
    <cs:fillRef idx="0"/>
    <cs:effectRef idx="0"/>
    <cs:fontRef idx="minor">
      <a:schemeClr val="dk1"/>
    </cs:fontRef>
  </cs:wall>
</cs:chartStyle>
</file>

<file path=xl/charts/style51.xml><?xml version="1.0" encoding="utf-8"?>
<cs:chartStyle xmlns:cs="http://schemas.microsoft.com/office/drawing/2012/chartStyle" xmlns:a="http://schemas.openxmlformats.org/drawingml/2006/main" id="23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b="0" i="0" u="none" strike="noStrike" kern="1200" baseline="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52.xml><?xml version="1.0" encoding="utf-8"?>
<cs:chartStyle xmlns:cs="http://schemas.microsoft.com/office/drawing/2012/chartStyle" xmlns:a="http://schemas.openxmlformats.org/drawingml/2006/main" id="23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b="0" i="0" u="none" strike="noStrike" kern="1200" baseline="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53.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54.xml><?xml version="1.0" encoding="utf-8"?>
<cs:chartStyle xmlns:cs="http://schemas.microsoft.com/office/drawing/2012/chartStyle" xmlns:a="http://schemas.openxmlformats.org/drawingml/2006/main" id="344">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55.xml><?xml version="1.0" encoding="utf-8"?>
<cs:chartStyle xmlns:cs="http://schemas.microsoft.com/office/drawing/2012/chartStyle" xmlns:a="http://schemas.openxmlformats.org/drawingml/2006/main" id="28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dk1"/>
    </cs:fontRef>
    <cs:spPr>
      <a:solidFill>
        <a:schemeClr val="phClr">
          <a:alpha val="85000"/>
        </a:schemeClr>
      </a:solidFill>
      <a:ln w="9525" cap="flat" cmpd="sng" algn="ctr">
        <a:solidFill>
          <a:schemeClr val="phClr">
            <a:lumMod val="75000"/>
          </a:schemeClr>
        </a:solidFill>
        <a:round/>
      </a:ln>
    </cs:spPr>
  </cs:dataPoint>
  <cs:dataPoint3D>
    <cs:lnRef idx="0">
      <cs:styleClr val="auto"/>
    </cs:lnRef>
    <cs:fillRef idx="0">
      <cs:styleClr val="auto"/>
    </cs:fillRef>
    <cs:effectRef idx="0">
      <cs:styleClr val="auto"/>
    </cs:effectRef>
    <cs:fontRef idx="minor">
      <a:schemeClr val="dk1"/>
    </cs:fontRef>
    <cs:spPr>
      <a:solidFill>
        <a:schemeClr val="phClr">
          <a:alpha val="85000"/>
        </a:schemeClr>
      </a:solidFill>
      <a:ln w="9525" cap="flat" cmpd="sng" algn="ctr">
        <a:solidFill>
          <a:schemeClr val="phClr">
            <a:lumMod val="75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spPr>
      <a:solidFill>
        <a:schemeClr val="lt1">
          <a:lumMod val="95000"/>
        </a:schemeClr>
      </a:solidFill>
      <a:sp3d/>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56.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7.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8.xml><?xml version="1.0" encoding="utf-8"?>
<cs:chartStyle xmlns:cs="http://schemas.microsoft.com/office/drawing/2012/chartStyle" xmlns:a="http://schemas.openxmlformats.org/drawingml/2006/main" id="25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cs:styleClr val="auto"/>
    </cs:fontRef>
    <cs:defRPr sz="1000" b="1" i="0" u="none" strike="noStrike" kern="1200" spc="0" baseline="0"/>
  </cs:dataLabel>
  <cs:dataLabelCallout>
    <cs:lnRef idx="0">
      <cs:styleClr val="auto"/>
    </cs:lnRef>
    <cs:fillRef idx="0"/>
    <cs:effectRef idx="0"/>
    <cs:fontRef idx="minor">
      <cs:styleClr val="auto"/>
    </cs:fontRef>
    <cs:spPr>
      <a:solidFill>
        <a:schemeClr val="lt1"/>
      </a:solidFill>
      <a:ln>
        <a:solidFill>
          <a:schemeClr val="phClr"/>
        </a:solidFill>
      </a:ln>
    </cs:spPr>
    <cs:defRPr sz="10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635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10000"/>
          </a:prstClr>
        </a:outerShdw>
      </a:effectLst>
      <a:scene3d>
        <a:camera prst="orthographicFront"/>
        <a:lightRig rig="threePt" dir="t"/>
      </a:scene3d>
      <a:sp3d>
        <a:bevelT w="127000" h="127000"/>
        <a:bevelB w="127000" h="127000"/>
      </a:sp3d>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9.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0.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2.xml><?xml version="1.0" encoding="utf-8"?>
<cs:chartStyle xmlns:cs="http://schemas.microsoft.com/office/drawing/2012/chartStyle" xmlns:a="http://schemas.openxmlformats.org/drawingml/2006/main" id="133">
  <cs:axisTitle>
    <cs:lnRef idx="0"/>
    <cs:fillRef idx="0"/>
    <cs:effectRef idx="0"/>
    <cs:fontRef idx="minor">
      <a:schemeClr val="dk1"/>
    </cs:fontRef>
    <cs:defRPr sz="1000" b="1" kern="1200"/>
  </cs:axisTitle>
  <cs:categoryAxis>
    <cs:lnRef idx="1">
      <a:schemeClr val="dk1">
        <a:tint val="75000"/>
      </a:schemeClr>
    </cs:lnRef>
    <cs:fillRef idx="0"/>
    <cs:effectRef idx="0"/>
    <cs:fontRef idx="minor">
      <a:schemeClr val="dk1"/>
    </cs:fontRef>
    <cs:spPr>
      <a:ln>
        <a:round/>
      </a:ln>
    </cs:spPr>
    <cs:defRPr sz="1000" kern="1200"/>
  </cs:categoryAxis>
  <cs:chartArea>
    <cs:lnRef idx="1">
      <a:schemeClr val="dk1">
        <a:tint val="75000"/>
      </a:schemeClr>
    </cs:lnRef>
    <cs:fillRef idx="1">
      <a:schemeClr val="lt1"/>
    </cs:fillRef>
    <cs:effectRef idx="0"/>
    <cs:fontRef idx="minor">
      <a:schemeClr val="dk1"/>
    </cs:fontRef>
    <cs:spPr>
      <a:ln>
        <a:round/>
      </a:ln>
    </cs:spPr>
    <cs:defRPr sz="1000" kern="1200"/>
  </cs:chartArea>
  <cs:dataLabel>
    <cs:lnRef idx="0"/>
    <cs:fillRef idx="0"/>
    <cs:effectRef idx="0"/>
    <cs:fontRef idx="minor">
      <a:schemeClr val="dk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1">
      <a:schemeClr val="dk1">
        <a:tint val="92000"/>
      </a:schemeClr>
    </cs:lnRef>
    <cs:fillRef idx="1">
      <cs:styleClr val="auto"/>
    </cs:fillRef>
    <cs:effectRef idx="0"/>
    <cs:fontRef idx="minor">
      <a:schemeClr val="dk1"/>
    </cs:fontRef>
    <cs:spPr>
      <a:ln>
        <a:round/>
      </a:ln>
    </cs:spPr>
  </cs:dataPoint>
  <cs:dataPoint3D>
    <cs:lnRef idx="1">
      <a:schemeClr val="dk1">
        <a:tint val="92000"/>
      </a:schemeClr>
    </cs:lnRef>
    <cs:fillRef idx="1">
      <cs:styleClr val="auto"/>
    </cs:fillRef>
    <cs:effectRef idx="0"/>
    <cs:fontRef idx="minor">
      <a:schemeClr val="dk1"/>
    </cs:fontRef>
    <cs:spPr>
      <a:ln>
        <a:round/>
      </a:ln>
    </cs:spPr>
  </cs:dataPoint3D>
  <cs:dataPointLine>
    <cs:lnRef idx="1">
      <cs:styleClr val="auto"/>
    </cs:lnRef>
    <cs:lineWidthScale>5</cs:lineWidthScale>
    <cs:fillRef idx="0"/>
    <cs:effectRef idx="0"/>
    <cs:fontRef idx="minor">
      <a:schemeClr val="dk1"/>
    </cs:fontRef>
    <cs:spPr>
      <a:ln cap="rnd">
        <a:round/>
      </a:ln>
    </cs:spPr>
  </cs:dataPointLine>
  <cs:dataPointMarker>
    <cs:lnRef idx="1">
      <cs:styleClr val="auto"/>
    </cs:lnRef>
    <cs:fillRef idx="1">
      <cs:styleClr val="auto"/>
    </cs:fillRef>
    <cs:effectRef idx="0"/>
    <cs:fontRef idx="minor">
      <a:schemeClr val="dk1"/>
    </cs:fontRef>
    <cs:spPr>
      <a:ln>
        <a:round/>
      </a:ln>
    </cs:spPr>
  </cs:dataPointMarker>
  <cs:dataPointMarkerLayout/>
  <cs:dataPointWireframe>
    <cs:lnRef idx="1">
      <cs:styleClr val="auto"/>
    </cs:lnRef>
    <cs:fillRef idx="0"/>
    <cs:effectRef idx="0"/>
    <cs:fontRef idx="minor">
      <a:schemeClr val="dk1"/>
    </cs:fontRef>
    <cs:spPr>
      <a:ln>
        <a:round/>
      </a:ln>
    </cs:spPr>
  </cs:dataPointWireframe>
  <cs:dataTable>
    <cs:lnRef idx="1">
      <a:schemeClr val="dk1">
        <a:tint val="75000"/>
      </a:schemeClr>
    </cs:lnRef>
    <cs:fillRef idx="0"/>
    <cs:effectRef idx="0"/>
    <cs:fontRef idx="minor">
      <a:schemeClr val="dk1"/>
    </cs:fontRef>
    <cs:spPr>
      <a:ln>
        <a:round/>
      </a:ln>
    </cs:spPr>
    <cs:defRPr sz="1000" kern="1200"/>
  </cs:dataTable>
  <cs:downBar>
    <cs:lnRef idx="1">
      <a:schemeClr val="dk1"/>
    </cs:lnRef>
    <cs:fillRef idx="1">
      <a:schemeClr val="dk1">
        <a:tint val="85000"/>
      </a:schemeClr>
    </cs:fillRef>
    <cs:effectRef idx="0"/>
    <cs:fontRef idx="minor">
      <a:schemeClr val="dk1"/>
    </cs:fontRef>
    <cs:spPr>
      <a:ln>
        <a:round/>
      </a:ln>
    </cs:spPr>
  </cs:downBar>
  <cs:dropLine>
    <cs:lnRef idx="1">
      <a:schemeClr val="dk1"/>
    </cs:lnRef>
    <cs:fillRef idx="0"/>
    <cs:effectRef idx="0"/>
    <cs:fontRef idx="minor">
      <a:schemeClr val="dk1"/>
    </cs:fontRef>
    <cs:spPr>
      <a:ln>
        <a:round/>
      </a:ln>
    </cs:spPr>
  </cs:dropLine>
  <cs:errorBar>
    <cs:lnRef idx="1">
      <a:schemeClr val="dk1"/>
    </cs:lnRef>
    <cs:fillRef idx="1">
      <a:schemeClr val="dk1"/>
    </cs:fillRef>
    <cs:effectRef idx="0"/>
    <cs:fontRef idx="minor">
      <a:schemeClr val="dk1"/>
    </cs:fontRef>
    <cs:spPr>
      <a:ln>
        <a:round/>
      </a:ln>
    </cs:spPr>
  </cs:errorBar>
  <cs:floor>
    <cs:lnRef idx="1">
      <a:schemeClr val="dk1">
        <a:tint val="75000"/>
      </a:schemeClr>
    </cs:lnRef>
    <cs:fillRef idx="1">
      <a:schemeClr val="dk1">
        <a:tint val="20000"/>
      </a:schemeClr>
    </cs:fillRef>
    <cs:effectRef idx="0"/>
    <cs:fontRef idx="minor">
      <a:schemeClr val="dk1"/>
    </cs:fontRef>
    <cs:spPr>
      <a:ln>
        <a:round/>
      </a:ln>
    </cs:spPr>
  </cs:floor>
  <cs:gridlineMajor>
    <cs:lnRef idx="1">
      <a:schemeClr val="dk1">
        <a:tint val="75000"/>
      </a:schemeClr>
    </cs:lnRef>
    <cs:fillRef idx="0"/>
    <cs:effectRef idx="0"/>
    <cs:fontRef idx="minor">
      <a:schemeClr val="dk1"/>
    </cs:fontRef>
    <cs:spPr>
      <a:ln>
        <a:round/>
      </a:ln>
    </cs:spPr>
  </cs:gridlineMajor>
  <cs:gridlineMinor>
    <cs:lnRef idx="1">
      <a:schemeClr val="dk1">
        <a:tint val="50000"/>
      </a:schemeClr>
    </cs:lnRef>
    <cs:fillRef idx="0"/>
    <cs:effectRef idx="0"/>
    <cs:fontRef idx="minor">
      <a:schemeClr val="dk1"/>
    </cs:fontRef>
    <cs:spPr>
      <a:ln>
        <a:round/>
      </a:ln>
    </cs:spPr>
  </cs:gridlineMinor>
  <cs:hiLoLine>
    <cs:lnRef idx="1">
      <a:schemeClr val="dk1"/>
    </cs:lnRef>
    <cs:fillRef idx="0"/>
    <cs:effectRef idx="0"/>
    <cs:fontRef idx="minor">
      <a:schemeClr val="dk1"/>
    </cs:fontRef>
    <cs:spPr>
      <a:ln>
        <a:round/>
      </a:ln>
    </cs:spPr>
  </cs:hiLoLine>
  <cs:leaderLine>
    <cs:lnRef idx="1">
      <a:schemeClr val="dk1"/>
    </cs:lnRef>
    <cs:fillRef idx="0"/>
    <cs:effectRef idx="0"/>
    <cs:fontRef idx="minor">
      <a:schemeClr val="dk1"/>
    </cs:fontRef>
    <cs:spPr>
      <a:ln>
        <a:round/>
      </a:ln>
    </cs:spPr>
  </cs:leaderLine>
  <cs:legend>
    <cs:lnRef idx="0"/>
    <cs:fillRef idx="0"/>
    <cs:effectRef idx="0"/>
    <cs:fontRef idx="minor">
      <a:schemeClr val="dk1"/>
    </cs:fontRef>
    <cs:defRPr sz="1000" kern="1200"/>
  </cs:legend>
  <cs:plotArea>
    <cs:lnRef idx="0"/>
    <cs:fillRef idx="1">
      <a:schemeClr val="dk1">
        <a:tint val="20000"/>
      </a:schemeClr>
    </cs:fillRef>
    <cs:effectRef idx="0"/>
    <cs:fontRef idx="minor">
      <a:schemeClr val="dk1"/>
    </cs:fontRef>
  </cs:plotArea>
  <cs:plotArea3D>
    <cs:lnRef idx="0"/>
    <cs:fillRef idx="0"/>
    <cs:effectRef idx="0"/>
    <cs:fontRef idx="minor">
      <a:schemeClr val="dk1"/>
    </cs:fontRef>
  </cs:plotArea3D>
  <cs:seriesAxis>
    <cs:lnRef idx="1">
      <a:schemeClr val="dk1">
        <a:tint val="75000"/>
      </a:schemeClr>
    </cs:lnRef>
    <cs:fillRef idx="0"/>
    <cs:effectRef idx="0"/>
    <cs:fontRef idx="minor">
      <a:schemeClr val="dk1"/>
    </cs:fontRef>
    <cs:spPr>
      <a:ln>
        <a:round/>
      </a:ln>
    </cs:spPr>
    <cs:defRPr sz="1000" kern="1200"/>
  </cs:seriesAxis>
  <cs:seriesLine>
    <cs:lnRef idx="1">
      <a:schemeClr val="dk1"/>
    </cs:lnRef>
    <cs:fillRef idx="0"/>
    <cs:effectRef idx="0"/>
    <cs:fontRef idx="minor">
      <a:schemeClr val="dk1"/>
    </cs:fontRef>
    <cs:spPr>
      <a:ln>
        <a:round/>
      </a:ln>
    </cs:spPr>
  </cs:seriesLine>
  <cs:title>
    <cs:lnRef idx="0"/>
    <cs:fillRef idx="0"/>
    <cs:effectRef idx="0"/>
    <cs:fontRef idx="minor">
      <a:schemeClr val="dk1"/>
    </cs:fontRef>
    <cs:defRPr sz="1800" b="1" kern="1200"/>
  </cs:title>
  <cs:trendline>
    <cs:lnRef idx="1">
      <a:schemeClr val="dk1"/>
    </cs:lnRef>
    <cs:fillRef idx="0"/>
    <cs:effectRef idx="0"/>
    <cs:fontRef idx="minor">
      <a:schemeClr val="dk1"/>
    </cs:fontRef>
    <cs:spPr>
      <a:ln cap="rnd">
        <a:round/>
      </a:ln>
    </cs:spPr>
  </cs:trendline>
  <cs:trendlineLabel>
    <cs:lnRef idx="0"/>
    <cs:fillRef idx="0"/>
    <cs:effectRef idx="0"/>
    <cs:fontRef idx="minor">
      <a:schemeClr val="dk1"/>
    </cs:fontRef>
    <cs:defRPr sz="1000" kern="1200"/>
  </cs:trendlineLabel>
  <cs:upBar>
    <cs:lnRef idx="1">
      <a:schemeClr val="dk1"/>
    </cs:lnRef>
    <cs:fillRef idx="1">
      <a:schemeClr val="lt1"/>
    </cs:fillRef>
    <cs:effectRef idx="0"/>
    <cs:fontRef idx="minor">
      <a:schemeClr val="dk1"/>
    </cs:fontRef>
    <cs:spPr>
      <a:ln>
        <a:round/>
      </a:ln>
    </cs:spPr>
  </cs:upBar>
  <cs:valueAxis>
    <cs:lnRef idx="1">
      <a:schemeClr val="dk1">
        <a:tint val="75000"/>
      </a:schemeClr>
    </cs:lnRef>
    <cs:fillRef idx="0"/>
    <cs:effectRef idx="0"/>
    <cs:fontRef idx="minor">
      <a:schemeClr val="dk1"/>
    </cs:fontRef>
    <cs:spPr>
      <a:ln>
        <a:round/>
      </a:ln>
    </cs:spPr>
    <cs:defRPr sz="1000" kern="1200"/>
  </cs:valueAxis>
  <cs:wall>
    <cs:lnRef idx="0"/>
    <cs:fillRef idx="1">
      <a:schemeClr val="dk1">
        <a:tint val="20000"/>
      </a:schemeClr>
    </cs:fillRef>
    <cs:effectRef idx="0"/>
    <cs:fontRef idx="minor">
      <a:schemeClr val="dk1"/>
    </cs:fontRef>
  </cs:wall>
</cs:chartStyle>
</file>

<file path=xl/charts/style63.xml><?xml version="1.0" encoding="utf-8"?>
<cs:chartStyle xmlns:cs="http://schemas.microsoft.com/office/drawing/2012/chartStyle" xmlns:a="http://schemas.openxmlformats.org/drawingml/2006/main" id="263">
  <cs:axisTitle>
    <cs:lnRef idx="0"/>
    <cs:fillRef idx="0"/>
    <cs:effectRef idx="0"/>
    <cs:fontRef idx="minor">
      <a:schemeClr val="tx1">
        <a:lumMod val="50000"/>
        <a:lumOff val="50000"/>
      </a:schemeClr>
    </cs:fontRef>
    <cs:defRPr sz="900" kern="1200"/>
  </cs:axisTitle>
  <cs:categoryAxis>
    <cs:lnRef idx="0"/>
    <cs:fillRef idx="0"/>
    <cs:effectRef idx="0"/>
    <cs:fontRef idx="minor">
      <a:schemeClr val="tx1">
        <a:lumMod val="65000"/>
        <a:lumOff val="35000"/>
      </a:schemeClr>
    </cs:fontRef>
    <cs:spPr>
      <a:ln w="1587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styleClr val="auto"/>
    </cs:lnRef>
    <cs:fillRef idx="0"/>
    <cs:effectRef idx="0">
      <cs:styleClr val="auto"/>
    </cs:effectRef>
    <cs:fontRef idx="minor">
      <cs:styleClr val="auto"/>
    </cs:fontRef>
    <cs:spPr>
      <a:solidFill>
        <a:schemeClr val="lt1">
          <a:alpha val="90000"/>
        </a:schemeClr>
      </a:solidFill>
      <a:ln w="12700" cap="flat" cmpd="sng" algn="ctr">
        <a:solidFill>
          <a:schemeClr val="phClr"/>
        </a:solidFill>
        <a:round/>
      </a:ln>
      <a:effectLst>
        <a:outerShdw blurRad="50800" dist="38100" dir="2700000" algn="tl" rotWithShape="0">
          <a:schemeClr val="phClr">
            <a:lumMod val="75000"/>
            <a:alpha val="40000"/>
          </a:schemeClr>
        </a:outerShdw>
      </a:effectLst>
    </cs:spPr>
    <cs:defRPr sz="1000" b="0" i="0" u="none" strike="noStrike" kern="1200" baseline="0">
      <a:effectLst/>
    </cs:defRPr>
    <cs:bodyPr rot="0" spcFirstLastPara="1" vertOverflow="clip" horzOverflow="clip" vert="horz" wrap="square" lIns="38100" tIns="19050" rIns="38100" bIns="19050" anchor="ctr" anchorCtr="1">
      <a:spAutoFit/>
    </cs:bodyPr>
  </cs:dataLabel>
  <cs:dataLabelCallout>
    <cs:lnRef idx="0">
      <cs:styleClr val="auto"/>
    </cs:lnRef>
    <cs:fillRef idx="0"/>
    <cs:effectRef idx="0">
      <cs:styleClr val="auto"/>
    </cs:effectRef>
    <cs:fontRef idx="minor">
      <cs:styleClr val="auto"/>
    </cs:fontRef>
    <cs:spPr>
      <a:solidFill>
        <a:schemeClr val="lt1">
          <a:alpha val="90000"/>
        </a:schemeClr>
      </a:solidFill>
      <a:ln w="12700" cap="flat" cmpd="sng" algn="ctr">
        <a:solidFill>
          <a:schemeClr val="phClr"/>
        </a:solidFill>
        <a:round/>
      </a:ln>
      <a:effectLst>
        <a:outerShdw blurRad="50800" dist="38100" dir="2700000" algn="tl" rotWithShape="0">
          <a:schemeClr val="phClr">
            <a:lumMod val="75000"/>
            <a:alpha val="40000"/>
          </a:schemeClr>
        </a:outerShdw>
      </a:effectLst>
    </cs:spPr>
    <cs:defRPr sz="1000" b="0" i="0" u="none" strike="noStrike" kern="1200" baseline="0">
      <a:effectLst/>
    </cs:defRPr>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alpha val="70000"/>
        </a:schemeClr>
      </a:solidFill>
    </cs:spPr>
  </cs:dataPoint>
  <cs:dataPoint3D>
    <cs:lnRef idx="0">
      <cs:styleClr val="auto"/>
    </cs:lnRef>
    <cs:fillRef idx="0">
      <cs:styleClr val="auto"/>
    </cs:fillRef>
    <cs:effectRef idx="0">
      <cs:styleClr val="auto"/>
    </cs:effectRef>
    <cs:fontRef idx="minor">
      <a:schemeClr val="tx1"/>
    </cs:fontRef>
    <cs:spPr>
      <a:solidFill>
        <a:schemeClr val="phClr">
          <a:alpha val="90000"/>
        </a:schemeClr>
      </a:solidFill>
      <a:ln w="19050">
        <a:solidFill>
          <a:schemeClr val="phClr">
            <a:lumMod val="75000"/>
          </a:schemeClr>
        </a:solidFill>
      </a:ln>
      <a:effectLst>
        <a:innerShdw blurRad="114300">
          <a:schemeClr val="phClr">
            <a:lumMod val="75000"/>
          </a:schemeClr>
        </a:innerShdw>
      </a:effectLst>
      <a:scene3d>
        <a:camera prst="orthographicFront"/>
        <a:lightRig rig="threePt" dir="t"/>
      </a:scene3d>
      <a:sp3d contourW="19050" prstMaterial="flat">
        <a:contourClr>
          <a:schemeClr val="accent4">
            <a:lumMod val="75000"/>
          </a:schemeClr>
        </a:contourClr>
      </a:sp3d>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65000"/>
            <a:lumOff val="35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5000"/>
            <a:lumOff val="9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800" b="1" kern="1200" cap="all" baseline="0"/>
  </cs:title>
  <cs:trendline>
    <cs:lnRef idx="0">
      <cs:styleClr val="auto"/>
    </cs:lnRef>
    <cs:fillRef idx="0"/>
    <cs:effectRef idx="0"/>
    <cs:fontRef idx="minor">
      <a:schemeClr val="dk1"/>
    </cs:fontRef>
    <cs:spPr>
      <a:ln w="15875"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defRPr sz="900" kern="1200" spc="20" baseline="0"/>
  </cs:valueAxis>
  <cs:wall>
    <cs:lnRef idx="0"/>
    <cs:fillRef idx="0"/>
    <cs:effectRef idx="0"/>
    <cs:fontRef idx="minor">
      <a:schemeClr val="dk1"/>
    </cs:fontRef>
  </cs:wall>
</cs:chartStyle>
</file>

<file path=xl/charts/style64.xml><?xml version="1.0" encoding="utf-8"?>
<cs:chartStyle xmlns:cs="http://schemas.microsoft.com/office/drawing/2012/chartStyle" xmlns:a="http://schemas.openxmlformats.org/drawingml/2006/main" id="25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cs:styleClr val="auto"/>
    </cs:fontRef>
    <cs:defRPr sz="1000" b="1" i="0" u="none" strike="noStrike" kern="1200" spc="0" baseline="0"/>
  </cs:dataLabel>
  <cs:dataLabelCallout>
    <cs:lnRef idx="0">
      <cs:styleClr val="auto"/>
    </cs:lnRef>
    <cs:fillRef idx="0"/>
    <cs:effectRef idx="0"/>
    <cs:fontRef idx="minor">
      <cs:styleClr val="auto"/>
    </cs:fontRef>
    <cs:spPr>
      <a:solidFill>
        <a:schemeClr val="lt1"/>
      </a:solidFill>
      <a:ln>
        <a:solidFill>
          <a:schemeClr val="phClr"/>
        </a:solidFill>
      </a:ln>
    </cs:spPr>
    <cs:defRPr sz="10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635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10000"/>
          </a:prstClr>
        </a:outerShdw>
      </a:effectLst>
      <a:scene3d>
        <a:camera prst="orthographicFront"/>
        <a:lightRig rig="threePt" dir="t"/>
      </a:scene3d>
      <a:sp3d>
        <a:bevelT w="127000" h="127000"/>
        <a:bevelB w="127000" h="127000"/>
      </a:sp3d>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5.xml><?xml version="1.0" encoding="utf-8"?>
<cs:chartStyle xmlns:cs="http://schemas.microsoft.com/office/drawing/2012/chartStyle" xmlns:a="http://schemas.openxmlformats.org/drawingml/2006/main" id="289">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6.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7.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68.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69.xml><?xml version="1.0" encoding="utf-8"?>
<cs:chartStyle xmlns:cs="http://schemas.microsoft.com/office/drawing/2012/chartStyle" xmlns:a="http://schemas.openxmlformats.org/drawingml/2006/main" id="215">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15875" cap="flat" cmpd="sng" algn="ctr">
        <a:solidFill>
          <a:schemeClr val="tx1">
            <a:lumMod val="25000"/>
            <a:lumOff val="75000"/>
          </a:schemeClr>
        </a:solidFill>
        <a:round/>
      </a:ln>
    </cs:spPr>
    <cs:defRPr sz="900" kern="1200" cap="none" spc="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bg1"/>
    </cs:fontRef>
    <cs:spPr>
      <a:solidFill>
        <a:schemeClr val="tx1">
          <a:lumMod val="50000"/>
          <a:lumOff val="50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70000"/>
        </a:schemeClr>
      </a:solidFill>
    </cs:spPr>
  </cs:dataPoint>
  <cs:dataPoint3D>
    <cs:lnRef idx="0"/>
    <cs:fillRef idx="0">
      <cs:styleClr val="auto"/>
    </cs:fillRef>
    <cs:effectRef idx="0"/>
    <cs:fontRef idx="minor">
      <a:schemeClr val="dk1"/>
    </cs:fontRef>
    <cs:spPr>
      <a:solidFill>
        <a:schemeClr val="phClr">
          <a:alpha val="70000"/>
        </a:schemeClr>
      </a:solidFill>
    </cs:spPr>
  </cs:dataPoint3D>
  <cs:dataPointLine>
    <cs:lnRef idx="0">
      <cs:styleClr val="auto"/>
    </cs:lnRef>
    <cs:fillRef idx="0"/>
    <cs:effectRef idx="0"/>
    <cs:fontRef idx="minor">
      <a:schemeClr val="dk1"/>
    </cs:fontRef>
    <cs:spPr>
      <a:ln w="28575" cap="rnd">
        <a:solidFill>
          <a:schemeClr val="phClr">
            <a:alpha val="70000"/>
          </a:schemeClr>
        </a:solidFill>
        <a:round/>
      </a:ln>
    </cs:spPr>
  </cs:dataPointLine>
  <cs:dataPointMarker>
    <cs:lnRef idx="0"/>
    <cs:fillRef idx="0">
      <cs:styleClr val="auto"/>
    </cs:fillRef>
    <cs:effectRef idx="0"/>
    <cs:fontRef idx="minor">
      <a:schemeClr val="dk1"/>
    </cs:fontRef>
    <cs:spPr>
      <a:solidFill>
        <a:schemeClr val="phClr">
          <a:alpha val="70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65000"/>
            <a:lumOff val="35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5000"/>
            <a:lumOff val="9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baseline="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1600" b="0" i="0" kern="1200" cap="none" spc="50" normalizeH="0" baseline="0"/>
  </cs:title>
  <cs:trendline>
    <cs:lnRef idx="0">
      <cs:styleClr val="auto"/>
    </cs:lnRef>
    <cs:fillRef idx="0"/>
    <cs:effectRef idx="0"/>
    <cs:fontRef idx="minor">
      <a:schemeClr val="dk1"/>
    </cs:fontRef>
    <cs:spPr>
      <a:ln w="15875"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defRPr sz="900" kern="1200" spc="20" baseline="0"/>
  </cs:valueAxis>
  <cs:wall>
    <cs:lnRef idx="0"/>
    <cs:fillRef idx="0"/>
    <cs:effectRef idx="0"/>
    <cs:fontRef idx="minor">
      <a:schemeClr val="dk1"/>
    </cs:fontRef>
  </cs:wall>
</cs:chartStyle>
</file>

<file path=xl/charts/style70.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71.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2.xml><?xml version="1.0" encoding="utf-8"?>
<cs:chartStyle xmlns:cs="http://schemas.microsoft.com/office/drawing/2012/chartStyle" xmlns:a="http://schemas.openxmlformats.org/drawingml/2006/main" id="263">
  <cs:axisTitle>
    <cs:lnRef idx="0"/>
    <cs:fillRef idx="0"/>
    <cs:effectRef idx="0"/>
    <cs:fontRef idx="minor">
      <a:schemeClr val="tx1">
        <a:lumMod val="50000"/>
        <a:lumOff val="50000"/>
      </a:schemeClr>
    </cs:fontRef>
    <cs:defRPr sz="900" kern="1200"/>
  </cs:axisTitle>
  <cs:categoryAxis>
    <cs:lnRef idx="0"/>
    <cs:fillRef idx="0"/>
    <cs:effectRef idx="0"/>
    <cs:fontRef idx="minor">
      <a:schemeClr val="tx1">
        <a:lumMod val="65000"/>
        <a:lumOff val="35000"/>
      </a:schemeClr>
    </cs:fontRef>
    <cs:spPr>
      <a:ln w="1587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styleClr val="auto"/>
    </cs:lnRef>
    <cs:fillRef idx="0"/>
    <cs:effectRef idx="0">
      <cs:styleClr val="auto"/>
    </cs:effectRef>
    <cs:fontRef idx="minor">
      <cs:styleClr val="auto"/>
    </cs:fontRef>
    <cs:spPr>
      <a:solidFill>
        <a:schemeClr val="lt1">
          <a:alpha val="90000"/>
        </a:schemeClr>
      </a:solidFill>
      <a:ln w="12700" cap="flat" cmpd="sng" algn="ctr">
        <a:solidFill>
          <a:schemeClr val="phClr"/>
        </a:solidFill>
        <a:round/>
      </a:ln>
      <a:effectLst>
        <a:outerShdw blurRad="50800" dist="38100" dir="2700000" algn="tl" rotWithShape="0">
          <a:schemeClr val="phClr">
            <a:lumMod val="75000"/>
            <a:alpha val="40000"/>
          </a:schemeClr>
        </a:outerShdw>
      </a:effectLst>
    </cs:spPr>
    <cs:defRPr sz="1000" b="0" i="0" u="none" strike="noStrike" kern="1200" baseline="0">
      <a:effectLst/>
    </cs:defRPr>
    <cs:bodyPr rot="0" spcFirstLastPara="1" vertOverflow="clip" horzOverflow="clip" vert="horz" wrap="square" lIns="38100" tIns="19050" rIns="38100" bIns="19050" anchor="ctr" anchorCtr="1">
      <a:spAutoFit/>
    </cs:bodyPr>
  </cs:dataLabel>
  <cs:dataLabelCallout>
    <cs:lnRef idx="0">
      <cs:styleClr val="auto"/>
    </cs:lnRef>
    <cs:fillRef idx="0"/>
    <cs:effectRef idx="0">
      <cs:styleClr val="auto"/>
    </cs:effectRef>
    <cs:fontRef idx="minor">
      <cs:styleClr val="auto"/>
    </cs:fontRef>
    <cs:spPr>
      <a:solidFill>
        <a:schemeClr val="lt1">
          <a:alpha val="90000"/>
        </a:schemeClr>
      </a:solidFill>
      <a:ln w="12700" cap="flat" cmpd="sng" algn="ctr">
        <a:solidFill>
          <a:schemeClr val="phClr"/>
        </a:solidFill>
        <a:round/>
      </a:ln>
      <a:effectLst>
        <a:outerShdw blurRad="50800" dist="38100" dir="2700000" algn="tl" rotWithShape="0">
          <a:schemeClr val="phClr">
            <a:lumMod val="75000"/>
            <a:alpha val="40000"/>
          </a:schemeClr>
        </a:outerShdw>
      </a:effectLst>
    </cs:spPr>
    <cs:defRPr sz="1000" b="0" i="0" u="none" strike="noStrike" kern="1200" baseline="0">
      <a:effectLst/>
    </cs:defRPr>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alpha val="70000"/>
        </a:schemeClr>
      </a:solidFill>
    </cs:spPr>
  </cs:dataPoint>
  <cs:dataPoint3D>
    <cs:lnRef idx="0">
      <cs:styleClr val="auto"/>
    </cs:lnRef>
    <cs:fillRef idx="0">
      <cs:styleClr val="auto"/>
    </cs:fillRef>
    <cs:effectRef idx="0">
      <cs:styleClr val="auto"/>
    </cs:effectRef>
    <cs:fontRef idx="minor">
      <a:schemeClr val="tx1"/>
    </cs:fontRef>
    <cs:spPr>
      <a:solidFill>
        <a:schemeClr val="phClr">
          <a:alpha val="90000"/>
        </a:schemeClr>
      </a:solidFill>
      <a:ln w="19050">
        <a:solidFill>
          <a:schemeClr val="phClr">
            <a:lumMod val="75000"/>
          </a:schemeClr>
        </a:solidFill>
      </a:ln>
      <a:effectLst>
        <a:innerShdw blurRad="114300">
          <a:schemeClr val="phClr">
            <a:lumMod val="75000"/>
          </a:schemeClr>
        </a:innerShdw>
      </a:effectLst>
      <a:scene3d>
        <a:camera prst="orthographicFront"/>
        <a:lightRig rig="threePt" dir="t"/>
      </a:scene3d>
      <a:sp3d contourW="19050" prstMaterial="flat">
        <a:contourClr>
          <a:schemeClr val="accent4">
            <a:lumMod val="75000"/>
          </a:schemeClr>
        </a:contourClr>
      </a:sp3d>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65000"/>
            <a:lumOff val="35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5000"/>
            <a:lumOff val="9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800" b="1" kern="1200" cap="all" baseline="0"/>
  </cs:title>
  <cs:trendline>
    <cs:lnRef idx="0">
      <cs:styleClr val="auto"/>
    </cs:lnRef>
    <cs:fillRef idx="0"/>
    <cs:effectRef idx="0"/>
    <cs:fontRef idx="minor">
      <a:schemeClr val="dk1"/>
    </cs:fontRef>
    <cs:spPr>
      <a:ln w="15875"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defRPr sz="900" kern="1200" spc="20" baseline="0"/>
  </cs:valueAxis>
  <cs:wall>
    <cs:lnRef idx="0"/>
    <cs:fillRef idx="0"/>
    <cs:effectRef idx="0"/>
    <cs:fontRef idx="minor">
      <a:schemeClr val="dk1"/>
    </cs:fontRef>
  </cs:wall>
</cs:chartStyle>
</file>

<file path=xl/charts/style73.xml><?xml version="1.0" encoding="utf-8"?>
<cs:chartStyle xmlns:cs="http://schemas.microsoft.com/office/drawing/2012/chartStyle" xmlns:a="http://schemas.openxmlformats.org/drawingml/2006/main" id="263">
  <cs:axisTitle>
    <cs:lnRef idx="0"/>
    <cs:fillRef idx="0"/>
    <cs:effectRef idx="0"/>
    <cs:fontRef idx="minor">
      <a:schemeClr val="tx1">
        <a:lumMod val="50000"/>
        <a:lumOff val="50000"/>
      </a:schemeClr>
    </cs:fontRef>
    <cs:defRPr sz="900" kern="1200"/>
  </cs:axisTitle>
  <cs:categoryAxis>
    <cs:lnRef idx="0"/>
    <cs:fillRef idx="0"/>
    <cs:effectRef idx="0"/>
    <cs:fontRef idx="minor">
      <a:schemeClr val="tx1">
        <a:lumMod val="65000"/>
        <a:lumOff val="35000"/>
      </a:schemeClr>
    </cs:fontRef>
    <cs:spPr>
      <a:ln w="1587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styleClr val="auto"/>
    </cs:lnRef>
    <cs:fillRef idx="0"/>
    <cs:effectRef idx="0">
      <cs:styleClr val="auto"/>
    </cs:effectRef>
    <cs:fontRef idx="minor">
      <cs:styleClr val="auto"/>
    </cs:fontRef>
    <cs:spPr>
      <a:solidFill>
        <a:schemeClr val="lt1">
          <a:alpha val="90000"/>
        </a:schemeClr>
      </a:solidFill>
      <a:ln w="12700" cap="flat" cmpd="sng" algn="ctr">
        <a:solidFill>
          <a:schemeClr val="phClr"/>
        </a:solidFill>
        <a:round/>
      </a:ln>
      <a:effectLst>
        <a:outerShdw blurRad="50800" dist="38100" dir="2700000" algn="tl" rotWithShape="0">
          <a:schemeClr val="phClr">
            <a:lumMod val="75000"/>
            <a:alpha val="40000"/>
          </a:schemeClr>
        </a:outerShdw>
      </a:effectLst>
    </cs:spPr>
    <cs:defRPr sz="1000" b="0" i="0" u="none" strike="noStrike" kern="1200" baseline="0">
      <a:effectLst/>
    </cs:defRPr>
    <cs:bodyPr rot="0" spcFirstLastPara="1" vertOverflow="clip" horzOverflow="clip" vert="horz" wrap="square" lIns="38100" tIns="19050" rIns="38100" bIns="19050" anchor="ctr" anchorCtr="1">
      <a:spAutoFit/>
    </cs:bodyPr>
  </cs:dataLabel>
  <cs:dataLabelCallout>
    <cs:lnRef idx="0">
      <cs:styleClr val="auto"/>
    </cs:lnRef>
    <cs:fillRef idx="0"/>
    <cs:effectRef idx="0">
      <cs:styleClr val="auto"/>
    </cs:effectRef>
    <cs:fontRef idx="minor">
      <cs:styleClr val="auto"/>
    </cs:fontRef>
    <cs:spPr>
      <a:solidFill>
        <a:schemeClr val="lt1">
          <a:alpha val="90000"/>
        </a:schemeClr>
      </a:solidFill>
      <a:ln w="12700" cap="flat" cmpd="sng" algn="ctr">
        <a:solidFill>
          <a:schemeClr val="phClr"/>
        </a:solidFill>
        <a:round/>
      </a:ln>
      <a:effectLst>
        <a:outerShdw blurRad="50800" dist="38100" dir="2700000" algn="tl" rotWithShape="0">
          <a:schemeClr val="phClr">
            <a:lumMod val="75000"/>
            <a:alpha val="40000"/>
          </a:schemeClr>
        </a:outerShdw>
      </a:effectLst>
    </cs:spPr>
    <cs:defRPr sz="1000" b="0" i="0" u="none" strike="noStrike" kern="1200" baseline="0">
      <a:effectLst/>
    </cs:defRPr>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alpha val="70000"/>
        </a:schemeClr>
      </a:solidFill>
    </cs:spPr>
  </cs:dataPoint>
  <cs:dataPoint3D>
    <cs:lnRef idx="0">
      <cs:styleClr val="auto"/>
    </cs:lnRef>
    <cs:fillRef idx="0">
      <cs:styleClr val="auto"/>
    </cs:fillRef>
    <cs:effectRef idx="0">
      <cs:styleClr val="auto"/>
    </cs:effectRef>
    <cs:fontRef idx="minor">
      <a:schemeClr val="tx1"/>
    </cs:fontRef>
    <cs:spPr>
      <a:solidFill>
        <a:schemeClr val="phClr">
          <a:alpha val="90000"/>
        </a:schemeClr>
      </a:solidFill>
      <a:ln w="19050">
        <a:solidFill>
          <a:schemeClr val="phClr">
            <a:lumMod val="75000"/>
          </a:schemeClr>
        </a:solidFill>
      </a:ln>
      <a:effectLst>
        <a:innerShdw blurRad="114300">
          <a:schemeClr val="phClr">
            <a:lumMod val="75000"/>
          </a:schemeClr>
        </a:innerShdw>
      </a:effectLst>
      <a:scene3d>
        <a:camera prst="orthographicFront"/>
        <a:lightRig rig="threePt" dir="t"/>
      </a:scene3d>
      <a:sp3d contourW="19050" prstMaterial="flat">
        <a:contourClr>
          <a:schemeClr val="accent4">
            <a:lumMod val="75000"/>
          </a:schemeClr>
        </a:contourClr>
      </a:sp3d>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65000"/>
            <a:lumOff val="35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5000"/>
            <a:lumOff val="9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800" b="1" kern="1200" cap="all" baseline="0"/>
  </cs:title>
  <cs:trendline>
    <cs:lnRef idx="0">
      <cs:styleClr val="auto"/>
    </cs:lnRef>
    <cs:fillRef idx="0"/>
    <cs:effectRef idx="0"/>
    <cs:fontRef idx="minor">
      <a:schemeClr val="dk1"/>
    </cs:fontRef>
    <cs:spPr>
      <a:ln w="15875"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defRPr sz="900" kern="1200" spc="20" baseline="0"/>
  </cs:valueAxis>
  <cs:wall>
    <cs:lnRef idx="0"/>
    <cs:fillRef idx="0"/>
    <cs:effectRef idx="0"/>
    <cs:fontRef idx="minor">
      <a:schemeClr val="dk1"/>
    </cs:fontRef>
  </cs:wall>
</cs:chartStyle>
</file>

<file path=xl/charts/style74.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5.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6.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7.xml><?xml version="1.0" encoding="utf-8"?>
<cs:chartStyle xmlns:cs="http://schemas.microsoft.com/office/drawing/2012/chartStyle" xmlns:a="http://schemas.openxmlformats.org/drawingml/2006/main" id="265">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8.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g"/></Relationships>
</file>

<file path=xl/drawings/_rels/drawing3.xml.rels><?xml version="1.0" encoding="UTF-8" standalone="yes"?>
<Relationships xmlns="http://schemas.openxmlformats.org/package/2006/relationships"><Relationship Id="rId8" Type="http://schemas.openxmlformats.org/officeDocument/2006/relationships/image" Target="../media/image6.png"/><Relationship Id="rId13" Type="http://schemas.openxmlformats.org/officeDocument/2006/relationships/image" Target="../media/image11.png"/><Relationship Id="rId3" Type="http://schemas.openxmlformats.org/officeDocument/2006/relationships/chart" Target="../charts/chart2.xml"/><Relationship Id="rId7" Type="http://schemas.openxmlformats.org/officeDocument/2006/relationships/image" Target="../media/image5.png"/><Relationship Id="rId12" Type="http://schemas.openxmlformats.org/officeDocument/2006/relationships/image" Target="../media/image10.png"/><Relationship Id="rId17" Type="http://schemas.openxmlformats.org/officeDocument/2006/relationships/image" Target="../media/image15.png"/><Relationship Id="rId2" Type="http://schemas.openxmlformats.org/officeDocument/2006/relationships/image" Target="../media/image3.png"/><Relationship Id="rId16" Type="http://schemas.openxmlformats.org/officeDocument/2006/relationships/image" Target="../media/image14.png"/><Relationship Id="rId1" Type="http://schemas.openxmlformats.org/officeDocument/2006/relationships/chart" Target="../charts/chart1.xml"/><Relationship Id="rId6" Type="http://schemas.openxmlformats.org/officeDocument/2006/relationships/chart" Target="../charts/chart4.xml"/><Relationship Id="rId11" Type="http://schemas.openxmlformats.org/officeDocument/2006/relationships/image" Target="../media/image9.png"/><Relationship Id="rId5" Type="http://schemas.openxmlformats.org/officeDocument/2006/relationships/chart" Target="../charts/chart3.xml"/><Relationship Id="rId15" Type="http://schemas.openxmlformats.org/officeDocument/2006/relationships/image" Target="../media/image13.png"/><Relationship Id="rId10" Type="http://schemas.openxmlformats.org/officeDocument/2006/relationships/image" Target="../media/image8.png"/><Relationship Id="rId4" Type="http://schemas.openxmlformats.org/officeDocument/2006/relationships/image" Target="../media/image4.png"/><Relationship Id="rId9" Type="http://schemas.openxmlformats.org/officeDocument/2006/relationships/image" Target="../media/image7.png"/><Relationship Id="rId14" Type="http://schemas.openxmlformats.org/officeDocument/2006/relationships/image" Target="../media/image12.png"/></Relationships>
</file>

<file path=xl/drawings/_rels/drawing4.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image" Target="../media/image16.png"/><Relationship Id="rId6" Type="http://schemas.openxmlformats.org/officeDocument/2006/relationships/image" Target="../media/image17.png"/><Relationship Id="rId5" Type="http://schemas.openxmlformats.org/officeDocument/2006/relationships/chart" Target="../charts/chart8.xml"/><Relationship Id="rId4" Type="http://schemas.openxmlformats.org/officeDocument/2006/relationships/chart" Target="../charts/chart7.xml"/></Relationships>
</file>

<file path=xl/drawings/_rels/drawing5.xml.rels><?xml version="1.0" encoding="UTF-8" standalone="yes"?>
<Relationships xmlns="http://schemas.openxmlformats.org/package/2006/relationships"><Relationship Id="rId3" Type="http://schemas.openxmlformats.org/officeDocument/2006/relationships/image" Target="../media/image20.png"/><Relationship Id="rId2" Type="http://schemas.openxmlformats.org/officeDocument/2006/relationships/image" Target="../media/image19.png"/><Relationship Id="rId1" Type="http://schemas.openxmlformats.org/officeDocument/2006/relationships/image" Target="../media/image18.png"/><Relationship Id="rId6" Type="http://schemas.openxmlformats.org/officeDocument/2006/relationships/image" Target="../media/image23.png"/><Relationship Id="rId5" Type="http://schemas.openxmlformats.org/officeDocument/2006/relationships/image" Target="../media/image22.png"/><Relationship Id="rId4" Type="http://schemas.openxmlformats.org/officeDocument/2006/relationships/image" Target="../media/image21.png"/></Relationships>
</file>

<file path=xl/drawings/_rels/drawing6.xml.rels><?xml version="1.0" encoding="UTF-8" standalone="yes"?>
<Relationships xmlns="http://schemas.openxmlformats.org/package/2006/relationships"><Relationship Id="rId3" Type="http://schemas.openxmlformats.org/officeDocument/2006/relationships/chart" Target="../charts/chart11.xml"/><Relationship Id="rId2" Type="http://schemas.openxmlformats.org/officeDocument/2006/relationships/chart" Target="../charts/chart10.xml"/><Relationship Id="rId1" Type="http://schemas.openxmlformats.org/officeDocument/2006/relationships/chart" Target="../charts/chart9.xml"/></Relationships>
</file>

<file path=xl/drawings/_rels/drawing7.xml.rels><?xml version="1.0" encoding="UTF-8" standalone="yes"?>
<Relationships xmlns="http://schemas.openxmlformats.org/package/2006/relationships"><Relationship Id="rId8" Type="http://schemas.openxmlformats.org/officeDocument/2006/relationships/chart" Target="../charts/chart19.xml"/><Relationship Id="rId3" Type="http://schemas.openxmlformats.org/officeDocument/2006/relationships/chart" Target="../charts/chart14.xml"/><Relationship Id="rId7" Type="http://schemas.openxmlformats.org/officeDocument/2006/relationships/chart" Target="../charts/chart18.xml"/><Relationship Id="rId2" Type="http://schemas.openxmlformats.org/officeDocument/2006/relationships/chart" Target="../charts/chart13.xml"/><Relationship Id="rId1" Type="http://schemas.openxmlformats.org/officeDocument/2006/relationships/chart" Target="../charts/chart12.xml"/><Relationship Id="rId6" Type="http://schemas.openxmlformats.org/officeDocument/2006/relationships/chart" Target="../charts/chart17.xml"/><Relationship Id="rId5" Type="http://schemas.openxmlformats.org/officeDocument/2006/relationships/chart" Target="../charts/chart16.xml"/><Relationship Id="rId4" Type="http://schemas.openxmlformats.org/officeDocument/2006/relationships/chart" Target="../charts/chart15.xml"/></Relationships>
</file>

<file path=xl/drawings/_rels/drawing8.xml.rels><?xml version="1.0" encoding="UTF-8" standalone="yes"?>
<Relationships xmlns="http://schemas.openxmlformats.org/package/2006/relationships"><Relationship Id="rId3" Type="http://schemas.openxmlformats.org/officeDocument/2006/relationships/chart" Target="../charts/chart22.xml"/><Relationship Id="rId2" Type="http://schemas.openxmlformats.org/officeDocument/2006/relationships/chart" Target="../charts/chart21.xml"/><Relationship Id="rId1" Type="http://schemas.openxmlformats.org/officeDocument/2006/relationships/chart" Target="../charts/chart20.xml"/><Relationship Id="rId6" Type="http://schemas.openxmlformats.org/officeDocument/2006/relationships/chart" Target="../charts/chart25.xml"/><Relationship Id="rId5" Type="http://schemas.openxmlformats.org/officeDocument/2006/relationships/chart" Target="../charts/chart24.xml"/><Relationship Id="rId4" Type="http://schemas.openxmlformats.org/officeDocument/2006/relationships/chart" Target="../charts/chart23.xml"/></Relationships>
</file>

<file path=xl/drawings/_rels/drawing9.xml.rels><?xml version="1.0" encoding="UTF-8" standalone="yes"?>
<Relationships xmlns="http://schemas.openxmlformats.org/package/2006/relationships"><Relationship Id="rId1" Type="http://schemas.openxmlformats.org/officeDocument/2006/relationships/chart" Target="../charts/chart26.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27.xml"/></Relationships>
</file>

<file path=xl/drawings/_rels/drawing11.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image" Target="../media/image25.jpg"/><Relationship Id="rId1" Type="http://schemas.openxmlformats.org/officeDocument/2006/relationships/image" Target="../media/image24.jpeg"/></Relationships>
</file>

<file path=xl/drawings/_rels/drawing12.xml.rels><?xml version="1.0" encoding="UTF-8" standalone="yes"?>
<Relationships xmlns="http://schemas.openxmlformats.org/package/2006/relationships"><Relationship Id="rId1" Type="http://schemas.openxmlformats.org/officeDocument/2006/relationships/chart" Target="../charts/chart29.xml"/></Relationships>
</file>

<file path=xl/drawings/_rels/drawing13.xml.rels><?xml version="1.0" encoding="UTF-8" standalone="yes"?>
<Relationships xmlns="http://schemas.openxmlformats.org/package/2006/relationships"><Relationship Id="rId2" Type="http://schemas.openxmlformats.org/officeDocument/2006/relationships/image" Target="../media/image27.png"/><Relationship Id="rId1" Type="http://schemas.openxmlformats.org/officeDocument/2006/relationships/image" Target="../media/image26.png"/></Relationships>
</file>

<file path=xl/drawings/_rels/drawing15.xml.rels><?xml version="1.0" encoding="UTF-8" standalone="yes"?>
<Relationships xmlns="http://schemas.openxmlformats.org/package/2006/relationships"><Relationship Id="rId3" Type="http://schemas.openxmlformats.org/officeDocument/2006/relationships/chart" Target="../charts/chart32.xml"/><Relationship Id="rId2" Type="http://schemas.openxmlformats.org/officeDocument/2006/relationships/chart" Target="../charts/chart31.xml"/><Relationship Id="rId1" Type="http://schemas.openxmlformats.org/officeDocument/2006/relationships/chart" Target="../charts/chart30.xml"/><Relationship Id="rId4" Type="http://schemas.openxmlformats.org/officeDocument/2006/relationships/chart" Target="../charts/chart33.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34.xml"/></Relationships>
</file>

<file path=xl/drawings/_rels/drawing17.xml.rels><?xml version="1.0" encoding="UTF-8" standalone="yes"?>
<Relationships xmlns="http://schemas.openxmlformats.org/package/2006/relationships"><Relationship Id="rId8" Type="http://schemas.openxmlformats.org/officeDocument/2006/relationships/image" Target="../media/image28.png"/><Relationship Id="rId3" Type="http://schemas.openxmlformats.org/officeDocument/2006/relationships/chart" Target="../charts/chart37.xml"/><Relationship Id="rId7" Type="http://schemas.openxmlformats.org/officeDocument/2006/relationships/chart" Target="../charts/chart41.xml"/><Relationship Id="rId2" Type="http://schemas.openxmlformats.org/officeDocument/2006/relationships/chart" Target="../charts/chart36.xml"/><Relationship Id="rId1" Type="http://schemas.openxmlformats.org/officeDocument/2006/relationships/chart" Target="../charts/chart35.xml"/><Relationship Id="rId6" Type="http://schemas.openxmlformats.org/officeDocument/2006/relationships/chart" Target="../charts/chart40.xml"/><Relationship Id="rId5" Type="http://schemas.openxmlformats.org/officeDocument/2006/relationships/chart" Target="../charts/chart39.xml"/><Relationship Id="rId10" Type="http://schemas.openxmlformats.org/officeDocument/2006/relationships/chart" Target="../charts/chart43.xml"/><Relationship Id="rId4" Type="http://schemas.openxmlformats.org/officeDocument/2006/relationships/chart" Target="../charts/chart38.xml"/><Relationship Id="rId9" Type="http://schemas.openxmlformats.org/officeDocument/2006/relationships/chart" Target="../charts/chart42.xml"/></Relationships>
</file>

<file path=xl/drawings/_rels/drawing18.xml.rels><?xml version="1.0" encoding="UTF-8" standalone="yes"?>
<Relationships xmlns="http://schemas.openxmlformats.org/package/2006/relationships"><Relationship Id="rId3" Type="http://schemas.openxmlformats.org/officeDocument/2006/relationships/chart" Target="../charts/chart46.xml"/><Relationship Id="rId2" Type="http://schemas.openxmlformats.org/officeDocument/2006/relationships/chart" Target="../charts/chart45.xml"/><Relationship Id="rId1" Type="http://schemas.openxmlformats.org/officeDocument/2006/relationships/chart" Target="../charts/chart44.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47.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48.xml"/></Relationships>
</file>

<file path=xl/drawings/_rels/drawing21.xml.rels><?xml version="1.0" encoding="UTF-8" standalone="yes"?>
<Relationships xmlns="http://schemas.openxmlformats.org/package/2006/relationships"><Relationship Id="rId2" Type="http://schemas.openxmlformats.org/officeDocument/2006/relationships/chart" Target="../charts/chart50.xml"/><Relationship Id="rId1" Type="http://schemas.openxmlformats.org/officeDocument/2006/relationships/chart" Target="../charts/chart49.xml"/></Relationships>
</file>

<file path=xl/drawings/_rels/drawing22.xml.rels><?xml version="1.0" encoding="UTF-8" standalone="yes"?>
<Relationships xmlns="http://schemas.openxmlformats.org/package/2006/relationships"><Relationship Id="rId2" Type="http://schemas.openxmlformats.org/officeDocument/2006/relationships/chart" Target="../charts/chart52.xml"/><Relationship Id="rId1" Type="http://schemas.openxmlformats.org/officeDocument/2006/relationships/chart" Target="../charts/chart51.xml"/></Relationships>
</file>

<file path=xl/drawings/_rels/drawing23.xml.rels><?xml version="1.0" encoding="UTF-8" standalone="yes"?>
<Relationships xmlns="http://schemas.openxmlformats.org/package/2006/relationships"><Relationship Id="rId1" Type="http://schemas.openxmlformats.org/officeDocument/2006/relationships/chart" Target="../charts/chart53.xml"/></Relationships>
</file>

<file path=xl/drawings/_rels/drawing24.xml.rels><?xml version="1.0" encoding="UTF-8" standalone="yes"?>
<Relationships xmlns="http://schemas.openxmlformats.org/package/2006/relationships"><Relationship Id="rId3" Type="http://schemas.openxmlformats.org/officeDocument/2006/relationships/image" Target="../media/image29.png"/><Relationship Id="rId2" Type="http://schemas.openxmlformats.org/officeDocument/2006/relationships/chart" Target="../charts/chart55.xml"/><Relationship Id="rId1" Type="http://schemas.openxmlformats.org/officeDocument/2006/relationships/chart" Target="../charts/chart54.xml"/></Relationships>
</file>

<file path=xl/drawings/_rels/drawing25.xml.rels><?xml version="1.0" encoding="UTF-8" standalone="yes"?>
<Relationships xmlns="http://schemas.openxmlformats.org/package/2006/relationships"><Relationship Id="rId2" Type="http://schemas.openxmlformats.org/officeDocument/2006/relationships/chart" Target="../charts/chart57.xml"/><Relationship Id="rId1" Type="http://schemas.openxmlformats.org/officeDocument/2006/relationships/chart" Target="../charts/chart56.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58.xml"/></Relationships>
</file>

<file path=xl/drawings/_rels/drawing29.xml.rels><?xml version="1.0" encoding="UTF-8" standalone="yes"?>
<Relationships xmlns="http://schemas.openxmlformats.org/package/2006/relationships"><Relationship Id="rId2" Type="http://schemas.openxmlformats.org/officeDocument/2006/relationships/chart" Target="../charts/chart60.xml"/><Relationship Id="rId1" Type="http://schemas.openxmlformats.org/officeDocument/2006/relationships/chart" Target="../charts/chart59.xml"/></Relationships>
</file>

<file path=xl/drawings/_rels/drawing30.xml.rels><?xml version="1.0" encoding="UTF-8" standalone="yes"?>
<Relationships xmlns="http://schemas.openxmlformats.org/package/2006/relationships"><Relationship Id="rId1" Type="http://schemas.openxmlformats.org/officeDocument/2006/relationships/chart" Target="../charts/chart61.xml"/></Relationships>
</file>

<file path=xl/drawings/_rels/drawing31.xml.rels><?xml version="1.0" encoding="UTF-8" standalone="yes"?>
<Relationships xmlns="http://schemas.openxmlformats.org/package/2006/relationships"><Relationship Id="rId1" Type="http://schemas.openxmlformats.org/officeDocument/2006/relationships/chart" Target="../charts/chart62.xml"/></Relationships>
</file>

<file path=xl/drawings/_rels/drawing33.xml.rels><?xml version="1.0" encoding="UTF-8" standalone="yes"?>
<Relationships xmlns="http://schemas.openxmlformats.org/package/2006/relationships"><Relationship Id="rId1" Type="http://schemas.openxmlformats.org/officeDocument/2006/relationships/chart" Target="../charts/chart63.xml"/></Relationships>
</file>

<file path=xl/drawings/_rels/drawing34.xml.rels><?xml version="1.0" encoding="UTF-8" standalone="yes"?>
<Relationships xmlns="http://schemas.openxmlformats.org/package/2006/relationships"><Relationship Id="rId1" Type="http://schemas.openxmlformats.org/officeDocument/2006/relationships/chart" Target="../charts/chart64.xml"/></Relationships>
</file>

<file path=xl/drawings/_rels/drawing35.xml.rels><?xml version="1.0" encoding="UTF-8" standalone="yes"?>
<Relationships xmlns="http://schemas.openxmlformats.org/package/2006/relationships"><Relationship Id="rId1" Type="http://schemas.openxmlformats.org/officeDocument/2006/relationships/chart" Target="../charts/chart65.xml"/></Relationships>
</file>

<file path=xl/drawings/_rels/drawing36.xml.rels><?xml version="1.0" encoding="UTF-8" standalone="yes"?>
<Relationships xmlns="http://schemas.openxmlformats.org/package/2006/relationships"><Relationship Id="rId3" Type="http://schemas.openxmlformats.org/officeDocument/2006/relationships/image" Target="../media/image30.emf"/><Relationship Id="rId2" Type="http://schemas.openxmlformats.org/officeDocument/2006/relationships/chart" Target="../charts/chart67.xml"/><Relationship Id="rId1" Type="http://schemas.openxmlformats.org/officeDocument/2006/relationships/chart" Target="../charts/chart66.xml"/></Relationships>
</file>

<file path=xl/drawings/_rels/drawing38.xml.rels><?xml version="1.0" encoding="UTF-8" standalone="yes"?>
<Relationships xmlns="http://schemas.openxmlformats.org/package/2006/relationships"><Relationship Id="rId2" Type="http://schemas.openxmlformats.org/officeDocument/2006/relationships/chart" Target="../charts/chart69.xml"/><Relationship Id="rId1" Type="http://schemas.openxmlformats.org/officeDocument/2006/relationships/chart" Target="../charts/chart68.xml"/></Relationships>
</file>

<file path=xl/drawings/_rels/drawing41.xml.rels><?xml version="1.0" encoding="UTF-8" standalone="yes"?>
<Relationships xmlns="http://schemas.openxmlformats.org/package/2006/relationships"><Relationship Id="rId1" Type="http://schemas.openxmlformats.org/officeDocument/2006/relationships/chart" Target="../charts/chart70.xml"/></Relationships>
</file>

<file path=xl/drawings/_rels/drawing42.xml.rels><?xml version="1.0" encoding="UTF-8" standalone="yes"?>
<Relationships xmlns="http://schemas.openxmlformats.org/package/2006/relationships"><Relationship Id="rId1" Type="http://schemas.openxmlformats.org/officeDocument/2006/relationships/chart" Target="../charts/chart71.xml"/></Relationships>
</file>

<file path=xl/drawings/_rels/drawing44.xml.rels><?xml version="1.0" encoding="UTF-8" standalone="yes"?>
<Relationships xmlns="http://schemas.openxmlformats.org/package/2006/relationships"><Relationship Id="rId2" Type="http://schemas.openxmlformats.org/officeDocument/2006/relationships/chart" Target="../charts/chart73.xml"/><Relationship Id="rId1" Type="http://schemas.openxmlformats.org/officeDocument/2006/relationships/chart" Target="../charts/chart72.xml"/></Relationships>
</file>

<file path=xl/drawings/_rels/drawing47.xml.rels><?xml version="1.0" encoding="UTF-8" standalone="yes"?>
<Relationships xmlns="http://schemas.openxmlformats.org/package/2006/relationships"><Relationship Id="rId1" Type="http://schemas.openxmlformats.org/officeDocument/2006/relationships/chart" Target="../charts/chart74.xml"/></Relationships>
</file>

<file path=xl/drawings/_rels/drawing49.xml.rels><?xml version="1.0" encoding="UTF-8" standalone="yes"?>
<Relationships xmlns="http://schemas.openxmlformats.org/package/2006/relationships"><Relationship Id="rId1" Type="http://schemas.openxmlformats.org/officeDocument/2006/relationships/chart" Target="../charts/chart75.xml"/></Relationships>
</file>

<file path=xl/drawings/_rels/drawing51.xml.rels><?xml version="1.0" encoding="UTF-8" standalone="yes"?>
<Relationships xmlns="http://schemas.openxmlformats.org/package/2006/relationships"><Relationship Id="rId1" Type="http://schemas.openxmlformats.org/officeDocument/2006/relationships/chart" Target="../charts/chart76.xml"/></Relationships>
</file>

<file path=xl/drawings/_rels/drawing53.xml.rels><?xml version="1.0" encoding="UTF-8" standalone="yes"?>
<Relationships xmlns="http://schemas.openxmlformats.org/package/2006/relationships"><Relationship Id="rId1" Type="http://schemas.openxmlformats.org/officeDocument/2006/relationships/chart" Target="../charts/chart77.xml"/></Relationships>
</file>

<file path=xl/drawings/_rels/drawing55.xml.rels><?xml version="1.0" encoding="UTF-8" standalone="yes"?>
<Relationships xmlns="http://schemas.openxmlformats.org/package/2006/relationships"><Relationship Id="rId1" Type="http://schemas.openxmlformats.org/officeDocument/2006/relationships/chart" Target="../charts/chart78.xml"/></Relationships>
</file>

<file path=xl/drawings/_rels/drawing57.xml.rels><?xml version="1.0" encoding="UTF-8" standalone="yes"?>
<Relationships xmlns="http://schemas.openxmlformats.org/package/2006/relationships"><Relationship Id="rId1" Type="http://schemas.openxmlformats.org/officeDocument/2006/relationships/image" Target="../media/image31.emf"/></Relationships>
</file>

<file path=xl/drawings/drawing1.xml><?xml version="1.0" encoding="utf-8"?>
<xdr:wsDr xmlns:xdr="http://schemas.openxmlformats.org/drawingml/2006/spreadsheetDrawing" xmlns:a="http://schemas.openxmlformats.org/drawingml/2006/main">
  <xdr:twoCellAnchor editAs="oneCell">
    <xdr:from>
      <xdr:col>5</xdr:col>
      <xdr:colOff>3461657</xdr:colOff>
      <xdr:row>0</xdr:row>
      <xdr:rowOff>25050</xdr:rowOff>
    </xdr:from>
    <xdr:to>
      <xdr:col>6</xdr:col>
      <xdr:colOff>1404257</xdr:colOff>
      <xdr:row>3</xdr:row>
      <xdr:rowOff>136486</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453257" y="25050"/>
          <a:ext cx="1948543" cy="66660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468085</xdr:colOff>
      <xdr:row>0</xdr:row>
      <xdr:rowOff>127006</xdr:rowOff>
    </xdr:from>
    <xdr:to>
      <xdr:col>11</xdr:col>
      <xdr:colOff>3000829</xdr:colOff>
      <xdr:row>2</xdr:row>
      <xdr:rowOff>702128</xdr:rowOff>
    </xdr:to>
    <xdr:pic>
      <xdr:nvPicPr>
        <xdr:cNvPr id="4" name="Imagen 3">
          <a:extLst>
            <a:ext uri="{FF2B5EF4-FFF2-40B4-BE49-F238E27FC236}">
              <a16:creationId xmlns:a16="http://schemas.microsoft.com/office/drawing/2014/main" id="{919E7390-54F1-4379-99B8-060412D0823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255828" y="127006"/>
          <a:ext cx="4263572" cy="103232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37</xdr:col>
      <xdr:colOff>1357565</xdr:colOff>
      <xdr:row>17</xdr:row>
      <xdr:rowOff>125233</xdr:rowOff>
    </xdr:from>
    <xdr:to>
      <xdr:col>52</xdr:col>
      <xdr:colOff>711973</xdr:colOff>
      <xdr:row>23</xdr:row>
      <xdr:rowOff>139176</xdr:rowOff>
    </xdr:to>
    <xdr:sp macro="" textlink="">
      <xdr:nvSpPr>
        <xdr:cNvPr id="2" name="CuadroTexto 1">
          <a:extLst>
            <a:ext uri="{FF2B5EF4-FFF2-40B4-BE49-F238E27FC236}">
              <a16:creationId xmlns:a16="http://schemas.microsoft.com/office/drawing/2014/main" id="{00000000-0008-0000-0400-000002000000}"/>
            </a:ext>
          </a:extLst>
        </xdr:cNvPr>
        <xdr:cNvSpPr txBox="1"/>
      </xdr:nvSpPr>
      <xdr:spPr>
        <a:xfrm>
          <a:off x="17213791" y="3988242"/>
          <a:ext cx="5483539" cy="147168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s-EC" sz="800">
              <a:solidFill>
                <a:schemeClr val="dk1"/>
              </a:solidFill>
              <a:effectLst/>
              <a:latin typeface="+mn-lt"/>
              <a:ea typeface="+mn-ea"/>
              <a:cs typeface="+mn-cs"/>
            </a:rPr>
            <a:t>Datos de llegadas de enero a diciembre 2019: 684,390 visitantes no residentes</a:t>
          </a:r>
        </a:p>
        <a:p>
          <a:pPr marL="0" marR="0" lvl="0" indent="0" defTabSz="914400" eaLnBrk="1" fontAlgn="auto" latinLnBrk="0" hangingPunct="1">
            <a:lnSpc>
              <a:spcPct val="100000"/>
            </a:lnSpc>
            <a:spcBef>
              <a:spcPts val="0"/>
            </a:spcBef>
            <a:spcAft>
              <a:spcPts val="0"/>
            </a:spcAft>
            <a:buClrTx/>
            <a:buSzTx/>
            <a:buFontTx/>
            <a:buNone/>
            <a:tabLst/>
            <a:defRPr/>
          </a:pPr>
          <a:r>
            <a:rPr lang="es-EC" sz="800">
              <a:solidFill>
                <a:schemeClr val="dk1"/>
              </a:solidFill>
              <a:effectLst/>
              <a:latin typeface="+mn-lt"/>
              <a:ea typeface="+mn-ea"/>
              <a:cs typeface="+mn-cs"/>
            </a:rPr>
            <a:t>Datos de llegadas de enero a diciembre 2020: 190.417 visitantes no residentes</a:t>
          </a:r>
        </a:p>
        <a:p>
          <a:pPr marL="0" marR="0" lvl="0" indent="0" defTabSz="914400" eaLnBrk="1" fontAlgn="auto" latinLnBrk="0" hangingPunct="1">
            <a:lnSpc>
              <a:spcPct val="100000"/>
            </a:lnSpc>
            <a:spcBef>
              <a:spcPts val="0"/>
            </a:spcBef>
            <a:spcAft>
              <a:spcPts val="0"/>
            </a:spcAft>
            <a:buClrTx/>
            <a:buSzTx/>
            <a:buFontTx/>
            <a:buNone/>
            <a:tabLst/>
            <a:defRPr/>
          </a:pPr>
          <a:endParaRPr lang="es-EC" sz="8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EC" sz="800">
              <a:solidFill>
                <a:schemeClr val="dk1"/>
              </a:solidFill>
              <a:effectLst/>
              <a:latin typeface="+mn-lt"/>
              <a:ea typeface="+mn-ea"/>
              <a:cs typeface="+mn-cs"/>
            </a:rPr>
            <a:t>- Total</a:t>
          </a:r>
          <a:r>
            <a:rPr lang="es-EC" sz="800" baseline="0">
              <a:solidFill>
                <a:schemeClr val="dk1"/>
              </a:solidFill>
              <a:effectLst/>
              <a:latin typeface="+mn-lt"/>
              <a:ea typeface="+mn-ea"/>
              <a:cs typeface="+mn-cs"/>
            </a:rPr>
            <a:t> llegadas internacionales entre </a:t>
          </a:r>
          <a:r>
            <a:rPr lang="es-EC" sz="800" b="1" baseline="0">
              <a:solidFill>
                <a:schemeClr val="dk1"/>
              </a:solidFill>
              <a:effectLst/>
              <a:latin typeface="+mn-lt"/>
              <a:ea typeface="+mn-ea"/>
              <a:cs typeface="+mn-cs"/>
            </a:rPr>
            <a:t>enero - diciembre</a:t>
          </a:r>
          <a:r>
            <a:rPr lang="es-EC" sz="800" baseline="0">
              <a:solidFill>
                <a:schemeClr val="dk1"/>
              </a:solidFill>
              <a:effectLst/>
              <a:latin typeface="+mn-lt"/>
              <a:ea typeface="+mn-ea"/>
              <a:cs typeface="+mn-cs"/>
            </a:rPr>
            <a:t> 2021: </a:t>
          </a:r>
          <a:r>
            <a:rPr lang="es-EC" sz="800" b="1" baseline="0">
              <a:solidFill>
                <a:schemeClr val="dk1"/>
              </a:solidFill>
              <a:effectLst/>
              <a:latin typeface="+mn-lt"/>
              <a:ea typeface="+mn-ea"/>
              <a:cs typeface="+mn-cs"/>
            </a:rPr>
            <a:t>280.996 </a:t>
          </a:r>
          <a:endParaRPr lang="es-EC"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EC" sz="800">
              <a:solidFill>
                <a:schemeClr val="dk1"/>
              </a:solidFill>
              <a:effectLst/>
              <a:latin typeface="+mn-lt"/>
              <a:ea typeface="+mn-ea"/>
              <a:cs typeface="+mn-cs"/>
            </a:rPr>
            <a:t>- En el mes de </a:t>
          </a:r>
          <a:r>
            <a:rPr lang="es-EC" sz="800" b="1">
              <a:solidFill>
                <a:schemeClr val="dk1"/>
              </a:solidFill>
              <a:effectLst/>
              <a:latin typeface="+mn-lt"/>
              <a:ea typeface="+mn-ea"/>
              <a:cs typeface="+mn-cs"/>
            </a:rPr>
            <a:t>diciembre</a:t>
          </a:r>
          <a:r>
            <a:rPr lang="es-EC" sz="800">
              <a:solidFill>
                <a:schemeClr val="dk1"/>
              </a:solidFill>
              <a:effectLst/>
              <a:latin typeface="+mn-lt"/>
              <a:ea typeface="+mn-ea"/>
              <a:cs typeface="+mn-cs"/>
            </a:rPr>
            <a:t> 2021 hubo un  +132% respecto al mismo mes en 2020.</a:t>
          </a:r>
        </a:p>
        <a:p>
          <a:pPr marL="0" marR="0" lvl="0" indent="0" defTabSz="914400" eaLnBrk="1" fontAlgn="auto" latinLnBrk="0" hangingPunct="1">
            <a:lnSpc>
              <a:spcPct val="100000"/>
            </a:lnSpc>
            <a:spcBef>
              <a:spcPts val="0"/>
            </a:spcBef>
            <a:spcAft>
              <a:spcPts val="0"/>
            </a:spcAft>
            <a:buClrTx/>
            <a:buSzTx/>
            <a:buFontTx/>
            <a:buNone/>
            <a:tabLst/>
            <a:defRPr/>
          </a:pPr>
          <a:r>
            <a:rPr lang="es-EC" sz="800">
              <a:solidFill>
                <a:schemeClr val="dk1"/>
              </a:solidFill>
              <a:effectLst/>
              <a:latin typeface="+mn-lt"/>
              <a:ea typeface="+mn-ea"/>
              <a:cs typeface="+mn-cs"/>
            </a:rPr>
            <a:t>- En el periodo enero - </a:t>
          </a:r>
          <a:r>
            <a:rPr lang="es-EC" sz="800" b="1">
              <a:solidFill>
                <a:schemeClr val="dk1"/>
              </a:solidFill>
              <a:effectLst/>
              <a:latin typeface="+mn-lt"/>
              <a:ea typeface="+mn-ea"/>
              <a:cs typeface="+mn-cs"/>
            </a:rPr>
            <a:t>diciembre</a:t>
          </a:r>
          <a:r>
            <a:rPr lang="es-EC" sz="800">
              <a:solidFill>
                <a:schemeClr val="dk1"/>
              </a:solidFill>
              <a:effectLst/>
              <a:latin typeface="+mn-lt"/>
              <a:ea typeface="+mn-ea"/>
              <a:cs typeface="+mn-cs"/>
            </a:rPr>
            <a:t> 2021 hubo un  +47,6% ( acumulado) respecto al mismo periodo acumulado en 2020.</a:t>
          </a:r>
        </a:p>
        <a:p>
          <a:pPr marL="0" marR="0" lvl="0" indent="0" defTabSz="914400" eaLnBrk="1" fontAlgn="auto" latinLnBrk="0" hangingPunct="1">
            <a:lnSpc>
              <a:spcPct val="100000"/>
            </a:lnSpc>
            <a:spcBef>
              <a:spcPts val="0"/>
            </a:spcBef>
            <a:spcAft>
              <a:spcPts val="0"/>
            </a:spcAft>
            <a:buClrTx/>
            <a:buSzTx/>
            <a:buFontTx/>
            <a:buNone/>
            <a:tabLst/>
            <a:defRPr/>
          </a:pPr>
          <a:endParaRPr lang="es-EC" sz="8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s-EC" sz="8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EC" sz="800">
              <a:solidFill>
                <a:schemeClr val="dk1"/>
              </a:solidFill>
              <a:effectLst/>
              <a:latin typeface="+mn-lt"/>
              <a:ea typeface="+mn-ea"/>
              <a:cs typeface="+mn-cs"/>
            </a:rPr>
            <a:t>*    +47,6% variación enero - diciembre (2020-2021)</a:t>
          </a:r>
        </a:p>
        <a:p>
          <a:pPr marL="0" marR="0" lvl="0" indent="0" defTabSz="914400" eaLnBrk="1" fontAlgn="auto" latinLnBrk="0" hangingPunct="1">
            <a:lnSpc>
              <a:spcPct val="100000"/>
            </a:lnSpc>
            <a:spcBef>
              <a:spcPts val="0"/>
            </a:spcBef>
            <a:spcAft>
              <a:spcPts val="0"/>
            </a:spcAft>
            <a:buClrTx/>
            <a:buSzTx/>
            <a:buFontTx/>
            <a:buNone/>
            <a:tabLst/>
            <a:defRPr/>
          </a:pPr>
          <a:r>
            <a:rPr lang="es-EC" sz="800">
              <a:solidFill>
                <a:schemeClr val="dk1"/>
              </a:solidFill>
              <a:effectLst/>
              <a:latin typeface="+mn-lt"/>
              <a:ea typeface="+mn-ea"/>
              <a:cs typeface="+mn-cs"/>
            </a:rPr>
            <a:t>**  -59% variación enero - diciembre (2019-2021)</a:t>
          </a:r>
        </a:p>
      </xdr:txBody>
    </xdr:sp>
    <xdr:clientData/>
  </xdr:twoCellAnchor>
  <xdr:twoCellAnchor>
    <xdr:from>
      <xdr:col>52</xdr:col>
      <xdr:colOff>396240</xdr:colOff>
      <xdr:row>25</xdr:row>
      <xdr:rowOff>91440</xdr:rowOff>
    </xdr:from>
    <xdr:to>
      <xdr:col>61</xdr:col>
      <xdr:colOff>571500</xdr:colOff>
      <xdr:row>67</xdr:row>
      <xdr:rowOff>144780</xdr:rowOff>
    </xdr:to>
    <xdr:graphicFrame macro="">
      <xdr:nvGraphicFramePr>
        <xdr:cNvPr id="7" name="Gráfico 6">
          <a:extLst>
            <a:ext uri="{FF2B5EF4-FFF2-40B4-BE49-F238E27FC236}">
              <a16:creationId xmlns:a16="http://schemas.microsoft.com/office/drawing/2014/main" id="{00000000-0008-0000-04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66</xdr:col>
      <xdr:colOff>52770</xdr:colOff>
      <xdr:row>4</xdr:row>
      <xdr:rowOff>19049</xdr:rowOff>
    </xdr:from>
    <xdr:to>
      <xdr:col>69</xdr:col>
      <xdr:colOff>28490</xdr:colOff>
      <xdr:row>13</xdr:row>
      <xdr:rowOff>89640</xdr:rowOff>
    </xdr:to>
    <xdr:pic>
      <xdr:nvPicPr>
        <xdr:cNvPr id="18" name="Imagen 17">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2"/>
        <a:stretch>
          <a:fillRect/>
        </a:stretch>
      </xdr:blipFill>
      <xdr:spPr>
        <a:xfrm>
          <a:off x="22952527" y="1191866"/>
          <a:ext cx="2321353" cy="1800000"/>
        </a:xfrm>
        <a:prstGeom prst="rect">
          <a:avLst/>
        </a:prstGeom>
      </xdr:spPr>
    </xdr:pic>
    <xdr:clientData/>
  </xdr:twoCellAnchor>
  <xdr:twoCellAnchor>
    <xdr:from>
      <xdr:col>52</xdr:col>
      <xdr:colOff>281940</xdr:colOff>
      <xdr:row>3</xdr:row>
      <xdr:rowOff>83820</xdr:rowOff>
    </xdr:from>
    <xdr:to>
      <xdr:col>64</xdr:col>
      <xdr:colOff>38100</xdr:colOff>
      <xdr:row>17</xdr:row>
      <xdr:rowOff>137160</xdr:rowOff>
    </xdr:to>
    <xdr:graphicFrame macro="">
      <xdr:nvGraphicFramePr>
        <xdr:cNvPr id="19" name="Gráfico 18">
          <a:extLst>
            <a:ext uri="{FF2B5EF4-FFF2-40B4-BE49-F238E27FC236}">
              <a16:creationId xmlns:a16="http://schemas.microsoft.com/office/drawing/2014/main" id="{00000000-0008-0000-0400-00001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69</xdr:col>
      <xdr:colOff>130889</xdr:colOff>
      <xdr:row>3</xdr:row>
      <xdr:rowOff>159026</xdr:rowOff>
    </xdr:from>
    <xdr:to>
      <xdr:col>71</xdr:col>
      <xdr:colOff>662352</xdr:colOff>
      <xdr:row>13</xdr:row>
      <xdr:rowOff>37461</xdr:rowOff>
    </xdr:to>
    <xdr:pic>
      <xdr:nvPicPr>
        <xdr:cNvPr id="3" name="Imagen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4"/>
        <a:stretch>
          <a:fillRect/>
        </a:stretch>
      </xdr:blipFill>
      <xdr:spPr>
        <a:xfrm>
          <a:off x="25376280" y="1139687"/>
          <a:ext cx="2095220" cy="1800000"/>
        </a:xfrm>
        <a:prstGeom prst="rect">
          <a:avLst/>
        </a:prstGeom>
      </xdr:spPr>
    </xdr:pic>
    <xdr:clientData/>
  </xdr:twoCellAnchor>
  <xdr:twoCellAnchor>
    <xdr:from>
      <xdr:col>12</xdr:col>
      <xdr:colOff>64943</xdr:colOff>
      <xdr:row>55</xdr:row>
      <xdr:rowOff>161924</xdr:rowOff>
    </xdr:from>
    <xdr:to>
      <xdr:col>37</xdr:col>
      <xdr:colOff>824345</xdr:colOff>
      <xdr:row>71</xdr:row>
      <xdr:rowOff>57149</xdr:rowOff>
    </xdr:to>
    <xdr:graphicFrame macro="">
      <xdr:nvGraphicFramePr>
        <xdr:cNvPr id="4" name="Gráfico 3">
          <a:extLst>
            <a:ext uri="{FF2B5EF4-FFF2-40B4-BE49-F238E27FC236}">
              <a16:creationId xmlns:a16="http://schemas.microsoft.com/office/drawing/2014/main" id="{00000000-0008-0000-04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xdr:col>
      <xdr:colOff>0</xdr:colOff>
      <xdr:row>73</xdr:row>
      <xdr:rowOff>0</xdr:rowOff>
    </xdr:from>
    <xdr:to>
      <xdr:col>40</xdr:col>
      <xdr:colOff>542925</xdr:colOff>
      <xdr:row>88</xdr:row>
      <xdr:rowOff>76200</xdr:rowOff>
    </xdr:to>
    <xdr:graphicFrame macro="">
      <xdr:nvGraphicFramePr>
        <xdr:cNvPr id="8" name="Gráfico 7">
          <a:extLst>
            <a:ext uri="{FF2B5EF4-FFF2-40B4-BE49-F238E27FC236}">
              <a16:creationId xmlns:a16="http://schemas.microsoft.com/office/drawing/2014/main" id="{00000000-0008-0000-04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12</xdr:col>
      <xdr:colOff>575655</xdr:colOff>
      <xdr:row>75</xdr:row>
      <xdr:rowOff>46240</xdr:rowOff>
    </xdr:from>
    <xdr:to>
      <xdr:col>14</xdr:col>
      <xdr:colOff>63037</xdr:colOff>
      <xdr:row>86</xdr:row>
      <xdr:rowOff>112050</xdr:rowOff>
    </xdr:to>
    <xdr:sp macro="" textlink="">
      <xdr:nvSpPr>
        <xdr:cNvPr id="5" name="Rectángulo 4">
          <a:extLst>
            <a:ext uri="{FF2B5EF4-FFF2-40B4-BE49-F238E27FC236}">
              <a16:creationId xmlns:a16="http://schemas.microsoft.com/office/drawing/2014/main" id="{00000000-0008-0000-0400-000005000000}"/>
            </a:ext>
          </a:extLst>
        </xdr:cNvPr>
        <xdr:cNvSpPr/>
      </xdr:nvSpPr>
      <xdr:spPr>
        <a:xfrm>
          <a:off x="2488275" y="15324340"/>
          <a:ext cx="1438102" cy="2077490"/>
        </a:xfrm>
        <a:prstGeom prst="rect">
          <a:avLst/>
        </a:prstGeom>
        <a:noFill/>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s-EC" sz="1100"/>
        </a:p>
      </xdr:txBody>
    </xdr:sp>
    <xdr:clientData/>
  </xdr:twoCellAnchor>
  <xdr:twoCellAnchor editAs="oneCell">
    <xdr:from>
      <xdr:col>71</xdr:col>
      <xdr:colOff>747485</xdr:colOff>
      <xdr:row>3</xdr:row>
      <xdr:rowOff>180975</xdr:rowOff>
    </xdr:from>
    <xdr:to>
      <xdr:col>76</xdr:col>
      <xdr:colOff>71707</xdr:colOff>
      <xdr:row>13</xdr:row>
      <xdr:rowOff>59410</xdr:rowOff>
    </xdr:to>
    <xdr:pic>
      <xdr:nvPicPr>
        <xdr:cNvPr id="6" name="Imagen 5">
          <a:extLst>
            <a:ext uri="{FF2B5EF4-FFF2-40B4-BE49-F238E27FC236}">
              <a16:creationId xmlns:a16="http://schemas.microsoft.com/office/drawing/2014/main" id="{4367649D-45E2-45F8-8C8B-1FF9EC30517C}"/>
            </a:ext>
          </a:extLst>
        </xdr:cNvPr>
        <xdr:cNvPicPr>
          <a:picLocks noChangeAspect="1"/>
        </xdr:cNvPicPr>
      </xdr:nvPicPr>
      <xdr:blipFill>
        <a:blip xmlns:r="http://schemas.openxmlformats.org/officeDocument/2006/relationships" r:embed="rId7"/>
        <a:stretch>
          <a:fillRect/>
        </a:stretch>
      </xdr:blipFill>
      <xdr:spPr>
        <a:xfrm>
          <a:off x="27556633" y="1161636"/>
          <a:ext cx="3233613" cy="1800000"/>
        </a:xfrm>
        <a:prstGeom prst="rect">
          <a:avLst/>
        </a:prstGeom>
      </xdr:spPr>
    </xdr:pic>
    <xdr:clientData/>
  </xdr:twoCellAnchor>
  <xdr:twoCellAnchor editAs="oneCell">
    <xdr:from>
      <xdr:col>76</xdr:col>
      <xdr:colOff>217004</xdr:colOff>
      <xdr:row>4</xdr:row>
      <xdr:rowOff>2214</xdr:rowOff>
    </xdr:from>
    <xdr:to>
      <xdr:col>80</xdr:col>
      <xdr:colOff>586004</xdr:colOff>
      <xdr:row>13</xdr:row>
      <xdr:rowOff>72805</xdr:rowOff>
    </xdr:to>
    <xdr:pic>
      <xdr:nvPicPr>
        <xdr:cNvPr id="9" name="Imagen 8">
          <a:extLst>
            <a:ext uri="{FF2B5EF4-FFF2-40B4-BE49-F238E27FC236}">
              <a16:creationId xmlns:a16="http://schemas.microsoft.com/office/drawing/2014/main" id="{393DC681-245C-4D39-A8B5-B7E3C66B9333}"/>
            </a:ext>
          </a:extLst>
        </xdr:cNvPr>
        <xdr:cNvPicPr>
          <a:picLocks noChangeAspect="1"/>
        </xdr:cNvPicPr>
      </xdr:nvPicPr>
      <xdr:blipFill>
        <a:blip xmlns:r="http://schemas.openxmlformats.org/officeDocument/2006/relationships" r:embed="rId8"/>
        <a:stretch>
          <a:fillRect/>
        </a:stretch>
      </xdr:blipFill>
      <xdr:spPr>
        <a:xfrm>
          <a:off x="30935543" y="1175031"/>
          <a:ext cx="3496512" cy="1800000"/>
        </a:xfrm>
        <a:prstGeom prst="rect">
          <a:avLst/>
        </a:prstGeom>
      </xdr:spPr>
    </xdr:pic>
    <xdr:clientData/>
  </xdr:twoCellAnchor>
  <xdr:twoCellAnchor editAs="oneCell">
    <xdr:from>
      <xdr:col>66</xdr:col>
      <xdr:colOff>28614</xdr:colOff>
      <xdr:row>14</xdr:row>
      <xdr:rowOff>124390</xdr:rowOff>
    </xdr:from>
    <xdr:to>
      <xdr:col>70</xdr:col>
      <xdr:colOff>160351</xdr:colOff>
      <xdr:row>21</xdr:row>
      <xdr:rowOff>50493</xdr:rowOff>
    </xdr:to>
    <xdr:pic>
      <xdr:nvPicPr>
        <xdr:cNvPr id="10" name="Imagen 9">
          <a:extLst>
            <a:ext uri="{FF2B5EF4-FFF2-40B4-BE49-F238E27FC236}">
              <a16:creationId xmlns:a16="http://schemas.microsoft.com/office/drawing/2014/main" id="{3AC65C8C-F434-4DE8-A8C9-89873FFF8DBA}"/>
            </a:ext>
          </a:extLst>
        </xdr:cNvPr>
        <xdr:cNvPicPr>
          <a:picLocks noChangeAspect="1"/>
        </xdr:cNvPicPr>
      </xdr:nvPicPr>
      <xdr:blipFill>
        <a:blip xmlns:r="http://schemas.openxmlformats.org/officeDocument/2006/relationships" r:embed="rId9"/>
        <a:stretch>
          <a:fillRect/>
        </a:stretch>
      </xdr:blipFill>
      <xdr:spPr>
        <a:xfrm>
          <a:off x="22928371" y="3218773"/>
          <a:ext cx="3259250" cy="1800000"/>
        </a:xfrm>
        <a:prstGeom prst="rect">
          <a:avLst/>
        </a:prstGeom>
      </xdr:spPr>
    </xdr:pic>
    <xdr:clientData/>
  </xdr:twoCellAnchor>
  <xdr:twoCellAnchor editAs="oneCell">
    <xdr:from>
      <xdr:col>80</xdr:col>
      <xdr:colOff>644541</xdr:colOff>
      <xdr:row>4</xdr:row>
      <xdr:rowOff>14760</xdr:rowOff>
    </xdr:from>
    <xdr:to>
      <xdr:col>84</xdr:col>
      <xdr:colOff>487750</xdr:colOff>
      <xdr:row>13</xdr:row>
      <xdr:rowOff>85351</xdr:rowOff>
    </xdr:to>
    <xdr:pic>
      <xdr:nvPicPr>
        <xdr:cNvPr id="11" name="Imagen 10">
          <a:extLst>
            <a:ext uri="{FF2B5EF4-FFF2-40B4-BE49-F238E27FC236}">
              <a16:creationId xmlns:a16="http://schemas.microsoft.com/office/drawing/2014/main" id="{CD86425B-758A-4D6C-B494-1BF73CC8690A}"/>
            </a:ext>
          </a:extLst>
        </xdr:cNvPr>
        <xdr:cNvPicPr>
          <a:picLocks noChangeAspect="1"/>
        </xdr:cNvPicPr>
      </xdr:nvPicPr>
      <xdr:blipFill>
        <a:blip xmlns:r="http://schemas.openxmlformats.org/officeDocument/2006/relationships" r:embed="rId10"/>
        <a:stretch>
          <a:fillRect/>
        </a:stretch>
      </xdr:blipFill>
      <xdr:spPr>
        <a:xfrm>
          <a:off x="34490593" y="1187577"/>
          <a:ext cx="2970723" cy="1800000"/>
        </a:xfrm>
        <a:prstGeom prst="rect">
          <a:avLst/>
        </a:prstGeom>
      </xdr:spPr>
    </xdr:pic>
    <xdr:clientData/>
  </xdr:twoCellAnchor>
  <xdr:twoCellAnchor editAs="oneCell">
    <xdr:from>
      <xdr:col>81</xdr:col>
      <xdr:colOff>413531</xdr:colOff>
      <xdr:row>6</xdr:row>
      <xdr:rowOff>21084</xdr:rowOff>
    </xdr:from>
    <xdr:to>
      <xdr:col>85</xdr:col>
      <xdr:colOff>547838</xdr:colOff>
      <xdr:row>15</xdr:row>
      <xdr:rowOff>91675</xdr:rowOff>
    </xdr:to>
    <xdr:pic>
      <xdr:nvPicPr>
        <xdr:cNvPr id="12" name="Imagen 11">
          <a:extLst>
            <a:ext uri="{FF2B5EF4-FFF2-40B4-BE49-F238E27FC236}">
              <a16:creationId xmlns:a16="http://schemas.microsoft.com/office/drawing/2014/main" id="{B37442CD-9803-43DE-AA3F-5EA8B7F2D35B}"/>
            </a:ext>
          </a:extLst>
        </xdr:cNvPr>
        <xdr:cNvPicPr>
          <a:picLocks noChangeAspect="1"/>
        </xdr:cNvPicPr>
      </xdr:nvPicPr>
      <xdr:blipFill>
        <a:blip xmlns:r="http://schemas.openxmlformats.org/officeDocument/2006/relationships" r:embed="rId11"/>
        <a:stretch>
          <a:fillRect/>
        </a:stretch>
      </xdr:blipFill>
      <xdr:spPr>
        <a:xfrm>
          <a:off x="35041461" y="1578214"/>
          <a:ext cx="3261820" cy="1800000"/>
        </a:xfrm>
        <a:prstGeom prst="rect">
          <a:avLst/>
        </a:prstGeom>
      </xdr:spPr>
    </xdr:pic>
    <xdr:clientData/>
  </xdr:twoCellAnchor>
  <xdr:twoCellAnchor editAs="oneCell">
    <xdr:from>
      <xdr:col>70</xdr:col>
      <xdr:colOff>331303</xdr:colOff>
      <xdr:row>14</xdr:row>
      <xdr:rowOff>133016</xdr:rowOff>
    </xdr:from>
    <xdr:to>
      <xdr:col>73</xdr:col>
      <xdr:colOff>432483</xdr:colOff>
      <xdr:row>21</xdr:row>
      <xdr:rowOff>59119</xdr:rowOff>
    </xdr:to>
    <xdr:pic>
      <xdr:nvPicPr>
        <xdr:cNvPr id="13" name="Imagen 12">
          <a:extLst>
            <a:ext uri="{FF2B5EF4-FFF2-40B4-BE49-F238E27FC236}">
              <a16:creationId xmlns:a16="http://schemas.microsoft.com/office/drawing/2014/main" id="{4A4C4611-D26A-42AA-BC70-B78585A58DE0}"/>
            </a:ext>
          </a:extLst>
        </xdr:cNvPr>
        <xdr:cNvPicPr>
          <a:picLocks noChangeAspect="1"/>
        </xdr:cNvPicPr>
      </xdr:nvPicPr>
      <xdr:blipFill>
        <a:blip xmlns:r="http://schemas.openxmlformats.org/officeDocument/2006/relationships" r:embed="rId12"/>
        <a:stretch>
          <a:fillRect/>
        </a:stretch>
      </xdr:blipFill>
      <xdr:spPr>
        <a:xfrm>
          <a:off x="26358573" y="3227399"/>
          <a:ext cx="2446813" cy="1800000"/>
        </a:xfrm>
        <a:prstGeom prst="rect">
          <a:avLst/>
        </a:prstGeom>
      </xdr:spPr>
    </xdr:pic>
    <xdr:clientData/>
  </xdr:twoCellAnchor>
  <xdr:twoCellAnchor editAs="oneCell">
    <xdr:from>
      <xdr:col>74</xdr:col>
      <xdr:colOff>1</xdr:colOff>
      <xdr:row>15</xdr:row>
      <xdr:rowOff>0</xdr:rowOff>
    </xdr:from>
    <xdr:to>
      <xdr:col>77</xdr:col>
      <xdr:colOff>731137</xdr:colOff>
      <xdr:row>23</xdr:row>
      <xdr:rowOff>115150</xdr:rowOff>
    </xdr:to>
    <xdr:pic>
      <xdr:nvPicPr>
        <xdr:cNvPr id="14" name="Imagen 13">
          <a:extLst>
            <a:ext uri="{FF2B5EF4-FFF2-40B4-BE49-F238E27FC236}">
              <a16:creationId xmlns:a16="http://schemas.microsoft.com/office/drawing/2014/main" id="{2DE630DB-21CF-4013-A020-E6D74F5F8803}"/>
            </a:ext>
          </a:extLst>
        </xdr:cNvPr>
        <xdr:cNvPicPr>
          <a:picLocks noChangeAspect="1"/>
        </xdr:cNvPicPr>
      </xdr:nvPicPr>
      <xdr:blipFill>
        <a:blip xmlns:r="http://schemas.openxmlformats.org/officeDocument/2006/relationships" r:embed="rId13"/>
        <a:stretch>
          <a:fillRect/>
        </a:stretch>
      </xdr:blipFill>
      <xdr:spPr>
        <a:xfrm>
          <a:off x="32186881" y="3268980"/>
          <a:ext cx="3085715" cy="2160000"/>
        </a:xfrm>
        <a:prstGeom prst="rect">
          <a:avLst/>
        </a:prstGeom>
      </xdr:spPr>
    </xdr:pic>
    <xdr:clientData/>
  </xdr:twoCellAnchor>
  <xdr:twoCellAnchor editAs="oneCell">
    <xdr:from>
      <xdr:col>78</xdr:col>
      <xdr:colOff>0</xdr:colOff>
      <xdr:row>15</xdr:row>
      <xdr:rowOff>0</xdr:rowOff>
    </xdr:from>
    <xdr:to>
      <xdr:col>83</xdr:col>
      <xdr:colOff>647</xdr:colOff>
      <xdr:row>23</xdr:row>
      <xdr:rowOff>115150</xdr:rowOff>
    </xdr:to>
    <xdr:pic>
      <xdr:nvPicPr>
        <xdr:cNvPr id="16" name="Imagen 15">
          <a:extLst>
            <a:ext uri="{FF2B5EF4-FFF2-40B4-BE49-F238E27FC236}">
              <a16:creationId xmlns:a16="http://schemas.microsoft.com/office/drawing/2014/main" id="{8CE228DB-8F3C-4D42-8D5B-9FD62CE30F6C}"/>
            </a:ext>
          </a:extLst>
        </xdr:cNvPr>
        <xdr:cNvPicPr>
          <a:picLocks noChangeAspect="1"/>
        </xdr:cNvPicPr>
      </xdr:nvPicPr>
      <xdr:blipFill>
        <a:blip xmlns:r="http://schemas.openxmlformats.org/officeDocument/2006/relationships" r:embed="rId14"/>
        <a:stretch>
          <a:fillRect/>
        </a:stretch>
      </xdr:blipFill>
      <xdr:spPr>
        <a:xfrm>
          <a:off x="32369760" y="3268980"/>
          <a:ext cx="3921136" cy="2160000"/>
        </a:xfrm>
        <a:prstGeom prst="rect">
          <a:avLst/>
        </a:prstGeom>
      </xdr:spPr>
    </xdr:pic>
    <xdr:clientData/>
  </xdr:twoCellAnchor>
  <xdr:twoCellAnchor editAs="oneCell">
    <xdr:from>
      <xdr:col>83</xdr:col>
      <xdr:colOff>0</xdr:colOff>
      <xdr:row>16</xdr:row>
      <xdr:rowOff>0</xdr:rowOff>
    </xdr:from>
    <xdr:to>
      <xdr:col>86</xdr:col>
      <xdr:colOff>35615</xdr:colOff>
      <xdr:row>23</xdr:row>
      <xdr:rowOff>37090</xdr:rowOff>
    </xdr:to>
    <xdr:pic>
      <xdr:nvPicPr>
        <xdr:cNvPr id="15" name="Imagen 14">
          <a:extLst>
            <a:ext uri="{FF2B5EF4-FFF2-40B4-BE49-F238E27FC236}">
              <a16:creationId xmlns:a16="http://schemas.microsoft.com/office/drawing/2014/main" id="{48234554-8B41-4F34-ADC8-9CFDDAF93F9D}"/>
            </a:ext>
          </a:extLst>
        </xdr:cNvPr>
        <xdr:cNvPicPr>
          <a:picLocks noChangeAspect="1"/>
        </xdr:cNvPicPr>
      </xdr:nvPicPr>
      <xdr:blipFill>
        <a:blip xmlns:r="http://schemas.openxmlformats.org/officeDocument/2006/relationships" r:embed="rId15"/>
        <a:stretch>
          <a:fillRect/>
        </a:stretch>
      </xdr:blipFill>
      <xdr:spPr>
        <a:xfrm>
          <a:off x="30304740" y="3550920"/>
          <a:ext cx="2390196" cy="1800000"/>
        </a:xfrm>
        <a:prstGeom prst="rect">
          <a:avLst/>
        </a:prstGeom>
      </xdr:spPr>
    </xdr:pic>
    <xdr:clientData/>
  </xdr:twoCellAnchor>
  <xdr:twoCellAnchor editAs="oneCell">
    <xdr:from>
      <xdr:col>86</xdr:col>
      <xdr:colOff>1</xdr:colOff>
      <xdr:row>4</xdr:row>
      <xdr:rowOff>0</xdr:rowOff>
    </xdr:from>
    <xdr:to>
      <xdr:col>89</xdr:col>
      <xdr:colOff>556787</xdr:colOff>
      <xdr:row>15</xdr:row>
      <xdr:rowOff>89152</xdr:rowOff>
    </xdr:to>
    <xdr:pic>
      <xdr:nvPicPr>
        <xdr:cNvPr id="17" name="Imagen 16">
          <a:extLst>
            <a:ext uri="{FF2B5EF4-FFF2-40B4-BE49-F238E27FC236}">
              <a16:creationId xmlns:a16="http://schemas.microsoft.com/office/drawing/2014/main" id="{F21FF46C-B6AD-4CF6-B2D5-3C336A0BCCCA}"/>
            </a:ext>
          </a:extLst>
        </xdr:cNvPr>
        <xdr:cNvPicPr>
          <a:picLocks noChangeAspect="1"/>
        </xdr:cNvPicPr>
      </xdr:nvPicPr>
      <xdr:blipFill>
        <a:blip xmlns:r="http://schemas.openxmlformats.org/officeDocument/2006/relationships" r:embed="rId16"/>
        <a:stretch>
          <a:fillRect/>
        </a:stretch>
      </xdr:blipFill>
      <xdr:spPr>
        <a:xfrm>
          <a:off x="39346095" y="1174376"/>
          <a:ext cx="2923469" cy="2160000"/>
        </a:xfrm>
        <a:prstGeom prst="rect">
          <a:avLst/>
        </a:prstGeom>
      </xdr:spPr>
    </xdr:pic>
    <xdr:clientData/>
  </xdr:twoCellAnchor>
  <xdr:twoCellAnchor editAs="oneCell">
    <xdr:from>
      <xdr:col>86</xdr:col>
      <xdr:colOff>0</xdr:colOff>
      <xdr:row>16</xdr:row>
      <xdr:rowOff>0</xdr:rowOff>
    </xdr:from>
    <xdr:to>
      <xdr:col>89</xdr:col>
      <xdr:colOff>502023</xdr:colOff>
      <xdr:row>23</xdr:row>
      <xdr:rowOff>42917</xdr:rowOff>
    </xdr:to>
    <xdr:pic>
      <xdr:nvPicPr>
        <xdr:cNvPr id="20" name="Imagen 19">
          <a:extLst>
            <a:ext uri="{FF2B5EF4-FFF2-40B4-BE49-F238E27FC236}">
              <a16:creationId xmlns:a16="http://schemas.microsoft.com/office/drawing/2014/main" id="{F27916B7-213C-4CFE-BBE1-AB2AB89445C6}"/>
            </a:ext>
          </a:extLst>
        </xdr:cNvPr>
        <xdr:cNvPicPr>
          <a:picLocks noChangeAspect="1"/>
        </xdr:cNvPicPr>
      </xdr:nvPicPr>
      <xdr:blipFill rotWithShape="1">
        <a:blip xmlns:r="http://schemas.openxmlformats.org/officeDocument/2006/relationships" r:embed="rId17"/>
        <a:srcRect r="55177"/>
        <a:stretch/>
      </xdr:blipFill>
      <xdr:spPr>
        <a:xfrm>
          <a:off x="48884541" y="3523129"/>
          <a:ext cx="2868706" cy="180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316</xdr:col>
      <xdr:colOff>112222</xdr:colOff>
      <xdr:row>6</xdr:row>
      <xdr:rowOff>177799</xdr:rowOff>
    </xdr:from>
    <xdr:to>
      <xdr:col>320</xdr:col>
      <xdr:colOff>276046</xdr:colOff>
      <xdr:row>16</xdr:row>
      <xdr:rowOff>17027</xdr:rowOff>
    </xdr:to>
    <xdr:pic>
      <xdr:nvPicPr>
        <xdr:cNvPr id="3" name="Imagen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40379689" y="2616199"/>
          <a:ext cx="3313424" cy="2582428"/>
        </a:xfrm>
        <a:prstGeom prst="rect">
          <a:avLst/>
        </a:prstGeom>
      </xdr:spPr>
    </xdr:pic>
    <xdr:clientData/>
  </xdr:twoCellAnchor>
  <xdr:twoCellAnchor>
    <xdr:from>
      <xdr:col>289</xdr:col>
      <xdr:colOff>685800</xdr:colOff>
      <xdr:row>6</xdr:row>
      <xdr:rowOff>80682</xdr:rowOff>
    </xdr:from>
    <xdr:to>
      <xdr:col>308</xdr:col>
      <xdr:colOff>733127</xdr:colOff>
      <xdr:row>28</xdr:row>
      <xdr:rowOff>87086</xdr:rowOff>
    </xdr:to>
    <xdr:graphicFrame macro="">
      <xdr:nvGraphicFramePr>
        <xdr:cNvPr id="10" name="Gráfico 9">
          <a:extLst>
            <a:ext uri="{FF2B5EF4-FFF2-40B4-BE49-F238E27FC236}">
              <a16:creationId xmlns:a16="http://schemas.microsoft.com/office/drawing/2014/main" id="{71CA3C18-87C9-4023-95B0-A966CA21E3A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272</xdr:col>
      <xdr:colOff>128358</xdr:colOff>
      <xdr:row>54</xdr:row>
      <xdr:rowOff>38713</xdr:rowOff>
    </xdr:from>
    <xdr:to>
      <xdr:col>297</xdr:col>
      <xdr:colOff>186627</xdr:colOff>
      <xdr:row>69</xdr:row>
      <xdr:rowOff>92500</xdr:rowOff>
    </xdr:to>
    <xdr:graphicFrame macro="">
      <xdr:nvGraphicFramePr>
        <xdr:cNvPr id="4" name="Gráfico 3">
          <a:extLst>
            <a:ext uri="{FF2B5EF4-FFF2-40B4-BE49-F238E27FC236}">
              <a16:creationId xmlns:a16="http://schemas.microsoft.com/office/drawing/2014/main" id="{2BD1AA87-B5CC-40B6-A930-CFAF8231EE1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200</xdr:col>
      <xdr:colOff>457200</xdr:colOff>
      <xdr:row>49</xdr:row>
      <xdr:rowOff>96982</xdr:rowOff>
    </xdr:from>
    <xdr:to>
      <xdr:col>218</xdr:col>
      <xdr:colOff>138546</xdr:colOff>
      <xdr:row>78</xdr:row>
      <xdr:rowOff>124691</xdr:rowOff>
    </xdr:to>
    <xdr:graphicFrame macro="">
      <xdr:nvGraphicFramePr>
        <xdr:cNvPr id="14" name="Gráfico 13">
          <a:extLst>
            <a:ext uri="{FF2B5EF4-FFF2-40B4-BE49-F238E27FC236}">
              <a16:creationId xmlns:a16="http://schemas.microsoft.com/office/drawing/2014/main" id="{8150F4D7-B9FD-4328-8F12-BC54AEA8217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297</xdr:col>
      <xdr:colOff>872144</xdr:colOff>
      <xdr:row>49</xdr:row>
      <xdr:rowOff>58190</xdr:rowOff>
    </xdr:from>
    <xdr:to>
      <xdr:col>312</xdr:col>
      <xdr:colOff>536171</xdr:colOff>
      <xdr:row>81</xdr:row>
      <xdr:rowOff>102524</xdr:rowOff>
    </xdr:to>
    <xdr:graphicFrame macro="">
      <xdr:nvGraphicFramePr>
        <xdr:cNvPr id="5" name="Gráfico 4">
          <a:extLst>
            <a:ext uri="{FF2B5EF4-FFF2-40B4-BE49-F238E27FC236}">
              <a16:creationId xmlns:a16="http://schemas.microsoft.com/office/drawing/2014/main" id="{8C275D25-23D3-4F12-A76B-4A4D58D033F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320</xdr:col>
      <xdr:colOff>631372</xdr:colOff>
      <xdr:row>8</xdr:row>
      <xdr:rowOff>163285</xdr:rowOff>
    </xdr:from>
    <xdr:to>
      <xdr:col>325</xdr:col>
      <xdr:colOff>564348</xdr:colOff>
      <xdr:row>16</xdr:row>
      <xdr:rowOff>113485</xdr:rowOff>
    </xdr:to>
    <xdr:pic>
      <xdr:nvPicPr>
        <xdr:cNvPr id="6" name="Imagen 5">
          <a:extLst>
            <a:ext uri="{FF2B5EF4-FFF2-40B4-BE49-F238E27FC236}">
              <a16:creationId xmlns:a16="http://schemas.microsoft.com/office/drawing/2014/main" id="{50E88D74-A61C-426C-99E5-0E808B8CACA9}"/>
            </a:ext>
          </a:extLst>
        </xdr:cNvPr>
        <xdr:cNvPicPr>
          <a:picLocks noChangeAspect="1"/>
        </xdr:cNvPicPr>
      </xdr:nvPicPr>
      <xdr:blipFill>
        <a:blip xmlns:r="http://schemas.openxmlformats.org/officeDocument/2006/relationships" r:embed="rId6"/>
        <a:stretch>
          <a:fillRect/>
        </a:stretch>
      </xdr:blipFill>
      <xdr:spPr>
        <a:xfrm>
          <a:off x="55375629" y="1523999"/>
          <a:ext cx="3851833" cy="2160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122946</xdr:colOff>
      <xdr:row>1</xdr:row>
      <xdr:rowOff>0</xdr:rowOff>
    </xdr:from>
    <xdr:to>
      <xdr:col>1</xdr:col>
      <xdr:colOff>1418946</xdr:colOff>
      <xdr:row>8</xdr:row>
      <xdr:rowOff>600</xdr:rowOff>
    </xdr:to>
    <xdr:sp macro="" textlink="">
      <xdr:nvSpPr>
        <xdr:cNvPr id="12" name="Rectángulo redondeado 11">
          <a:extLst>
            <a:ext uri="{FF2B5EF4-FFF2-40B4-BE49-F238E27FC236}">
              <a16:creationId xmlns:a16="http://schemas.microsoft.com/office/drawing/2014/main" id="{00000000-0008-0000-0200-00000C000000}"/>
            </a:ext>
          </a:extLst>
        </xdr:cNvPr>
        <xdr:cNvSpPr/>
      </xdr:nvSpPr>
      <xdr:spPr>
        <a:xfrm>
          <a:off x="329775" y="185057"/>
          <a:ext cx="1296000" cy="1296000"/>
        </a:xfrm>
        <a:prstGeom prst="roundRect">
          <a:avLst>
            <a:gd name="adj" fmla="val 10000"/>
          </a:avLst>
        </a:prstGeom>
        <a:blipFill rotWithShape="1">
          <a:blip xmlns:r="http://schemas.openxmlformats.org/officeDocument/2006/relationships" r:embed="rId1" cstate="email">
            <a:extLst>
              <a:ext uri="{28A0092B-C50C-407E-A947-70E740481C1C}">
                <a14:useLocalDpi xmlns:a14="http://schemas.microsoft.com/office/drawing/2010/main" val="0"/>
              </a:ext>
            </a:extLst>
          </a:blip>
          <a:stretch>
            <a:fillRect/>
          </a:stretch>
        </a:blipFill>
        <a:ln>
          <a:solidFill>
            <a:sysClr val="windowText" lastClr="000000"/>
          </a:solidFill>
        </a:ln>
      </xdr:spPr>
      <xdr:style>
        <a:lnRef idx="2">
          <a:schemeClr val="lt1">
            <a:hueOff val="0"/>
            <a:satOff val="0"/>
            <a:lumOff val="0"/>
            <a:alphaOff val="0"/>
          </a:schemeClr>
        </a:lnRef>
        <a:fillRef idx="1">
          <a:scrgbClr r="0" g="0" b="0"/>
        </a:fillRef>
        <a:effectRef idx="0">
          <a:schemeClr val="accent1">
            <a:tint val="50000"/>
            <a:hueOff val="0"/>
            <a:satOff val="0"/>
            <a:lumOff val="0"/>
            <a:alphaOff val="0"/>
          </a:schemeClr>
        </a:effectRef>
        <a:fontRef idx="minor">
          <a:schemeClr val="lt1">
            <a:hueOff val="0"/>
            <a:satOff val="0"/>
            <a:lumOff val="0"/>
            <a:alphaOff val="0"/>
          </a:schemeClr>
        </a:fontRef>
      </xdr:style>
    </xdr:sp>
    <xdr:clientData/>
  </xdr:twoCellAnchor>
  <xdr:twoCellAnchor>
    <xdr:from>
      <xdr:col>3</xdr:col>
      <xdr:colOff>530871</xdr:colOff>
      <xdr:row>0</xdr:row>
      <xdr:rowOff>175778</xdr:rowOff>
    </xdr:from>
    <xdr:to>
      <xdr:col>4</xdr:col>
      <xdr:colOff>607671</xdr:colOff>
      <xdr:row>7</xdr:row>
      <xdr:rowOff>176378</xdr:rowOff>
    </xdr:to>
    <xdr:sp macro="" textlink="">
      <xdr:nvSpPr>
        <xdr:cNvPr id="13" name="Rectángulo redondeado 12">
          <a:extLst>
            <a:ext uri="{FF2B5EF4-FFF2-40B4-BE49-F238E27FC236}">
              <a16:creationId xmlns:a16="http://schemas.microsoft.com/office/drawing/2014/main" id="{00000000-0008-0000-0200-00000D000000}"/>
            </a:ext>
          </a:extLst>
        </xdr:cNvPr>
        <xdr:cNvSpPr/>
      </xdr:nvSpPr>
      <xdr:spPr>
        <a:xfrm>
          <a:off x="3306728" y="175778"/>
          <a:ext cx="1296000" cy="1296000"/>
        </a:xfrm>
        <a:prstGeom prst="roundRect">
          <a:avLst>
            <a:gd name="adj" fmla="val 10000"/>
          </a:avLst>
        </a:prstGeom>
        <a:blipFill rotWithShape="1">
          <a:blip xmlns:r="http://schemas.openxmlformats.org/officeDocument/2006/relationships" r:embed="rId2" cstate="email">
            <a:extLst>
              <a:ext uri="{28A0092B-C50C-407E-A947-70E740481C1C}">
                <a14:useLocalDpi xmlns:a14="http://schemas.microsoft.com/office/drawing/2010/main" val="0"/>
              </a:ext>
            </a:extLst>
          </a:blip>
          <a:stretch>
            <a:fillRect/>
          </a:stretch>
        </a:blipFill>
        <a:ln>
          <a:solidFill>
            <a:sysClr val="windowText" lastClr="000000"/>
          </a:solidFill>
        </a:ln>
      </xdr:spPr>
      <xdr:style>
        <a:lnRef idx="2">
          <a:schemeClr val="lt1">
            <a:hueOff val="0"/>
            <a:satOff val="0"/>
            <a:lumOff val="0"/>
            <a:alphaOff val="0"/>
          </a:schemeClr>
        </a:lnRef>
        <a:fillRef idx="1">
          <a:scrgbClr r="0" g="0" b="0"/>
        </a:fillRef>
        <a:effectRef idx="0">
          <a:schemeClr val="accent1">
            <a:tint val="50000"/>
            <a:hueOff val="0"/>
            <a:satOff val="0"/>
            <a:lumOff val="0"/>
            <a:alphaOff val="0"/>
          </a:schemeClr>
        </a:effectRef>
        <a:fontRef idx="minor">
          <a:schemeClr val="lt1">
            <a:hueOff val="0"/>
            <a:satOff val="0"/>
            <a:lumOff val="0"/>
            <a:alphaOff val="0"/>
          </a:schemeClr>
        </a:fontRef>
      </xdr:style>
    </xdr:sp>
    <xdr:clientData/>
  </xdr:twoCellAnchor>
  <xdr:twoCellAnchor>
    <xdr:from>
      <xdr:col>10</xdr:col>
      <xdr:colOff>117906</xdr:colOff>
      <xdr:row>1</xdr:row>
      <xdr:rowOff>0</xdr:rowOff>
    </xdr:from>
    <xdr:to>
      <xdr:col>10</xdr:col>
      <xdr:colOff>1413906</xdr:colOff>
      <xdr:row>8</xdr:row>
      <xdr:rowOff>600</xdr:rowOff>
    </xdr:to>
    <xdr:sp macro="" textlink="">
      <xdr:nvSpPr>
        <xdr:cNvPr id="14" name="Rectángulo redondeado 13">
          <a:extLst>
            <a:ext uri="{FF2B5EF4-FFF2-40B4-BE49-F238E27FC236}">
              <a16:creationId xmlns:a16="http://schemas.microsoft.com/office/drawing/2014/main" id="{00000000-0008-0000-0200-00000E000000}"/>
            </a:ext>
          </a:extLst>
        </xdr:cNvPr>
        <xdr:cNvSpPr/>
      </xdr:nvSpPr>
      <xdr:spPr>
        <a:xfrm>
          <a:off x="10165420" y="185057"/>
          <a:ext cx="1296000" cy="1296000"/>
        </a:xfrm>
        <a:prstGeom prst="roundRect">
          <a:avLst>
            <a:gd name="adj" fmla="val 10000"/>
          </a:avLst>
        </a:prstGeom>
        <a:blipFill rotWithShape="1">
          <a:blip xmlns:r="http://schemas.openxmlformats.org/officeDocument/2006/relationships" r:embed="rId3" cstate="email">
            <a:extLst>
              <a:ext uri="{28A0092B-C50C-407E-A947-70E740481C1C}">
                <a14:useLocalDpi xmlns:a14="http://schemas.microsoft.com/office/drawing/2010/main" val="0"/>
              </a:ext>
            </a:extLst>
          </a:blip>
          <a:stretch>
            <a:fillRect/>
          </a:stretch>
        </a:blipFill>
        <a:ln>
          <a:solidFill>
            <a:sysClr val="windowText" lastClr="000000"/>
          </a:solidFill>
        </a:ln>
      </xdr:spPr>
      <xdr:style>
        <a:lnRef idx="2">
          <a:schemeClr val="lt1">
            <a:hueOff val="0"/>
            <a:satOff val="0"/>
            <a:lumOff val="0"/>
            <a:alphaOff val="0"/>
          </a:schemeClr>
        </a:lnRef>
        <a:fillRef idx="1">
          <a:scrgbClr r="0" g="0" b="0"/>
        </a:fillRef>
        <a:effectRef idx="0">
          <a:schemeClr val="accent1">
            <a:tint val="50000"/>
            <a:hueOff val="0"/>
            <a:satOff val="0"/>
            <a:lumOff val="0"/>
            <a:alphaOff val="0"/>
          </a:schemeClr>
        </a:effectRef>
        <a:fontRef idx="minor">
          <a:schemeClr val="lt1">
            <a:hueOff val="0"/>
            <a:satOff val="0"/>
            <a:lumOff val="0"/>
            <a:alphaOff val="0"/>
          </a:schemeClr>
        </a:fontRef>
      </xdr:style>
    </xdr:sp>
    <xdr:clientData/>
  </xdr:twoCellAnchor>
  <xdr:twoCellAnchor>
    <xdr:from>
      <xdr:col>11</xdr:col>
      <xdr:colOff>115387</xdr:colOff>
      <xdr:row>1</xdr:row>
      <xdr:rowOff>0</xdr:rowOff>
    </xdr:from>
    <xdr:to>
      <xdr:col>11</xdr:col>
      <xdr:colOff>1411387</xdr:colOff>
      <xdr:row>8</xdr:row>
      <xdr:rowOff>600</xdr:rowOff>
    </xdr:to>
    <xdr:sp macro="" textlink="">
      <xdr:nvSpPr>
        <xdr:cNvPr id="15" name="Rectángulo redondeado 14">
          <a:extLst>
            <a:ext uri="{FF2B5EF4-FFF2-40B4-BE49-F238E27FC236}">
              <a16:creationId xmlns:a16="http://schemas.microsoft.com/office/drawing/2014/main" id="{00000000-0008-0000-0200-00000F000000}"/>
            </a:ext>
          </a:extLst>
        </xdr:cNvPr>
        <xdr:cNvSpPr/>
      </xdr:nvSpPr>
      <xdr:spPr>
        <a:xfrm>
          <a:off x="11773987" y="185057"/>
          <a:ext cx="1296000" cy="1296000"/>
        </a:xfrm>
        <a:prstGeom prst="roundRect">
          <a:avLst>
            <a:gd name="adj" fmla="val 10000"/>
          </a:avLst>
        </a:prstGeom>
        <a:blipFill rotWithShape="1">
          <a:blip xmlns:r="http://schemas.openxmlformats.org/officeDocument/2006/relationships" r:embed="rId4" cstate="email">
            <a:extLst>
              <a:ext uri="{28A0092B-C50C-407E-A947-70E740481C1C}">
                <a14:useLocalDpi xmlns:a14="http://schemas.microsoft.com/office/drawing/2010/main" val="0"/>
              </a:ext>
            </a:extLst>
          </a:blip>
          <a:stretch>
            <a:fillRect/>
          </a:stretch>
        </a:blipFill>
        <a:ln>
          <a:solidFill>
            <a:sysClr val="windowText" lastClr="000000"/>
          </a:solidFill>
        </a:ln>
      </xdr:spPr>
      <xdr:style>
        <a:lnRef idx="2">
          <a:schemeClr val="lt1">
            <a:hueOff val="0"/>
            <a:satOff val="0"/>
            <a:lumOff val="0"/>
            <a:alphaOff val="0"/>
          </a:schemeClr>
        </a:lnRef>
        <a:fillRef idx="1">
          <a:scrgbClr r="0" g="0" b="0"/>
        </a:fillRef>
        <a:effectRef idx="0">
          <a:schemeClr val="accent1">
            <a:tint val="50000"/>
            <a:hueOff val="0"/>
            <a:satOff val="0"/>
            <a:lumOff val="0"/>
            <a:alphaOff val="0"/>
          </a:schemeClr>
        </a:effectRef>
        <a:fontRef idx="minor">
          <a:schemeClr val="lt1">
            <a:hueOff val="0"/>
            <a:satOff val="0"/>
            <a:lumOff val="0"/>
            <a:alphaOff val="0"/>
          </a:schemeClr>
        </a:fontRef>
      </xdr:style>
    </xdr:sp>
    <xdr:clientData/>
  </xdr:twoCellAnchor>
  <xdr:twoCellAnchor>
    <xdr:from>
      <xdr:col>9</xdr:col>
      <xdr:colOff>112867</xdr:colOff>
      <xdr:row>1</xdr:row>
      <xdr:rowOff>0</xdr:rowOff>
    </xdr:from>
    <xdr:to>
      <xdr:col>9</xdr:col>
      <xdr:colOff>1408867</xdr:colOff>
      <xdr:row>8</xdr:row>
      <xdr:rowOff>600</xdr:rowOff>
    </xdr:to>
    <xdr:sp macro="" textlink="">
      <xdr:nvSpPr>
        <xdr:cNvPr id="16" name="Rectángulo redondeado 15">
          <a:extLst>
            <a:ext uri="{FF2B5EF4-FFF2-40B4-BE49-F238E27FC236}">
              <a16:creationId xmlns:a16="http://schemas.microsoft.com/office/drawing/2014/main" id="{00000000-0008-0000-0200-000010000000}"/>
            </a:ext>
          </a:extLst>
        </xdr:cNvPr>
        <xdr:cNvSpPr/>
      </xdr:nvSpPr>
      <xdr:spPr>
        <a:xfrm>
          <a:off x="8549296" y="185057"/>
          <a:ext cx="1296000" cy="1296000"/>
        </a:xfrm>
        <a:prstGeom prst="roundRect">
          <a:avLst>
            <a:gd name="adj" fmla="val 10000"/>
          </a:avLst>
        </a:prstGeom>
        <a:blipFill rotWithShape="1">
          <a:blip xmlns:r="http://schemas.openxmlformats.org/officeDocument/2006/relationships" r:embed="rId5" cstate="email">
            <a:extLst>
              <a:ext uri="{28A0092B-C50C-407E-A947-70E740481C1C}">
                <a14:useLocalDpi xmlns:a14="http://schemas.microsoft.com/office/drawing/2010/main" val="0"/>
              </a:ext>
            </a:extLst>
          </a:blip>
          <a:stretch>
            <a:fillRect/>
          </a:stretch>
        </a:blipFill>
        <a:ln>
          <a:solidFill>
            <a:sysClr val="windowText" lastClr="000000"/>
          </a:solidFill>
        </a:ln>
      </xdr:spPr>
      <xdr:style>
        <a:lnRef idx="2">
          <a:schemeClr val="lt1">
            <a:hueOff val="0"/>
            <a:satOff val="0"/>
            <a:lumOff val="0"/>
            <a:alphaOff val="0"/>
          </a:schemeClr>
        </a:lnRef>
        <a:fillRef idx="1">
          <a:scrgbClr r="0" g="0" b="0"/>
        </a:fillRef>
        <a:effectRef idx="0">
          <a:schemeClr val="accent1">
            <a:tint val="50000"/>
            <a:hueOff val="0"/>
            <a:satOff val="0"/>
            <a:lumOff val="0"/>
            <a:alphaOff val="0"/>
          </a:schemeClr>
        </a:effectRef>
        <a:fontRef idx="minor">
          <a:schemeClr val="lt1">
            <a:hueOff val="0"/>
            <a:satOff val="0"/>
            <a:lumOff val="0"/>
            <a:alphaOff val="0"/>
          </a:schemeClr>
        </a:fontRef>
      </xdr:style>
    </xdr:sp>
    <xdr:clientData/>
  </xdr:twoCellAnchor>
  <xdr:twoCellAnchor>
    <xdr:from>
      <xdr:col>5</xdr:col>
      <xdr:colOff>757124</xdr:colOff>
      <xdr:row>0</xdr:row>
      <xdr:rowOff>161058</xdr:rowOff>
    </xdr:from>
    <xdr:to>
      <xdr:col>6</xdr:col>
      <xdr:colOff>637981</xdr:colOff>
      <xdr:row>7</xdr:row>
      <xdr:rowOff>161658</xdr:rowOff>
    </xdr:to>
    <xdr:sp macro="" textlink="">
      <xdr:nvSpPr>
        <xdr:cNvPr id="17" name="Rectángulo redondeado 16">
          <a:extLst>
            <a:ext uri="{FF2B5EF4-FFF2-40B4-BE49-F238E27FC236}">
              <a16:creationId xmlns:a16="http://schemas.microsoft.com/office/drawing/2014/main" id="{00000000-0008-0000-0200-000011000000}"/>
            </a:ext>
          </a:extLst>
        </xdr:cNvPr>
        <xdr:cNvSpPr/>
      </xdr:nvSpPr>
      <xdr:spPr>
        <a:xfrm>
          <a:off x="6363267" y="161058"/>
          <a:ext cx="1296000" cy="1296000"/>
        </a:xfrm>
        <a:prstGeom prst="roundRect">
          <a:avLst>
            <a:gd name="adj" fmla="val 10000"/>
          </a:avLst>
        </a:prstGeom>
        <a:blipFill rotWithShape="1">
          <a:blip xmlns:r="http://schemas.openxmlformats.org/officeDocument/2006/relationships" r:embed="rId6" cstate="email">
            <a:extLst>
              <a:ext uri="{28A0092B-C50C-407E-A947-70E740481C1C}">
                <a14:useLocalDpi xmlns:a14="http://schemas.microsoft.com/office/drawing/2010/main" val="0"/>
              </a:ext>
            </a:extLst>
          </a:blip>
          <a:stretch>
            <a:fillRect/>
          </a:stretch>
        </a:blipFill>
        <a:ln>
          <a:solidFill>
            <a:sysClr val="windowText" lastClr="000000"/>
          </a:solidFill>
        </a:ln>
      </xdr:spPr>
      <xdr:style>
        <a:lnRef idx="2">
          <a:schemeClr val="lt1">
            <a:hueOff val="0"/>
            <a:satOff val="0"/>
            <a:lumOff val="0"/>
            <a:alphaOff val="0"/>
          </a:schemeClr>
        </a:lnRef>
        <a:fillRef idx="1">
          <a:scrgbClr r="0" g="0" b="0"/>
        </a:fillRef>
        <a:effectRef idx="0">
          <a:schemeClr val="accent1">
            <a:tint val="50000"/>
            <a:hueOff val="0"/>
            <a:satOff val="0"/>
            <a:lumOff val="0"/>
            <a:alphaOff val="0"/>
          </a:schemeClr>
        </a:effectRef>
        <a:fontRef idx="minor">
          <a:schemeClr val="lt1">
            <a:hueOff val="0"/>
            <a:satOff val="0"/>
            <a:lumOff val="0"/>
            <a:alphaOff val="0"/>
          </a:schemeClr>
        </a:fontRef>
      </xdr:style>
    </xdr:sp>
    <xdr:clientData/>
  </xdr:twoCellAnchor>
  <xdr:twoCellAnchor>
    <xdr:from>
      <xdr:col>12</xdr:col>
      <xdr:colOff>0</xdr:colOff>
      <xdr:row>1</xdr:row>
      <xdr:rowOff>0</xdr:rowOff>
    </xdr:from>
    <xdr:to>
      <xdr:col>12</xdr:col>
      <xdr:colOff>0</xdr:colOff>
      <xdr:row>8</xdr:row>
      <xdr:rowOff>102670</xdr:rowOff>
    </xdr:to>
    <xdr:sp macro="" textlink="">
      <xdr:nvSpPr>
        <xdr:cNvPr id="8" name="Rectángulo redondeado 7">
          <a:extLst>
            <a:ext uri="{FF2B5EF4-FFF2-40B4-BE49-F238E27FC236}">
              <a16:creationId xmlns:a16="http://schemas.microsoft.com/office/drawing/2014/main" id="{00000000-0008-0000-0200-000008000000}"/>
            </a:ext>
          </a:extLst>
        </xdr:cNvPr>
        <xdr:cNvSpPr/>
      </xdr:nvSpPr>
      <xdr:spPr>
        <a:xfrm>
          <a:off x="8417228" y="180109"/>
          <a:ext cx="1516481" cy="1363434"/>
        </a:xfrm>
        <a:prstGeom prst="roundRect">
          <a:avLst>
            <a:gd name="adj" fmla="val 10000"/>
          </a:avLst>
        </a:prstGeom>
        <a:blipFill rotWithShape="1">
          <a:blip xmlns:r="http://schemas.openxmlformats.org/officeDocument/2006/relationships" r:embed="rId4" cstate="email">
            <a:extLst>
              <a:ext uri="{28A0092B-C50C-407E-A947-70E740481C1C}">
                <a14:useLocalDpi xmlns:a14="http://schemas.microsoft.com/office/drawing/2010/main" val="0"/>
              </a:ext>
            </a:extLst>
          </a:blip>
          <a:stretch>
            <a:fillRect/>
          </a:stretch>
        </a:blipFill>
        <a:ln>
          <a:solidFill>
            <a:sysClr val="windowText" lastClr="000000"/>
          </a:solidFill>
        </a:ln>
      </xdr:spPr>
      <xdr:style>
        <a:lnRef idx="2">
          <a:schemeClr val="lt1">
            <a:hueOff val="0"/>
            <a:satOff val="0"/>
            <a:lumOff val="0"/>
            <a:alphaOff val="0"/>
          </a:schemeClr>
        </a:lnRef>
        <a:fillRef idx="1">
          <a:scrgbClr r="0" g="0" b="0"/>
        </a:fillRef>
        <a:effectRef idx="0">
          <a:schemeClr val="accent1">
            <a:tint val="50000"/>
            <a:hueOff val="0"/>
            <a:satOff val="0"/>
            <a:lumOff val="0"/>
            <a:alphaOff val="0"/>
          </a:schemeClr>
        </a:effectRef>
        <a:fontRef idx="minor">
          <a:schemeClr val="lt1">
            <a:hueOff val="0"/>
            <a:satOff val="0"/>
            <a:lumOff val="0"/>
            <a:alphaOff val="0"/>
          </a:schemeClr>
        </a:fontRef>
      </xdr:style>
    </xdr:sp>
    <xdr:clientData/>
  </xdr:twoCellAnchor>
</xdr:wsDr>
</file>

<file path=xl/drawings/drawing6.xml><?xml version="1.0" encoding="utf-8"?>
<xdr:wsDr xmlns:xdr="http://schemas.openxmlformats.org/drawingml/2006/spreadsheetDrawing" xmlns:a="http://schemas.openxmlformats.org/drawingml/2006/main">
  <xdr:twoCellAnchor>
    <xdr:from>
      <xdr:col>15</xdr:col>
      <xdr:colOff>342899</xdr:colOff>
      <xdr:row>3</xdr:row>
      <xdr:rowOff>156103</xdr:rowOff>
    </xdr:from>
    <xdr:to>
      <xdr:col>22</xdr:col>
      <xdr:colOff>10582</xdr:colOff>
      <xdr:row>11</xdr:row>
      <xdr:rowOff>135092</xdr:rowOff>
    </xdr:to>
    <xdr:graphicFrame macro="">
      <xdr:nvGraphicFramePr>
        <xdr:cNvPr id="2" name="Gráfico 1">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352425</xdr:colOff>
      <xdr:row>11</xdr:row>
      <xdr:rowOff>175433</xdr:rowOff>
    </xdr:from>
    <xdr:to>
      <xdr:col>22</xdr:col>
      <xdr:colOff>10583</xdr:colOff>
      <xdr:row>20</xdr:row>
      <xdr:rowOff>48557</xdr:rowOff>
    </xdr:to>
    <xdr:graphicFrame macro="">
      <xdr:nvGraphicFramePr>
        <xdr:cNvPr id="4" name="Gráfico 3">
          <a:extLst>
            <a:ext uri="{FF2B5EF4-FFF2-40B4-BE49-F238E27FC236}">
              <a16:creationId xmlns:a16="http://schemas.microsoft.com/office/drawing/2014/main" id="{00000000-0008-0000-03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15</xdr:col>
      <xdr:colOff>350745</xdr:colOff>
      <xdr:row>20</xdr:row>
      <xdr:rowOff>108510</xdr:rowOff>
    </xdr:from>
    <xdr:to>
      <xdr:col>22</xdr:col>
      <xdr:colOff>10583</xdr:colOff>
      <xdr:row>30</xdr:row>
      <xdr:rowOff>3734</xdr:rowOff>
    </xdr:to>
    <xdr:graphicFrame macro="">
      <xdr:nvGraphicFramePr>
        <xdr:cNvPr id="5" name="Gráfico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277</xdr:col>
      <xdr:colOff>869576</xdr:colOff>
      <xdr:row>73</xdr:row>
      <xdr:rowOff>50936</xdr:rowOff>
    </xdr:from>
    <xdr:to>
      <xdr:col>288</xdr:col>
      <xdr:colOff>733129</xdr:colOff>
      <xdr:row>95</xdr:row>
      <xdr:rowOff>134865</xdr:rowOff>
    </xdr:to>
    <xdr:graphicFrame macro="">
      <xdr:nvGraphicFramePr>
        <xdr:cNvPr id="3" name="Gráfico 2">
          <a:extLst>
            <a:ext uri="{FF2B5EF4-FFF2-40B4-BE49-F238E27FC236}">
              <a16:creationId xmlns:a16="http://schemas.microsoft.com/office/drawing/2014/main" id="{050D3E4F-0ED5-4AB9-B683-C2879669483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277</xdr:col>
      <xdr:colOff>869574</xdr:colOff>
      <xdr:row>98</xdr:row>
      <xdr:rowOff>143435</xdr:rowOff>
    </xdr:from>
    <xdr:to>
      <xdr:col>288</xdr:col>
      <xdr:colOff>733127</xdr:colOff>
      <xdr:row>128</xdr:row>
      <xdr:rowOff>164611</xdr:rowOff>
    </xdr:to>
    <xdr:graphicFrame macro="">
      <xdr:nvGraphicFramePr>
        <xdr:cNvPr id="4" name="Gráfico 3">
          <a:extLst>
            <a:ext uri="{FF2B5EF4-FFF2-40B4-BE49-F238E27FC236}">
              <a16:creationId xmlns:a16="http://schemas.microsoft.com/office/drawing/2014/main" id="{F6C81CBF-E7D5-4D54-AC5C-FFAECBDA00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277</xdr:col>
      <xdr:colOff>869574</xdr:colOff>
      <xdr:row>53</xdr:row>
      <xdr:rowOff>80682</xdr:rowOff>
    </xdr:from>
    <xdr:to>
      <xdr:col>288</xdr:col>
      <xdr:colOff>733127</xdr:colOff>
      <xdr:row>72</xdr:row>
      <xdr:rowOff>173576</xdr:rowOff>
    </xdr:to>
    <xdr:graphicFrame macro="">
      <xdr:nvGraphicFramePr>
        <xdr:cNvPr id="5" name="Gráfico 4">
          <a:extLst>
            <a:ext uri="{FF2B5EF4-FFF2-40B4-BE49-F238E27FC236}">
              <a16:creationId xmlns:a16="http://schemas.microsoft.com/office/drawing/2014/main" id="{7A54C292-344A-46BB-8DFB-AB1213B674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256</xdr:col>
      <xdr:colOff>31377</xdr:colOff>
      <xdr:row>93</xdr:row>
      <xdr:rowOff>94131</xdr:rowOff>
    </xdr:from>
    <xdr:to>
      <xdr:col>277</xdr:col>
      <xdr:colOff>89646</xdr:colOff>
      <xdr:row>108</xdr:row>
      <xdr:rowOff>147919</xdr:rowOff>
    </xdr:to>
    <xdr:graphicFrame macro="">
      <xdr:nvGraphicFramePr>
        <xdr:cNvPr id="6" name="Gráfico 5">
          <a:extLst>
            <a:ext uri="{FF2B5EF4-FFF2-40B4-BE49-F238E27FC236}">
              <a16:creationId xmlns:a16="http://schemas.microsoft.com/office/drawing/2014/main" id="{524AC9D8-90A2-40A2-92E3-5D021D8FA1B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292</xdr:col>
      <xdr:colOff>152401</xdr:colOff>
      <xdr:row>77</xdr:row>
      <xdr:rowOff>83127</xdr:rowOff>
    </xdr:from>
    <xdr:to>
      <xdr:col>311</xdr:col>
      <xdr:colOff>2</xdr:colOff>
      <xdr:row>101</xdr:row>
      <xdr:rowOff>27710</xdr:rowOff>
    </xdr:to>
    <xdr:graphicFrame macro="">
      <xdr:nvGraphicFramePr>
        <xdr:cNvPr id="7" name="Gráfico 6">
          <a:extLst>
            <a:ext uri="{FF2B5EF4-FFF2-40B4-BE49-F238E27FC236}">
              <a16:creationId xmlns:a16="http://schemas.microsoft.com/office/drawing/2014/main" id="{48565FC9-1939-4FC9-A2C1-8CF8A151C2E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292</xdr:col>
      <xdr:colOff>110837</xdr:colOff>
      <xdr:row>102</xdr:row>
      <xdr:rowOff>166254</xdr:rowOff>
    </xdr:from>
    <xdr:to>
      <xdr:col>310</xdr:col>
      <xdr:colOff>748147</xdr:colOff>
      <xdr:row>132</xdr:row>
      <xdr:rowOff>13855</xdr:rowOff>
    </xdr:to>
    <xdr:graphicFrame macro="">
      <xdr:nvGraphicFramePr>
        <xdr:cNvPr id="8" name="Gráfico 7">
          <a:extLst>
            <a:ext uri="{FF2B5EF4-FFF2-40B4-BE49-F238E27FC236}">
              <a16:creationId xmlns:a16="http://schemas.microsoft.com/office/drawing/2014/main" id="{78173D59-CDD9-4D51-A48D-02DEFAD79E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292</xdr:col>
      <xdr:colOff>96982</xdr:colOff>
      <xdr:row>133</xdr:row>
      <xdr:rowOff>138546</xdr:rowOff>
    </xdr:from>
    <xdr:to>
      <xdr:col>310</xdr:col>
      <xdr:colOff>734292</xdr:colOff>
      <xdr:row>162</xdr:row>
      <xdr:rowOff>166255</xdr:rowOff>
    </xdr:to>
    <xdr:graphicFrame macro="">
      <xdr:nvGraphicFramePr>
        <xdr:cNvPr id="9" name="Gráfico 8">
          <a:extLst>
            <a:ext uri="{FF2B5EF4-FFF2-40B4-BE49-F238E27FC236}">
              <a16:creationId xmlns:a16="http://schemas.microsoft.com/office/drawing/2014/main" id="{02628276-48B2-4D30-B8C4-A3932D81ED2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292</xdr:col>
      <xdr:colOff>69274</xdr:colOff>
      <xdr:row>51</xdr:row>
      <xdr:rowOff>96983</xdr:rowOff>
    </xdr:from>
    <xdr:to>
      <xdr:col>314</xdr:col>
      <xdr:colOff>221674</xdr:colOff>
      <xdr:row>76</xdr:row>
      <xdr:rowOff>138545</xdr:rowOff>
    </xdr:to>
    <xdr:graphicFrame macro="">
      <xdr:nvGraphicFramePr>
        <xdr:cNvPr id="10" name="Gráfico 9">
          <a:extLst>
            <a:ext uri="{FF2B5EF4-FFF2-40B4-BE49-F238E27FC236}">
              <a16:creationId xmlns:a16="http://schemas.microsoft.com/office/drawing/2014/main" id="{B94BEE76-6142-4E1B-9395-749D6CA0E07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14</xdr:col>
      <xdr:colOff>91440</xdr:colOff>
      <xdr:row>232</xdr:row>
      <xdr:rowOff>22860</xdr:rowOff>
    </xdr:from>
    <xdr:to>
      <xdr:col>22</xdr:col>
      <xdr:colOff>464820</xdr:colOff>
      <xdr:row>252</xdr:row>
      <xdr:rowOff>152400</xdr:rowOff>
    </xdr:to>
    <xdr:sp macro="" textlink="">
      <xdr:nvSpPr>
        <xdr:cNvPr id="3" name="CuadroTexto 2">
          <a:extLst>
            <a:ext uri="{FF2B5EF4-FFF2-40B4-BE49-F238E27FC236}">
              <a16:creationId xmlns:a16="http://schemas.microsoft.com/office/drawing/2014/main" id="{00000000-0008-0000-0600-000003000000}"/>
            </a:ext>
          </a:extLst>
        </xdr:cNvPr>
        <xdr:cNvSpPr txBox="1"/>
      </xdr:nvSpPr>
      <xdr:spPr>
        <a:xfrm>
          <a:off x="11506200" y="51259740"/>
          <a:ext cx="7840980" cy="3352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es-EC" sz="900" b="1" baseline="0">
              <a:solidFill>
                <a:schemeClr val="dk1"/>
              </a:solidFill>
              <a:effectLst/>
              <a:latin typeface="+mn-lt"/>
              <a:ea typeface="+mn-ea"/>
              <a:cs typeface="+mn-cs"/>
            </a:rPr>
            <a:t>Datos de arribos (de pasajeros) al aeropuerto internacional Mariscal Sucre (AMS)</a:t>
          </a:r>
        </a:p>
        <a:p>
          <a:pPr rtl="0" fontAlgn="base"/>
          <a:endParaRPr lang="es-EC" sz="900" baseline="0">
            <a:solidFill>
              <a:schemeClr val="dk1"/>
            </a:solidFill>
            <a:effectLst/>
            <a:latin typeface="+mn-lt"/>
            <a:ea typeface="+mn-ea"/>
            <a:cs typeface="+mn-cs"/>
          </a:endParaRPr>
        </a:p>
        <a:p>
          <a:pPr marL="0" marR="0" indent="0" defTabSz="914400" rtl="0" eaLnBrk="1" fontAlgn="base" latinLnBrk="0" hangingPunct="1">
            <a:lnSpc>
              <a:spcPct val="100000"/>
            </a:lnSpc>
            <a:spcBef>
              <a:spcPts val="0"/>
            </a:spcBef>
            <a:spcAft>
              <a:spcPts val="0"/>
            </a:spcAft>
            <a:buClrTx/>
            <a:buSzTx/>
            <a:buFontTx/>
            <a:buNone/>
            <a:tabLst/>
            <a:defRPr/>
          </a:pPr>
          <a:r>
            <a:rPr lang="es-EC" sz="900" baseline="0">
              <a:solidFill>
                <a:schemeClr val="dk1"/>
              </a:solidFill>
              <a:effectLst/>
              <a:latin typeface="+mn-lt"/>
              <a:ea typeface="+mn-ea"/>
              <a:cs typeface="+mn-cs"/>
            </a:rPr>
            <a:t>- En 2018 hubo </a:t>
          </a:r>
          <a:r>
            <a:rPr lang="es-EC" sz="900" b="0" baseline="0">
              <a:solidFill>
                <a:schemeClr val="dk1"/>
              </a:solidFill>
              <a:effectLst/>
              <a:latin typeface="+mn-lt"/>
              <a:ea typeface="+mn-ea"/>
              <a:cs typeface="+mn-cs"/>
            </a:rPr>
            <a:t>2´616.304</a:t>
          </a:r>
          <a:r>
            <a:rPr lang="es-EC" sz="900" b="1" baseline="0">
              <a:solidFill>
                <a:schemeClr val="dk1"/>
              </a:solidFill>
              <a:effectLst/>
              <a:latin typeface="+mn-lt"/>
              <a:ea typeface="+mn-ea"/>
              <a:cs typeface="+mn-cs"/>
            </a:rPr>
            <a:t> </a:t>
          </a:r>
          <a:r>
            <a:rPr lang="es-EC" sz="900" baseline="0">
              <a:solidFill>
                <a:schemeClr val="dk1"/>
              </a:solidFill>
              <a:effectLst/>
              <a:latin typeface="+mn-lt"/>
              <a:ea typeface="+mn-ea"/>
              <a:cs typeface="+mn-cs"/>
            </a:rPr>
            <a:t>arribos de pasajeros al AMS, es decir un +6,90 % que en 2017.</a:t>
          </a:r>
        </a:p>
        <a:p>
          <a:pPr marL="0" marR="0" lvl="0" indent="0" defTabSz="914400" rtl="0" eaLnBrk="1" fontAlgn="base" latinLnBrk="0" hangingPunct="1">
            <a:lnSpc>
              <a:spcPct val="100000"/>
            </a:lnSpc>
            <a:spcBef>
              <a:spcPts val="0"/>
            </a:spcBef>
            <a:spcAft>
              <a:spcPts val="0"/>
            </a:spcAft>
            <a:buClrTx/>
            <a:buSzTx/>
            <a:buFontTx/>
            <a:buNone/>
            <a:tabLst/>
            <a:defRPr/>
          </a:pPr>
          <a:r>
            <a:rPr lang="es-EC" sz="900" baseline="0">
              <a:solidFill>
                <a:schemeClr val="dk1"/>
              </a:solidFill>
              <a:effectLst/>
              <a:latin typeface="+mn-lt"/>
              <a:ea typeface="+mn-ea"/>
              <a:cs typeface="+mn-cs"/>
            </a:rPr>
            <a:t>- En 2019 hubo </a:t>
          </a:r>
          <a:r>
            <a:rPr lang="es-EC" sz="900" b="0" baseline="0">
              <a:solidFill>
                <a:schemeClr val="dk1"/>
              </a:solidFill>
              <a:effectLst/>
              <a:latin typeface="+mn-lt"/>
              <a:ea typeface="+mn-ea"/>
              <a:cs typeface="+mn-cs"/>
            </a:rPr>
            <a:t>2´502.789</a:t>
          </a:r>
          <a:r>
            <a:rPr lang="es-EC" sz="900" b="1" baseline="0">
              <a:solidFill>
                <a:schemeClr val="dk1"/>
              </a:solidFill>
              <a:effectLst/>
              <a:latin typeface="+mn-lt"/>
              <a:ea typeface="+mn-ea"/>
              <a:cs typeface="+mn-cs"/>
            </a:rPr>
            <a:t> </a:t>
          </a:r>
          <a:r>
            <a:rPr lang="es-EC" sz="900" baseline="0">
              <a:solidFill>
                <a:schemeClr val="dk1"/>
              </a:solidFill>
              <a:effectLst/>
              <a:latin typeface="+mn-lt"/>
              <a:ea typeface="+mn-ea"/>
              <a:cs typeface="+mn-cs"/>
            </a:rPr>
            <a:t>arribos de pasajeros al AMS, es decir un -4,34 % que en 2018.</a:t>
          </a:r>
          <a:endParaRPr lang="es-EC" sz="900">
            <a:effectLst/>
          </a:endParaRPr>
        </a:p>
        <a:p>
          <a:pPr marL="0" marR="0" lvl="0" indent="0" defTabSz="914400" rtl="0" eaLnBrk="1" fontAlgn="base" latinLnBrk="0" hangingPunct="1">
            <a:lnSpc>
              <a:spcPct val="100000"/>
            </a:lnSpc>
            <a:spcBef>
              <a:spcPts val="0"/>
            </a:spcBef>
            <a:spcAft>
              <a:spcPts val="0"/>
            </a:spcAft>
            <a:buClrTx/>
            <a:buSzTx/>
            <a:buFontTx/>
            <a:buNone/>
            <a:tabLst/>
            <a:defRPr/>
          </a:pPr>
          <a:r>
            <a:rPr lang="es-EC" sz="900" baseline="0">
              <a:solidFill>
                <a:schemeClr val="dk1"/>
              </a:solidFill>
              <a:effectLst/>
              <a:latin typeface="+mn-lt"/>
              <a:ea typeface="+mn-ea"/>
              <a:cs typeface="+mn-cs"/>
            </a:rPr>
            <a:t>- En 2020 hubo    </a:t>
          </a:r>
          <a:r>
            <a:rPr lang="es-EC" sz="900" b="0" baseline="0">
              <a:solidFill>
                <a:schemeClr val="dk1"/>
              </a:solidFill>
              <a:effectLst/>
              <a:latin typeface="+mn-lt"/>
              <a:ea typeface="+mn-ea"/>
              <a:cs typeface="+mn-cs"/>
            </a:rPr>
            <a:t>748.296</a:t>
          </a:r>
          <a:r>
            <a:rPr lang="es-EC" sz="900" b="1" baseline="0">
              <a:solidFill>
                <a:schemeClr val="dk1"/>
              </a:solidFill>
              <a:effectLst/>
              <a:latin typeface="+mn-lt"/>
              <a:ea typeface="+mn-ea"/>
              <a:cs typeface="+mn-cs"/>
            </a:rPr>
            <a:t> </a:t>
          </a:r>
          <a:r>
            <a:rPr lang="es-EC" sz="900" baseline="0">
              <a:solidFill>
                <a:schemeClr val="dk1"/>
              </a:solidFill>
              <a:effectLst/>
              <a:latin typeface="+mn-lt"/>
              <a:ea typeface="+mn-ea"/>
              <a:cs typeface="+mn-cs"/>
            </a:rPr>
            <a:t>arribos de pasajeros al AMS, es decir un -70,10 % que en 2019.</a:t>
          </a:r>
          <a:endParaRPr lang="es-EC" sz="900">
            <a:effectLst/>
          </a:endParaRPr>
        </a:p>
        <a:p>
          <a:pPr rtl="0" fontAlgn="base"/>
          <a:endParaRPr lang="es-EC" sz="900" baseline="0">
            <a:solidFill>
              <a:schemeClr val="dk1"/>
            </a:solidFill>
            <a:effectLst/>
            <a:latin typeface="+mn-lt"/>
            <a:ea typeface="+mn-ea"/>
            <a:cs typeface="+mn-cs"/>
          </a:endParaRPr>
        </a:p>
        <a:p>
          <a:pPr rtl="0" fontAlgn="base"/>
          <a:r>
            <a:rPr lang="es-EC" sz="900" baseline="0">
              <a:solidFill>
                <a:schemeClr val="dk1"/>
              </a:solidFill>
              <a:effectLst/>
              <a:latin typeface="+mn-lt"/>
              <a:ea typeface="+mn-ea"/>
              <a:cs typeface="+mn-cs"/>
            </a:rPr>
            <a:t>- En </a:t>
          </a:r>
          <a:r>
            <a:rPr lang="es-EC" sz="900" b="1" baseline="0">
              <a:solidFill>
                <a:schemeClr val="dk1"/>
              </a:solidFill>
              <a:effectLst/>
              <a:latin typeface="+mn-lt"/>
              <a:ea typeface="+mn-ea"/>
              <a:cs typeface="+mn-cs"/>
            </a:rPr>
            <a:t>2021</a:t>
          </a:r>
          <a:r>
            <a:rPr lang="es-EC" sz="900" baseline="0">
              <a:solidFill>
                <a:schemeClr val="dk1"/>
              </a:solidFill>
              <a:effectLst/>
              <a:latin typeface="+mn-lt"/>
              <a:ea typeface="+mn-ea"/>
              <a:cs typeface="+mn-cs"/>
            </a:rPr>
            <a:t> (periodo </a:t>
          </a:r>
          <a:r>
            <a:rPr lang="es-EC" sz="900" b="1" baseline="0">
              <a:solidFill>
                <a:sysClr val="windowText" lastClr="000000"/>
              </a:solidFill>
              <a:effectLst/>
              <a:latin typeface="+mn-lt"/>
              <a:ea typeface="+mn-ea"/>
              <a:cs typeface="+mn-cs"/>
            </a:rPr>
            <a:t>ENERO - DICIEMBRE</a:t>
          </a:r>
          <a:r>
            <a:rPr lang="es-EC" sz="900" baseline="0">
              <a:solidFill>
                <a:schemeClr val="dk1"/>
              </a:solidFill>
              <a:effectLst/>
              <a:latin typeface="+mn-lt"/>
              <a:ea typeface="+mn-ea"/>
              <a:cs typeface="+mn-cs"/>
            </a:rPr>
            <a:t>) se evidencia:  </a:t>
          </a:r>
        </a:p>
        <a:p>
          <a:pPr rtl="0" fontAlgn="base"/>
          <a:r>
            <a:rPr lang="es-EC" sz="800" baseline="0">
              <a:solidFill>
                <a:srgbClr val="C00000"/>
              </a:solidFill>
              <a:effectLst/>
              <a:latin typeface="+mn-lt"/>
              <a:ea typeface="+mn-ea"/>
              <a:cs typeface="+mn-cs"/>
            </a:rPr>
            <a:t>(datos sujetos a actualización continua)</a:t>
          </a:r>
        </a:p>
        <a:p>
          <a:pPr marL="457200" marR="0" lvl="1" indent="0" defTabSz="914400" rtl="0" eaLnBrk="1" fontAlgn="base" latinLnBrk="0" hangingPunct="1">
            <a:lnSpc>
              <a:spcPct val="100000"/>
            </a:lnSpc>
            <a:spcBef>
              <a:spcPts val="0"/>
            </a:spcBef>
            <a:spcAft>
              <a:spcPts val="0"/>
            </a:spcAft>
            <a:buClrTx/>
            <a:buSzTx/>
            <a:buFontTx/>
            <a:buNone/>
            <a:tabLst/>
            <a:defRPr/>
          </a:pPr>
          <a:r>
            <a:rPr lang="es-EC" sz="900" baseline="0">
              <a:solidFill>
                <a:schemeClr val="dk1"/>
              </a:solidFill>
              <a:effectLst/>
              <a:latin typeface="+mn-lt"/>
              <a:ea typeface="+mn-ea"/>
              <a:cs typeface="+mn-cs"/>
            </a:rPr>
            <a:t>- Solamente en el mes de </a:t>
          </a:r>
          <a:r>
            <a:rPr lang="es-EC" sz="900" b="1" baseline="0">
              <a:solidFill>
                <a:schemeClr val="dk1"/>
              </a:solidFill>
              <a:effectLst/>
              <a:latin typeface="+mn-lt"/>
              <a:ea typeface="+mn-ea"/>
              <a:cs typeface="+mn-cs"/>
            </a:rPr>
            <a:t>diciembre </a:t>
          </a:r>
          <a:r>
            <a:rPr lang="es-EC" sz="900" baseline="0">
              <a:solidFill>
                <a:schemeClr val="dk1"/>
              </a:solidFill>
              <a:effectLst/>
              <a:latin typeface="+mn-lt"/>
              <a:ea typeface="+mn-ea"/>
              <a:cs typeface="+mn-cs"/>
            </a:rPr>
            <a:t>de 2021 se evidencia una diferencia de un </a:t>
          </a:r>
          <a:r>
            <a:rPr lang="es-EC" sz="900" b="1" u="sng" baseline="0">
              <a:solidFill>
                <a:schemeClr val="dk1"/>
              </a:solidFill>
              <a:effectLst/>
              <a:latin typeface="+mn-lt"/>
              <a:ea typeface="+mn-ea"/>
              <a:cs typeface="+mn-cs"/>
            </a:rPr>
            <a:t>+93,60 %</a:t>
          </a:r>
          <a:r>
            <a:rPr lang="es-EC" sz="900" b="1" baseline="0">
              <a:solidFill>
                <a:schemeClr val="dk1"/>
              </a:solidFill>
              <a:effectLst/>
              <a:latin typeface="+mn-lt"/>
              <a:ea typeface="+mn-ea"/>
              <a:cs typeface="+mn-cs"/>
            </a:rPr>
            <a:t> </a:t>
          </a:r>
          <a:r>
            <a:rPr lang="es-EC" sz="900" baseline="0">
              <a:solidFill>
                <a:schemeClr val="dk1"/>
              </a:solidFill>
              <a:effectLst/>
              <a:latin typeface="+mn-lt"/>
              <a:ea typeface="+mn-ea"/>
              <a:cs typeface="+mn-cs"/>
            </a:rPr>
            <a:t>en los arribos totales  al AMS respecto al mismo mes en 2020.</a:t>
          </a:r>
        </a:p>
        <a:p>
          <a:pPr marL="457200" marR="0" lvl="1" indent="0" defTabSz="914400" rtl="0" eaLnBrk="1" fontAlgn="base" latinLnBrk="0" hangingPunct="1">
            <a:lnSpc>
              <a:spcPct val="100000"/>
            </a:lnSpc>
            <a:spcBef>
              <a:spcPts val="0"/>
            </a:spcBef>
            <a:spcAft>
              <a:spcPts val="0"/>
            </a:spcAft>
            <a:buClrTx/>
            <a:buSzTx/>
            <a:buFontTx/>
            <a:buNone/>
            <a:tabLst/>
            <a:defRPr/>
          </a:pPr>
          <a:r>
            <a:rPr lang="es-EC" sz="900" baseline="0">
              <a:solidFill>
                <a:schemeClr val="dk1"/>
              </a:solidFill>
              <a:effectLst/>
              <a:latin typeface="+mn-lt"/>
              <a:ea typeface="+mn-ea"/>
              <a:cs typeface="+mn-cs"/>
            </a:rPr>
            <a:t>		Internacionales 	</a:t>
          </a:r>
          <a:r>
            <a:rPr lang="es-EC" sz="900" b="1" baseline="0">
              <a:solidFill>
                <a:schemeClr val="dk1"/>
              </a:solidFill>
              <a:effectLst/>
              <a:latin typeface="+mn-lt"/>
              <a:ea typeface="+mn-ea"/>
              <a:cs typeface="+mn-cs"/>
            </a:rPr>
            <a:t>+ 66,78 % </a:t>
          </a:r>
        </a:p>
        <a:p>
          <a:pPr marL="457200" marR="0" lvl="1" indent="0" defTabSz="914400" rtl="0" eaLnBrk="1" fontAlgn="base" latinLnBrk="0" hangingPunct="1">
            <a:lnSpc>
              <a:spcPct val="100000"/>
            </a:lnSpc>
            <a:spcBef>
              <a:spcPts val="0"/>
            </a:spcBef>
            <a:spcAft>
              <a:spcPts val="0"/>
            </a:spcAft>
            <a:buClrTx/>
            <a:buSzTx/>
            <a:buFontTx/>
            <a:buNone/>
            <a:tabLst/>
            <a:defRPr/>
          </a:pPr>
          <a:r>
            <a:rPr lang="es-EC" sz="900" baseline="0">
              <a:solidFill>
                <a:schemeClr val="dk1"/>
              </a:solidFill>
              <a:effectLst/>
              <a:latin typeface="+mn-lt"/>
              <a:ea typeface="+mn-ea"/>
              <a:cs typeface="+mn-cs"/>
            </a:rPr>
            <a:t>		Domésticos 	</a:t>
          </a:r>
          <a:r>
            <a:rPr lang="es-EC" sz="900" b="1" baseline="0">
              <a:solidFill>
                <a:schemeClr val="dk1"/>
              </a:solidFill>
              <a:effectLst/>
              <a:latin typeface="+mn-lt"/>
              <a:ea typeface="+mn-ea"/>
              <a:cs typeface="+mn-cs"/>
            </a:rPr>
            <a:t>+ 122,24 % </a:t>
          </a:r>
          <a:endParaRPr lang="es-EC" sz="900" b="1">
            <a:effectLst/>
          </a:endParaRPr>
        </a:p>
        <a:p>
          <a:pPr rtl="0" fontAlgn="base"/>
          <a:endParaRPr lang="es-EC" sz="900" baseline="0">
            <a:solidFill>
              <a:schemeClr val="dk1"/>
            </a:solidFill>
            <a:effectLst/>
            <a:latin typeface="+mn-lt"/>
            <a:ea typeface="+mn-ea"/>
            <a:cs typeface="+mn-cs"/>
          </a:endParaRPr>
        </a:p>
        <a:p>
          <a:pPr lvl="1" rtl="0" fontAlgn="base"/>
          <a:r>
            <a:rPr lang="es-EC" sz="900" baseline="0">
              <a:solidFill>
                <a:schemeClr val="dk1"/>
              </a:solidFill>
              <a:effectLst/>
              <a:latin typeface="+mn-lt"/>
              <a:ea typeface="+mn-ea"/>
              <a:cs typeface="+mn-cs"/>
            </a:rPr>
            <a:t>En el acumulado:</a:t>
          </a:r>
        </a:p>
        <a:p>
          <a:pPr lvl="1" rtl="0" fontAlgn="base"/>
          <a:r>
            <a:rPr lang="es-EC" sz="900" baseline="0">
              <a:solidFill>
                <a:schemeClr val="dk1"/>
              </a:solidFill>
              <a:effectLst/>
              <a:latin typeface="+mn-lt"/>
              <a:ea typeface="+mn-ea"/>
              <a:cs typeface="+mn-cs"/>
            </a:rPr>
            <a:t>- De </a:t>
          </a:r>
          <a:r>
            <a:rPr lang="es-EC" sz="900" b="1" baseline="0">
              <a:solidFill>
                <a:schemeClr val="dk1"/>
              </a:solidFill>
              <a:effectLst/>
              <a:latin typeface="+mn-lt"/>
              <a:ea typeface="+mn-ea"/>
              <a:cs typeface="+mn-cs"/>
            </a:rPr>
            <a:t>ENERO a diciembre </a:t>
          </a:r>
          <a:r>
            <a:rPr lang="es-EC" sz="900" b="0" baseline="0">
              <a:solidFill>
                <a:schemeClr val="dk1"/>
              </a:solidFill>
              <a:effectLst/>
              <a:latin typeface="+mn-lt"/>
              <a:ea typeface="+mn-ea"/>
              <a:cs typeface="+mn-cs"/>
            </a:rPr>
            <a:t>de 2021 se evidencia una</a:t>
          </a:r>
          <a:r>
            <a:rPr lang="es-EC" sz="900" baseline="0">
              <a:solidFill>
                <a:schemeClr val="dk1"/>
              </a:solidFill>
              <a:effectLst/>
              <a:latin typeface="+mn-lt"/>
              <a:ea typeface="+mn-ea"/>
              <a:cs typeface="+mn-cs"/>
            </a:rPr>
            <a:t> diferencia en </a:t>
          </a:r>
          <a:r>
            <a:rPr lang="es-EC" sz="900" b="1" i="1" u="sng" baseline="0">
              <a:solidFill>
                <a:schemeClr val="dk1"/>
              </a:solidFill>
              <a:effectLst/>
              <a:latin typeface="+mn-lt"/>
              <a:ea typeface="+mn-ea"/>
              <a:cs typeface="+mn-cs"/>
            </a:rPr>
            <a:t>llegadas internacionales </a:t>
          </a:r>
          <a:r>
            <a:rPr lang="es-EC" sz="900" baseline="0">
              <a:solidFill>
                <a:schemeClr val="dk1"/>
              </a:solidFill>
              <a:effectLst/>
              <a:latin typeface="+mn-lt"/>
              <a:ea typeface="+mn-ea"/>
              <a:cs typeface="+mn-cs"/>
            </a:rPr>
            <a:t>de un </a:t>
          </a:r>
          <a:r>
            <a:rPr lang="es-EC" sz="900" b="1" u="sng" baseline="0">
              <a:solidFill>
                <a:schemeClr val="dk1"/>
              </a:solidFill>
              <a:effectLst/>
              <a:latin typeface="+mn-lt"/>
              <a:ea typeface="+mn-ea"/>
              <a:cs typeface="+mn-cs"/>
            </a:rPr>
            <a:t> + 67,48%   </a:t>
          </a:r>
          <a:r>
            <a:rPr lang="es-EC" sz="900" baseline="0">
              <a:solidFill>
                <a:schemeClr val="dk1"/>
              </a:solidFill>
              <a:effectLst/>
              <a:latin typeface="+mn-lt"/>
              <a:ea typeface="+mn-ea"/>
              <a:cs typeface="+mn-cs"/>
            </a:rPr>
            <a:t>respecto al mismo periodo en 2020.</a:t>
          </a:r>
        </a:p>
        <a:p>
          <a:pPr lvl="1" rtl="0" fontAlgn="base"/>
          <a:r>
            <a:rPr lang="es-EC" sz="900" baseline="0">
              <a:solidFill>
                <a:schemeClr val="dk1"/>
              </a:solidFill>
              <a:effectLst/>
              <a:latin typeface="+mn-lt"/>
              <a:ea typeface="+mn-ea"/>
              <a:cs typeface="+mn-cs"/>
            </a:rPr>
            <a:t>          - Arribos internacionales: </a:t>
          </a:r>
          <a:r>
            <a:rPr lang="es-EC" sz="900" b="1" u="sng" baseline="0">
              <a:solidFill>
                <a:schemeClr val="dk1"/>
              </a:solidFill>
              <a:effectLst/>
              <a:latin typeface="+mn-lt"/>
              <a:ea typeface="+mn-ea"/>
              <a:cs typeface="+mn-cs"/>
            </a:rPr>
            <a:t>577.049 pasajeros</a:t>
          </a:r>
        </a:p>
        <a:p>
          <a:pPr lvl="1" rtl="0" fontAlgn="base"/>
          <a:r>
            <a:rPr lang="es-EC" sz="900" baseline="0">
              <a:solidFill>
                <a:schemeClr val="dk1"/>
              </a:solidFill>
              <a:effectLst/>
              <a:latin typeface="+mn-lt"/>
              <a:ea typeface="+mn-ea"/>
              <a:cs typeface="+mn-cs"/>
            </a:rPr>
            <a:t>- De </a:t>
          </a:r>
          <a:r>
            <a:rPr lang="es-EC" sz="900" b="1" baseline="0">
              <a:solidFill>
                <a:schemeClr val="dk1"/>
              </a:solidFill>
              <a:effectLst/>
              <a:latin typeface="+mn-lt"/>
              <a:ea typeface="+mn-ea"/>
              <a:cs typeface="+mn-cs"/>
            </a:rPr>
            <a:t>ENERO a diciembre </a:t>
          </a:r>
          <a:r>
            <a:rPr lang="es-EC" sz="900" b="0" baseline="0">
              <a:solidFill>
                <a:schemeClr val="dk1"/>
              </a:solidFill>
              <a:effectLst/>
              <a:latin typeface="+mn-lt"/>
              <a:ea typeface="+mn-ea"/>
              <a:cs typeface="+mn-cs"/>
            </a:rPr>
            <a:t>de 2021  se evidencia una</a:t>
          </a:r>
          <a:r>
            <a:rPr lang="es-EC" sz="900" baseline="0">
              <a:solidFill>
                <a:schemeClr val="dk1"/>
              </a:solidFill>
              <a:effectLst/>
              <a:latin typeface="+mn-lt"/>
              <a:ea typeface="+mn-ea"/>
              <a:cs typeface="+mn-cs"/>
            </a:rPr>
            <a:t>  diferencia en </a:t>
          </a:r>
          <a:r>
            <a:rPr lang="es-EC" sz="900" b="1" i="1" u="sng" baseline="0">
              <a:solidFill>
                <a:schemeClr val="dk1"/>
              </a:solidFill>
              <a:effectLst/>
              <a:latin typeface="+mn-lt"/>
              <a:ea typeface="+mn-ea"/>
              <a:cs typeface="+mn-cs"/>
            </a:rPr>
            <a:t>llegadas domésticas</a:t>
          </a:r>
          <a:r>
            <a:rPr lang="es-EC" sz="900" b="0" i="0" u="none" baseline="0">
              <a:solidFill>
                <a:schemeClr val="dk1"/>
              </a:solidFill>
              <a:effectLst/>
              <a:latin typeface="+mn-lt"/>
              <a:ea typeface="+mn-ea"/>
              <a:cs typeface="+mn-cs"/>
            </a:rPr>
            <a:t> </a:t>
          </a:r>
          <a:r>
            <a:rPr lang="es-EC" sz="900" baseline="0">
              <a:solidFill>
                <a:schemeClr val="dk1"/>
              </a:solidFill>
              <a:effectLst/>
              <a:latin typeface="+mn-lt"/>
              <a:ea typeface="+mn-ea"/>
              <a:cs typeface="+mn-cs"/>
            </a:rPr>
            <a:t>de un </a:t>
          </a:r>
          <a:r>
            <a:rPr lang="es-EC" sz="900" b="1" u="sng" baseline="0">
              <a:solidFill>
                <a:schemeClr val="dk1"/>
              </a:solidFill>
              <a:effectLst/>
              <a:latin typeface="+mn-lt"/>
              <a:ea typeface="+mn-ea"/>
              <a:cs typeface="+mn-cs"/>
            </a:rPr>
            <a:t> + 42,81% </a:t>
          </a:r>
          <a:r>
            <a:rPr lang="es-EC" sz="900" baseline="0">
              <a:solidFill>
                <a:schemeClr val="dk1"/>
              </a:solidFill>
              <a:effectLst/>
              <a:latin typeface="+mn-lt"/>
              <a:ea typeface="+mn-ea"/>
              <a:cs typeface="+mn-cs"/>
            </a:rPr>
            <a:t>respecto al mismo periodo en 2020.</a:t>
          </a:r>
        </a:p>
        <a:p>
          <a:pPr marL="457200" marR="0" lvl="1" indent="0" defTabSz="914400" rtl="0" eaLnBrk="1" fontAlgn="base" latinLnBrk="0" hangingPunct="1">
            <a:lnSpc>
              <a:spcPct val="100000"/>
            </a:lnSpc>
            <a:spcBef>
              <a:spcPts val="0"/>
            </a:spcBef>
            <a:spcAft>
              <a:spcPts val="0"/>
            </a:spcAft>
            <a:buClrTx/>
            <a:buSzTx/>
            <a:buFontTx/>
            <a:buNone/>
            <a:tabLst/>
            <a:defRPr/>
          </a:pPr>
          <a:r>
            <a:rPr lang="es-EC" sz="900" baseline="0">
              <a:solidFill>
                <a:schemeClr val="dk1"/>
              </a:solidFill>
              <a:effectLst/>
              <a:latin typeface="+mn-lt"/>
              <a:ea typeface="+mn-ea"/>
              <a:cs typeface="+mn-cs"/>
            </a:rPr>
            <a:t>         - Arribos domésticos: </a:t>
          </a:r>
          <a:r>
            <a:rPr lang="es-EC" sz="900" b="1" u="sng" baseline="0">
              <a:solidFill>
                <a:schemeClr val="dk1"/>
              </a:solidFill>
              <a:effectLst/>
              <a:latin typeface="+mn-lt"/>
              <a:ea typeface="+mn-ea"/>
              <a:cs typeface="+mn-cs"/>
            </a:rPr>
            <a:t>576.617 pasajeros </a:t>
          </a:r>
        </a:p>
        <a:p>
          <a:pPr marL="457200" marR="0" lvl="1" indent="0" defTabSz="914400" rtl="0" eaLnBrk="1" fontAlgn="base" latinLnBrk="0" hangingPunct="1">
            <a:lnSpc>
              <a:spcPct val="100000"/>
            </a:lnSpc>
            <a:spcBef>
              <a:spcPts val="0"/>
            </a:spcBef>
            <a:spcAft>
              <a:spcPts val="0"/>
            </a:spcAft>
            <a:buClrTx/>
            <a:buSzTx/>
            <a:buFontTx/>
            <a:buNone/>
            <a:tabLst/>
            <a:defRPr/>
          </a:pPr>
          <a:endParaRPr lang="es-EC" sz="900" baseline="0">
            <a:solidFill>
              <a:schemeClr val="dk1"/>
            </a:solidFill>
            <a:effectLst/>
            <a:latin typeface="+mn-lt"/>
            <a:ea typeface="+mn-ea"/>
            <a:cs typeface="+mn-cs"/>
          </a:endParaRPr>
        </a:p>
        <a:p>
          <a:pPr marL="457200" marR="0" lvl="1" indent="0" defTabSz="914400" rtl="0" eaLnBrk="1" fontAlgn="base" latinLnBrk="0" hangingPunct="1">
            <a:lnSpc>
              <a:spcPct val="100000"/>
            </a:lnSpc>
            <a:spcBef>
              <a:spcPts val="0"/>
            </a:spcBef>
            <a:spcAft>
              <a:spcPts val="0"/>
            </a:spcAft>
            <a:buClrTx/>
            <a:buSzTx/>
            <a:buFontTx/>
            <a:buNone/>
            <a:tabLst/>
            <a:defRPr/>
          </a:pPr>
          <a:r>
            <a:rPr lang="es-EC" sz="900" baseline="0">
              <a:solidFill>
                <a:schemeClr val="dk1"/>
              </a:solidFill>
              <a:effectLst/>
              <a:latin typeface="+mn-lt"/>
              <a:ea typeface="+mn-ea"/>
              <a:cs typeface="+mn-cs"/>
            </a:rPr>
            <a:t>- De </a:t>
          </a:r>
          <a:r>
            <a:rPr lang="es-EC" sz="900" b="1" baseline="0">
              <a:solidFill>
                <a:schemeClr val="dk1"/>
              </a:solidFill>
              <a:effectLst/>
              <a:latin typeface="+mn-lt"/>
              <a:ea typeface="+mn-ea"/>
              <a:cs typeface="+mn-cs"/>
            </a:rPr>
            <a:t>ENERO a diciembre </a:t>
          </a:r>
          <a:r>
            <a:rPr lang="es-EC" sz="900" b="0" baseline="0">
              <a:solidFill>
                <a:schemeClr val="dk1"/>
              </a:solidFill>
              <a:effectLst/>
              <a:latin typeface="+mn-lt"/>
              <a:ea typeface="+mn-ea"/>
              <a:cs typeface="+mn-cs"/>
            </a:rPr>
            <a:t>de 2021  se evidencia u</a:t>
          </a:r>
          <a:r>
            <a:rPr lang="es-EC" sz="900" baseline="0">
              <a:solidFill>
                <a:schemeClr val="dk1"/>
              </a:solidFill>
              <a:effectLst/>
              <a:latin typeface="+mn-lt"/>
              <a:ea typeface="+mn-ea"/>
              <a:cs typeface="+mn-cs"/>
            </a:rPr>
            <a:t>n </a:t>
          </a:r>
          <a:r>
            <a:rPr lang="es-EC" sz="900" b="1" i="1" u="sng" baseline="0">
              <a:solidFill>
                <a:schemeClr val="dk1"/>
              </a:solidFill>
              <a:effectLst/>
              <a:latin typeface="+mn-lt"/>
              <a:ea typeface="+mn-ea"/>
              <a:cs typeface="+mn-cs"/>
            </a:rPr>
            <a:t>total de arribos</a:t>
          </a:r>
          <a:r>
            <a:rPr lang="es-EC" sz="900" b="1" baseline="0">
              <a:solidFill>
                <a:schemeClr val="dk1"/>
              </a:solidFill>
              <a:effectLst/>
              <a:latin typeface="+mn-lt"/>
              <a:ea typeface="+mn-ea"/>
              <a:cs typeface="+mn-cs"/>
            </a:rPr>
            <a:t> </a:t>
          </a:r>
          <a:r>
            <a:rPr lang="es-EC" sz="900" b="0" baseline="0">
              <a:solidFill>
                <a:schemeClr val="dk1"/>
              </a:solidFill>
              <a:effectLst/>
              <a:latin typeface="+mn-lt"/>
              <a:ea typeface="+mn-ea"/>
              <a:cs typeface="+mn-cs"/>
            </a:rPr>
            <a:t>de</a:t>
          </a:r>
          <a:r>
            <a:rPr lang="es-EC" sz="900" b="1" baseline="0">
              <a:solidFill>
                <a:schemeClr val="dk1"/>
              </a:solidFill>
              <a:effectLst/>
              <a:latin typeface="+mn-lt"/>
              <a:ea typeface="+mn-ea"/>
              <a:cs typeface="+mn-cs"/>
            </a:rPr>
            <a:t> </a:t>
          </a:r>
          <a:r>
            <a:rPr lang="es-EC" sz="900" b="1" u="sng" baseline="0">
              <a:solidFill>
                <a:schemeClr val="dk1"/>
              </a:solidFill>
              <a:effectLst/>
              <a:latin typeface="+mn-lt"/>
              <a:ea typeface="+mn-ea"/>
              <a:cs typeface="+mn-cs"/>
            </a:rPr>
            <a:t>1.153.666</a:t>
          </a:r>
          <a:r>
            <a:rPr lang="es-EC" sz="900" b="1" baseline="0">
              <a:solidFill>
                <a:schemeClr val="dk1"/>
              </a:solidFill>
              <a:effectLst/>
              <a:latin typeface="+mn-lt"/>
              <a:ea typeface="+mn-ea"/>
              <a:cs typeface="+mn-cs"/>
            </a:rPr>
            <a:t> </a:t>
          </a:r>
          <a:r>
            <a:rPr lang="es-EC" sz="900" baseline="0">
              <a:solidFill>
                <a:schemeClr val="dk1"/>
              </a:solidFill>
              <a:effectLst/>
              <a:latin typeface="+mn-lt"/>
              <a:ea typeface="+mn-ea"/>
              <a:cs typeface="+mn-cs"/>
            </a:rPr>
            <a:t>pasajeros  es decir un </a:t>
          </a:r>
          <a:r>
            <a:rPr lang="es-EC" sz="900" b="1" u="sng" baseline="0">
              <a:solidFill>
                <a:schemeClr val="dk1"/>
              </a:solidFill>
              <a:effectLst/>
              <a:latin typeface="+mn-lt"/>
              <a:ea typeface="+mn-ea"/>
              <a:cs typeface="+mn-cs"/>
            </a:rPr>
            <a:t>+54,17 % </a:t>
          </a:r>
          <a:r>
            <a:rPr lang="es-EC" sz="900" b="1" baseline="0">
              <a:solidFill>
                <a:schemeClr val="dk1"/>
              </a:solidFill>
              <a:effectLst/>
              <a:latin typeface="+mn-lt"/>
              <a:ea typeface="+mn-ea"/>
              <a:cs typeface="+mn-cs"/>
            </a:rPr>
            <a:t> </a:t>
          </a:r>
          <a:r>
            <a:rPr lang="es-EC" sz="900" baseline="0">
              <a:solidFill>
                <a:schemeClr val="dk1"/>
              </a:solidFill>
              <a:effectLst/>
              <a:latin typeface="+mn-lt"/>
              <a:ea typeface="+mn-ea"/>
              <a:cs typeface="+mn-cs"/>
            </a:rPr>
            <a:t>respecto al mismo periodo en 2020.</a:t>
          </a:r>
        </a:p>
        <a:p>
          <a:pPr marL="457200" marR="0" lvl="1" indent="0" defTabSz="914400" rtl="0" eaLnBrk="1" fontAlgn="base" latinLnBrk="0" hangingPunct="1">
            <a:lnSpc>
              <a:spcPct val="100000"/>
            </a:lnSpc>
            <a:spcBef>
              <a:spcPts val="0"/>
            </a:spcBef>
            <a:spcAft>
              <a:spcPts val="0"/>
            </a:spcAft>
            <a:buClrTx/>
            <a:buSzTx/>
            <a:buFontTx/>
            <a:buNone/>
            <a:tabLst/>
            <a:defRPr/>
          </a:pPr>
          <a:r>
            <a:rPr lang="es-EC" sz="900" baseline="0">
              <a:solidFill>
                <a:schemeClr val="dk1"/>
              </a:solidFill>
              <a:effectLst/>
              <a:latin typeface="+mn-lt"/>
              <a:ea typeface="+mn-ea"/>
              <a:cs typeface="+mn-cs"/>
            </a:rPr>
            <a:t>	- Y un </a:t>
          </a:r>
          <a:r>
            <a:rPr lang="es-EC" sz="900" u="sng" baseline="0">
              <a:solidFill>
                <a:schemeClr val="dk1"/>
              </a:solidFill>
              <a:effectLst/>
              <a:latin typeface="+mn-lt"/>
              <a:ea typeface="+mn-ea"/>
              <a:cs typeface="+mn-cs"/>
            </a:rPr>
            <a:t>-53,9 % </a:t>
          </a:r>
          <a:r>
            <a:rPr lang="es-EC" sz="900" baseline="0">
              <a:solidFill>
                <a:schemeClr val="dk1"/>
              </a:solidFill>
              <a:effectLst/>
              <a:latin typeface="+mn-lt"/>
              <a:ea typeface="+mn-ea"/>
              <a:cs typeface="+mn-cs"/>
            </a:rPr>
            <a:t> respecto al mismo periodo en 2019.</a:t>
          </a:r>
        </a:p>
        <a:p>
          <a:pPr marL="457200" marR="0" lvl="1" indent="0" defTabSz="914400" rtl="0" eaLnBrk="1" fontAlgn="base" latinLnBrk="0" hangingPunct="1">
            <a:lnSpc>
              <a:spcPct val="100000"/>
            </a:lnSpc>
            <a:spcBef>
              <a:spcPts val="0"/>
            </a:spcBef>
            <a:spcAft>
              <a:spcPts val="0"/>
            </a:spcAft>
            <a:buClrTx/>
            <a:buSzTx/>
            <a:buFontTx/>
            <a:buNone/>
            <a:tabLst/>
            <a:defRPr/>
          </a:pPr>
          <a:endParaRPr lang="es-EC" sz="900" baseline="0">
            <a:solidFill>
              <a:schemeClr val="dk1"/>
            </a:solidFill>
            <a:effectLst/>
            <a:latin typeface="+mn-lt"/>
            <a:ea typeface="+mn-ea"/>
            <a:cs typeface="+mn-cs"/>
          </a:endParaRPr>
        </a:p>
        <a:p>
          <a:pPr marL="457200" marR="0" lvl="1" indent="0" defTabSz="914400" rtl="0" eaLnBrk="1" fontAlgn="base" latinLnBrk="0" hangingPunct="1">
            <a:lnSpc>
              <a:spcPct val="100000"/>
            </a:lnSpc>
            <a:spcBef>
              <a:spcPts val="0"/>
            </a:spcBef>
            <a:spcAft>
              <a:spcPts val="0"/>
            </a:spcAft>
            <a:buClrTx/>
            <a:buSzTx/>
            <a:buFontTx/>
            <a:buNone/>
            <a:tabLst/>
            <a:defRPr/>
          </a:pPr>
          <a:endParaRPr lang="es-EC" sz="900">
            <a:effectLst/>
          </a:endParaRPr>
        </a:p>
      </xdr:txBody>
    </xdr:sp>
    <xdr:clientData/>
  </xdr:twoCellAnchor>
  <xdr:twoCellAnchor>
    <xdr:from>
      <xdr:col>15</xdr:col>
      <xdr:colOff>515469</xdr:colOff>
      <xdr:row>253</xdr:row>
      <xdr:rowOff>126850</xdr:rowOff>
    </xdr:from>
    <xdr:to>
      <xdr:col>25</xdr:col>
      <xdr:colOff>396240</xdr:colOff>
      <xdr:row>272</xdr:row>
      <xdr:rowOff>83820</xdr:rowOff>
    </xdr:to>
    <xdr:graphicFrame macro="">
      <xdr:nvGraphicFramePr>
        <xdr:cNvPr id="5" name="Gráfico 4">
          <a:extLst>
            <a:ext uri="{FF2B5EF4-FFF2-40B4-BE49-F238E27FC236}">
              <a16:creationId xmlns:a16="http://schemas.microsoft.com/office/drawing/2014/main" id="{00000000-0008-0000-06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530710</xdr:colOff>
      <xdr:row>273</xdr:row>
      <xdr:rowOff>3138</xdr:rowOff>
    </xdr:from>
    <xdr:to>
      <xdr:col>25</xdr:col>
      <xdr:colOff>104886</xdr:colOff>
      <xdr:row>290</xdr:row>
      <xdr:rowOff>46638</xdr:rowOff>
    </xdr:to>
    <xdr:graphicFrame macro="">
      <xdr:nvGraphicFramePr>
        <xdr:cNvPr id="6" name="Gráfico 5">
          <a:extLst>
            <a:ext uri="{FF2B5EF4-FFF2-40B4-BE49-F238E27FC236}">
              <a16:creationId xmlns:a16="http://schemas.microsoft.com/office/drawing/2014/main" id="{00000000-0008-0000-06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848061</xdr:colOff>
      <xdr:row>254</xdr:row>
      <xdr:rowOff>69925</xdr:rowOff>
    </xdr:from>
    <xdr:to>
      <xdr:col>15</xdr:col>
      <xdr:colOff>343797</xdr:colOff>
      <xdr:row>284</xdr:row>
      <xdr:rowOff>121024</xdr:rowOff>
    </xdr:to>
    <xdr:graphicFrame macro="">
      <xdr:nvGraphicFramePr>
        <xdr:cNvPr id="7" name="Gráfico 6">
          <a:extLst>
            <a:ext uri="{FF2B5EF4-FFF2-40B4-BE49-F238E27FC236}">
              <a16:creationId xmlns:a16="http://schemas.microsoft.com/office/drawing/2014/main" id="{00000000-0008-0000-06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866775</xdr:colOff>
      <xdr:row>286</xdr:row>
      <xdr:rowOff>14287</xdr:rowOff>
    </xdr:from>
    <xdr:to>
      <xdr:col>15</xdr:col>
      <xdr:colOff>342900</xdr:colOff>
      <xdr:row>305</xdr:row>
      <xdr:rowOff>42862</xdr:rowOff>
    </xdr:to>
    <xdr:graphicFrame macro="">
      <xdr:nvGraphicFramePr>
        <xdr:cNvPr id="2" name="Gráfico 1">
          <a:extLst>
            <a:ext uri="{FF2B5EF4-FFF2-40B4-BE49-F238E27FC236}">
              <a16:creationId xmlns:a16="http://schemas.microsoft.com/office/drawing/2014/main" id="{00000000-0008-0000-0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866775</xdr:colOff>
      <xdr:row>306</xdr:row>
      <xdr:rowOff>28575</xdr:rowOff>
    </xdr:from>
    <xdr:to>
      <xdr:col>15</xdr:col>
      <xdr:colOff>342900</xdr:colOff>
      <xdr:row>325</xdr:row>
      <xdr:rowOff>57150</xdr:rowOff>
    </xdr:to>
    <xdr:graphicFrame macro="">
      <xdr:nvGraphicFramePr>
        <xdr:cNvPr id="8" name="Gráfico 7">
          <a:extLst>
            <a:ext uri="{FF2B5EF4-FFF2-40B4-BE49-F238E27FC236}">
              <a16:creationId xmlns:a16="http://schemas.microsoft.com/office/drawing/2014/main" id="{00000000-0008-0000-06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15</xdr:col>
      <xdr:colOff>527684</xdr:colOff>
      <xdr:row>291</xdr:row>
      <xdr:rowOff>76201</xdr:rowOff>
    </xdr:from>
    <xdr:to>
      <xdr:col>25</xdr:col>
      <xdr:colOff>83820</xdr:colOff>
      <xdr:row>314</xdr:row>
      <xdr:rowOff>38101</xdr:rowOff>
    </xdr:to>
    <xdr:graphicFrame macro="">
      <xdr:nvGraphicFramePr>
        <xdr:cNvPr id="4" name="Gráfico 3">
          <a:extLst>
            <a:ext uri="{FF2B5EF4-FFF2-40B4-BE49-F238E27FC236}">
              <a16:creationId xmlns:a16="http://schemas.microsoft.com/office/drawing/2014/main" id="{00000000-0008-0000-06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7</xdr:col>
      <xdr:colOff>410818</xdr:colOff>
      <xdr:row>30</xdr:row>
      <xdr:rowOff>39757</xdr:rowOff>
    </xdr:from>
    <xdr:to>
      <xdr:col>17</xdr:col>
      <xdr:colOff>187576</xdr:colOff>
      <xdr:row>51</xdr:row>
      <xdr:rowOff>142267</xdr:rowOff>
    </xdr:to>
    <xdr:graphicFrame macro="">
      <xdr:nvGraphicFramePr>
        <xdr:cNvPr id="2" name="Gráfico 1">
          <a:extLst>
            <a:ext uri="{FF2B5EF4-FFF2-40B4-BE49-F238E27FC236}">
              <a16:creationId xmlns:a16="http://schemas.microsoft.com/office/drawing/2014/main" id="{78FDD242-A8A9-4C2C-B204-91C767DC11B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1</xdr:col>
      <xdr:colOff>60961</xdr:colOff>
      <xdr:row>12</xdr:row>
      <xdr:rowOff>137160</xdr:rowOff>
    </xdr:from>
    <xdr:to>
      <xdr:col>7</xdr:col>
      <xdr:colOff>22860</xdr:colOff>
      <xdr:row>32</xdr:row>
      <xdr:rowOff>22860</xdr:rowOff>
    </xdr:to>
    <xdr:graphicFrame macro="">
      <xdr:nvGraphicFramePr>
        <xdr:cNvPr id="2" name="Gráfico 1">
          <a:extLst>
            <a:ext uri="{FF2B5EF4-FFF2-40B4-BE49-F238E27FC236}">
              <a16:creationId xmlns:a16="http://schemas.microsoft.com/office/drawing/2014/main" id="{D424E386-A3AE-4363-9FB4-5215E98437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editAs="oneCell">
    <xdr:from>
      <xdr:col>11</xdr:col>
      <xdr:colOff>144780</xdr:colOff>
      <xdr:row>0</xdr:row>
      <xdr:rowOff>91440</xdr:rowOff>
    </xdr:from>
    <xdr:to>
      <xdr:col>12</xdr:col>
      <xdr:colOff>451756</xdr:colOff>
      <xdr:row>2</xdr:row>
      <xdr:rowOff>180975</xdr:rowOff>
    </xdr:to>
    <xdr:pic>
      <xdr:nvPicPr>
        <xdr:cNvPr id="2" name="5 Imagen">
          <a:extLst>
            <a:ext uri="{FF2B5EF4-FFF2-40B4-BE49-F238E27FC236}">
              <a16:creationId xmlns:a16="http://schemas.microsoft.com/office/drawing/2014/main" id="{FDDF38DE-8DA6-4279-91BD-E4D2AAB96E4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0401300" y="91440"/>
          <a:ext cx="1219199" cy="470535"/>
        </a:xfrm>
        <a:prstGeom prst="rect">
          <a:avLst/>
        </a:prstGeom>
        <a:blipFill dpi="0" rotWithShape="1">
          <a:blip xmlns:r="http://schemas.openxmlformats.org/officeDocument/2006/relationships" r:embed="rId2"/>
          <a:srcRect/>
          <a:stretch>
            <a:fillRect/>
          </a:stretch>
        </a:blipFill>
        <a:ln>
          <a:noFill/>
        </a:ln>
      </xdr:spPr>
    </xdr:pic>
    <xdr:clientData/>
  </xdr:twoCellAnchor>
  <xdr:twoCellAnchor>
    <xdr:from>
      <xdr:col>14</xdr:col>
      <xdr:colOff>205740</xdr:colOff>
      <xdr:row>4</xdr:row>
      <xdr:rowOff>102870</xdr:rowOff>
    </xdr:from>
    <xdr:to>
      <xdr:col>27</xdr:col>
      <xdr:colOff>707571</xdr:colOff>
      <xdr:row>30</xdr:row>
      <xdr:rowOff>130630</xdr:rowOff>
    </xdr:to>
    <xdr:graphicFrame macro="">
      <xdr:nvGraphicFramePr>
        <xdr:cNvPr id="3" name="Gráfico 2">
          <a:extLst>
            <a:ext uri="{FF2B5EF4-FFF2-40B4-BE49-F238E27FC236}">
              <a16:creationId xmlns:a16="http://schemas.microsoft.com/office/drawing/2014/main" id="{7FD18014-32EA-44EA-85A4-616EFC652AC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13</xdr:col>
      <xdr:colOff>112218</xdr:colOff>
      <xdr:row>1</xdr:row>
      <xdr:rowOff>95250</xdr:rowOff>
    </xdr:from>
    <xdr:to>
      <xdr:col>34</xdr:col>
      <xdr:colOff>234520</xdr:colOff>
      <xdr:row>23</xdr:row>
      <xdr:rowOff>61632</xdr:rowOff>
    </xdr:to>
    <xdr:graphicFrame macro="">
      <xdr:nvGraphicFramePr>
        <xdr:cNvPr id="2" name="Gráfico 1">
          <a:extLst>
            <a:ext uri="{FF2B5EF4-FFF2-40B4-BE49-F238E27FC236}">
              <a16:creationId xmlns:a16="http://schemas.microsoft.com/office/drawing/2014/main" id="{E07073D7-80BC-49F1-8BBD-457B7C3AE90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11</xdr:col>
      <xdr:colOff>240285</xdr:colOff>
      <xdr:row>2</xdr:row>
      <xdr:rowOff>15209</xdr:rowOff>
    </xdr:from>
    <xdr:to>
      <xdr:col>12</xdr:col>
      <xdr:colOff>26734</xdr:colOff>
      <xdr:row>10</xdr:row>
      <xdr:rowOff>104856</xdr:rowOff>
    </xdr:to>
    <mc:AlternateContent xmlns:mc="http://schemas.openxmlformats.org/markup-compatibility/2006" xmlns:a14="http://schemas.microsoft.com/office/drawing/2010/main">
      <mc:Choice Requires="a14">
        <xdr:graphicFrame macro="">
          <xdr:nvGraphicFramePr>
            <xdr:cNvPr id="3" name="AÑO 1">
              <a:extLst>
                <a:ext uri="{FF2B5EF4-FFF2-40B4-BE49-F238E27FC236}">
                  <a16:creationId xmlns:a16="http://schemas.microsoft.com/office/drawing/2014/main" id="{C9DFA36D-1E4F-4A74-AF82-69123B880947}"/>
                </a:ext>
              </a:extLst>
            </xdr:cNvPr>
            <xdr:cNvGraphicFramePr/>
          </xdr:nvGraphicFramePr>
          <xdr:xfrm>
            <a:off x="0" y="0"/>
            <a:ext cx="0" cy="0"/>
          </xdr:xfrm>
          <a:graphic>
            <a:graphicData uri="http://schemas.microsoft.com/office/drawing/2010/slicer">
              <sle:slicer xmlns:sle="http://schemas.microsoft.com/office/drawing/2010/slicer" name="AÑO 1"/>
            </a:graphicData>
          </a:graphic>
        </xdr:graphicFrame>
      </mc:Choice>
      <mc:Fallback xmlns="">
        <xdr:sp macro="" textlink="">
          <xdr:nvSpPr>
            <xdr:cNvPr id="0" name=""/>
            <xdr:cNvSpPr>
              <a:spLocks noTextEdit="1"/>
            </xdr:cNvSpPr>
          </xdr:nvSpPr>
          <xdr:spPr>
            <a:xfrm>
              <a:off x="12225456" y="385323"/>
              <a:ext cx="885907" cy="1570104"/>
            </a:xfrm>
            <a:prstGeom prst="rect">
              <a:avLst/>
            </a:prstGeom>
            <a:solidFill>
              <a:prstClr val="white"/>
            </a:solidFill>
            <a:ln w="1">
              <a:solidFill>
                <a:prstClr val="green"/>
              </a:solidFill>
            </a:ln>
          </xdr:spPr>
          <xdr:txBody>
            <a:bodyPr vertOverflow="clip" horzOverflow="clip"/>
            <a:lstStyle/>
            <a:p>
              <a:r>
                <a:rPr lang="es-EC"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13.xml><?xml version="1.0" encoding="utf-8"?>
<xdr:wsDr xmlns:xdr="http://schemas.openxmlformats.org/drawingml/2006/spreadsheetDrawing" xmlns:a="http://schemas.openxmlformats.org/drawingml/2006/main">
  <xdr:twoCellAnchor editAs="oneCell">
    <xdr:from>
      <xdr:col>13</xdr:col>
      <xdr:colOff>332081</xdr:colOff>
      <xdr:row>5</xdr:row>
      <xdr:rowOff>76201</xdr:rowOff>
    </xdr:from>
    <xdr:to>
      <xdr:col>19</xdr:col>
      <xdr:colOff>360877</xdr:colOff>
      <xdr:row>18</xdr:row>
      <xdr:rowOff>83821</xdr:rowOff>
    </xdr:to>
    <xdr:pic>
      <xdr:nvPicPr>
        <xdr:cNvPr id="2" name="Imagen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8241641" y="1584961"/>
          <a:ext cx="3998816" cy="2392680"/>
        </a:xfrm>
        <a:prstGeom prst="rect">
          <a:avLst/>
        </a:prstGeom>
      </xdr:spPr>
    </xdr:pic>
    <xdr:clientData/>
  </xdr:twoCellAnchor>
  <xdr:twoCellAnchor editAs="oneCell">
    <xdr:from>
      <xdr:col>13</xdr:col>
      <xdr:colOff>342901</xdr:colOff>
      <xdr:row>19</xdr:row>
      <xdr:rowOff>160020</xdr:rowOff>
    </xdr:from>
    <xdr:to>
      <xdr:col>19</xdr:col>
      <xdr:colOff>376469</xdr:colOff>
      <xdr:row>32</xdr:row>
      <xdr:rowOff>15240</xdr:rowOff>
    </xdr:to>
    <xdr:pic>
      <xdr:nvPicPr>
        <xdr:cNvPr id="3" name="Imagen 2">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2"/>
        <a:stretch>
          <a:fillRect/>
        </a:stretch>
      </xdr:blipFill>
      <xdr:spPr>
        <a:xfrm>
          <a:off x="8252461" y="4236720"/>
          <a:ext cx="4003588" cy="24384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243840</xdr:colOff>
      <xdr:row>62</xdr:row>
      <xdr:rowOff>53340</xdr:rowOff>
    </xdr:from>
    <xdr:to>
      <xdr:col>5</xdr:col>
      <xdr:colOff>388620</xdr:colOff>
      <xdr:row>72</xdr:row>
      <xdr:rowOff>99060</xdr:rowOff>
    </xdr:to>
    <xdr:sp macro="" textlink="">
      <xdr:nvSpPr>
        <xdr:cNvPr id="2" name="CuadroTexto 1">
          <a:extLst>
            <a:ext uri="{FF2B5EF4-FFF2-40B4-BE49-F238E27FC236}">
              <a16:creationId xmlns:a16="http://schemas.microsoft.com/office/drawing/2014/main" id="{00000000-0008-0000-0800-000002000000}"/>
            </a:ext>
          </a:extLst>
        </xdr:cNvPr>
        <xdr:cNvSpPr txBox="1"/>
      </xdr:nvSpPr>
      <xdr:spPr>
        <a:xfrm>
          <a:off x="1264920" y="13213080"/>
          <a:ext cx="5029200" cy="18745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C" sz="900" b="0" i="1">
              <a:solidFill>
                <a:schemeClr val="dk1"/>
              </a:solidFill>
              <a:effectLst/>
              <a:latin typeface="+mn-lt"/>
              <a:ea typeface="+mn-ea"/>
              <a:cs typeface="+mn-cs"/>
            </a:rPr>
            <a:t>http://www2.unwto.org/es/press-release/2018-10-08/turismo-comercio-y-la-omc-comunicado-conjunto-de-la-omt-la-omc-el-itc-y-el- </a:t>
          </a:r>
        </a:p>
        <a:p>
          <a:endParaRPr lang="es-EC" sz="900" b="0" i="1">
            <a:solidFill>
              <a:schemeClr val="dk1"/>
            </a:solidFill>
            <a:effectLst/>
            <a:latin typeface="+mn-lt"/>
            <a:ea typeface="+mn-ea"/>
            <a:cs typeface="+mn-cs"/>
          </a:endParaRPr>
        </a:p>
        <a:p>
          <a:r>
            <a:rPr lang="es-EC" sz="900" b="0" i="1">
              <a:solidFill>
                <a:schemeClr val="dk1"/>
              </a:solidFill>
              <a:effectLst/>
              <a:latin typeface="+mn-lt"/>
              <a:ea typeface="+mn-ea"/>
              <a:cs typeface="+mn-cs"/>
            </a:rPr>
            <a:t>Ginebra, Suiza,  8 de octubre de 2018 – </a:t>
          </a:r>
          <a:r>
            <a:rPr lang="es-EC" sz="900" b="0" i="0">
              <a:solidFill>
                <a:schemeClr val="dk1"/>
              </a:solidFill>
              <a:effectLst/>
              <a:latin typeface="+mn-lt"/>
              <a:ea typeface="+mn-ea"/>
              <a:cs typeface="+mn-cs"/>
            </a:rPr>
            <a:t>La Organización Mundial del Turismo (OMT), la Organización Mundial del Comercio (OMC), el Consejo Mundial de Viajes y Turismo (WTTC) y el Centro de Comercio Internacional (ITC) han emitido el comunicado conjunto “</a:t>
          </a:r>
          <a:r>
            <a:rPr lang="es-EC" sz="900" b="0" i="1">
              <a:solidFill>
                <a:schemeClr val="dk1"/>
              </a:solidFill>
              <a:effectLst/>
              <a:latin typeface="+mn-lt"/>
              <a:ea typeface="+mn-ea"/>
              <a:cs typeface="+mn-cs"/>
            </a:rPr>
            <a:t>Turismo, Comercio y la OMT”</a:t>
          </a:r>
          <a:r>
            <a:rPr lang="es-EC" sz="900" b="0" i="0">
              <a:solidFill>
                <a:schemeClr val="dk1"/>
              </a:solidFill>
              <a:effectLst/>
              <a:latin typeface="+mn-lt"/>
              <a:ea typeface="+mn-ea"/>
              <a:cs typeface="+mn-cs"/>
            </a:rPr>
            <a:t>, que afirma la importancia de una mejor cooperación mundial en comercio y turismo, y alienta a una mayor participación del sector turístico en las políticas comerciales</a:t>
          </a:r>
        </a:p>
        <a:p>
          <a:r>
            <a:rPr lang="es-EC" sz="900" b="0" i="0">
              <a:solidFill>
                <a:schemeClr val="dk1"/>
              </a:solidFill>
              <a:effectLst/>
              <a:latin typeface="+mn-lt"/>
              <a:ea typeface="+mn-ea"/>
              <a:cs typeface="+mn-cs"/>
            </a:rPr>
            <a:t>Como tercer mayor sector de comercio internacional,</a:t>
          </a:r>
          <a:r>
            <a:rPr lang="es-EC" sz="900" b="0" i="0" u="none" strike="noStrike">
              <a:solidFill>
                <a:schemeClr val="dk1"/>
              </a:solidFill>
              <a:effectLst/>
              <a:latin typeface="+mn-lt"/>
              <a:ea typeface="+mn-ea"/>
              <a:cs typeface="+mn-cs"/>
              <a:hlinkClick xmlns:r="http://schemas.openxmlformats.org/officeDocument/2006/relationships" r:id=""/>
            </a:rPr>
            <a:t>[1]</a:t>
          </a:r>
          <a:r>
            <a:rPr lang="es-EC" sz="900" b="0" i="0">
              <a:solidFill>
                <a:schemeClr val="dk1"/>
              </a:solidFill>
              <a:effectLst/>
              <a:latin typeface="+mn-lt"/>
              <a:ea typeface="+mn-ea"/>
              <a:cs typeface="+mn-cs"/>
            </a:rPr>
            <a:t> con el </a:t>
          </a:r>
          <a:r>
            <a:rPr lang="es-EC" sz="900" b="0" i="0">
              <a:solidFill>
                <a:srgbClr val="FF0000"/>
              </a:solidFill>
              <a:effectLst/>
              <a:latin typeface="+mn-lt"/>
              <a:ea typeface="+mn-ea"/>
              <a:cs typeface="+mn-cs"/>
            </a:rPr>
            <a:t>10,4% del producto interior bruto (PIB) </a:t>
          </a:r>
          <a:r>
            <a:rPr lang="es-EC" sz="900" b="0" i="0">
              <a:solidFill>
                <a:schemeClr val="dk1"/>
              </a:solidFill>
              <a:effectLst/>
              <a:latin typeface="+mn-lt"/>
              <a:ea typeface="+mn-ea"/>
              <a:cs typeface="+mn-cs"/>
            </a:rPr>
            <a:t>y responsable de 313 millones de trabajo en todo el mundo, el sector turístico realiza un aporte significativo a la consecución de los Objetivos de Desarrollo Sostenible (ODS).</a:t>
          </a:r>
        </a:p>
        <a:p>
          <a:endParaRPr lang="es-EC" sz="900"/>
        </a:p>
      </xdr:txBody>
    </xdr:sp>
    <xdr:clientData/>
  </xdr:twoCellAnchor>
  <xdr:twoCellAnchor>
    <xdr:from>
      <xdr:col>7</xdr:col>
      <xdr:colOff>1066800</xdr:colOff>
      <xdr:row>62</xdr:row>
      <xdr:rowOff>83820</xdr:rowOff>
    </xdr:from>
    <xdr:to>
      <xdr:col>16</xdr:col>
      <xdr:colOff>342900</xdr:colOff>
      <xdr:row>87</xdr:row>
      <xdr:rowOff>129540</xdr:rowOff>
    </xdr:to>
    <xdr:sp macro="" textlink="">
      <xdr:nvSpPr>
        <xdr:cNvPr id="3" name="CuadroTexto 2">
          <a:extLst>
            <a:ext uri="{FF2B5EF4-FFF2-40B4-BE49-F238E27FC236}">
              <a16:creationId xmlns:a16="http://schemas.microsoft.com/office/drawing/2014/main" id="{00000000-0008-0000-0800-000003000000}"/>
            </a:ext>
          </a:extLst>
        </xdr:cNvPr>
        <xdr:cNvSpPr txBox="1"/>
      </xdr:nvSpPr>
      <xdr:spPr>
        <a:xfrm>
          <a:off x="9182100" y="13243560"/>
          <a:ext cx="9220200" cy="46177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C" sz="900"/>
            <a:t>http://cf.cdn.unwto.org/sites/all/files/docpdf/iprtsasp.pdf</a:t>
          </a:r>
        </a:p>
        <a:p>
          <a:endParaRPr lang="es-EC" sz="900"/>
        </a:p>
        <a:p>
          <a:r>
            <a:rPr lang="es-EC" sz="900"/>
            <a:t>Box 1. Producción y consumos intermedios: Propuesta sobre las clasificaciones en la CST-R. Para definir el nivel de desagregación con el que tienen que estimarse las variables de producción y consumos intermedios, la referencia fundamental es por un lado la contenida en la CST: RMC 2008. Por otro, si para elaborar la CST-R, se parte de la disponibilidad de unas TOD regionales (es uno de los supuestos de partida de nuestro modelo) el nivel de detalle de estas dos variables tiene que estar vinculado al que ofrezcan esas TOD, introduciendo las adaptaciones adecuadas para contemplar los productos específicos del turismo. En la parte A de la tabla anexa se recoge el desglose de la producción por productos necesario para completar el cuadro de oferta. La parte superior que es la fundamental, se corresponde con el desglose de los productos característicos con el que se vaya a definir la CST. Se ha añadido un grupo adicional de productos (“otras producciones de mercado”) que trata de reflejar que la medición de la producción de las industrias tiene que ser exhaustiva, abarcando no solo los productos característicos, sino cualquier otro tipo de producción de mercado que proporcione ingresos a las industrias (por ejemplo, un hotel puede obtener ingresos derivados del alquiler de locales, de la organización de congresos y eventos, de servicios de cambio de moneda, etc.). </a:t>
          </a:r>
        </a:p>
        <a:p>
          <a:endParaRPr lang="es-EC" sz="900"/>
        </a:p>
        <a:p>
          <a:r>
            <a:rPr lang="es-EC" sz="900"/>
            <a:t>A) Clasificación de la producción en la CST-R </a:t>
          </a:r>
        </a:p>
        <a:p>
          <a:r>
            <a:rPr lang="es-EC" sz="900"/>
            <a:t>1) Productos característicos (Véase relación completa en anexo 3) </a:t>
          </a:r>
        </a:p>
        <a:p>
          <a:pPr lvl="1"/>
          <a:r>
            <a:rPr lang="es-EC" sz="900"/>
            <a:t>- S. Alojamiento reglado </a:t>
          </a:r>
        </a:p>
        <a:p>
          <a:pPr lvl="1"/>
          <a:r>
            <a:rPr lang="es-EC" sz="900"/>
            <a:t>- S. Alojamiento privado </a:t>
          </a:r>
        </a:p>
        <a:p>
          <a:pPr lvl="1"/>
          <a:r>
            <a:rPr lang="es-EC" sz="900"/>
            <a:t>- Ser. Provisión de alimentos y bebidas </a:t>
          </a:r>
        </a:p>
        <a:p>
          <a:pPr lvl="1"/>
          <a:r>
            <a:rPr lang="es-EC" sz="900"/>
            <a:t>- Servicios de transporte de pasajeros </a:t>
          </a:r>
        </a:p>
        <a:p>
          <a:r>
            <a:rPr lang="es-EC" sz="900"/>
            <a:t>2. Productos conexos al turismo </a:t>
          </a:r>
        </a:p>
        <a:p>
          <a:r>
            <a:rPr lang="es-EC" sz="900"/>
            <a:t>3. Productos de consumo no conexos al turismo  </a:t>
          </a:r>
        </a:p>
        <a:p>
          <a:r>
            <a:rPr lang="es-EC" sz="900"/>
            <a:t>4. Objetos valiosos </a:t>
          </a:r>
        </a:p>
        <a:p>
          <a:r>
            <a:rPr lang="es-EC" sz="900"/>
            <a:t>5. Otro</a:t>
          </a:r>
        </a:p>
        <a:p>
          <a:endParaRPr lang="es-EC" sz="900"/>
        </a:p>
        <a:p>
          <a:endParaRPr lang="es-EC" sz="900"/>
        </a:p>
        <a:p>
          <a:r>
            <a:rPr lang="es-EC" sz="900"/>
            <a:t>B) Clasificación de los consumos intermedios en la CST-R por categorías de productos </a:t>
          </a:r>
        </a:p>
        <a:p>
          <a:pPr lvl="1"/>
          <a:r>
            <a:rPr lang="es-EC" sz="900"/>
            <a:t>- Productos agrarios </a:t>
          </a:r>
        </a:p>
        <a:p>
          <a:pPr lvl="1"/>
          <a:r>
            <a:rPr lang="es-EC" sz="900"/>
            <a:t>- Minería y energía </a:t>
          </a:r>
        </a:p>
        <a:p>
          <a:pPr lvl="1"/>
          <a:r>
            <a:rPr lang="es-EC" sz="900"/>
            <a:t>- Productos industriales </a:t>
          </a:r>
        </a:p>
        <a:p>
          <a:pPr lvl="1"/>
          <a:r>
            <a:rPr lang="es-EC" sz="900"/>
            <a:t>- Construcciones </a:t>
          </a:r>
        </a:p>
        <a:p>
          <a:pPr lvl="1"/>
          <a:r>
            <a:rPr lang="es-EC" sz="900"/>
            <a:t>- Servicios comerciales transporte hostelería </a:t>
          </a:r>
        </a:p>
        <a:p>
          <a:pPr lvl="1"/>
          <a:r>
            <a:rPr lang="es-EC" sz="900"/>
            <a:t>- Servicios financieros, inmobiliarios;  </a:t>
          </a:r>
        </a:p>
        <a:p>
          <a:pPr lvl="1"/>
          <a:r>
            <a:rPr lang="es-EC" sz="900"/>
            <a:t>- Servicios prestados a las empresas </a:t>
          </a:r>
        </a:p>
        <a:p>
          <a:pPr lvl="1"/>
          <a:r>
            <a:rPr lang="es-EC" sz="900"/>
            <a:t>- Servicios para la comunidad, sociales y personales </a:t>
          </a:r>
        </a:p>
      </xdr:txBody>
    </xdr:sp>
    <xdr:clientData/>
  </xdr:twoCellAnchor>
  <xdr:twoCellAnchor>
    <xdr:from>
      <xdr:col>20</xdr:col>
      <xdr:colOff>647700</xdr:colOff>
      <xdr:row>6</xdr:row>
      <xdr:rowOff>91440</xdr:rowOff>
    </xdr:from>
    <xdr:to>
      <xdr:col>24</xdr:col>
      <xdr:colOff>472440</xdr:colOff>
      <xdr:row>14</xdr:row>
      <xdr:rowOff>152400</xdr:rowOff>
    </xdr:to>
    <xdr:sp macro="" textlink="">
      <xdr:nvSpPr>
        <xdr:cNvPr id="4" name="CuadroTexto 3">
          <a:extLst>
            <a:ext uri="{FF2B5EF4-FFF2-40B4-BE49-F238E27FC236}">
              <a16:creationId xmlns:a16="http://schemas.microsoft.com/office/drawing/2014/main" id="{00000000-0008-0000-0800-000004000000}"/>
            </a:ext>
          </a:extLst>
        </xdr:cNvPr>
        <xdr:cNvSpPr txBox="1"/>
      </xdr:nvSpPr>
      <xdr:spPr>
        <a:xfrm>
          <a:off x="23538180" y="1059180"/>
          <a:ext cx="3764280" cy="18745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C" sz="1050" b="0" i="0" u="none" strike="noStrike">
              <a:solidFill>
                <a:schemeClr val="dk1"/>
              </a:solidFill>
              <a:effectLst/>
              <a:latin typeface="+mn-lt"/>
              <a:ea typeface="+mn-ea"/>
              <a:cs typeface="+mn-cs"/>
            </a:rPr>
            <a:t>JUL2020.- SIIT</a:t>
          </a:r>
        </a:p>
        <a:p>
          <a:r>
            <a:rPr lang="es-EC" sz="1050" b="0" i="0" u="none" strike="noStrike">
              <a:solidFill>
                <a:schemeClr val="dk1"/>
              </a:solidFill>
              <a:effectLst/>
              <a:latin typeface="+mn-lt"/>
              <a:ea typeface="+mn-ea"/>
              <a:cs typeface="+mn-cs"/>
            </a:rPr>
            <a:t>Se estima que el aporte del turismo al PIB se vea reducido y pueda llegar a no más que un 2,1% de aporte en este año 2020.  </a:t>
          </a:r>
        </a:p>
        <a:p>
          <a:endParaRPr lang="es-EC" sz="1050" b="0" i="0" u="none" strike="noStrike">
            <a:solidFill>
              <a:schemeClr val="dk1"/>
            </a:solidFill>
            <a:effectLst/>
            <a:latin typeface="+mn-lt"/>
            <a:ea typeface="+mn-ea"/>
            <a:cs typeface="+mn-cs"/>
          </a:endParaRPr>
        </a:p>
        <a:p>
          <a:r>
            <a:rPr lang="es-EC" sz="1050" b="0" i="0" u="none" strike="noStrike">
              <a:solidFill>
                <a:schemeClr val="dk1"/>
              </a:solidFill>
              <a:effectLst/>
              <a:latin typeface="+mn-lt"/>
              <a:ea typeface="+mn-ea"/>
              <a:cs typeface="+mn-cs"/>
            </a:rPr>
            <a:t>Durante el año 2019 el PIB creció 0.3% en el segundo trimestre de 2019 en comparación con similar período de 2018, de acuerdo con las cifras reportadas por el BCE. Además, se reportó también que, durante este año, el VAB de alojamiento se expandió en 2.1% respecto al segundo trimestre de 2018, incrementando la demanda de los sectores hotelero y turístico. (Banco Central del Ecuador, 2019) </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18</xdr:col>
      <xdr:colOff>464820</xdr:colOff>
      <xdr:row>35</xdr:row>
      <xdr:rowOff>175260</xdr:rowOff>
    </xdr:from>
    <xdr:to>
      <xdr:col>29</xdr:col>
      <xdr:colOff>243840</xdr:colOff>
      <xdr:row>48</xdr:row>
      <xdr:rowOff>148590</xdr:rowOff>
    </xdr:to>
    <xdr:graphicFrame macro="">
      <xdr:nvGraphicFramePr>
        <xdr:cNvPr id="2" name="Gráfico 1">
          <a:extLst>
            <a:ext uri="{FF2B5EF4-FFF2-40B4-BE49-F238E27FC236}">
              <a16:creationId xmlns:a16="http://schemas.microsoft.com/office/drawing/2014/main" id="{84812AC6-4421-41F6-A0B1-B12C002F4D5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19</xdr:col>
      <xdr:colOff>7626</xdr:colOff>
      <xdr:row>48</xdr:row>
      <xdr:rowOff>217170</xdr:rowOff>
    </xdr:from>
    <xdr:to>
      <xdr:col>29</xdr:col>
      <xdr:colOff>243840</xdr:colOff>
      <xdr:row>62</xdr:row>
      <xdr:rowOff>60960</xdr:rowOff>
    </xdr:to>
    <xdr:graphicFrame macro="">
      <xdr:nvGraphicFramePr>
        <xdr:cNvPr id="3" name="Gráfico 2">
          <a:extLst>
            <a:ext uri="{FF2B5EF4-FFF2-40B4-BE49-F238E27FC236}">
              <a16:creationId xmlns:a16="http://schemas.microsoft.com/office/drawing/2014/main" id="{20420BF0-5A05-418A-812A-7C0356F0600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20</xdr:col>
      <xdr:colOff>388626</xdr:colOff>
      <xdr:row>37</xdr:row>
      <xdr:rowOff>80010</xdr:rowOff>
    </xdr:from>
    <xdr:to>
      <xdr:col>34</xdr:col>
      <xdr:colOff>716280</xdr:colOff>
      <xdr:row>54</xdr:row>
      <xdr:rowOff>243840</xdr:rowOff>
    </xdr:to>
    <xdr:graphicFrame macro="">
      <xdr:nvGraphicFramePr>
        <xdr:cNvPr id="5" name="Gráfico 4">
          <a:extLst>
            <a:ext uri="{FF2B5EF4-FFF2-40B4-BE49-F238E27FC236}">
              <a16:creationId xmlns:a16="http://schemas.microsoft.com/office/drawing/2014/main" id="{345B4874-72B4-4F16-873A-22A614AB1F8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198120</xdr:colOff>
      <xdr:row>30</xdr:row>
      <xdr:rowOff>179070</xdr:rowOff>
    </xdr:from>
    <xdr:to>
      <xdr:col>29</xdr:col>
      <xdr:colOff>320040</xdr:colOff>
      <xdr:row>43</xdr:row>
      <xdr:rowOff>45720</xdr:rowOff>
    </xdr:to>
    <xdr:graphicFrame macro="">
      <xdr:nvGraphicFramePr>
        <xdr:cNvPr id="6" name="Gráfico 5">
          <a:extLst>
            <a:ext uri="{FF2B5EF4-FFF2-40B4-BE49-F238E27FC236}">
              <a16:creationId xmlns:a16="http://schemas.microsoft.com/office/drawing/2014/main" id="{3441CD7A-027C-41D7-A6A5-A21C292AB4F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23</xdr:col>
      <xdr:colOff>42333</xdr:colOff>
      <xdr:row>16</xdr:row>
      <xdr:rowOff>177800</xdr:rowOff>
    </xdr:from>
    <xdr:to>
      <xdr:col>26</xdr:col>
      <xdr:colOff>592667</xdr:colOff>
      <xdr:row>35</xdr:row>
      <xdr:rowOff>67733</xdr:rowOff>
    </xdr:to>
    <xdr:graphicFrame macro="">
      <xdr:nvGraphicFramePr>
        <xdr:cNvPr id="2" name="Gráfico 1">
          <a:extLst>
            <a:ext uri="{FF2B5EF4-FFF2-40B4-BE49-F238E27FC236}">
              <a16:creationId xmlns:a16="http://schemas.microsoft.com/office/drawing/2014/main" id="{FBB59401-1178-4F65-B83C-9D8B3CCA179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20</xdr:col>
      <xdr:colOff>1809751</xdr:colOff>
      <xdr:row>93</xdr:row>
      <xdr:rowOff>12305</xdr:rowOff>
    </xdr:from>
    <xdr:to>
      <xdr:col>32</xdr:col>
      <xdr:colOff>631103</xdr:colOff>
      <xdr:row>105</xdr:row>
      <xdr:rowOff>95249</xdr:rowOff>
    </xdr:to>
    <xdr:graphicFrame macro="">
      <xdr:nvGraphicFramePr>
        <xdr:cNvPr id="3" name="2 Gráfico">
          <a:extLst>
            <a:ext uri="{FF2B5EF4-FFF2-40B4-BE49-F238E27FC236}">
              <a16:creationId xmlns:a16="http://schemas.microsoft.com/office/drawing/2014/main" id="{00000000-0008-0000-1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33</xdr:col>
      <xdr:colOff>840052</xdr:colOff>
      <xdr:row>44</xdr:row>
      <xdr:rowOff>59531</xdr:rowOff>
    </xdr:from>
    <xdr:to>
      <xdr:col>44</xdr:col>
      <xdr:colOff>511967</xdr:colOff>
      <xdr:row>60</xdr:row>
      <xdr:rowOff>160469</xdr:rowOff>
    </xdr:to>
    <xdr:graphicFrame macro="">
      <xdr:nvGraphicFramePr>
        <xdr:cNvPr id="11" name="Gráfico 10">
          <a:extLst>
            <a:ext uri="{FF2B5EF4-FFF2-40B4-BE49-F238E27FC236}">
              <a16:creationId xmlns:a16="http://schemas.microsoft.com/office/drawing/2014/main" id="{00000000-0008-0000-14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33</xdr:col>
      <xdr:colOff>889000</xdr:colOff>
      <xdr:row>61</xdr:row>
      <xdr:rowOff>116417</xdr:rowOff>
    </xdr:from>
    <xdr:to>
      <xdr:col>44</xdr:col>
      <xdr:colOff>523874</xdr:colOff>
      <xdr:row>78</xdr:row>
      <xdr:rowOff>29501</xdr:rowOff>
    </xdr:to>
    <xdr:graphicFrame macro="">
      <xdr:nvGraphicFramePr>
        <xdr:cNvPr id="12" name="Gráfico 11">
          <a:extLst>
            <a:ext uri="{FF2B5EF4-FFF2-40B4-BE49-F238E27FC236}">
              <a16:creationId xmlns:a16="http://schemas.microsoft.com/office/drawing/2014/main" id="{00000000-0008-0000-14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33</xdr:col>
      <xdr:colOff>889000</xdr:colOff>
      <xdr:row>78</xdr:row>
      <xdr:rowOff>187854</xdr:rowOff>
    </xdr:from>
    <xdr:to>
      <xdr:col>44</xdr:col>
      <xdr:colOff>523874</xdr:colOff>
      <xdr:row>96</xdr:row>
      <xdr:rowOff>42334</xdr:rowOff>
    </xdr:to>
    <xdr:graphicFrame macro="">
      <xdr:nvGraphicFramePr>
        <xdr:cNvPr id="13" name="Gráfico 12">
          <a:extLst>
            <a:ext uri="{FF2B5EF4-FFF2-40B4-BE49-F238E27FC236}">
              <a16:creationId xmlns:a16="http://schemas.microsoft.com/office/drawing/2014/main" id="{00000000-0008-0000-14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34</xdr:col>
      <xdr:colOff>136977</xdr:colOff>
      <xdr:row>12</xdr:row>
      <xdr:rowOff>71966</xdr:rowOff>
    </xdr:from>
    <xdr:to>
      <xdr:col>45</xdr:col>
      <xdr:colOff>356507</xdr:colOff>
      <xdr:row>24</xdr:row>
      <xdr:rowOff>65314</xdr:rowOff>
    </xdr:to>
    <xdr:graphicFrame macro="">
      <xdr:nvGraphicFramePr>
        <xdr:cNvPr id="14" name="Gráfico 13">
          <a:extLst>
            <a:ext uri="{FF2B5EF4-FFF2-40B4-BE49-F238E27FC236}">
              <a16:creationId xmlns:a16="http://schemas.microsoft.com/office/drawing/2014/main" id="{00000000-0008-0000-14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20</xdr:col>
      <xdr:colOff>1809750</xdr:colOff>
      <xdr:row>107</xdr:row>
      <xdr:rowOff>122466</xdr:rowOff>
    </xdr:from>
    <xdr:to>
      <xdr:col>32</xdr:col>
      <xdr:colOff>646978</xdr:colOff>
      <xdr:row>117</xdr:row>
      <xdr:rowOff>176894</xdr:rowOff>
    </xdr:to>
    <xdr:graphicFrame macro="">
      <xdr:nvGraphicFramePr>
        <xdr:cNvPr id="15" name="2 Gráfico">
          <a:extLst>
            <a:ext uri="{FF2B5EF4-FFF2-40B4-BE49-F238E27FC236}">
              <a16:creationId xmlns:a16="http://schemas.microsoft.com/office/drawing/2014/main" id="{00000000-0008-0000-14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63</xdr:col>
      <xdr:colOff>201082</xdr:colOff>
      <xdr:row>3</xdr:row>
      <xdr:rowOff>115357</xdr:rowOff>
    </xdr:from>
    <xdr:to>
      <xdr:col>73</xdr:col>
      <xdr:colOff>635000</xdr:colOff>
      <xdr:row>15</xdr:row>
      <xdr:rowOff>137583</xdr:rowOff>
    </xdr:to>
    <xdr:graphicFrame macro="">
      <xdr:nvGraphicFramePr>
        <xdr:cNvPr id="7" name="Gráfico 6">
          <a:extLst>
            <a:ext uri="{FF2B5EF4-FFF2-40B4-BE49-F238E27FC236}">
              <a16:creationId xmlns:a16="http://schemas.microsoft.com/office/drawing/2014/main" id="{00000000-0008-0000-14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71</xdr:col>
      <xdr:colOff>857250</xdr:colOff>
      <xdr:row>17</xdr:row>
      <xdr:rowOff>169334</xdr:rowOff>
    </xdr:from>
    <xdr:to>
      <xdr:col>74</xdr:col>
      <xdr:colOff>368036</xdr:colOff>
      <xdr:row>21</xdr:row>
      <xdr:rowOff>100249</xdr:rowOff>
    </xdr:to>
    <xdr:pic>
      <xdr:nvPicPr>
        <xdr:cNvPr id="10" name="Imagen 9">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8" cstate="email">
          <a:extLst>
            <a:ext uri="{28A0092B-C50C-407E-A947-70E740481C1C}">
              <a14:useLocalDpi xmlns:a14="http://schemas.microsoft.com/office/drawing/2010/main" val="0"/>
            </a:ext>
          </a:extLst>
        </a:blip>
        <a:stretch>
          <a:fillRect/>
        </a:stretch>
      </xdr:blipFill>
      <xdr:spPr>
        <a:xfrm>
          <a:off x="48217667" y="3608917"/>
          <a:ext cx="2114286" cy="1123810"/>
        </a:xfrm>
        <a:prstGeom prst="rect">
          <a:avLst/>
        </a:prstGeom>
      </xdr:spPr>
    </xdr:pic>
    <xdr:clientData/>
  </xdr:twoCellAnchor>
  <xdr:twoCellAnchor>
    <xdr:from>
      <xdr:col>80</xdr:col>
      <xdr:colOff>304799</xdr:colOff>
      <xdr:row>6</xdr:row>
      <xdr:rowOff>157842</xdr:rowOff>
    </xdr:from>
    <xdr:to>
      <xdr:col>90</xdr:col>
      <xdr:colOff>217713</xdr:colOff>
      <xdr:row>21</xdr:row>
      <xdr:rowOff>152400</xdr:rowOff>
    </xdr:to>
    <xdr:graphicFrame macro="">
      <xdr:nvGraphicFramePr>
        <xdr:cNvPr id="4" name="Gráfico 3">
          <a:extLst>
            <a:ext uri="{FF2B5EF4-FFF2-40B4-BE49-F238E27FC236}">
              <a16:creationId xmlns:a16="http://schemas.microsoft.com/office/drawing/2014/main" id="{00000000-0008-0000-14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34</xdr:col>
      <xdr:colOff>217714</xdr:colOff>
      <xdr:row>26</xdr:row>
      <xdr:rowOff>108857</xdr:rowOff>
    </xdr:from>
    <xdr:to>
      <xdr:col>45</xdr:col>
      <xdr:colOff>751115</xdr:colOff>
      <xdr:row>42</xdr:row>
      <xdr:rowOff>97971</xdr:rowOff>
    </xdr:to>
    <xdr:graphicFrame macro="">
      <xdr:nvGraphicFramePr>
        <xdr:cNvPr id="16" name="Gráfico 15">
          <a:extLst>
            <a:ext uri="{FF2B5EF4-FFF2-40B4-BE49-F238E27FC236}">
              <a16:creationId xmlns:a16="http://schemas.microsoft.com/office/drawing/2014/main" id="{5DBD4258-3893-46C9-86D6-FF3C2C1AFDE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1809751</xdr:colOff>
      <xdr:row>96</xdr:row>
      <xdr:rowOff>12305</xdr:rowOff>
    </xdr:from>
    <xdr:to>
      <xdr:col>13</xdr:col>
      <xdr:colOff>631103</xdr:colOff>
      <xdr:row>108</xdr:row>
      <xdr:rowOff>95249</xdr:rowOff>
    </xdr:to>
    <xdr:graphicFrame macro="">
      <xdr:nvGraphicFramePr>
        <xdr:cNvPr id="2" name="2 Gráfico">
          <a:extLst>
            <a:ext uri="{FF2B5EF4-FFF2-40B4-BE49-F238E27FC236}">
              <a16:creationId xmlns:a16="http://schemas.microsoft.com/office/drawing/2014/main" id="{9DBF26B4-B078-4B4C-B9B5-9A08F131261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1809750</xdr:colOff>
      <xdr:row>110</xdr:row>
      <xdr:rowOff>122466</xdr:rowOff>
    </xdr:from>
    <xdr:to>
      <xdr:col>13</xdr:col>
      <xdr:colOff>646978</xdr:colOff>
      <xdr:row>120</xdr:row>
      <xdr:rowOff>176894</xdr:rowOff>
    </xdr:to>
    <xdr:graphicFrame macro="">
      <xdr:nvGraphicFramePr>
        <xdr:cNvPr id="3" name="2 Gráfico">
          <a:extLst>
            <a:ext uri="{FF2B5EF4-FFF2-40B4-BE49-F238E27FC236}">
              <a16:creationId xmlns:a16="http://schemas.microsoft.com/office/drawing/2014/main" id="{07B23864-9135-4D18-92E6-FBC3BD7DCE2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14</xdr:col>
      <xdr:colOff>729343</xdr:colOff>
      <xdr:row>14</xdr:row>
      <xdr:rowOff>54430</xdr:rowOff>
    </xdr:from>
    <xdr:to>
      <xdr:col>22</xdr:col>
      <xdr:colOff>729343</xdr:colOff>
      <xdr:row>37</xdr:row>
      <xdr:rowOff>76201</xdr:rowOff>
    </xdr:to>
    <xdr:graphicFrame macro="">
      <xdr:nvGraphicFramePr>
        <xdr:cNvPr id="4" name="Gráfico 3">
          <a:extLst>
            <a:ext uri="{FF2B5EF4-FFF2-40B4-BE49-F238E27FC236}">
              <a16:creationId xmlns:a16="http://schemas.microsoft.com/office/drawing/2014/main" id="{56869E06-01B7-4675-977C-BB4019F220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xdr:from>
      <xdr:col>14</xdr:col>
      <xdr:colOff>468086</xdr:colOff>
      <xdr:row>8</xdr:row>
      <xdr:rowOff>152400</xdr:rowOff>
    </xdr:from>
    <xdr:to>
      <xdr:col>21</xdr:col>
      <xdr:colOff>744071</xdr:colOff>
      <xdr:row>24</xdr:row>
      <xdr:rowOff>97971</xdr:rowOff>
    </xdr:to>
    <xdr:graphicFrame macro="">
      <xdr:nvGraphicFramePr>
        <xdr:cNvPr id="2" name="Gráfico 1">
          <a:extLst>
            <a:ext uri="{FF2B5EF4-FFF2-40B4-BE49-F238E27FC236}">
              <a16:creationId xmlns:a16="http://schemas.microsoft.com/office/drawing/2014/main" id="{AF086D07-5BB2-4A10-ACC4-F47C6152076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107577</xdr:colOff>
      <xdr:row>21</xdr:row>
      <xdr:rowOff>19049</xdr:rowOff>
    </xdr:from>
    <xdr:to>
      <xdr:col>15</xdr:col>
      <xdr:colOff>304800</xdr:colOff>
      <xdr:row>36</xdr:row>
      <xdr:rowOff>143435</xdr:rowOff>
    </xdr:to>
    <xdr:graphicFrame macro="">
      <xdr:nvGraphicFramePr>
        <xdr:cNvPr id="3" name="2 Gráfico">
          <a:extLst>
            <a:ext uri="{FF2B5EF4-FFF2-40B4-BE49-F238E27FC236}">
              <a16:creationId xmlns:a16="http://schemas.microsoft.com/office/drawing/2014/main" id="{00000000-0008-0000-15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636494</xdr:colOff>
      <xdr:row>22</xdr:row>
      <xdr:rowOff>17930</xdr:rowOff>
    </xdr:from>
    <xdr:to>
      <xdr:col>18</xdr:col>
      <xdr:colOff>587188</xdr:colOff>
      <xdr:row>29</xdr:row>
      <xdr:rowOff>63874</xdr:rowOff>
    </xdr:to>
    <xdr:sp macro="" textlink="">
      <xdr:nvSpPr>
        <xdr:cNvPr id="4" name="3 CuadroTexto">
          <a:extLst>
            <a:ext uri="{FF2B5EF4-FFF2-40B4-BE49-F238E27FC236}">
              <a16:creationId xmlns:a16="http://schemas.microsoft.com/office/drawing/2014/main" id="{00000000-0008-0000-1500-000004000000}"/>
            </a:ext>
          </a:extLst>
        </xdr:cNvPr>
        <xdr:cNvSpPr txBox="1"/>
      </xdr:nvSpPr>
      <xdr:spPr>
        <a:xfrm>
          <a:off x="10300447" y="2447365"/>
          <a:ext cx="2120153" cy="130100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EC" sz="1100">
              <a:solidFill>
                <a:schemeClr val="dk1"/>
              </a:solidFill>
              <a:effectLst/>
              <a:latin typeface="+mn-lt"/>
              <a:ea typeface="+mn-ea"/>
              <a:cs typeface="+mn-cs"/>
            </a:rPr>
            <a:t>El visitante de</a:t>
          </a:r>
          <a:r>
            <a:rPr lang="es-EC" sz="1100" baseline="0">
              <a:solidFill>
                <a:schemeClr val="dk1"/>
              </a:solidFill>
              <a:effectLst/>
              <a:latin typeface="+mn-lt"/>
              <a:ea typeface="+mn-ea"/>
              <a:cs typeface="+mn-cs"/>
            </a:rPr>
            <a:t> Quito permaneció un promedio de:</a:t>
          </a:r>
        </a:p>
        <a:p>
          <a:r>
            <a:rPr lang="es-EC" sz="1100" baseline="0">
              <a:solidFill>
                <a:schemeClr val="dk1"/>
              </a:solidFill>
              <a:effectLst/>
              <a:latin typeface="+mn-lt"/>
              <a:ea typeface="+mn-ea"/>
              <a:cs typeface="+mn-cs"/>
            </a:rPr>
            <a:t>2018: 1,58 noches en un hotel </a:t>
          </a:r>
        </a:p>
        <a:p>
          <a:r>
            <a:rPr lang="es-EC" sz="1100" baseline="0">
              <a:solidFill>
                <a:schemeClr val="dk1"/>
              </a:solidFill>
              <a:effectLst/>
              <a:latin typeface="+mn-lt"/>
              <a:ea typeface="+mn-ea"/>
              <a:cs typeface="+mn-cs"/>
            </a:rPr>
            <a:t>2019: 1,48</a:t>
          </a:r>
        </a:p>
        <a:p>
          <a:r>
            <a:rPr lang="es-EC" sz="1100" baseline="0">
              <a:solidFill>
                <a:schemeClr val="dk1"/>
              </a:solidFill>
              <a:effectLst/>
              <a:latin typeface="+mn-lt"/>
              <a:ea typeface="+mn-ea"/>
              <a:cs typeface="+mn-cs"/>
            </a:rPr>
            <a:t>2020: 1,48</a:t>
          </a:r>
        </a:p>
        <a:p>
          <a:r>
            <a:rPr lang="es-EC" sz="1100" baseline="0">
              <a:solidFill>
                <a:schemeClr val="dk1"/>
              </a:solidFill>
              <a:effectLst/>
              <a:latin typeface="+mn-lt"/>
              <a:ea typeface="+mn-ea"/>
              <a:cs typeface="+mn-cs"/>
            </a:rPr>
            <a:t>2021: 1,14 (estimado) </a:t>
          </a:r>
          <a:endParaRPr lang="es-ES">
            <a:effectLst/>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2</xdr:col>
      <xdr:colOff>285750</xdr:colOff>
      <xdr:row>12</xdr:row>
      <xdr:rowOff>38099</xdr:rowOff>
    </xdr:from>
    <xdr:to>
      <xdr:col>16</xdr:col>
      <xdr:colOff>647700</xdr:colOff>
      <xdr:row>23</xdr:row>
      <xdr:rowOff>66674</xdr:rowOff>
    </xdr:to>
    <xdr:graphicFrame macro="">
      <xdr:nvGraphicFramePr>
        <xdr:cNvPr id="4" name="Gráfico 3">
          <a:extLst>
            <a:ext uri="{FF2B5EF4-FFF2-40B4-BE49-F238E27FC236}">
              <a16:creationId xmlns:a16="http://schemas.microsoft.com/office/drawing/2014/main" id="{00000000-0008-0000-16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285750</xdr:colOff>
      <xdr:row>23</xdr:row>
      <xdr:rowOff>171450</xdr:rowOff>
    </xdr:from>
    <xdr:to>
      <xdr:col>16</xdr:col>
      <xdr:colOff>647700</xdr:colOff>
      <xdr:row>34</xdr:row>
      <xdr:rowOff>28575</xdr:rowOff>
    </xdr:to>
    <xdr:graphicFrame macro="">
      <xdr:nvGraphicFramePr>
        <xdr:cNvPr id="3" name="Gráfico 2">
          <a:extLst>
            <a:ext uri="{FF2B5EF4-FFF2-40B4-BE49-F238E27FC236}">
              <a16:creationId xmlns:a16="http://schemas.microsoft.com/office/drawing/2014/main" id="{00000000-0008-0000-1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xdr:from>
      <xdr:col>156</xdr:col>
      <xdr:colOff>0</xdr:colOff>
      <xdr:row>13</xdr:row>
      <xdr:rowOff>47625</xdr:rowOff>
    </xdr:from>
    <xdr:to>
      <xdr:col>173</xdr:col>
      <xdr:colOff>327660</xdr:colOff>
      <xdr:row>24</xdr:row>
      <xdr:rowOff>22860</xdr:rowOff>
    </xdr:to>
    <xdr:graphicFrame macro="">
      <xdr:nvGraphicFramePr>
        <xdr:cNvPr id="3" name="2 Gráfico">
          <a:extLst>
            <a:ext uri="{FF2B5EF4-FFF2-40B4-BE49-F238E27FC236}">
              <a16:creationId xmlns:a16="http://schemas.microsoft.com/office/drawing/2014/main" id="{00000000-0008-0000-17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155</xdr:col>
      <xdr:colOff>19050</xdr:colOff>
      <xdr:row>7</xdr:row>
      <xdr:rowOff>95250</xdr:rowOff>
    </xdr:from>
    <xdr:to>
      <xdr:col>155</xdr:col>
      <xdr:colOff>161925</xdr:colOff>
      <xdr:row>7</xdr:row>
      <xdr:rowOff>95250</xdr:rowOff>
    </xdr:to>
    <xdr:cxnSp macro="">
      <xdr:nvCxnSpPr>
        <xdr:cNvPr id="4" name="Conector recto de flecha 3">
          <a:extLst>
            <a:ext uri="{FF2B5EF4-FFF2-40B4-BE49-F238E27FC236}">
              <a16:creationId xmlns:a16="http://schemas.microsoft.com/office/drawing/2014/main" id="{00000000-0008-0000-1700-000004000000}"/>
            </a:ext>
          </a:extLst>
        </xdr:cNvPr>
        <xdr:cNvCxnSpPr/>
      </xdr:nvCxnSpPr>
      <xdr:spPr>
        <a:xfrm flipH="1">
          <a:off x="3495675" y="1400175"/>
          <a:ext cx="142875"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156</xdr:col>
      <xdr:colOff>0</xdr:colOff>
      <xdr:row>27</xdr:row>
      <xdr:rowOff>0</xdr:rowOff>
    </xdr:from>
    <xdr:to>
      <xdr:col>171</xdr:col>
      <xdr:colOff>60960</xdr:colOff>
      <xdr:row>45</xdr:row>
      <xdr:rowOff>7620</xdr:rowOff>
    </xdr:to>
    <xdr:graphicFrame macro="">
      <xdr:nvGraphicFramePr>
        <xdr:cNvPr id="7" name="2 Gráfico">
          <a:extLst>
            <a:ext uri="{FF2B5EF4-FFF2-40B4-BE49-F238E27FC236}">
              <a16:creationId xmlns:a16="http://schemas.microsoft.com/office/drawing/2014/main" id="{2A9665EA-47E1-44C7-91F9-8DD33941756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3.xml><?xml version="1.0" encoding="utf-8"?>
<xdr:wsDr xmlns:xdr="http://schemas.openxmlformats.org/drawingml/2006/spreadsheetDrawing" xmlns:a="http://schemas.openxmlformats.org/drawingml/2006/main">
  <xdr:twoCellAnchor>
    <xdr:from>
      <xdr:col>156</xdr:col>
      <xdr:colOff>361950</xdr:colOff>
      <xdr:row>10</xdr:row>
      <xdr:rowOff>142875</xdr:rowOff>
    </xdr:from>
    <xdr:to>
      <xdr:col>166</xdr:col>
      <xdr:colOff>542926</xdr:colOff>
      <xdr:row>20</xdr:row>
      <xdr:rowOff>138112</xdr:rowOff>
    </xdr:to>
    <xdr:graphicFrame macro="">
      <xdr:nvGraphicFramePr>
        <xdr:cNvPr id="3" name="Gráfico 2">
          <a:extLst>
            <a:ext uri="{FF2B5EF4-FFF2-40B4-BE49-F238E27FC236}">
              <a16:creationId xmlns:a16="http://schemas.microsoft.com/office/drawing/2014/main" id="{00000000-0008-0000-18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155</xdr:col>
      <xdr:colOff>47626</xdr:colOff>
      <xdr:row>5</xdr:row>
      <xdr:rowOff>76200</xdr:rowOff>
    </xdr:from>
    <xdr:to>
      <xdr:col>155</xdr:col>
      <xdr:colOff>219075</xdr:colOff>
      <xdr:row>5</xdr:row>
      <xdr:rowOff>85725</xdr:rowOff>
    </xdr:to>
    <xdr:cxnSp macro="">
      <xdr:nvCxnSpPr>
        <xdr:cNvPr id="4" name="Conector recto de flecha 3">
          <a:extLst>
            <a:ext uri="{FF2B5EF4-FFF2-40B4-BE49-F238E27FC236}">
              <a16:creationId xmlns:a16="http://schemas.microsoft.com/office/drawing/2014/main" id="{00000000-0008-0000-1800-000004000000}"/>
            </a:ext>
          </a:extLst>
        </xdr:cNvPr>
        <xdr:cNvCxnSpPr/>
      </xdr:nvCxnSpPr>
      <xdr:spPr>
        <a:xfrm flipH="1" flipV="1">
          <a:off x="1866901" y="914400"/>
          <a:ext cx="171449" cy="952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4.xml><?xml version="1.0" encoding="utf-8"?>
<xdr:wsDr xmlns:xdr="http://schemas.openxmlformats.org/drawingml/2006/spreadsheetDrawing" xmlns:a="http://schemas.openxmlformats.org/drawingml/2006/main">
  <xdr:twoCellAnchor>
    <xdr:from>
      <xdr:col>1</xdr:col>
      <xdr:colOff>900853</xdr:colOff>
      <xdr:row>29</xdr:row>
      <xdr:rowOff>11974</xdr:rowOff>
    </xdr:from>
    <xdr:to>
      <xdr:col>4</xdr:col>
      <xdr:colOff>45720</xdr:colOff>
      <xdr:row>43</xdr:row>
      <xdr:rowOff>78377</xdr:rowOff>
    </xdr:to>
    <xdr:graphicFrame macro="">
      <xdr:nvGraphicFramePr>
        <xdr:cNvPr id="2" name="1 Gráfico">
          <a:extLst>
            <a:ext uri="{FF2B5EF4-FFF2-40B4-BE49-F238E27FC236}">
              <a16:creationId xmlns:a16="http://schemas.microsoft.com/office/drawing/2014/main" id="{00000000-0008-0000-1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388621</xdr:colOff>
      <xdr:row>1</xdr:row>
      <xdr:rowOff>167640</xdr:rowOff>
    </xdr:from>
    <xdr:to>
      <xdr:col>15</xdr:col>
      <xdr:colOff>327661</xdr:colOff>
      <xdr:row>24</xdr:row>
      <xdr:rowOff>93619</xdr:rowOff>
    </xdr:to>
    <xdr:graphicFrame macro="">
      <xdr:nvGraphicFramePr>
        <xdr:cNvPr id="4" name="3 Gráfico">
          <a:extLst>
            <a:ext uri="{FF2B5EF4-FFF2-40B4-BE49-F238E27FC236}">
              <a16:creationId xmlns:a16="http://schemas.microsoft.com/office/drawing/2014/main" id="{00000000-0008-0000-19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190500</xdr:colOff>
      <xdr:row>29</xdr:row>
      <xdr:rowOff>136071</xdr:rowOff>
    </xdr:from>
    <xdr:to>
      <xdr:col>7</xdr:col>
      <xdr:colOff>598715</xdr:colOff>
      <xdr:row>38</xdr:row>
      <xdr:rowOff>27214</xdr:rowOff>
    </xdr:to>
    <xdr:sp macro="" textlink="">
      <xdr:nvSpPr>
        <xdr:cNvPr id="6" name="2 CuadroTexto">
          <a:extLst>
            <a:ext uri="{FF2B5EF4-FFF2-40B4-BE49-F238E27FC236}">
              <a16:creationId xmlns:a16="http://schemas.microsoft.com/office/drawing/2014/main" id="{00000000-0008-0000-1900-000006000000}"/>
            </a:ext>
          </a:extLst>
        </xdr:cNvPr>
        <xdr:cNvSpPr txBox="1"/>
      </xdr:nvSpPr>
      <xdr:spPr>
        <a:xfrm>
          <a:off x="5532120" y="4631871"/>
          <a:ext cx="4081055" cy="1537063"/>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EC" sz="1100">
              <a:solidFill>
                <a:schemeClr val="dk1"/>
              </a:solidFill>
              <a:latin typeface="+mn-lt"/>
              <a:ea typeface="+mn-ea"/>
              <a:cs typeface="+mn-cs"/>
            </a:rPr>
            <a:t>El número de establecimientos con registro turístico catastrados suman 4.858.</a:t>
          </a:r>
        </a:p>
        <a:p>
          <a:endParaRPr lang="es-EC" sz="11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es-EC" sz="1100">
              <a:solidFill>
                <a:schemeClr val="dk1"/>
              </a:solidFill>
              <a:latin typeface="+mn-lt"/>
              <a:ea typeface="+mn-ea"/>
              <a:cs typeface="+mn-cs"/>
            </a:rPr>
            <a:t>Los establecimientos turísticos en el DMQ están distribuidos, en un  85%</a:t>
          </a:r>
          <a:r>
            <a:rPr lang="es-EC" sz="1100" baseline="0">
              <a:solidFill>
                <a:schemeClr val="dk1"/>
              </a:solidFill>
              <a:latin typeface="+mn-lt"/>
              <a:ea typeface="+mn-ea"/>
              <a:cs typeface="+mn-cs"/>
            </a:rPr>
            <a:t> </a:t>
          </a:r>
          <a:r>
            <a:rPr lang="es-EC" sz="1100">
              <a:solidFill>
                <a:schemeClr val="dk1"/>
              </a:solidFill>
              <a:latin typeface="+mn-lt"/>
              <a:ea typeface="+mn-ea"/>
              <a:cs typeface="+mn-cs"/>
            </a:rPr>
            <a:t>en  zonas urbanas y en</a:t>
          </a:r>
          <a:r>
            <a:rPr lang="es-EC" sz="1100" baseline="0">
              <a:solidFill>
                <a:schemeClr val="dk1"/>
              </a:solidFill>
              <a:latin typeface="+mn-lt"/>
              <a:ea typeface="+mn-ea"/>
              <a:cs typeface="+mn-cs"/>
            </a:rPr>
            <a:t> un 15% en zonas </a:t>
          </a:r>
          <a:r>
            <a:rPr lang="es-EC" sz="1100">
              <a:solidFill>
                <a:schemeClr val="dk1"/>
              </a:solidFill>
              <a:latin typeface="+mn-lt"/>
              <a:ea typeface="+mn-ea"/>
              <a:cs typeface="+mn-cs"/>
            </a:rPr>
            <a:t>rurales, según el gráfico. (dato 2021)</a:t>
          </a:r>
        </a:p>
        <a:p>
          <a:endParaRPr lang="es-EC" sz="1100"/>
        </a:p>
      </xdr:txBody>
    </xdr:sp>
    <xdr:clientData/>
  </xdr:twoCellAnchor>
  <xdr:twoCellAnchor editAs="oneCell">
    <xdr:from>
      <xdr:col>16</xdr:col>
      <xdr:colOff>21165</xdr:colOff>
      <xdr:row>1</xdr:row>
      <xdr:rowOff>106680</xdr:rowOff>
    </xdr:from>
    <xdr:to>
      <xdr:col>23</xdr:col>
      <xdr:colOff>67055</xdr:colOff>
      <xdr:row>18</xdr:row>
      <xdr:rowOff>37243</xdr:rowOff>
    </xdr:to>
    <xdr:pic>
      <xdr:nvPicPr>
        <xdr:cNvPr id="3" name="Imagen 2">
          <a:extLst>
            <a:ext uri="{FF2B5EF4-FFF2-40B4-BE49-F238E27FC236}">
              <a16:creationId xmlns:a16="http://schemas.microsoft.com/office/drawing/2014/main" id="{0AD05102-6D8F-4883-9A7E-73D4C1008061}"/>
            </a:ext>
          </a:extLst>
        </xdr:cNvPr>
        <xdr:cNvPicPr>
          <a:picLocks noChangeAspect="1"/>
        </xdr:cNvPicPr>
      </xdr:nvPicPr>
      <xdr:blipFill>
        <a:blip xmlns:r="http://schemas.openxmlformats.org/officeDocument/2006/relationships" r:embed="rId3"/>
        <a:stretch>
          <a:fillRect/>
        </a:stretch>
      </xdr:blipFill>
      <xdr:spPr>
        <a:xfrm>
          <a:off x="16587045" y="373380"/>
          <a:ext cx="5593250" cy="314620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xdr:from>
      <xdr:col>10</xdr:col>
      <xdr:colOff>349623</xdr:colOff>
      <xdr:row>2</xdr:row>
      <xdr:rowOff>152399</xdr:rowOff>
    </xdr:from>
    <xdr:to>
      <xdr:col>18</xdr:col>
      <xdr:colOff>349623</xdr:colOff>
      <xdr:row>24</xdr:row>
      <xdr:rowOff>44822</xdr:rowOff>
    </xdr:to>
    <xdr:graphicFrame macro="">
      <xdr:nvGraphicFramePr>
        <xdr:cNvPr id="7" name="Gráfico 6">
          <a:extLst>
            <a:ext uri="{FF2B5EF4-FFF2-40B4-BE49-F238E27FC236}">
              <a16:creationId xmlns:a16="http://schemas.microsoft.com/office/drawing/2014/main" id="{00000000-0008-0000-1A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340659</xdr:colOff>
      <xdr:row>24</xdr:row>
      <xdr:rowOff>156881</xdr:rowOff>
    </xdr:from>
    <xdr:to>
      <xdr:col>18</xdr:col>
      <xdr:colOff>788895</xdr:colOff>
      <xdr:row>46</xdr:row>
      <xdr:rowOff>277905</xdr:rowOff>
    </xdr:to>
    <xdr:graphicFrame macro="">
      <xdr:nvGraphicFramePr>
        <xdr:cNvPr id="2" name="Gráfico 1">
          <a:extLst>
            <a:ext uri="{FF2B5EF4-FFF2-40B4-BE49-F238E27FC236}">
              <a16:creationId xmlns:a16="http://schemas.microsoft.com/office/drawing/2014/main" id="{00000000-0008-0000-1A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842682</xdr:colOff>
      <xdr:row>15</xdr:row>
      <xdr:rowOff>44823</xdr:rowOff>
    </xdr:from>
    <xdr:to>
      <xdr:col>12</xdr:col>
      <xdr:colOff>627528</xdr:colOff>
      <xdr:row>28</xdr:row>
      <xdr:rowOff>35860</xdr:rowOff>
    </xdr:to>
    <xdr:sp macro="" textlink="">
      <xdr:nvSpPr>
        <xdr:cNvPr id="3" name="CuadroTexto 2">
          <a:extLst>
            <a:ext uri="{FF2B5EF4-FFF2-40B4-BE49-F238E27FC236}">
              <a16:creationId xmlns:a16="http://schemas.microsoft.com/office/drawing/2014/main" id="{EBCC4E3D-8AE3-44DE-B8B0-CC3A73ADD09A}"/>
            </a:ext>
          </a:extLst>
        </xdr:cNvPr>
        <xdr:cNvSpPr txBox="1"/>
      </xdr:nvSpPr>
      <xdr:spPr>
        <a:xfrm>
          <a:off x="4338917" y="2931458"/>
          <a:ext cx="3451411" cy="208877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s-EC" sz="1100">
              <a:solidFill>
                <a:schemeClr val="dk1"/>
              </a:solidFill>
              <a:effectLst/>
              <a:latin typeface="+mn-lt"/>
              <a:ea typeface="+mn-ea"/>
              <a:cs typeface="+mn-cs"/>
            </a:rPr>
            <a:t>En este 2021, el mayor porcentaje de negocios turísticos en el DMQ lo compone el subsector de Alimentos y Bebidas con 3.199 establecimientos en toda la ciudad, lo que significa el 66% de todo el catastro turístico. Después se ubican la operación e intermediación turística con un 16% y el alojamiento con el 15%. Finalmente, los subsectores con una menor participación son: recreación, diversión y esparcimiento con el 1% y el transporte turístico con el 2%. En total existen 4.858 negocios turísticos registrados en el catastro turístico de la ciudad de Quito.</a:t>
          </a:r>
        </a:p>
        <a:p>
          <a:endParaRPr lang="es-EC" sz="1100"/>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2</xdr:col>
      <xdr:colOff>960120</xdr:colOff>
      <xdr:row>15</xdr:row>
      <xdr:rowOff>91440</xdr:rowOff>
    </xdr:from>
    <xdr:to>
      <xdr:col>25</xdr:col>
      <xdr:colOff>243840</xdr:colOff>
      <xdr:row>37</xdr:row>
      <xdr:rowOff>53340</xdr:rowOff>
    </xdr:to>
    <xdr:graphicFrame macro="">
      <xdr:nvGraphicFramePr>
        <xdr:cNvPr id="4" name="1 Gráfico">
          <a:extLst>
            <a:ext uri="{FF2B5EF4-FFF2-40B4-BE49-F238E27FC236}">
              <a16:creationId xmlns:a16="http://schemas.microsoft.com/office/drawing/2014/main" id="{00000000-0008-0000-1B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7.xml><?xml version="1.0" encoding="utf-8"?>
<c:userShapes xmlns:c="http://schemas.openxmlformats.org/drawingml/2006/chart">
  <cdr:relSizeAnchor xmlns:cdr="http://schemas.openxmlformats.org/drawingml/2006/chartDrawing">
    <cdr:from>
      <cdr:x>0.74234</cdr:x>
      <cdr:y>0.48794</cdr:y>
    </cdr:from>
    <cdr:to>
      <cdr:x>0.98898</cdr:x>
      <cdr:y>0.6853</cdr:y>
    </cdr:to>
    <cdr:sp macro="" textlink="">
      <cdr:nvSpPr>
        <cdr:cNvPr id="2" name="1 CuadroTexto"/>
        <cdr:cNvSpPr txBox="1"/>
      </cdr:nvSpPr>
      <cdr:spPr>
        <a:xfrm xmlns:a="http://schemas.openxmlformats.org/drawingml/2006/main">
          <a:off x="5175808" y="1944561"/>
          <a:ext cx="1719648" cy="786530"/>
        </a:xfrm>
        <a:prstGeom xmlns:a="http://schemas.openxmlformats.org/drawingml/2006/main" prst="rect">
          <a:avLst/>
        </a:prstGeom>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vertOverflow="clip" wrap="square" rtlCol="0"/>
        <a:lstStyle xmlns:a="http://schemas.openxmlformats.org/drawingml/2006/main"/>
        <a:p xmlns:a="http://schemas.openxmlformats.org/drawingml/2006/main">
          <a:pPr algn="ctr"/>
          <a:r>
            <a:rPr lang="es-EC" sz="900" b="1" baseline="0">
              <a:latin typeface="+mn-lt"/>
              <a:ea typeface="+mn-ea"/>
              <a:cs typeface="+mn-cs"/>
            </a:rPr>
            <a:t>El 63% de establecimientos</a:t>
          </a:r>
        </a:p>
        <a:p xmlns:a="http://schemas.openxmlformats.org/drawingml/2006/main">
          <a:pPr algn="ctr"/>
          <a:r>
            <a:rPr lang="es-EC" sz="900" b="1" baseline="0">
              <a:latin typeface="+mn-lt"/>
              <a:ea typeface="+mn-ea"/>
              <a:cs typeface="+mn-cs"/>
            </a:rPr>
            <a:t>turísticos de Quito ofrece servicios de Alimentos y Bebidas.</a:t>
          </a:r>
          <a:endParaRPr lang="es-EC" sz="900" b="1"/>
        </a:p>
      </cdr:txBody>
    </cdr:sp>
  </cdr:relSizeAnchor>
</c:userShapes>
</file>

<file path=xl/drawings/drawing28.xml><?xml version="1.0" encoding="utf-8"?>
<xdr:wsDr xmlns:xdr="http://schemas.openxmlformats.org/drawingml/2006/spreadsheetDrawing" xmlns:a="http://schemas.openxmlformats.org/drawingml/2006/main">
  <xdr:twoCellAnchor>
    <xdr:from>
      <xdr:col>9</xdr:col>
      <xdr:colOff>270509</xdr:colOff>
      <xdr:row>6</xdr:row>
      <xdr:rowOff>80010</xdr:rowOff>
    </xdr:from>
    <xdr:to>
      <xdr:col>11</xdr:col>
      <xdr:colOff>323850</xdr:colOff>
      <xdr:row>13</xdr:row>
      <xdr:rowOff>19050</xdr:rowOff>
    </xdr:to>
    <xdr:sp macro="" textlink="">
      <xdr:nvSpPr>
        <xdr:cNvPr id="4" name="1 CuadroTexto">
          <a:extLst>
            <a:ext uri="{FF2B5EF4-FFF2-40B4-BE49-F238E27FC236}">
              <a16:creationId xmlns:a16="http://schemas.microsoft.com/office/drawing/2014/main" id="{00000000-0008-0000-1C00-000004000000}"/>
            </a:ext>
          </a:extLst>
        </xdr:cNvPr>
        <xdr:cNvSpPr txBox="1"/>
      </xdr:nvSpPr>
      <xdr:spPr>
        <a:xfrm>
          <a:off x="10824209" y="1337310"/>
          <a:ext cx="1634491" cy="1205865"/>
        </a:xfrm>
        <a:prstGeom prst="rect">
          <a:avLst/>
        </a:prstGeom>
        <a:solidFill>
          <a:schemeClr val="bg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EC" sz="1100"/>
            <a:t>El transporte</a:t>
          </a:r>
          <a:r>
            <a:rPr lang="es-EC" sz="1100" baseline="0"/>
            <a:t> turístico del DMQ tiene la particularidad de que no solo opera dentro de la ciudad, sino que opera a nivel nacional.</a:t>
          </a:r>
          <a:endParaRPr lang="es-EC" sz="1100"/>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18</xdr:col>
      <xdr:colOff>106680</xdr:colOff>
      <xdr:row>4</xdr:row>
      <xdr:rowOff>179070</xdr:rowOff>
    </xdr:from>
    <xdr:to>
      <xdr:col>27</xdr:col>
      <xdr:colOff>60960</xdr:colOff>
      <xdr:row>22</xdr:row>
      <xdr:rowOff>0</xdr:rowOff>
    </xdr:to>
    <xdr:graphicFrame macro="">
      <xdr:nvGraphicFramePr>
        <xdr:cNvPr id="2" name="Gráfico 1">
          <a:extLst>
            <a:ext uri="{FF2B5EF4-FFF2-40B4-BE49-F238E27FC236}">
              <a16:creationId xmlns:a16="http://schemas.microsoft.com/office/drawing/2014/main" id="{00000000-0008-0000-1D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266700</xdr:colOff>
      <xdr:row>2</xdr:row>
      <xdr:rowOff>80010</xdr:rowOff>
    </xdr:from>
    <xdr:to>
      <xdr:col>17</xdr:col>
      <xdr:colOff>739140</xdr:colOff>
      <xdr:row>20</xdr:row>
      <xdr:rowOff>45720</xdr:rowOff>
    </xdr:to>
    <xdr:graphicFrame macro="">
      <xdr:nvGraphicFramePr>
        <xdr:cNvPr id="4" name="Gráfico 3">
          <a:extLst>
            <a:ext uri="{FF2B5EF4-FFF2-40B4-BE49-F238E27FC236}">
              <a16:creationId xmlns:a16="http://schemas.microsoft.com/office/drawing/2014/main" id="{00000000-0008-0000-1D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0.xml><?xml version="1.0" encoding="utf-8"?>
<xdr:wsDr xmlns:xdr="http://schemas.openxmlformats.org/drawingml/2006/spreadsheetDrawing" xmlns:a="http://schemas.openxmlformats.org/drawingml/2006/main">
  <xdr:twoCellAnchor>
    <xdr:from>
      <xdr:col>7</xdr:col>
      <xdr:colOff>548640</xdr:colOff>
      <xdr:row>4</xdr:row>
      <xdr:rowOff>80010</xdr:rowOff>
    </xdr:from>
    <xdr:to>
      <xdr:col>15</xdr:col>
      <xdr:colOff>281940</xdr:colOff>
      <xdr:row>20</xdr:row>
      <xdr:rowOff>144780</xdr:rowOff>
    </xdr:to>
    <xdr:graphicFrame macro="">
      <xdr:nvGraphicFramePr>
        <xdr:cNvPr id="6" name="Gráfico 5">
          <a:extLst>
            <a:ext uri="{FF2B5EF4-FFF2-40B4-BE49-F238E27FC236}">
              <a16:creationId xmlns:a16="http://schemas.microsoft.com/office/drawing/2014/main" id="{00000000-0008-0000-1E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1.xml><?xml version="1.0" encoding="utf-8"?>
<xdr:wsDr xmlns:xdr="http://schemas.openxmlformats.org/drawingml/2006/spreadsheetDrawing" xmlns:a="http://schemas.openxmlformats.org/drawingml/2006/main">
  <xdr:twoCellAnchor>
    <xdr:from>
      <xdr:col>7</xdr:col>
      <xdr:colOff>172718</xdr:colOff>
      <xdr:row>15</xdr:row>
      <xdr:rowOff>116839</xdr:rowOff>
    </xdr:from>
    <xdr:to>
      <xdr:col>10</xdr:col>
      <xdr:colOff>584199</xdr:colOff>
      <xdr:row>18</xdr:row>
      <xdr:rowOff>143933</xdr:rowOff>
    </xdr:to>
    <xdr:sp macro="" textlink="">
      <xdr:nvSpPr>
        <xdr:cNvPr id="5" name="CuadroTexto 4">
          <a:extLst>
            <a:ext uri="{FF2B5EF4-FFF2-40B4-BE49-F238E27FC236}">
              <a16:creationId xmlns:a16="http://schemas.microsoft.com/office/drawing/2014/main" id="{00000000-0008-0000-2000-000005000000}"/>
            </a:ext>
          </a:extLst>
        </xdr:cNvPr>
        <xdr:cNvSpPr txBox="1"/>
      </xdr:nvSpPr>
      <xdr:spPr>
        <a:xfrm>
          <a:off x="7462518" y="3418839"/>
          <a:ext cx="2926081" cy="789094"/>
        </a:xfrm>
        <a:prstGeom prst="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wrap="square" rtlCol="0" anchor="t"/>
        <a:lstStyle/>
        <a:p>
          <a:pPr algn="ctr"/>
          <a:r>
            <a:rPr lang="es-EC" sz="1100">
              <a:solidFill>
                <a:srgbClr val="0070C0"/>
              </a:solidFill>
              <a:effectLst/>
              <a:latin typeface="+mn-lt"/>
              <a:ea typeface="+mn-ea"/>
              <a:cs typeface="+mn-cs"/>
            </a:rPr>
            <a:t>Las cuentas satélites del turismo de Ministerio de Turismo en el 2003 calcularon que por cada empleo directo en turismo se genera entre 3 a 6 empleos indirectos ...</a:t>
          </a:r>
          <a:endParaRPr lang="es-EC" sz="1100">
            <a:solidFill>
              <a:srgbClr val="0070C0"/>
            </a:solidFill>
          </a:endParaRPr>
        </a:p>
      </xdr:txBody>
    </xdr:sp>
    <xdr:clientData/>
  </xdr:twoCellAnchor>
  <xdr:twoCellAnchor>
    <xdr:from>
      <xdr:col>12</xdr:col>
      <xdr:colOff>110067</xdr:colOff>
      <xdr:row>3</xdr:row>
      <xdr:rowOff>8465</xdr:rowOff>
    </xdr:from>
    <xdr:to>
      <xdr:col>19</xdr:col>
      <xdr:colOff>668867</xdr:colOff>
      <xdr:row>17</xdr:row>
      <xdr:rowOff>304800</xdr:rowOff>
    </xdr:to>
    <xdr:graphicFrame macro="">
      <xdr:nvGraphicFramePr>
        <xdr:cNvPr id="4" name="1 Gráfico">
          <a:extLst>
            <a:ext uri="{FF2B5EF4-FFF2-40B4-BE49-F238E27FC236}">
              <a16:creationId xmlns:a16="http://schemas.microsoft.com/office/drawing/2014/main" id="{00000000-0008-0000-2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2.xml><?xml version="1.0" encoding="utf-8"?>
<c:userShapes xmlns:c="http://schemas.openxmlformats.org/drawingml/2006/chart">
  <cdr:relSizeAnchor xmlns:cdr="http://schemas.openxmlformats.org/drawingml/2006/chartDrawing">
    <cdr:from>
      <cdr:x>0.39699</cdr:x>
      <cdr:y>0.0287</cdr:y>
    </cdr:from>
    <cdr:to>
      <cdr:x>0.66099</cdr:x>
      <cdr:y>0.08854</cdr:y>
    </cdr:to>
    <cdr:sp macro="" textlink="">
      <cdr:nvSpPr>
        <cdr:cNvPr id="2" name="1 CuadroTexto"/>
        <cdr:cNvSpPr txBox="1"/>
      </cdr:nvSpPr>
      <cdr:spPr>
        <a:xfrm xmlns:a="http://schemas.openxmlformats.org/drawingml/2006/main">
          <a:off x="2514601" y="111656"/>
          <a:ext cx="1672167" cy="23283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s-EC"/>
        </a:p>
      </cdr:txBody>
    </cdr:sp>
  </cdr:relSizeAnchor>
  <cdr:relSizeAnchor xmlns:cdr="http://schemas.openxmlformats.org/drawingml/2006/chartDrawing">
    <cdr:from>
      <cdr:x>0.76075</cdr:x>
      <cdr:y>0.7915</cdr:y>
    </cdr:from>
    <cdr:to>
      <cdr:x>0.761</cdr:x>
      <cdr:y>0.79272</cdr:y>
    </cdr:to>
    <cdr:sp macro="" textlink="">
      <cdr:nvSpPr>
        <cdr:cNvPr id="3" name="2 CuadroTexto"/>
        <cdr:cNvSpPr txBox="1"/>
      </cdr:nvSpPr>
      <cdr:spPr>
        <a:xfrm xmlns:a="http://schemas.openxmlformats.org/drawingml/2006/main">
          <a:off x="4790018" y="4175655"/>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s-EC"/>
        </a:p>
      </cdr:txBody>
    </cdr:sp>
  </cdr:relSizeAnchor>
</c:userShapes>
</file>

<file path=xl/drawings/drawing33.xml><?xml version="1.0" encoding="utf-8"?>
<xdr:wsDr xmlns:xdr="http://schemas.openxmlformats.org/drawingml/2006/spreadsheetDrawing" xmlns:a="http://schemas.openxmlformats.org/drawingml/2006/main">
  <xdr:twoCellAnchor>
    <xdr:from>
      <xdr:col>30</xdr:col>
      <xdr:colOff>419100</xdr:colOff>
      <xdr:row>5</xdr:row>
      <xdr:rowOff>150328</xdr:rowOff>
    </xdr:from>
    <xdr:to>
      <xdr:col>39</xdr:col>
      <xdr:colOff>447771</xdr:colOff>
      <xdr:row>23</xdr:row>
      <xdr:rowOff>175176</xdr:rowOff>
    </xdr:to>
    <xdr:graphicFrame macro="">
      <xdr:nvGraphicFramePr>
        <xdr:cNvPr id="2" name="Gráfico 1">
          <a:extLst>
            <a:ext uri="{FF2B5EF4-FFF2-40B4-BE49-F238E27FC236}">
              <a16:creationId xmlns:a16="http://schemas.microsoft.com/office/drawing/2014/main" id="{00000000-0008-0000-2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19</xdr:col>
      <xdr:colOff>22860</xdr:colOff>
      <xdr:row>15</xdr:row>
      <xdr:rowOff>129540</xdr:rowOff>
    </xdr:from>
    <xdr:to>
      <xdr:col>29</xdr:col>
      <xdr:colOff>38100</xdr:colOff>
      <xdr:row>25</xdr:row>
      <xdr:rowOff>91440</xdr:rowOff>
    </xdr:to>
    <xdr:sp macro="" textlink="">
      <xdr:nvSpPr>
        <xdr:cNvPr id="3" name="2 CuadroTexto">
          <a:extLst>
            <a:ext uri="{FF2B5EF4-FFF2-40B4-BE49-F238E27FC236}">
              <a16:creationId xmlns:a16="http://schemas.microsoft.com/office/drawing/2014/main" id="{00000000-0008-0000-2100-000003000000}"/>
            </a:ext>
          </a:extLst>
        </xdr:cNvPr>
        <xdr:cNvSpPr txBox="1"/>
      </xdr:nvSpPr>
      <xdr:spPr>
        <a:xfrm>
          <a:off x="5455920" y="3436620"/>
          <a:ext cx="3299460" cy="2004060"/>
        </a:xfrm>
        <a:prstGeom prst="rect">
          <a:avLst/>
        </a:prstGeom>
        <a:solidFill>
          <a:schemeClr val="bg1">
            <a:lumMod val="95000"/>
          </a:schemeClr>
        </a:solidFill>
        <a:ln w="9525" cmpd="sng">
          <a:noFill/>
        </a:ln>
        <a:effectLst/>
      </xdr:spPr>
      <xdr:style>
        <a:lnRef idx="0">
          <a:scrgbClr r="0" g="0" b="0"/>
        </a:lnRef>
        <a:fillRef idx="0">
          <a:scrgbClr r="0" g="0" b="0"/>
        </a:fillRef>
        <a:effectRef idx="0">
          <a:scrgbClr r="0" g="0" b="0"/>
        </a:effectRef>
        <a:fontRef idx="minor">
          <a:schemeClr val="dk1"/>
        </a:fontRef>
      </xdr:style>
      <xdr:txBody>
        <a:bodyPr wrap="square" rtlCol="0" anchor="t"/>
        <a:lstStyle>
          <a:defPPr>
            <a:defRPr lang="es-EC"/>
          </a:defPPr>
          <a:lvl1pPr algn="l" rtl="0" fontAlgn="base">
            <a:spcBef>
              <a:spcPct val="0"/>
            </a:spcBef>
            <a:spcAft>
              <a:spcPct val="0"/>
            </a:spcAft>
            <a:defRPr kern="1200">
              <a:solidFill>
                <a:schemeClr val="dk1"/>
              </a:solidFill>
              <a:latin typeface="+mn-lt"/>
              <a:ea typeface="+mn-ea"/>
              <a:cs typeface="+mn-cs"/>
            </a:defRPr>
          </a:lvl1pPr>
          <a:lvl2pPr marL="457200" algn="l" rtl="0" fontAlgn="base">
            <a:spcBef>
              <a:spcPct val="0"/>
            </a:spcBef>
            <a:spcAft>
              <a:spcPct val="0"/>
            </a:spcAft>
            <a:defRPr kern="1200">
              <a:solidFill>
                <a:schemeClr val="dk1"/>
              </a:solidFill>
              <a:latin typeface="+mn-lt"/>
              <a:ea typeface="+mn-ea"/>
              <a:cs typeface="+mn-cs"/>
            </a:defRPr>
          </a:lvl2pPr>
          <a:lvl3pPr marL="914400" algn="l" rtl="0" fontAlgn="base">
            <a:spcBef>
              <a:spcPct val="0"/>
            </a:spcBef>
            <a:spcAft>
              <a:spcPct val="0"/>
            </a:spcAft>
            <a:defRPr kern="1200">
              <a:solidFill>
                <a:schemeClr val="dk1"/>
              </a:solidFill>
              <a:latin typeface="+mn-lt"/>
              <a:ea typeface="+mn-ea"/>
              <a:cs typeface="+mn-cs"/>
            </a:defRPr>
          </a:lvl3pPr>
          <a:lvl4pPr marL="1371600" algn="l" rtl="0" fontAlgn="base">
            <a:spcBef>
              <a:spcPct val="0"/>
            </a:spcBef>
            <a:spcAft>
              <a:spcPct val="0"/>
            </a:spcAft>
            <a:defRPr kern="1200">
              <a:solidFill>
                <a:schemeClr val="dk1"/>
              </a:solidFill>
              <a:latin typeface="+mn-lt"/>
              <a:ea typeface="+mn-ea"/>
              <a:cs typeface="+mn-cs"/>
            </a:defRPr>
          </a:lvl4pPr>
          <a:lvl5pPr marL="1828800" algn="l" rtl="0" fontAlgn="base">
            <a:spcBef>
              <a:spcPct val="0"/>
            </a:spcBef>
            <a:spcAft>
              <a:spcPct val="0"/>
            </a:spcAft>
            <a:defRPr kern="1200">
              <a:solidFill>
                <a:schemeClr val="dk1"/>
              </a:solidFill>
              <a:latin typeface="+mn-lt"/>
              <a:ea typeface="+mn-ea"/>
              <a:cs typeface="+mn-cs"/>
            </a:defRPr>
          </a:lvl5pPr>
          <a:lvl6pPr marL="2286000" algn="l" defTabSz="914400" rtl="0" eaLnBrk="1" latinLnBrk="0" hangingPunct="1">
            <a:defRPr kern="1200">
              <a:solidFill>
                <a:schemeClr val="dk1"/>
              </a:solidFill>
              <a:latin typeface="+mn-lt"/>
              <a:ea typeface="+mn-ea"/>
              <a:cs typeface="+mn-cs"/>
            </a:defRPr>
          </a:lvl6pPr>
          <a:lvl7pPr marL="2743200" algn="l" defTabSz="914400" rtl="0" eaLnBrk="1" latinLnBrk="0" hangingPunct="1">
            <a:defRPr kern="1200">
              <a:solidFill>
                <a:schemeClr val="dk1"/>
              </a:solidFill>
              <a:latin typeface="+mn-lt"/>
              <a:ea typeface="+mn-ea"/>
              <a:cs typeface="+mn-cs"/>
            </a:defRPr>
          </a:lvl7pPr>
          <a:lvl8pPr marL="3200400" algn="l" defTabSz="914400" rtl="0" eaLnBrk="1" latinLnBrk="0" hangingPunct="1">
            <a:defRPr kern="1200">
              <a:solidFill>
                <a:schemeClr val="dk1"/>
              </a:solidFill>
              <a:latin typeface="+mn-lt"/>
              <a:ea typeface="+mn-ea"/>
              <a:cs typeface="+mn-cs"/>
            </a:defRPr>
          </a:lvl8pPr>
          <a:lvl9pPr marL="3657600" algn="l" defTabSz="914400" rtl="0" eaLnBrk="1" latinLnBrk="0" hangingPunct="1">
            <a:defRPr kern="1200">
              <a:solidFill>
                <a:schemeClr val="dk1"/>
              </a:solidFill>
              <a:latin typeface="+mn-lt"/>
              <a:ea typeface="+mn-ea"/>
              <a:cs typeface="+mn-cs"/>
            </a:defRPr>
          </a:lvl9pPr>
        </a:lstStyle>
        <a:p>
          <a:pPr marL="0" marR="0" indent="0" algn="l" defTabSz="914400" rtl="0" eaLnBrk="1" fontAlgn="base" latinLnBrk="0" hangingPunct="1">
            <a:lnSpc>
              <a:spcPct val="100000"/>
            </a:lnSpc>
            <a:spcBef>
              <a:spcPct val="0"/>
            </a:spcBef>
            <a:spcAft>
              <a:spcPct val="0"/>
            </a:spcAft>
            <a:buClrTx/>
            <a:buSzTx/>
            <a:buFontTx/>
            <a:buNone/>
            <a:tabLst/>
            <a:defRPr/>
          </a:pPr>
          <a:r>
            <a:rPr lang="es-EC" sz="1100" kern="1200" baseline="0">
              <a:solidFill>
                <a:schemeClr val="dk1"/>
              </a:solidFill>
              <a:effectLst/>
              <a:latin typeface="+mn-lt"/>
              <a:ea typeface="+mn-ea"/>
              <a:cs typeface="+mn-cs"/>
            </a:rPr>
            <a:t>Al preguntar al turista: ¿qué es lo que visitó? menciona algunos de los atractivos  “urbanos” que se concentran en el Centro Histórico con un aproximado del 67% (iglesias, El Panecillo; La Ronda) y en el sector de La Mariscal con un 11%. Ambas son consideradas como las Zonas Especiales Turísticas de Quito (ZET).</a:t>
          </a:r>
        </a:p>
        <a:p>
          <a:pPr marL="0" marR="0" indent="0" algn="l" defTabSz="914400" rtl="0" eaLnBrk="1" fontAlgn="base" latinLnBrk="0" hangingPunct="1">
            <a:lnSpc>
              <a:spcPct val="100000"/>
            </a:lnSpc>
            <a:spcBef>
              <a:spcPct val="0"/>
            </a:spcBef>
            <a:spcAft>
              <a:spcPct val="0"/>
            </a:spcAft>
            <a:buClrTx/>
            <a:buSzTx/>
            <a:buFontTx/>
            <a:buNone/>
            <a:tabLst/>
            <a:defRPr/>
          </a:pPr>
          <a:endParaRPr lang="es-EC" sz="1100" kern="1200" baseline="0">
            <a:solidFill>
              <a:schemeClr val="dk1"/>
            </a:solidFill>
            <a:effectLst/>
            <a:latin typeface="+mn-lt"/>
            <a:ea typeface="+mn-ea"/>
            <a:cs typeface="+mn-cs"/>
          </a:endParaRPr>
        </a:p>
        <a:p>
          <a:pPr marL="0" marR="0" indent="0" algn="l" defTabSz="914400" rtl="0" eaLnBrk="1" fontAlgn="base" latinLnBrk="0" hangingPunct="1">
            <a:lnSpc>
              <a:spcPct val="100000"/>
            </a:lnSpc>
            <a:spcBef>
              <a:spcPct val="0"/>
            </a:spcBef>
            <a:spcAft>
              <a:spcPct val="0"/>
            </a:spcAft>
            <a:buClrTx/>
            <a:buSzTx/>
            <a:buFontTx/>
            <a:buNone/>
            <a:tabLst/>
            <a:defRPr/>
          </a:pPr>
          <a:r>
            <a:rPr lang="es-EC" sz="1100" kern="1200" baseline="0">
              <a:solidFill>
                <a:schemeClr val="dk1"/>
              </a:solidFill>
              <a:effectLst/>
              <a:latin typeface="+mn-lt"/>
              <a:ea typeface="+mn-ea"/>
              <a:cs typeface="+mn-cs"/>
            </a:rPr>
            <a:t>La Mitad del Mundo es el lugar más visitado según lo menciona el turista en su visita a Quito 86% </a:t>
          </a:r>
          <a:endParaRPr lang="es-EC" sz="1200"/>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22</xdr:col>
      <xdr:colOff>65431</xdr:colOff>
      <xdr:row>8</xdr:row>
      <xdr:rowOff>173935</xdr:rowOff>
    </xdr:from>
    <xdr:to>
      <xdr:col>30</xdr:col>
      <xdr:colOff>94007</xdr:colOff>
      <xdr:row>26</xdr:row>
      <xdr:rowOff>109744</xdr:rowOff>
    </xdr:to>
    <xdr:graphicFrame macro="">
      <xdr:nvGraphicFramePr>
        <xdr:cNvPr id="2" name="Gráfico 1">
          <a:extLst>
            <a:ext uri="{FF2B5EF4-FFF2-40B4-BE49-F238E27FC236}">
              <a16:creationId xmlns:a16="http://schemas.microsoft.com/office/drawing/2014/main" id="{00000000-0008-0000-2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5.xml><?xml version="1.0" encoding="utf-8"?>
<xdr:wsDr xmlns:xdr="http://schemas.openxmlformats.org/drawingml/2006/spreadsheetDrawing" xmlns:a="http://schemas.openxmlformats.org/drawingml/2006/main">
  <xdr:twoCellAnchor>
    <xdr:from>
      <xdr:col>6</xdr:col>
      <xdr:colOff>721995</xdr:colOff>
      <xdr:row>7</xdr:row>
      <xdr:rowOff>18096</xdr:rowOff>
    </xdr:from>
    <xdr:to>
      <xdr:col>15</xdr:col>
      <xdr:colOff>222885</xdr:colOff>
      <xdr:row>21</xdr:row>
      <xdr:rowOff>140969</xdr:rowOff>
    </xdr:to>
    <xdr:graphicFrame macro="">
      <xdr:nvGraphicFramePr>
        <xdr:cNvPr id="2" name="Gráfico 1">
          <a:extLst>
            <a:ext uri="{FF2B5EF4-FFF2-40B4-BE49-F238E27FC236}">
              <a16:creationId xmlns:a16="http://schemas.microsoft.com/office/drawing/2014/main" id="{00000000-0008-0000-2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6.xml><?xml version="1.0" encoding="utf-8"?>
<xdr:wsDr xmlns:xdr="http://schemas.openxmlformats.org/drawingml/2006/spreadsheetDrawing" xmlns:a="http://schemas.openxmlformats.org/drawingml/2006/main">
  <xdr:twoCellAnchor>
    <xdr:from>
      <xdr:col>15</xdr:col>
      <xdr:colOff>324971</xdr:colOff>
      <xdr:row>4</xdr:row>
      <xdr:rowOff>57150</xdr:rowOff>
    </xdr:from>
    <xdr:to>
      <xdr:col>26</xdr:col>
      <xdr:colOff>268941</xdr:colOff>
      <xdr:row>31</xdr:row>
      <xdr:rowOff>134470</xdr:rowOff>
    </xdr:to>
    <xdr:graphicFrame macro="">
      <xdr:nvGraphicFramePr>
        <xdr:cNvPr id="4" name="Gráfico 3">
          <a:extLst>
            <a:ext uri="{FF2B5EF4-FFF2-40B4-BE49-F238E27FC236}">
              <a16:creationId xmlns:a16="http://schemas.microsoft.com/office/drawing/2014/main" id="{00000000-0008-0000-24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41</xdr:col>
      <xdr:colOff>291353</xdr:colOff>
      <xdr:row>19</xdr:row>
      <xdr:rowOff>145673</xdr:rowOff>
    </xdr:from>
    <xdr:to>
      <xdr:col>42</xdr:col>
      <xdr:colOff>179295</xdr:colOff>
      <xdr:row>21</xdr:row>
      <xdr:rowOff>78437</xdr:rowOff>
    </xdr:to>
    <xdr:sp macro="" textlink="">
      <xdr:nvSpPr>
        <xdr:cNvPr id="24" name="Elipse 23">
          <a:extLst>
            <a:ext uri="{FF2B5EF4-FFF2-40B4-BE49-F238E27FC236}">
              <a16:creationId xmlns:a16="http://schemas.microsoft.com/office/drawing/2014/main" id="{00000000-0008-0000-2400-000018000000}"/>
            </a:ext>
          </a:extLst>
        </xdr:cNvPr>
        <xdr:cNvSpPr/>
      </xdr:nvSpPr>
      <xdr:spPr>
        <a:xfrm>
          <a:off x="34671000" y="3384173"/>
          <a:ext cx="649942" cy="280146"/>
        </a:xfrm>
        <a:prstGeom prst="ellipse">
          <a:avLst/>
        </a:prstGeom>
        <a:noFill/>
        <a:ln>
          <a:solidFill>
            <a:schemeClr val="accent2"/>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endParaRPr lang="es-EC" sz="1100"/>
        </a:p>
      </xdr:txBody>
    </xdr:sp>
    <xdr:clientData/>
  </xdr:twoCellAnchor>
  <xdr:twoCellAnchor>
    <xdr:from>
      <xdr:col>1</xdr:col>
      <xdr:colOff>123264</xdr:colOff>
      <xdr:row>32</xdr:row>
      <xdr:rowOff>67235</xdr:rowOff>
    </xdr:from>
    <xdr:to>
      <xdr:col>11</xdr:col>
      <xdr:colOff>1075765</xdr:colOff>
      <xdr:row>49</xdr:row>
      <xdr:rowOff>67235</xdr:rowOff>
    </xdr:to>
    <xdr:graphicFrame macro="">
      <xdr:nvGraphicFramePr>
        <xdr:cNvPr id="8" name="Gráfico 7">
          <a:extLst>
            <a:ext uri="{FF2B5EF4-FFF2-40B4-BE49-F238E27FC236}">
              <a16:creationId xmlns:a16="http://schemas.microsoft.com/office/drawing/2014/main" id="{00000000-0008-0000-24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42</xdr:col>
      <xdr:colOff>369793</xdr:colOff>
      <xdr:row>2</xdr:row>
      <xdr:rowOff>33618</xdr:rowOff>
    </xdr:from>
    <xdr:to>
      <xdr:col>52</xdr:col>
      <xdr:colOff>50985</xdr:colOff>
      <xdr:row>22</xdr:row>
      <xdr:rowOff>409</xdr:rowOff>
    </xdr:to>
    <xdr:pic>
      <xdr:nvPicPr>
        <xdr:cNvPr id="14" name="Imagen 13">
          <a:extLst>
            <a:ext uri="{FF2B5EF4-FFF2-40B4-BE49-F238E27FC236}">
              <a16:creationId xmlns:a16="http://schemas.microsoft.com/office/drawing/2014/main" id="{00000000-0008-0000-2400-00000E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5511440" y="347383"/>
          <a:ext cx="7301193" cy="3303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51</xdr:col>
      <xdr:colOff>44824</xdr:colOff>
      <xdr:row>19</xdr:row>
      <xdr:rowOff>134470</xdr:rowOff>
    </xdr:from>
    <xdr:to>
      <xdr:col>51</xdr:col>
      <xdr:colOff>694766</xdr:colOff>
      <xdr:row>21</xdr:row>
      <xdr:rowOff>67234</xdr:rowOff>
    </xdr:to>
    <xdr:sp macro="" textlink="">
      <xdr:nvSpPr>
        <xdr:cNvPr id="23" name="Elipse 22">
          <a:extLst>
            <a:ext uri="{FF2B5EF4-FFF2-40B4-BE49-F238E27FC236}">
              <a16:creationId xmlns:a16="http://schemas.microsoft.com/office/drawing/2014/main" id="{00000000-0008-0000-2400-000017000000}"/>
            </a:ext>
          </a:extLst>
        </xdr:cNvPr>
        <xdr:cNvSpPr/>
      </xdr:nvSpPr>
      <xdr:spPr>
        <a:xfrm>
          <a:off x="42044471" y="3372970"/>
          <a:ext cx="649942" cy="280146"/>
        </a:xfrm>
        <a:prstGeom prst="ellipse">
          <a:avLst/>
        </a:prstGeom>
        <a:noFill/>
        <a:ln/>
      </xdr:spPr>
      <xdr:style>
        <a:lnRef idx="2">
          <a:schemeClr val="accent3"/>
        </a:lnRef>
        <a:fillRef idx="1">
          <a:schemeClr val="lt1"/>
        </a:fillRef>
        <a:effectRef idx="0">
          <a:schemeClr val="accent3"/>
        </a:effectRef>
        <a:fontRef idx="minor">
          <a:schemeClr val="dk1"/>
        </a:fontRef>
      </xdr:style>
      <xdr:txBody>
        <a:bodyPr vertOverflow="clip" horzOverflow="clip" rtlCol="0" anchor="t"/>
        <a:lstStyle/>
        <a:p>
          <a:pPr algn="l"/>
          <a:endParaRPr lang="es-EC" sz="1100"/>
        </a:p>
      </xdr:txBody>
    </xdr:sp>
    <xdr:clientData/>
  </xdr:twoCellAnchor>
</xdr:wsDr>
</file>

<file path=xl/drawings/drawing37.xml><?xml version="1.0" encoding="utf-8"?>
<c:userShapes xmlns:c="http://schemas.openxmlformats.org/drawingml/2006/chart">
  <cdr:relSizeAnchor xmlns:cdr="http://schemas.openxmlformats.org/drawingml/2006/chartDrawing">
    <cdr:from>
      <cdr:x>0.67455</cdr:x>
      <cdr:y>0.1143</cdr:y>
    </cdr:from>
    <cdr:to>
      <cdr:x>0.98232</cdr:x>
      <cdr:y>0.42151</cdr:y>
    </cdr:to>
    <cdr:sp macro="" textlink="">
      <cdr:nvSpPr>
        <cdr:cNvPr id="2" name="2 CuadroTexto"/>
        <cdr:cNvSpPr txBox="1"/>
      </cdr:nvSpPr>
      <cdr:spPr>
        <a:xfrm xmlns:a="http://schemas.openxmlformats.org/drawingml/2006/main">
          <a:off x="5815854" y="570379"/>
          <a:ext cx="2653552" cy="1532965"/>
        </a:xfrm>
        <a:prstGeom xmlns:a="http://schemas.openxmlformats.org/drawingml/2006/main" prst="rect">
          <a:avLst/>
        </a:prstGeom>
        <a:solidFill xmlns:a="http://schemas.openxmlformats.org/drawingml/2006/main">
          <a:schemeClr val="lt1"/>
        </a:solidFill>
        <a:ln xmlns:a="http://schemas.openxmlformats.org/drawingml/2006/main" w="9525" cmpd="sng">
          <a:solidFill>
            <a:schemeClr val="lt1">
              <a:shade val="50000"/>
            </a:schemeClr>
          </a:solid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s-EC" sz="900" baseline="0">
              <a:solidFill>
                <a:schemeClr val="dk1"/>
              </a:solidFill>
              <a:latin typeface="+mn-lt"/>
              <a:ea typeface="+mn-ea"/>
              <a:cs typeface="+mn-cs"/>
            </a:rPr>
            <a:t>De acuerdo a las  llegadas de turistas no residentes registradas  y al gasto per cápita promedio en la ciudad ,  el ingreso anual de divisas de la ciudad de Quito se estima fue de:</a:t>
          </a:r>
        </a:p>
        <a:p xmlns:a="http://schemas.openxmlformats.org/drawingml/2006/main">
          <a:endParaRPr lang="es-EC" sz="900" baseline="0">
            <a:solidFill>
              <a:schemeClr val="dk1"/>
            </a:solidFill>
            <a:latin typeface="+mn-lt"/>
            <a:ea typeface="+mn-ea"/>
            <a:cs typeface="+mn-cs"/>
          </a:endParaRPr>
        </a:p>
        <a:p xmlns:a="http://schemas.openxmlformats.org/drawingml/2006/main">
          <a:r>
            <a:rPr lang="es-EC" sz="900" baseline="0">
              <a:solidFill>
                <a:schemeClr val="dk1"/>
              </a:solidFill>
              <a:latin typeface="+mn-lt"/>
              <a:ea typeface="+mn-ea"/>
              <a:cs typeface="+mn-cs"/>
            </a:rPr>
            <a:t>2017 (e).- 496 millones</a:t>
          </a:r>
        </a:p>
        <a:p xmlns:a="http://schemas.openxmlformats.org/drawingml/2006/main">
          <a:r>
            <a:rPr lang="es-EC" sz="900" baseline="0">
              <a:solidFill>
                <a:schemeClr val="dk1"/>
              </a:solidFill>
              <a:latin typeface="+mn-lt"/>
              <a:ea typeface="+mn-ea"/>
              <a:cs typeface="+mn-cs"/>
            </a:rPr>
            <a:t>2018 (e).- 526 millones</a:t>
          </a:r>
        </a:p>
        <a:p xmlns:a="http://schemas.openxmlformats.org/drawingml/2006/main">
          <a:r>
            <a:rPr lang="es-EC" sz="900" baseline="0">
              <a:solidFill>
                <a:schemeClr val="dk1"/>
              </a:solidFill>
              <a:latin typeface="+mn-lt"/>
              <a:ea typeface="+mn-ea"/>
              <a:cs typeface="+mn-cs"/>
            </a:rPr>
            <a:t>2019 (e).- 520 millones</a:t>
          </a:r>
        </a:p>
        <a:p xmlns:a="http://schemas.openxmlformats.org/drawingml/2006/main">
          <a:r>
            <a:rPr lang="es-EC" sz="900" baseline="0">
              <a:solidFill>
                <a:schemeClr val="dk1"/>
              </a:solidFill>
              <a:latin typeface="+mn-lt"/>
              <a:ea typeface="+mn-ea"/>
              <a:cs typeface="+mn-cs"/>
            </a:rPr>
            <a:t>2020 (e).- 144 millones</a:t>
          </a:r>
        </a:p>
        <a:p xmlns:a="http://schemas.openxmlformats.org/drawingml/2006/main">
          <a:r>
            <a:rPr lang="es-EC" sz="900" baseline="0">
              <a:solidFill>
                <a:schemeClr val="dk1"/>
              </a:solidFill>
              <a:latin typeface="+mn-lt"/>
              <a:ea typeface="+mn-ea"/>
              <a:cs typeface="+mn-cs"/>
            </a:rPr>
            <a:t>2021 (e).- 142 millones</a:t>
          </a:r>
        </a:p>
        <a:p xmlns:a="http://schemas.openxmlformats.org/drawingml/2006/main">
          <a:endParaRPr lang="es-EC" sz="900" baseline="0">
            <a:solidFill>
              <a:schemeClr val="dk1"/>
            </a:solidFill>
            <a:latin typeface="+mn-lt"/>
            <a:ea typeface="+mn-ea"/>
            <a:cs typeface="+mn-cs"/>
          </a:endParaRPr>
        </a:p>
      </cdr:txBody>
    </cdr:sp>
  </cdr:relSizeAnchor>
</c:userShapes>
</file>

<file path=xl/drawings/drawing38.xml><?xml version="1.0" encoding="utf-8"?>
<xdr:wsDr xmlns:xdr="http://schemas.openxmlformats.org/drawingml/2006/spreadsheetDrawing" xmlns:a="http://schemas.openxmlformats.org/drawingml/2006/main">
  <xdr:twoCellAnchor>
    <xdr:from>
      <xdr:col>10</xdr:col>
      <xdr:colOff>443752</xdr:colOff>
      <xdr:row>1</xdr:row>
      <xdr:rowOff>145116</xdr:rowOff>
    </xdr:from>
    <xdr:to>
      <xdr:col>20</xdr:col>
      <xdr:colOff>443751</xdr:colOff>
      <xdr:row>22</xdr:row>
      <xdr:rowOff>105335</xdr:rowOff>
    </xdr:to>
    <xdr:graphicFrame macro="">
      <xdr:nvGraphicFramePr>
        <xdr:cNvPr id="2" name="1 Gráfico">
          <a:extLst>
            <a:ext uri="{FF2B5EF4-FFF2-40B4-BE49-F238E27FC236}">
              <a16:creationId xmlns:a16="http://schemas.microsoft.com/office/drawing/2014/main" id="{00000000-0008-0000-2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398931</xdr:colOff>
      <xdr:row>23</xdr:row>
      <xdr:rowOff>67235</xdr:rowOff>
    </xdr:from>
    <xdr:to>
      <xdr:col>22</xdr:col>
      <xdr:colOff>494740</xdr:colOff>
      <xdr:row>42</xdr:row>
      <xdr:rowOff>123265</xdr:rowOff>
    </xdr:to>
    <xdr:graphicFrame macro="">
      <xdr:nvGraphicFramePr>
        <xdr:cNvPr id="5" name="4 Gráfico">
          <a:extLst>
            <a:ext uri="{FF2B5EF4-FFF2-40B4-BE49-F238E27FC236}">
              <a16:creationId xmlns:a16="http://schemas.microsoft.com/office/drawing/2014/main" id="{00000000-0008-0000-25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9.xml><?xml version="1.0" encoding="utf-8"?>
<c:userShapes xmlns:c="http://schemas.openxmlformats.org/drawingml/2006/chart">
  <cdr:relSizeAnchor xmlns:cdr="http://schemas.openxmlformats.org/drawingml/2006/chartDrawing">
    <cdr:from>
      <cdr:x>0.67803</cdr:x>
      <cdr:y>0.30509</cdr:y>
    </cdr:from>
    <cdr:to>
      <cdr:x>0.97803</cdr:x>
      <cdr:y>0.65498</cdr:y>
    </cdr:to>
    <cdr:sp macro="" textlink="">
      <cdr:nvSpPr>
        <cdr:cNvPr id="2" name="2 CuadroTexto"/>
        <cdr:cNvSpPr txBox="1"/>
      </cdr:nvSpPr>
      <cdr:spPr>
        <a:xfrm xmlns:a="http://schemas.openxmlformats.org/drawingml/2006/main">
          <a:off x="5348941" y="1180353"/>
          <a:ext cx="2366682" cy="1353670"/>
        </a:xfrm>
        <a:prstGeom xmlns:a="http://schemas.openxmlformats.org/drawingml/2006/main" prst="rect">
          <a:avLst/>
        </a:prstGeom>
        <a:solidFill xmlns:a="http://schemas.openxmlformats.org/drawingml/2006/main">
          <a:schemeClr val="bg1">
            <a:lumMod val="95000"/>
          </a:schemeClr>
        </a:solidFill>
        <a:ln xmlns:a="http://schemas.openxmlformats.org/drawingml/2006/main" w="9525" cmpd="sng">
          <a:noFill/>
        </a:ln>
        <a:effectLst xmlns:a="http://schemas.openxmlformats.org/drawingml/2006/mai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marL="0" marR="0" indent="0" algn="l" defTabSz="914400" rtl="0" eaLnBrk="1" fontAlgn="base" latinLnBrk="0" hangingPunct="1">
            <a:lnSpc>
              <a:spcPct val="100000"/>
            </a:lnSpc>
            <a:spcBef>
              <a:spcPct val="0"/>
            </a:spcBef>
            <a:spcAft>
              <a:spcPct val="0"/>
            </a:spcAft>
            <a:buClrTx/>
            <a:buSzTx/>
            <a:buFontTx/>
            <a:buNone/>
            <a:tabLst/>
            <a:defRPr/>
          </a:pPr>
          <a:r>
            <a:rPr lang="es-EC" sz="1100" kern="1200" baseline="0">
              <a:solidFill>
                <a:schemeClr val="dk1"/>
              </a:solidFill>
              <a:effectLst/>
              <a:latin typeface="+mn-lt"/>
              <a:ea typeface="+mn-ea"/>
              <a:cs typeface="+mn-cs"/>
            </a:rPr>
            <a:t>Al preguntar al turista: ¿en qué distribuyóo su gasto? menciona en primer lugar Alimnetación, Alojamiento seguido de Compras de artesanías, diversión y taxis.</a:t>
          </a:r>
          <a:endParaRPr lang="es-EC" sz="1200"/>
        </a:p>
      </cdr:txBody>
    </cdr:sp>
  </cdr:relSizeAnchor>
</c:userShapes>
</file>

<file path=xl/drawings/drawing40.xml><?xml version="1.0" encoding="utf-8"?>
<c:userShapes xmlns:c="http://schemas.openxmlformats.org/drawingml/2006/chart">
  <cdr:relSizeAnchor xmlns:cdr="http://schemas.openxmlformats.org/drawingml/2006/chartDrawing">
    <cdr:from>
      <cdr:x>0.78742</cdr:x>
      <cdr:y>0.23087</cdr:y>
    </cdr:from>
    <cdr:to>
      <cdr:x>0.99673</cdr:x>
      <cdr:y>0.58943</cdr:y>
    </cdr:to>
    <cdr:sp macro="" textlink="">
      <cdr:nvSpPr>
        <cdr:cNvPr id="2" name="1 CuadroTexto"/>
        <cdr:cNvSpPr txBox="1"/>
      </cdr:nvSpPr>
      <cdr:spPr>
        <a:xfrm xmlns:a="http://schemas.openxmlformats.org/drawingml/2006/main">
          <a:off x="7477685" y="1081930"/>
          <a:ext cx="1987687" cy="1680317"/>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es-EC" sz="1100">
              <a:effectLst/>
              <a:latin typeface="Calibri"/>
              <a:ea typeface="+mn-ea"/>
              <a:cs typeface="+mn-cs"/>
            </a:rPr>
            <a:t>La distribución del gasto del turista</a:t>
          </a:r>
          <a:r>
            <a:rPr lang="es-EC" sz="1100" baseline="0">
              <a:effectLst/>
              <a:latin typeface="Calibri"/>
              <a:ea typeface="+mn-ea"/>
              <a:cs typeface="+mn-cs"/>
            </a:rPr>
            <a:t> del DMQ está destinado a alimentación, alojamiento, artesanías y diversión, principalmente.</a:t>
          </a:r>
          <a:endParaRPr lang="es-ES" sz="1000">
            <a:effectLst/>
          </a:endParaRPr>
        </a:p>
      </cdr:txBody>
    </cdr:sp>
  </cdr:relSizeAnchor>
</c:userShapes>
</file>

<file path=xl/drawings/drawing41.xml><?xml version="1.0" encoding="utf-8"?>
<xdr:wsDr xmlns:xdr="http://schemas.openxmlformats.org/drawingml/2006/spreadsheetDrawing" xmlns:a="http://schemas.openxmlformats.org/drawingml/2006/main">
  <xdr:twoCellAnchor>
    <xdr:from>
      <xdr:col>14</xdr:col>
      <xdr:colOff>41910</xdr:colOff>
      <xdr:row>0</xdr:row>
      <xdr:rowOff>148589</xdr:rowOff>
    </xdr:from>
    <xdr:to>
      <xdr:col>22</xdr:col>
      <xdr:colOff>632459</xdr:colOff>
      <xdr:row>19</xdr:row>
      <xdr:rowOff>91440</xdr:rowOff>
    </xdr:to>
    <xdr:graphicFrame macro="">
      <xdr:nvGraphicFramePr>
        <xdr:cNvPr id="2" name="1 Gráfico">
          <a:extLst>
            <a:ext uri="{FF2B5EF4-FFF2-40B4-BE49-F238E27FC236}">
              <a16:creationId xmlns:a16="http://schemas.microsoft.com/office/drawing/2014/main" id="{00000000-0008-0000-2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0</xdr:colOff>
      <xdr:row>24</xdr:row>
      <xdr:rowOff>0</xdr:rowOff>
    </xdr:from>
    <xdr:to>
      <xdr:col>20</xdr:col>
      <xdr:colOff>586740</xdr:colOff>
      <xdr:row>25</xdr:row>
      <xdr:rowOff>144780</xdr:rowOff>
    </xdr:to>
    <xdr:sp macro="" textlink="">
      <xdr:nvSpPr>
        <xdr:cNvPr id="5" name="2 CuadroTexto">
          <a:extLst>
            <a:ext uri="{FF2B5EF4-FFF2-40B4-BE49-F238E27FC236}">
              <a16:creationId xmlns:a16="http://schemas.microsoft.com/office/drawing/2014/main" id="{00000000-0008-0000-2600-000005000000}"/>
            </a:ext>
          </a:extLst>
        </xdr:cNvPr>
        <xdr:cNvSpPr txBox="1"/>
      </xdr:nvSpPr>
      <xdr:spPr>
        <a:xfrm>
          <a:off x="8465820" y="4655820"/>
          <a:ext cx="4168140" cy="320040"/>
        </a:xfrm>
        <a:prstGeom prst="rect">
          <a:avLst/>
        </a:prstGeom>
        <a:solidFill>
          <a:sysClr val="window" lastClr="FFFFFF"/>
        </a:solidFill>
        <a:ln w="9525" cmpd="sng">
          <a:solidFill>
            <a:sysClr val="window" lastClr="FFFFFF">
              <a:shade val="50000"/>
            </a:sysClr>
          </a:solidFill>
        </a:ln>
        <a:effectLst/>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EC" sz="1000" baseline="0">
              <a:solidFill>
                <a:sysClr val="windowText" lastClr="000000"/>
              </a:solidFill>
              <a:latin typeface="Calibri"/>
            </a:rPr>
            <a:t>La mayoría de turistas que visitan el DMQ tiene instrucción superior. </a:t>
          </a:r>
          <a:endParaRPr lang="es-EC" sz="1000"/>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12</xdr:col>
      <xdr:colOff>299084</xdr:colOff>
      <xdr:row>1</xdr:row>
      <xdr:rowOff>192404</xdr:rowOff>
    </xdr:from>
    <xdr:to>
      <xdr:col>20</xdr:col>
      <xdr:colOff>609600</xdr:colOff>
      <xdr:row>23</xdr:row>
      <xdr:rowOff>99059</xdr:rowOff>
    </xdr:to>
    <xdr:graphicFrame macro="">
      <xdr:nvGraphicFramePr>
        <xdr:cNvPr id="2" name="1 Gráfico">
          <a:extLst>
            <a:ext uri="{FF2B5EF4-FFF2-40B4-BE49-F238E27FC236}">
              <a16:creationId xmlns:a16="http://schemas.microsoft.com/office/drawing/2014/main" id="{00000000-0008-0000-27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3.xml><?xml version="1.0" encoding="utf-8"?>
<c:userShapes xmlns:c="http://schemas.openxmlformats.org/drawingml/2006/chart">
  <cdr:relSizeAnchor xmlns:cdr="http://schemas.openxmlformats.org/drawingml/2006/chartDrawing">
    <cdr:from>
      <cdr:x>0.79167</cdr:x>
      <cdr:y>0.08602</cdr:y>
    </cdr:from>
    <cdr:to>
      <cdr:x>0.97083</cdr:x>
      <cdr:y>0.29839</cdr:y>
    </cdr:to>
    <cdr:sp macro="" textlink="">
      <cdr:nvSpPr>
        <cdr:cNvPr id="2" name="1 CuadroTexto"/>
        <cdr:cNvSpPr txBox="1"/>
      </cdr:nvSpPr>
      <cdr:spPr>
        <a:xfrm xmlns:a="http://schemas.openxmlformats.org/drawingml/2006/main">
          <a:off x="3619500" y="304800"/>
          <a:ext cx="819150" cy="7524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s-EC" sz="1100"/>
        </a:p>
      </cdr:txBody>
    </cdr:sp>
  </cdr:relSizeAnchor>
  <cdr:relSizeAnchor xmlns:cdr="http://schemas.openxmlformats.org/drawingml/2006/chartDrawing">
    <cdr:from>
      <cdr:x>0.62696</cdr:x>
      <cdr:y>0.26344</cdr:y>
    </cdr:from>
    <cdr:to>
      <cdr:x>0.95721</cdr:x>
      <cdr:y>0.51344</cdr:y>
    </cdr:to>
    <cdr:sp macro="" textlink="">
      <cdr:nvSpPr>
        <cdr:cNvPr id="3" name="2 CuadroTexto"/>
        <cdr:cNvSpPr txBox="1"/>
      </cdr:nvSpPr>
      <cdr:spPr>
        <a:xfrm xmlns:a="http://schemas.openxmlformats.org/drawingml/2006/main">
          <a:off x="3810001" y="933441"/>
          <a:ext cx="2006897" cy="88582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s-EC" sz="1000" baseline="0">
              <a:latin typeface="+mn-lt"/>
              <a:ea typeface="+mn-ea"/>
              <a:cs typeface="+mn-cs"/>
            </a:rPr>
            <a:t>El turista que visita Quito tiene entre 18 y 45 años, en promedio.</a:t>
          </a:r>
          <a:endParaRPr lang="es-EC" sz="1000"/>
        </a:p>
      </cdr:txBody>
    </cdr:sp>
  </cdr:relSizeAnchor>
</c:userShapes>
</file>

<file path=xl/drawings/drawing44.xml><?xml version="1.0" encoding="utf-8"?>
<xdr:wsDr xmlns:xdr="http://schemas.openxmlformats.org/drawingml/2006/spreadsheetDrawing" xmlns:a="http://schemas.openxmlformats.org/drawingml/2006/main">
  <xdr:twoCellAnchor>
    <xdr:from>
      <xdr:col>26</xdr:col>
      <xdr:colOff>303679</xdr:colOff>
      <xdr:row>0</xdr:row>
      <xdr:rowOff>229159</xdr:rowOff>
    </xdr:from>
    <xdr:to>
      <xdr:col>33</xdr:col>
      <xdr:colOff>251011</xdr:colOff>
      <xdr:row>18</xdr:row>
      <xdr:rowOff>71717</xdr:rowOff>
    </xdr:to>
    <xdr:graphicFrame macro="">
      <xdr:nvGraphicFramePr>
        <xdr:cNvPr id="3" name="2 Gráfico">
          <a:extLst>
            <a:ext uri="{FF2B5EF4-FFF2-40B4-BE49-F238E27FC236}">
              <a16:creationId xmlns:a16="http://schemas.microsoft.com/office/drawing/2014/main" id="{00000000-0008-0000-28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xdr:col>
      <xdr:colOff>660586</xdr:colOff>
      <xdr:row>0</xdr:row>
      <xdr:rowOff>249891</xdr:rowOff>
    </xdr:from>
    <xdr:to>
      <xdr:col>26</xdr:col>
      <xdr:colOff>166966</xdr:colOff>
      <xdr:row>18</xdr:row>
      <xdr:rowOff>59391</xdr:rowOff>
    </xdr:to>
    <xdr:graphicFrame macro="">
      <xdr:nvGraphicFramePr>
        <xdr:cNvPr id="7" name="Gráfico 6">
          <a:extLst>
            <a:ext uri="{FF2B5EF4-FFF2-40B4-BE49-F238E27FC236}">
              <a16:creationId xmlns:a16="http://schemas.microsoft.com/office/drawing/2014/main" id="{00000000-0008-0000-28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5.xml><?xml version="1.0" encoding="utf-8"?>
<c:userShapes xmlns:c="http://schemas.openxmlformats.org/drawingml/2006/chart">
  <cdr:relSizeAnchor xmlns:cdr="http://schemas.openxmlformats.org/drawingml/2006/chartDrawing">
    <cdr:from>
      <cdr:x>0.60336</cdr:x>
      <cdr:y>0.6228</cdr:y>
    </cdr:from>
    <cdr:to>
      <cdr:x>1</cdr:x>
      <cdr:y>0.90831</cdr:y>
    </cdr:to>
    <cdr:sp macro="" textlink="">
      <cdr:nvSpPr>
        <cdr:cNvPr id="2" name="3 CuadroTexto"/>
        <cdr:cNvSpPr txBox="1"/>
      </cdr:nvSpPr>
      <cdr:spPr>
        <a:xfrm xmlns:a="http://schemas.openxmlformats.org/drawingml/2006/main">
          <a:off x="3300133" y="2442323"/>
          <a:ext cx="2169458" cy="1119616"/>
        </a:xfrm>
        <a:prstGeom xmlns:a="http://schemas.openxmlformats.org/drawingml/2006/main" prst="rect">
          <a:avLst/>
        </a:prstGeom>
        <a:solidFill xmlns:a="http://schemas.openxmlformats.org/drawingml/2006/main">
          <a:schemeClr val="lt1"/>
        </a:solidFill>
        <a:ln xmlns:a="http://schemas.openxmlformats.org/drawingml/2006/main" w="9525" cmpd="sng">
          <a:solidFill>
            <a:schemeClr val="lt1">
              <a:shade val="50000"/>
            </a:schemeClr>
          </a:solid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s-EC" sz="1100" baseline="0">
              <a:solidFill>
                <a:schemeClr val="dk1"/>
              </a:solidFill>
              <a:effectLst/>
              <a:latin typeface="+mn-lt"/>
              <a:ea typeface="+mn-ea"/>
              <a:cs typeface="+mn-cs"/>
            </a:rPr>
            <a:t>El segmento de Turismo RICE.- el 15% del total de visitantes que llegan a Quito corresponde al turismo de negocios,  Reuniones, Incentivos, Congresos y Eventos. (dato agosto 2015)</a:t>
          </a:r>
          <a:endParaRPr lang="es-EC">
            <a:effectLst/>
          </a:endParaRPr>
        </a:p>
      </cdr:txBody>
    </cdr:sp>
  </cdr:relSizeAnchor>
</c:userShapes>
</file>

<file path=xl/drawings/drawing46.xml><?xml version="1.0" encoding="utf-8"?>
<c:userShapes xmlns:c="http://schemas.openxmlformats.org/drawingml/2006/chart">
  <cdr:relSizeAnchor xmlns:cdr="http://schemas.openxmlformats.org/drawingml/2006/chartDrawing">
    <cdr:from>
      <cdr:x>0.72166</cdr:x>
      <cdr:y>0.44986</cdr:y>
    </cdr:from>
    <cdr:to>
      <cdr:x>0.98308</cdr:x>
      <cdr:y>0.84182</cdr:y>
    </cdr:to>
    <cdr:sp macro="" textlink="">
      <cdr:nvSpPr>
        <cdr:cNvPr id="2" name="1 CuadroTexto"/>
        <cdr:cNvSpPr txBox="1"/>
      </cdr:nvSpPr>
      <cdr:spPr>
        <a:xfrm xmlns:a="http://schemas.openxmlformats.org/drawingml/2006/main">
          <a:off x="4198284" y="1749237"/>
          <a:ext cx="1520816" cy="152412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s-EC" sz="1000" baseline="0">
              <a:latin typeface="+mn-lt"/>
              <a:ea typeface="+mn-ea"/>
              <a:cs typeface="+mn-cs"/>
            </a:rPr>
            <a:t>El turista de Quito llega motivado por:  ocio, recreo y vacaciones, además por visita a familiares o amigos; seguido por motivo de negocios.</a:t>
          </a:r>
          <a:endParaRPr lang="es-EC" sz="1000"/>
        </a:p>
      </cdr:txBody>
    </cdr:sp>
  </cdr:relSizeAnchor>
</c:userShapes>
</file>

<file path=xl/drawings/drawing47.xml><?xml version="1.0" encoding="utf-8"?>
<xdr:wsDr xmlns:xdr="http://schemas.openxmlformats.org/drawingml/2006/spreadsheetDrawing" xmlns:a="http://schemas.openxmlformats.org/drawingml/2006/main">
  <xdr:twoCellAnchor>
    <xdr:from>
      <xdr:col>12</xdr:col>
      <xdr:colOff>312419</xdr:colOff>
      <xdr:row>1</xdr:row>
      <xdr:rowOff>22861</xdr:rowOff>
    </xdr:from>
    <xdr:to>
      <xdr:col>19</xdr:col>
      <xdr:colOff>586740</xdr:colOff>
      <xdr:row>19</xdr:row>
      <xdr:rowOff>160020</xdr:rowOff>
    </xdr:to>
    <xdr:graphicFrame macro="">
      <xdr:nvGraphicFramePr>
        <xdr:cNvPr id="2" name="1 Gráfico">
          <a:extLst>
            <a:ext uri="{FF2B5EF4-FFF2-40B4-BE49-F238E27FC236}">
              <a16:creationId xmlns:a16="http://schemas.microsoft.com/office/drawing/2014/main" id="{00000000-0008-0000-29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8.xml><?xml version="1.0" encoding="utf-8"?>
<c:userShapes xmlns:c="http://schemas.openxmlformats.org/drawingml/2006/chart">
  <cdr:relSizeAnchor xmlns:cdr="http://schemas.openxmlformats.org/drawingml/2006/chartDrawing">
    <cdr:from>
      <cdr:x>0.59294</cdr:x>
      <cdr:y>0.39803</cdr:y>
    </cdr:from>
    <cdr:to>
      <cdr:x>0.98327</cdr:x>
      <cdr:y>0.78378</cdr:y>
    </cdr:to>
    <cdr:sp macro="" textlink="">
      <cdr:nvSpPr>
        <cdr:cNvPr id="2" name="1 CuadroTexto"/>
        <cdr:cNvSpPr txBox="1"/>
      </cdr:nvSpPr>
      <cdr:spPr>
        <a:xfrm xmlns:a="http://schemas.openxmlformats.org/drawingml/2006/main">
          <a:off x="3038474" y="1543050"/>
          <a:ext cx="2000249" cy="149542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s-EC" sz="1000" baseline="0">
              <a:latin typeface="+mn-lt"/>
              <a:ea typeface="+mn-ea"/>
              <a:cs typeface="+mn-cs"/>
            </a:rPr>
            <a:t>El 87% de los visitantes que llega a Quito, escoge a éste como su destino turístico, mientras que el 14% está de paso hacia otro destino. </a:t>
          </a:r>
          <a:endParaRPr lang="es-EC" sz="1000"/>
        </a:p>
      </cdr:txBody>
    </cdr:sp>
  </cdr:relSizeAnchor>
</c:userShapes>
</file>

<file path=xl/drawings/drawing49.xml><?xml version="1.0" encoding="utf-8"?>
<xdr:wsDr xmlns:xdr="http://schemas.openxmlformats.org/drawingml/2006/spreadsheetDrawing" xmlns:a="http://schemas.openxmlformats.org/drawingml/2006/main">
  <xdr:twoCellAnchor>
    <xdr:from>
      <xdr:col>14</xdr:col>
      <xdr:colOff>43815</xdr:colOff>
      <xdr:row>18</xdr:row>
      <xdr:rowOff>53340</xdr:rowOff>
    </xdr:from>
    <xdr:to>
      <xdr:col>23</xdr:col>
      <xdr:colOff>24765</xdr:colOff>
      <xdr:row>42</xdr:row>
      <xdr:rowOff>131445</xdr:rowOff>
    </xdr:to>
    <xdr:graphicFrame macro="">
      <xdr:nvGraphicFramePr>
        <xdr:cNvPr id="2" name="1 Gráfico">
          <a:extLst>
            <a:ext uri="{FF2B5EF4-FFF2-40B4-BE49-F238E27FC236}">
              <a16:creationId xmlns:a16="http://schemas.microsoft.com/office/drawing/2014/main" id="{00000000-0008-0000-2A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0.xml><?xml version="1.0" encoding="utf-8"?>
<c:userShapes xmlns:c="http://schemas.openxmlformats.org/drawingml/2006/chart">
  <cdr:relSizeAnchor xmlns:cdr="http://schemas.openxmlformats.org/drawingml/2006/chartDrawing">
    <cdr:from>
      <cdr:x>0.65181</cdr:x>
      <cdr:y>0.23723</cdr:y>
    </cdr:from>
    <cdr:to>
      <cdr:x>0.97075</cdr:x>
      <cdr:y>0.42791</cdr:y>
    </cdr:to>
    <cdr:sp macro="" textlink="">
      <cdr:nvSpPr>
        <cdr:cNvPr id="2" name="1 CuadroTexto"/>
        <cdr:cNvSpPr txBox="1"/>
      </cdr:nvSpPr>
      <cdr:spPr>
        <a:xfrm xmlns:a="http://schemas.openxmlformats.org/drawingml/2006/main">
          <a:off x="4457698" y="1016822"/>
          <a:ext cx="2181215" cy="8173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s-EC" sz="1000" baseline="0">
              <a:latin typeface="+mn-lt"/>
              <a:ea typeface="+mn-ea"/>
              <a:cs typeface="+mn-cs"/>
            </a:rPr>
            <a:t>El 37% de los visitantes conoce del destino a través de Internet; mientras  que el 41% lo hace a través de familiares y amigos.</a:t>
          </a:r>
          <a:endParaRPr lang="es-EC" sz="1000"/>
        </a:p>
      </cdr:txBody>
    </cdr:sp>
  </cdr:relSizeAnchor>
  <cdr:relSizeAnchor xmlns:cdr="http://schemas.openxmlformats.org/drawingml/2006/chartDrawing">
    <cdr:from>
      <cdr:x>0.00286</cdr:x>
      <cdr:y>0.72519</cdr:y>
    </cdr:from>
    <cdr:to>
      <cdr:x>0.2434</cdr:x>
      <cdr:y>0.97477</cdr:y>
    </cdr:to>
    <cdr:sp macro="" textlink="">
      <cdr:nvSpPr>
        <cdr:cNvPr id="3" name="1 CuadroTexto"/>
        <cdr:cNvSpPr txBox="1"/>
      </cdr:nvSpPr>
      <cdr:spPr>
        <a:xfrm xmlns:a="http://schemas.openxmlformats.org/drawingml/2006/main">
          <a:off x="20320" y="3289300"/>
          <a:ext cx="1711064" cy="113207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s-EC" sz="1000" baseline="0">
              <a:latin typeface="Calibri"/>
            </a:rPr>
            <a:t>El medio de información mayormente utilizado por los turistas para conocer sobre la ciudad de Quito es el </a:t>
          </a:r>
          <a:r>
            <a:rPr lang="es-EC" sz="1000" b="1" baseline="0">
              <a:latin typeface="Calibri"/>
            </a:rPr>
            <a:t>Internet</a:t>
          </a:r>
          <a:r>
            <a:rPr lang="es-EC" sz="1000" baseline="0">
              <a:latin typeface="Calibri"/>
            </a:rPr>
            <a:t>. El segundo medio es el referido por</a:t>
          </a:r>
          <a:r>
            <a:rPr lang="es-EC" sz="1000" b="1" baseline="0">
              <a:latin typeface="Calibri"/>
            </a:rPr>
            <a:t> familiares y amigos </a:t>
          </a:r>
          <a:endParaRPr lang="es-EC" sz="1000" b="1"/>
        </a:p>
      </cdr:txBody>
    </cdr:sp>
  </cdr:relSizeAnchor>
</c:userShapes>
</file>

<file path=xl/drawings/drawing51.xml><?xml version="1.0" encoding="utf-8"?>
<xdr:wsDr xmlns:xdr="http://schemas.openxmlformats.org/drawingml/2006/spreadsheetDrawing" xmlns:a="http://schemas.openxmlformats.org/drawingml/2006/main">
  <xdr:twoCellAnchor>
    <xdr:from>
      <xdr:col>12</xdr:col>
      <xdr:colOff>626745</xdr:colOff>
      <xdr:row>1</xdr:row>
      <xdr:rowOff>129540</xdr:rowOff>
    </xdr:from>
    <xdr:to>
      <xdr:col>19</xdr:col>
      <xdr:colOff>586740</xdr:colOff>
      <xdr:row>18</xdr:row>
      <xdr:rowOff>175259</xdr:rowOff>
    </xdr:to>
    <xdr:graphicFrame macro="">
      <xdr:nvGraphicFramePr>
        <xdr:cNvPr id="2" name="1 Gráfico">
          <a:extLst>
            <a:ext uri="{FF2B5EF4-FFF2-40B4-BE49-F238E27FC236}">
              <a16:creationId xmlns:a16="http://schemas.microsoft.com/office/drawing/2014/main" id="{00000000-0008-0000-2B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2.xml><?xml version="1.0" encoding="utf-8"?>
<c:userShapes xmlns:c="http://schemas.openxmlformats.org/drawingml/2006/chart">
  <cdr:relSizeAnchor xmlns:cdr="http://schemas.openxmlformats.org/drawingml/2006/chartDrawing">
    <cdr:from>
      <cdr:x>0.79108</cdr:x>
      <cdr:y>0.18257</cdr:y>
    </cdr:from>
    <cdr:to>
      <cdr:x>1</cdr:x>
      <cdr:y>0.56354</cdr:y>
    </cdr:to>
    <cdr:sp macro="" textlink="">
      <cdr:nvSpPr>
        <cdr:cNvPr id="2" name="1 CuadroTexto"/>
        <cdr:cNvSpPr txBox="1"/>
      </cdr:nvSpPr>
      <cdr:spPr>
        <a:xfrm xmlns:a="http://schemas.openxmlformats.org/drawingml/2006/main">
          <a:off x="4356735" y="606561"/>
          <a:ext cx="1150620" cy="1265704"/>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s-EC" sz="1000" baseline="0">
              <a:latin typeface="+mn-lt"/>
              <a:ea typeface="+mn-ea"/>
              <a:cs typeface="+mn-cs"/>
            </a:rPr>
            <a:t>La mayoría de viajeros que visita</a:t>
          </a:r>
        </a:p>
        <a:p xmlns:a="http://schemas.openxmlformats.org/drawingml/2006/main">
          <a:r>
            <a:rPr lang="es-EC" sz="1000" baseline="0">
              <a:latin typeface="+mn-lt"/>
              <a:ea typeface="+mn-ea"/>
              <a:cs typeface="+mn-cs"/>
            </a:rPr>
            <a:t>Quito llega sin compañía.</a:t>
          </a:r>
          <a:endParaRPr lang="es-EC" sz="1000"/>
        </a:p>
      </cdr:txBody>
    </cdr:sp>
  </cdr:relSizeAnchor>
</c:userShapes>
</file>

<file path=xl/drawings/drawing53.xml><?xml version="1.0" encoding="utf-8"?>
<xdr:wsDr xmlns:xdr="http://schemas.openxmlformats.org/drawingml/2006/spreadsheetDrawing" xmlns:a="http://schemas.openxmlformats.org/drawingml/2006/main">
  <xdr:twoCellAnchor>
    <xdr:from>
      <xdr:col>13</xdr:col>
      <xdr:colOff>76200</xdr:colOff>
      <xdr:row>1</xdr:row>
      <xdr:rowOff>323849</xdr:rowOff>
    </xdr:from>
    <xdr:to>
      <xdr:col>19</xdr:col>
      <xdr:colOff>180975</xdr:colOff>
      <xdr:row>16</xdr:row>
      <xdr:rowOff>180975</xdr:rowOff>
    </xdr:to>
    <xdr:graphicFrame macro="">
      <xdr:nvGraphicFramePr>
        <xdr:cNvPr id="2" name="1 Gráfico">
          <a:extLst>
            <a:ext uri="{FF2B5EF4-FFF2-40B4-BE49-F238E27FC236}">
              <a16:creationId xmlns:a16="http://schemas.microsoft.com/office/drawing/2014/main" id="{00000000-0008-0000-2C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4.xml><?xml version="1.0" encoding="utf-8"?>
<c:userShapes xmlns:c="http://schemas.openxmlformats.org/drawingml/2006/chart">
  <cdr:relSizeAnchor xmlns:cdr="http://schemas.openxmlformats.org/drawingml/2006/chartDrawing">
    <cdr:from>
      <cdr:x>0.5832</cdr:x>
      <cdr:y>0.27806</cdr:y>
    </cdr:from>
    <cdr:to>
      <cdr:x>0.9683</cdr:x>
      <cdr:y>0.58528</cdr:y>
    </cdr:to>
    <cdr:sp macro="" textlink="">
      <cdr:nvSpPr>
        <cdr:cNvPr id="2" name="1 CuadroTexto"/>
        <cdr:cNvSpPr txBox="1"/>
      </cdr:nvSpPr>
      <cdr:spPr>
        <a:xfrm xmlns:a="http://schemas.openxmlformats.org/drawingml/2006/main">
          <a:off x="2771935" y="791908"/>
          <a:ext cx="1830371" cy="87496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s-EC" sz="1000" baseline="0">
              <a:latin typeface="+mn-lt"/>
              <a:ea typeface="+mn-ea"/>
              <a:cs typeface="+mn-cs"/>
            </a:rPr>
            <a:t>En agosto de 2015 el 92% de los turistas organiza su desplazamiento por cuenta propia y un 8% lo hace con la ayuda de una agencia de viajes.</a:t>
          </a:r>
          <a:endParaRPr lang="es-EC" sz="1000"/>
        </a:p>
      </cdr:txBody>
    </cdr:sp>
  </cdr:relSizeAnchor>
</c:userShapes>
</file>

<file path=xl/drawings/drawing55.xml><?xml version="1.0" encoding="utf-8"?>
<xdr:wsDr xmlns:xdr="http://schemas.openxmlformats.org/drawingml/2006/spreadsheetDrawing" xmlns:a="http://schemas.openxmlformats.org/drawingml/2006/main">
  <xdr:twoCellAnchor>
    <xdr:from>
      <xdr:col>14</xdr:col>
      <xdr:colOff>41910</xdr:colOff>
      <xdr:row>1</xdr:row>
      <xdr:rowOff>22860</xdr:rowOff>
    </xdr:from>
    <xdr:to>
      <xdr:col>21</xdr:col>
      <xdr:colOff>780375</xdr:colOff>
      <xdr:row>17</xdr:row>
      <xdr:rowOff>1500</xdr:rowOff>
    </xdr:to>
    <xdr:graphicFrame macro="">
      <xdr:nvGraphicFramePr>
        <xdr:cNvPr id="2" name="1 Gráfico">
          <a:extLst>
            <a:ext uri="{FF2B5EF4-FFF2-40B4-BE49-F238E27FC236}">
              <a16:creationId xmlns:a16="http://schemas.microsoft.com/office/drawing/2014/main" id="{00000000-0008-0000-2D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6.xml><?xml version="1.0" encoding="utf-8"?>
<c:userShapes xmlns:c="http://schemas.openxmlformats.org/drawingml/2006/chart">
  <cdr:relSizeAnchor xmlns:cdr="http://schemas.openxmlformats.org/drawingml/2006/chartDrawing">
    <cdr:from>
      <cdr:x>0.65441</cdr:x>
      <cdr:y>0.15287</cdr:y>
    </cdr:from>
    <cdr:to>
      <cdr:x>0.97896</cdr:x>
      <cdr:y>0.54092</cdr:y>
    </cdr:to>
    <cdr:sp macro="" textlink="">
      <cdr:nvSpPr>
        <cdr:cNvPr id="2" name="1 CuadroTexto"/>
        <cdr:cNvSpPr txBox="1"/>
      </cdr:nvSpPr>
      <cdr:spPr>
        <a:xfrm xmlns:a="http://schemas.openxmlformats.org/drawingml/2006/main">
          <a:off x="3533793" y="495306"/>
          <a:ext cx="1752570" cy="125728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s-EC" sz="1000">
              <a:latin typeface="+mn-lt"/>
              <a:ea typeface="+mn-ea"/>
              <a:cs typeface="+mn-cs"/>
            </a:rPr>
            <a:t>La mayoría de turistas, </a:t>
          </a:r>
          <a:r>
            <a:rPr lang="es-EC" sz="1000" b="1">
              <a:latin typeface="+mn-lt"/>
              <a:ea typeface="+mn-ea"/>
              <a:cs typeface="+mn-cs"/>
            </a:rPr>
            <a:t>51 %</a:t>
          </a:r>
          <a:r>
            <a:rPr lang="es-EC" sz="1000">
              <a:latin typeface="+mn-lt"/>
              <a:ea typeface="+mn-ea"/>
              <a:cs typeface="+mn-cs"/>
            </a:rPr>
            <a:t>, se </a:t>
          </a:r>
          <a:r>
            <a:rPr lang="es-EC" sz="1000" b="1">
              <a:latin typeface="+mn-lt"/>
              <a:ea typeface="+mn-ea"/>
              <a:cs typeface="+mn-cs"/>
            </a:rPr>
            <a:t>hospeda en alojamientos de pago</a:t>
          </a:r>
          <a:r>
            <a:rPr lang="es-EC" sz="1000">
              <a:latin typeface="+mn-lt"/>
              <a:ea typeface="+mn-ea"/>
              <a:cs typeface="+mn-cs"/>
            </a:rPr>
            <a:t>; el 38 % lo hace en </a:t>
          </a:r>
          <a:r>
            <a:rPr lang="es-EC" sz="1000" i="1">
              <a:latin typeface="+mn-lt"/>
              <a:ea typeface="+mn-ea"/>
              <a:cs typeface="+mn-cs"/>
            </a:rPr>
            <a:t>casa de familiares o amigos</a:t>
          </a:r>
          <a:r>
            <a:rPr lang="es-EC" sz="1000">
              <a:latin typeface="+mn-lt"/>
              <a:ea typeface="+mn-ea"/>
              <a:cs typeface="+mn-cs"/>
            </a:rPr>
            <a:t>.  </a:t>
          </a:r>
          <a:endParaRPr lang="es-EC" sz="1000"/>
        </a:p>
      </cdr:txBody>
    </cdr:sp>
  </cdr:relSizeAnchor>
</c:userShapes>
</file>

<file path=xl/drawings/drawing57.xml><?xml version="1.0" encoding="utf-8"?>
<xdr:wsDr xmlns:xdr="http://schemas.openxmlformats.org/drawingml/2006/spreadsheetDrawing" xmlns:a="http://schemas.openxmlformats.org/drawingml/2006/main">
  <xdr:twoCellAnchor>
    <xdr:from>
      <xdr:col>0</xdr:col>
      <xdr:colOff>335280</xdr:colOff>
      <xdr:row>62</xdr:row>
      <xdr:rowOff>76199</xdr:rowOff>
    </xdr:from>
    <xdr:to>
      <xdr:col>0</xdr:col>
      <xdr:colOff>8945880</xdr:colOff>
      <xdr:row>88</xdr:row>
      <xdr:rowOff>37820</xdr:rowOff>
    </xdr:to>
    <xdr:pic>
      <xdr:nvPicPr>
        <xdr:cNvPr id="2" name="Imagen 5">
          <a:extLst>
            <a:ext uri="{FF2B5EF4-FFF2-40B4-BE49-F238E27FC236}">
              <a16:creationId xmlns:a16="http://schemas.microsoft.com/office/drawing/2014/main" id="{00000000-0008-0000-2E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280" y="12329159"/>
          <a:ext cx="8610600" cy="4731741"/>
        </a:xfrm>
        <a:prstGeom prst="rect">
          <a:avLst/>
        </a:prstGeom>
        <a:noFill/>
        <a:ln w="9525">
          <a:solidFill>
            <a:srgbClr val="5B9BD5"/>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ESPALDOS%20RBANDA/000%20PLANIFICACION/Estadisticas%20y%20Datos/01C%20Boletines%20Hoteleros/Boletines%20nov2019-2020/8%20Anexos%20EOH%20AGOSTO%20202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72.16.1.43\P&#250;blica\RESPALDOS%20RBANDA\000%20PLANIFICACION\Estadisticas%20y%20Datos\01%20UIO%20Datos%20UIO\Quito%20en%20cifras\Quito%20en%20cifras%20QT%20al%202019\UIO_EOH_SEP_20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RESPALDOS%20RBANDA/000%20PLANIFICACION/Estadisticas%20y%20Datos/Datos%20Tur&#237;sticos%20enviados/Datos%20Pasante%20Raquel%20Molina/Datos%20poblacion%20UIO/Proyecciones%20poblacion%20DMQ%20203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RBANDA\Desktop\Posible%20afectacion%20APTO%20UIO.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RESPALDOS%20RBANDA/000%20PLANIFICACION/Estadisticas%20y%20Datos/ESTADISTICAS%20CORONAVIRUS%20MAR2020/1%20QT-coronavirus/.0%20Impacto%20Econ&#243;mico%20a%20sector%20perdidas/QT-afectaci&#243;n_Ventas_vr.16sep202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BANDA.QUITO-TURISMO\Downloads\ESTAD&#205;STICAS%20A&#209;OS%202017-2021.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172.16.1.43\P&#250;blica\RESPALDOS%20RBANDA\000%20PLANIFICACION\Estadisticas%20y%20Datos\01%20UIO%20Datos%20UIO\Quito%20en%20cifras\Quito%20en%20cifras%20QT%20al%202019\CALIDAD-UIO_cifras_2019_vr07FEB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Portada"/>
      <sheetName val="Índice"/>
      <sheetName val="4x4 Matriz de la Hotelería"/>
      <sheetName val="Empleo"/>
      <sheetName val="Establecimientos"/>
      <sheetName val="Habitaciones Vendidas"/>
      <sheetName val="Estancia Media"/>
      <sheetName val="Ingresos"/>
      <sheetName val="Llegadas"/>
      <sheetName val="Pernoctaciones"/>
      <sheetName val="TOH"/>
      <sheetName val="Tarifa de Habitación Ocupada"/>
      <sheetName val="Tablas Dinámicas Auxiliares"/>
      <sheetName val="8 Anexos EOH AGOSTO 202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05">
          <cell r="A105" t="str">
            <v>Etiquetas de fila</v>
          </cell>
        </row>
      </sheetData>
      <sheetData sheetId="1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Índice"/>
      <sheetName val="4x4 Matriz de la Hotelería"/>
      <sheetName val="Empleo"/>
      <sheetName val="Establecimientos"/>
      <sheetName val="Habitaciones Vendidas"/>
      <sheetName val="Estancia Media"/>
      <sheetName val="Ingresos"/>
      <sheetName val="Llegadas"/>
      <sheetName val="Pernoctaciones"/>
      <sheetName val="Tarifa de Habitación Ocupada"/>
      <sheetName val="TOH"/>
      <sheetName val="Tablas Dinámicas Auxiliares"/>
      <sheetName val="Base"/>
      <sheetName val="UIO_EOH_SEP_202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sheetName val="BDD"/>
    </sheetNames>
    <sheetDataSet>
      <sheetData sheetId="0">
        <row r="6">
          <cell r="V6">
            <v>2786115</v>
          </cell>
        </row>
      </sheetData>
      <sheetData sheetId="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sible afectación (22)"/>
      <sheetName val="Cifras Clave"/>
      <sheetName val="Llegadas "/>
      <sheetName val="Llegadas x nacionalidad"/>
      <sheetName val="Aloj-Capacidad-TASA"/>
      <sheetName val="Aloj-Hab-Plazas"/>
      <sheetName val="Datos Aeropuerto AMS"/>
      <sheetName val="Perfil-otras-cyties-2015"/>
      <sheetName val="perfil-Ingre_divisa-2015"/>
      <sheetName val="perfil-Dist_Gasto-2015"/>
      <sheetName val="perfil-Motivo Viaje-2015"/>
    </sheetNames>
    <sheetDataSet>
      <sheetData sheetId="0"/>
      <sheetData sheetId="1"/>
      <sheetData sheetId="2"/>
      <sheetData sheetId="3"/>
      <sheetData sheetId="4"/>
      <sheetData sheetId="5">
        <row r="9">
          <cell r="E9">
            <v>11794</v>
          </cell>
          <cell r="F9">
            <v>23588</v>
          </cell>
        </row>
        <row r="10">
          <cell r="E10">
            <v>12956</v>
          </cell>
          <cell r="F10">
            <v>25912</v>
          </cell>
        </row>
        <row r="11">
          <cell r="E11">
            <v>14286</v>
          </cell>
          <cell r="F11">
            <v>28572</v>
          </cell>
        </row>
        <row r="12">
          <cell r="E12">
            <v>14739</v>
          </cell>
          <cell r="F12">
            <v>29478</v>
          </cell>
        </row>
        <row r="13">
          <cell r="D13">
            <v>653</v>
          </cell>
          <cell r="E13">
            <v>13357</v>
          </cell>
          <cell r="F13">
            <v>26851</v>
          </cell>
        </row>
        <row r="14">
          <cell r="D14">
            <v>684</v>
          </cell>
          <cell r="E14">
            <v>13776</v>
          </cell>
          <cell r="F14">
            <v>28458</v>
          </cell>
        </row>
        <row r="15">
          <cell r="D15">
            <v>732</v>
          </cell>
          <cell r="E15">
            <v>14569</v>
          </cell>
          <cell r="F15">
            <v>30757</v>
          </cell>
        </row>
        <row r="27">
          <cell r="L27">
            <v>10</v>
          </cell>
          <cell r="M27">
            <v>108</v>
          </cell>
          <cell r="N27">
            <v>21</v>
          </cell>
          <cell r="O27">
            <v>39</v>
          </cell>
          <cell r="P27">
            <v>21</v>
          </cell>
          <cell r="Q27">
            <v>44</v>
          </cell>
        </row>
        <row r="28">
          <cell r="L28">
            <v>1871</v>
          </cell>
          <cell r="M28">
            <v>2714</v>
          </cell>
          <cell r="N28">
            <v>1904</v>
          </cell>
          <cell r="O28">
            <v>1701</v>
          </cell>
          <cell r="P28">
            <v>1941</v>
          </cell>
          <cell r="Q28">
            <v>1791</v>
          </cell>
        </row>
      </sheetData>
      <sheetData sheetId="6"/>
      <sheetData sheetId="7"/>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TL a MAY2021 - BASE"/>
      <sheetName val="COMPARATIVO"/>
      <sheetName val="Hoja1"/>
      <sheetName val="Hoja2"/>
      <sheetName val="ven_loc_fam"/>
      <sheetName val="ven_loc_np_uio_gye"/>
      <sheetName val="ven_loc_rec_dep"/>
      <sheetName val="Hoja3"/>
    </sheetNames>
    <sheetDataSet>
      <sheetData sheetId="0" refreshError="1"/>
      <sheetData sheetId="1">
        <row r="1">
          <cell r="C1" t="str">
            <v>EXPORTACIONES  PETROLERAS</v>
          </cell>
        </row>
        <row r="2">
          <cell r="A2">
            <v>43466</v>
          </cell>
        </row>
        <row r="3">
          <cell r="A3">
            <v>43497</v>
          </cell>
        </row>
        <row r="4">
          <cell r="A4">
            <v>43525</v>
          </cell>
        </row>
        <row r="5">
          <cell r="A5">
            <v>43556</v>
          </cell>
        </row>
        <row r="6">
          <cell r="A6">
            <v>43586</v>
          </cell>
        </row>
        <row r="7">
          <cell r="A7">
            <v>43617</v>
          </cell>
        </row>
        <row r="8">
          <cell r="A8">
            <v>43647</v>
          </cell>
        </row>
        <row r="9">
          <cell r="A9">
            <v>43678</v>
          </cell>
        </row>
        <row r="10">
          <cell r="A10">
            <v>43709</v>
          </cell>
        </row>
        <row r="11">
          <cell r="A11">
            <v>43739</v>
          </cell>
        </row>
        <row r="12">
          <cell r="A12">
            <v>43770</v>
          </cell>
        </row>
        <row r="13">
          <cell r="A13">
            <v>43800</v>
          </cell>
        </row>
        <row r="14">
          <cell r="A14">
            <v>43831</v>
          </cell>
        </row>
        <row r="15">
          <cell r="A15">
            <v>43862</v>
          </cell>
        </row>
        <row r="16">
          <cell r="A16">
            <v>43891</v>
          </cell>
        </row>
        <row r="17">
          <cell r="A17">
            <v>43922</v>
          </cell>
        </row>
        <row r="18">
          <cell r="A18">
            <v>43952</v>
          </cell>
        </row>
        <row r="19">
          <cell r="A19">
            <v>43983</v>
          </cell>
        </row>
        <row r="20">
          <cell r="A20">
            <v>44013</v>
          </cell>
        </row>
        <row r="21">
          <cell r="A21">
            <v>44044</v>
          </cell>
        </row>
        <row r="22">
          <cell r="A22">
            <v>44075</v>
          </cell>
        </row>
        <row r="23">
          <cell r="A23">
            <v>44105</v>
          </cell>
        </row>
        <row r="24">
          <cell r="A24">
            <v>44136</v>
          </cell>
        </row>
        <row r="25">
          <cell r="A25">
            <v>44166</v>
          </cell>
        </row>
        <row r="26">
          <cell r="A26">
            <v>44197</v>
          </cell>
        </row>
        <row r="27">
          <cell r="A27">
            <v>44228</v>
          </cell>
        </row>
        <row r="28">
          <cell r="A28">
            <v>44256</v>
          </cell>
        </row>
        <row r="29">
          <cell r="A29">
            <v>44287</v>
          </cell>
        </row>
        <row r="30">
          <cell r="A30">
            <v>44317</v>
          </cell>
        </row>
        <row r="31">
          <cell r="A31">
            <v>44348</v>
          </cell>
        </row>
        <row r="32">
          <cell r="A32">
            <v>44378</v>
          </cell>
        </row>
        <row r="33">
          <cell r="A33">
            <v>44409</v>
          </cell>
        </row>
        <row r="34">
          <cell r="A34">
            <v>44440</v>
          </cell>
        </row>
        <row r="35">
          <cell r="A35">
            <v>44470</v>
          </cell>
        </row>
        <row r="36">
          <cell r="A36">
            <v>44501</v>
          </cell>
        </row>
        <row r="37">
          <cell r="A37">
            <v>44531</v>
          </cell>
        </row>
      </sheetData>
      <sheetData sheetId="2" refreshError="1"/>
      <sheetData sheetId="3" refreshError="1"/>
      <sheetData sheetId="4" refreshError="1"/>
      <sheetData sheetId="5" refreshError="1"/>
      <sheetData sheetId="6" refreshError="1"/>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7"/>
      <sheetName val="2018"/>
      <sheetName val="2019"/>
      <sheetName val="2020"/>
      <sheetName val="2021"/>
      <sheetName val="FLUCTUACIONES RESUMEN ANUAL "/>
    </sheetNames>
    <sheetDataSet>
      <sheetData sheetId="0">
        <row r="20">
          <cell r="C20">
            <v>36753</v>
          </cell>
          <cell r="D20">
            <v>16969</v>
          </cell>
          <cell r="E20">
            <v>38301</v>
          </cell>
          <cell r="F20">
            <v>38939</v>
          </cell>
        </row>
      </sheetData>
      <sheetData sheetId="1">
        <row r="19">
          <cell r="C19">
            <v>41156</v>
          </cell>
          <cell r="E19">
            <v>31570</v>
          </cell>
          <cell r="F19">
            <v>30270</v>
          </cell>
        </row>
      </sheetData>
      <sheetData sheetId="2">
        <row r="20">
          <cell r="C20">
            <v>44477</v>
          </cell>
          <cell r="D20">
            <v>12421</v>
          </cell>
          <cell r="E20">
            <v>27018</v>
          </cell>
          <cell r="F20">
            <v>24607</v>
          </cell>
        </row>
      </sheetData>
      <sheetData sheetId="3">
        <row r="20">
          <cell r="C20">
            <v>7673</v>
          </cell>
          <cell r="D20">
            <v>2923</v>
          </cell>
          <cell r="E20">
            <v>5893</v>
          </cell>
          <cell r="F20">
            <v>5184</v>
          </cell>
        </row>
      </sheetData>
      <sheetData sheetId="4">
        <row r="20">
          <cell r="D20">
            <v>1460</v>
          </cell>
        </row>
      </sheetData>
      <sheetData sheetId="5">
        <row r="8">
          <cell r="B8" t="str">
            <v>AÑO 2017</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rigen de datos QT"/>
      <sheetName val="DATOS-EC-UIO"/>
      <sheetName val="Cifras Clave"/>
      <sheetName val="HQM"/>
      <sheetName val="Sugeridos-estancia-gasto"/>
      <sheetName val="Llegadas genero"/>
      <sheetName val="Llegadas "/>
      <sheetName val="Llegadas x nacionalidad"/>
      <sheetName val="Datos Aeropuerto AMS"/>
      <sheetName val="ICCA"/>
      <sheetName val="Resume_FF"/>
      <sheetName val="FEB-MAR-Carnaval"/>
      <sheetName val="ABR-Semana Santa"/>
      <sheetName val="MAY-Trabajo"/>
      <sheetName val="MAY-Bat Pich"/>
      <sheetName val="AGO-Primer grito"/>
      <sheetName val="NOV-Finados"/>
      <sheetName val="DIC-FFQQ"/>
      <sheetName val="TOH "/>
      <sheetName val="Estancia hotelera"/>
      <sheetName val="Estancia hotelera (PAISES)"/>
      <sheetName val="Tarifa Promedio Hab ocupada"/>
      <sheetName val="RevPar tar_hab_Disponible"/>
      <sheetName val="EOH Sector geográfico"/>
      <sheetName val="PIB Turistico DMQ"/>
      <sheetName val="establecimientos UIO"/>
      <sheetName val="Hoja1"/>
      <sheetName val="Hoja2"/>
      <sheetName val="Hoja3"/>
      <sheetName val="Hoja4"/>
      <sheetName val="Hoja5"/>
      <sheetName val="% y # establecimientos act econ"/>
      <sheetName val="Actividades económicas TUR"/>
      <sheetName val="Transporte TUR"/>
      <sheetName val="Aloj-Hab-Plazas"/>
      <sheetName val="Aloj x categoria"/>
      <sheetName val="perfil-mas visitado-2015"/>
      <sheetName val="Aloj-Capacidad-TASA"/>
      <sheetName val="Aloj x sectores"/>
      <sheetName val="EMPLEO_tur_DMQ"/>
      <sheetName val="perfil-mas visitado-2016"/>
      <sheetName val="perfil-Alrededor_parroquia-2015"/>
      <sheetName val="Perfil-otras-cyties-2015"/>
      <sheetName val="perfil-Ingre_divisa-2015"/>
      <sheetName val="perfil-Dist_Gasto-2015"/>
      <sheetName val="perfil-Nvl_Edu 2015"/>
      <sheetName val="perfil-Edad 2015"/>
      <sheetName val="perfil-Motivo Viaje-2015"/>
      <sheetName val="perfil-Razon llegada 2015"/>
      <sheetName val="perfil-Medio Info-2015"/>
      <sheetName val="perfil-viaja con 2015"/>
      <sheetName val="perfil-Organiza viaje"/>
      <sheetName val="perfil-Hospedaje tipo"/>
      <sheetName val="SNAP"/>
      <sheetName val="perfil-Actividad 2012-2013"/>
      <sheetName val="perfil-recomendarian 201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ow r="1">
          <cell r="B1" t="str">
            <v>Establecimientos Turísticos en el DMQ - totales</v>
          </cell>
        </row>
      </sheetData>
      <sheetData sheetId="26"/>
      <sheetData sheetId="27"/>
      <sheetData sheetId="28"/>
      <sheetData sheetId="29"/>
      <sheetData sheetId="30"/>
      <sheetData sheetId="31">
        <row r="5">
          <cell r="B5" t="str">
            <v xml:space="preserve">ALOJAMIENTO </v>
          </cell>
        </row>
      </sheetData>
      <sheetData sheetId="32">
        <row r="3">
          <cell r="B3" t="str">
            <v>Actividades Económicas Turísticas - porcentajes</v>
          </cell>
        </row>
        <row r="4">
          <cell r="J4">
            <v>679</v>
          </cell>
        </row>
      </sheetData>
      <sheetData sheetId="33"/>
      <sheetData sheetId="34">
        <row r="25">
          <cell r="J25">
            <v>2016</v>
          </cell>
        </row>
      </sheetData>
      <sheetData sheetId="35">
        <row r="5">
          <cell r="C5" t="str">
            <v>Categoría</v>
          </cell>
        </row>
      </sheetData>
      <sheetData sheetId="36"/>
      <sheetData sheetId="37"/>
      <sheetData sheetId="38"/>
      <sheetData sheetId="39">
        <row r="5">
          <cell r="B5" t="str">
            <v>MUJERES</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Set>
  </externalBook>
</externalLink>
</file>

<file path=xl/persons/person.xml><?xml version="1.0" encoding="utf-8"?>
<personList xmlns="http://schemas.microsoft.com/office/spreadsheetml/2018/threadedcomments" xmlns:x="http://schemas.openxmlformats.org/spreadsheetml/2006/main">
  <person displayName="Rubén  Banda" id="{FBE32726-5AA9-47DA-90DC-619B885EB2C0}" userId="S::ruben.banda@quitoturismo365.onmicrosoft.com::6577bd98-0575-46cb-bc26-30d6c905ffcb" providerId="AD"/>
</personList>
</file>

<file path=xl/pivotCache/_rels/pivotCacheDefinition1.xml.rels><?xml version="1.0" encoding="UTF-8" standalone="yes"?>
<Relationships xmlns="http://schemas.openxmlformats.org/package/2006/relationships"><Relationship Id="rId2" Type="http://schemas.openxmlformats.org/officeDocument/2006/relationships/externalLinkPath" Target="file:///C:\Users\RBANDA.QUITO-TURISMO\Downloads\MICE.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onnatan Jami" refreshedDate="44376.407125925929" createdVersion="6" refreshedVersion="6" minRefreshableVersion="3" recordCount="159" xr:uid="{01CA3F3C-8C7D-40E9-B5B8-0F8371566F2C}">
  <cacheSource type="worksheet">
    <worksheetSource name="Tabla3" r:id="rId2"/>
  </cacheSource>
  <cacheFields count="5">
    <cacheField name="AÑO" numFmtId="0">
      <sharedItems containsSemiMixedTypes="0" containsString="0" containsNumber="1" containsInteger="1" minValue="2016" maxValue="2019" count="4">
        <n v="2016"/>
        <n v="2017"/>
        <n v="2018"/>
        <n v="2019"/>
      </sharedItems>
    </cacheField>
    <cacheField name="RAKING" numFmtId="0">
      <sharedItems count="3">
        <s v="Quito en América del Sur"/>
        <s v="Quito en América Latina"/>
        <s v="Ecuador en América Latina"/>
      </sharedItems>
    </cacheField>
    <cacheField name="CIUDAD" numFmtId="0">
      <sharedItems count="35">
        <s v="Buenos Aires"/>
        <s v="Lima"/>
        <s v="Sao Paulo"/>
        <s v="Santiago de Chile"/>
        <s v="Bogotá"/>
        <s v="Rio de Janeiro"/>
        <s v="Montevideo"/>
        <s v="Cartagena"/>
        <s v="Medellin"/>
        <s v="Quito"/>
        <s v="Guayaquil"/>
        <s v="Panamá"/>
        <s v="San José (Costa Rica)"/>
        <s v="Asunción"/>
        <s v="Cuenca"/>
        <s v="San José Costa Rica"/>
        <s v="México City"/>
        <s v="Medellín"/>
        <s v="Havana"/>
        <s v="Santa Cruz"/>
        <s v="Brasil"/>
        <s v="Argentina"/>
        <s v="Colombia"/>
        <s v="Chile "/>
        <s v="Perú"/>
        <s v="Uruguay"/>
        <s v="Ecuador"/>
        <s v="Panama"/>
        <s v="Costa Rica "/>
        <s v="Republica Dominicana"/>
        <s v="Mexico "/>
        <s v="Cuba"/>
        <s v="Bolivia"/>
        <s v="Paraguay"/>
        <s v="Guatemala"/>
      </sharedItems>
    </cacheField>
    <cacheField name="POSICIÓN" numFmtId="0">
      <sharedItems containsSemiMixedTypes="0" containsString="0" containsNumber="1" containsInteger="1" minValue="1" maxValue="46"/>
    </cacheField>
    <cacheField name="NUMERO DE EVENTOS" numFmtId="0">
      <sharedItems containsString="0" containsBlank="1" containsNumber="1" containsInteger="1" minValue="5" maxValue="133"/>
    </cacheField>
  </cacheFields>
  <extLst>
    <ext xmlns:x14="http://schemas.microsoft.com/office/spreadsheetml/2009/9/main" uri="{725AE2AE-9491-48be-B2B4-4EB974FC3084}">
      <x14:pivotCacheDefinition pivotCacheId="965484089"/>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59">
  <r>
    <x v="0"/>
    <x v="0"/>
    <x v="0"/>
    <n v="1"/>
    <n v="103"/>
  </r>
  <r>
    <x v="0"/>
    <x v="0"/>
    <x v="1"/>
    <n v="2"/>
    <n v="76"/>
  </r>
  <r>
    <x v="0"/>
    <x v="0"/>
    <x v="2"/>
    <n v="4"/>
    <n v="63"/>
  </r>
  <r>
    <x v="0"/>
    <x v="0"/>
    <x v="3"/>
    <n v="3"/>
    <n v="64"/>
  </r>
  <r>
    <x v="0"/>
    <x v="0"/>
    <x v="4"/>
    <n v="7"/>
    <n v="45"/>
  </r>
  <r>
    <x v="0"/>
    <x v="0"/>
    <x v="5"/>
    <n v="6"/>
    <n v="46"/>
  </r>
  <r>
    <x v="0"/>
    <x v="0"/>
    <x v="6"/>
    <n v="5"/>
    <n v="48"/>
  </r>
  <r>
    <x v="0"/>
    <x v="0"/>
    <x v="7"/>
    <n v="9"/>
    <n v="32"/>
  </r>
  <r>
    <x v="0"/>
    <x v="0"/>
    <x v="8"/>
    <n v="8"/>
    <n v="42"/>
  </r>
  <r>
    <x v="0"/>
    <x v="0"/>
    <x v="9"/>
    <n v="10"/>
    <n v="24"/>
  </r>
  <r>
    <x v="0"/>
    <x v="0"/>
    <x v="10"/>
    <n v="24"/>
    <m/>
  </r>
  <r>
    <x v="1"/>
    <x v="0"/>
    <x v="0"/>
    <n v="1"/>
    <n v="131"/>
  </r>
  <r>
    <x v="1"/>
    <x v="0"/>
    <x v="1"/>
    <n v="2"/>
    <n v="74"/>
  </r>
  <r>
    <x v="1"/>
    <x v="0"/>
    <x v="2"/>
    <n v="4"/>
    <n v="55"/>
  </r>
  <r>
    <x v="1"/>
    <x v="0"/>
    <x v="3"/>
    <n v="3"/>
    <n v="66"/>
  </r>
  <r>
    <x v="1"/>
    <x v="0"/>
    <x v="4"/>
    <n v="5"/>
    <n v="52"/>
  </r>
  <r>
    <x v="1"/>
    <x v="0"/>
    <x v="5"/>
    <n v="6"/>
    <n v="48"/>
  </r>
  <r>
    <x v="1"/>
    <x v="0"/>
    <x v="6"/>
    <n v="7"/>
    <n v="40"/>
  </r>
  <r>
    <x v="1"/>
    <x v="0"/>
    <x v="7"/>
    <n v="8"/>
    <n v="35"/>
  </r>
  <r>
    <x v="1"/>
    <x v="0"/>
    <x v="8"/>
    <n v="10"/>
    <n v="23"/>
  </r>
  <r>
    <x v="1"/>
    <x v="0"/>
    <x v="9"/>
    <n v="9"/>
    <n v="25"/>
  </r>
  <r>
    <x v="2"/>
    <x v="0"/>
    <x v="0"/>
    <n v="1"/>
    <n v="133"/>
  </r>
  <r>
    <x v="2"/>
    <x v="0"/>
    <x v="1"/>
    <n v="2"/>
    <n v="67"/>
  </r>
  <r>
    <x v="2"/>
    <x v="0"/>
    <x v="2"/>
    <n v="3"/>
    <n v="60"/>
  </r>
  <r>
    <x v="2"/>
    <x v="0"/>
    <x v="3"/>
    <n v="4"/>
    <n v="59"/>
  </r>
  <r>
    <x v="2"/>
    <x v="0"/>
    <x v="11"/>
    <n v="5"/>
    <n v="48"/>
  </r>
  <r>
    <x v="2"/>
    <x v="0"/>
    <x v="4"/>
    <n v="6"/>
    <n v="46"/>
  </r>
  <r>
    <x v="2"/>
    <x v="0"/>
    <x v="5"/>
    <n v="6"/>
    <n v="46"/>
  </r>
  <r>
    <x v="2"/>
    <x v="0"/>
    <x v="6"/>
    <n v="8"/>
    <n v="42"/>
  </r>
  <r>
    <x v="2"/>
    <x v="0"/>
    <x v="7"/>
    <n v="9"/>
    <n v="35"/>
  </r>
  <r>
    <x v="2"/>
    <x v="0"/>
    <x v="12"/>
    <n v="10"/>
    <n v="32"/>
  </r>
  <r>
    <x v="2"/>
    <x v="0"/>
    <x v="8"/>
    <n v="11"/>
    <n v="25"/>
  </r>
  <r>
    <x v="2"/>
    <x v="0"/>
    <x v="13"/>
    <n v="12"/>
    <n v="23"/>
  </r>
  <r>
    <x v="2"/>
    <x v="0"/>
    <x v="9"/>
    <n v="13"/>
    <n v="21"/>
  </r>
  <r>
    <x v="2"/>
    <x v="0"/>
    <x v="10"/>
    <n v="16"/>
    <n v="20"/>
  </r>
  <r>
    <x v="2"/>
    <x v="0"/>
    <x v="14"/>
    <n v="46"/>
    <n v="5"/>
  </r>
  <r>
    <x v="0"/>
    <x v="1"/>
    <x v="0"/>
    <n v="1"/>
    <n v="103"/>
  </r>
  <r>
    <x v="0"/>
    <x v="1"/>
    <x v="1"/>
    <n v="2"/>
    <n v="76"/>
  </r>
  <r>
    <x v="0"/>
    <x v="1"/>
    <x v="3"/>
    <n v="3"/>
    <n v="64"/>
  </r>
  <r>
    <x v="0"/>
    <x v="1"/>
    <x v="2"/>
    <n v="5"/>
    <n v="63"/>
  </r>
  <r>
    <x v="0"/>
    <x v="1"/>
    <x v="4"/>
    <n v="8"/>
    <n v="45"/>
  </r>
  <r>
    <x v="0"/>
    <x v="1"/>
    <x v="5"/>
    <n v="7"/>
    <n v="46"/>
  </r>
  <r>
    <x v="0"/>
    <x v="1"/>
    <x v="11"/>
    <n v="9"/>
    <n v="44"/>
  </r>
  <r>
    <x v="0"/>
    <x v="1"/>
    <x v="6"/>
    <n v="6"/>
    <n v="48"/>
  </r>
  <r>
    <x v="0"/>
    <x v="1"/>
    <x v="7"/>
    <n v="12"/>
    <n v="32"/>
  </r>
  <r>
    <x v="0"/>
    <x v="1"/>
    <x v="15"/>
    <n v="11"/>
    <n v="38"/>
  </r>
  <r>
    <x v="0"/>
    <x v="1"/>
    <x v="9"/>
    <n v="13"/>
    <n v="24"/>
  </r>
  <r>
    <x v="0"/>
    <x v="1"/>
    <x v="16"/>
    <n v="4"/>
    <n v="64"/>
  </r>
  <r>
    <x v="0"/>
    <x v="1"/>
    <x v="17"/>
    <n v="10"/>
    <n v="42"/>
  </r>
  <r>
    <x v="0"/>
    <x v="1"/>
    <x v="10"/>
    <n v="37"/>
    <m/>
  </r>
  <r>
    <x v="1"/>
    <x v="1"/>
    <x v="0"/>
    <n v="1"/>
    <n v="131"/>
  </r>
  <r>
    <x v="1"/>
    <x v="1"/>
    <x v="1"/>
    <n v="2"/>
    <n v="74"/>
  </r>
  <r>
    <x v="1"/>
    <x v="1"/>
    <x v="3"/>
    <n v="3"/>
    <n v="66"/>
  </r>
  <r>
    <x v="1"/>
    <x v="1"/>
    <x v="2"/>
    <n v="4"/>
    <n v="55"/>
  </r>
  <r>
    <x v="1"/>
    <x v="1"/>
    <x v="4"/>
    <n v="5"/>
    <n v="52"/>
  </r>
  <r>
    <x v="1"/>
    <x v="1"/>
    <x v="5"/>
    <n v="6"/>
    <n v="48"/>
  </r>
  <r>
    <x v="1"/>
    <x v="1"/>
    <x v="11"/>
    <n v="7"/>
    <n v="42"/>
  </r>
  <r>
    <x v="1"/>
    <x v="1"/>
    <x v="6"/>
    <n v="8"/>
    <n v="40"/>
  </r>
  <r>
    <x v="1"/>
    <x v="1"/>
    <x v="7"/>
    <n v="9"/>
    <n v="35"/>
  </r>
  <r>
    <x v="1"/>
    <x v="1"/>
    <x v="15"/>
    <n v="10"/>
    <n v="30"/>
  </r>
  <r>
    <x v="1"/>
    <x v="1"/>
    <x v="9"/>
    <n v="11"/>
    <n v="25"/>
  </r>
  <r>
    <x v="1"/>
    <x v="1"/>
    <x v="18"/>
    <n v="12"/>
    <n v="25"/>
  </r>
  <r>
    <x v="2"/>
    <x v="1"/>
    <x v="0"/>
    <n v="1"/>
    <n v="133"/>
  </r>
  <r>
    <x v="2"/>
    <x v="1"/>
    <x v="1"/>
    <n v="2"/>
    <n v="67"/>
  </r>
  <r>
    <x v="2"/>
    <x v="1"/>
    <x v="3"/>
    <n v="4"/>
    <n v="59"/>
  </r>
  <r>
    <x v="2"/>
    <x v="1"/>
    <x v="2"/>
    <n v="3"/>
    <n v="60"/>
  </r>
  <r>
    <x v="2"/>
    <x v="1"/>
    <x v="4"/>
    <n v="7"/>
    <n v="46"/>
  </r>
  <r>
    <x v="2"/>
    <x v="1"/>
    <x v="5"/>
    <n v="8"/>
    <n v="46"/>
  </r>
  <r>
    <x v="2"/>
    <x v="1"/>
    <x v="11"/>
    <n v="6"/>
    <n v="48"/>
  </r>
  <r>
    <x v="2"/>
    <x v="1"/>
    <x v="6"/>
    <n v="9"/>
    <n v="42"/>
  </r>
  <r>
    <x v="2"/>
    <x v="1"/>
    <x v="7"/>
    <n v="10"/>
    <n v="35"/>
  </r>
  <r>
    <x v="2"/>
    <x v="1"/>
    <x v="15"/>
    <n v="11"/>
    <n v="32"/>
  </r>
  <r>
    <x v="2"/>
    <x v="1"/>
    <x v="13"/>
    <n v="13"/>
    <n v="23"/>
  </r>
  <r>
    <x v="2"/>
    <x v="1"/>
    <x v="9"/>
    <n v="14"/>
    <n v="21"/>
  </r>
  <r>
    <x v="2"/>
    <x v="1"/>
    <x v="18"/>
    <n v="17"/>
    <n v="14"/>
  </r>
  <r>
    <x v="2"/>
    <x v="1"/>
    <x v="16"/>
    <n v="5"/>
    <n v="53"/>
  </r>
  <r>
    <x v="2"/>
    <x v="1"/>
    <x v="17"/>
    <n v="12"/>
    <n v="25"/>
  </r>
  <r>
    <x v="2"/>
    <x v="1"/>
    <x v="10"/>
    <n v="15"/>
    <n v="20"/>
  </r>
  <r>
    <x v="2"/>
    <x v="1"/>
    <x v="19"/>
    <n v="16"/>
    <n v="15"/>
  </r>
  <r>
    <x v="2"/>
    <x v="1"/>
    <x v="14"/>
    <n v="38"/>
    <n v="5"/>
  </r>
  <r>
    <x v="0"/>
    <x v="2"/>
    <x v="20"/>
    <n v="1"/>
    <m/>
  </r>
  <r>
    <x v="0"/>
    <x v="2"/>
    <x v="21"/>
    <n v="4"/>
    <m/>
  </r>
  <r>
    <x v="0"/>
    <x v="2"/>
    <x v="22"/>
    <n v="3"/>
    <m/>
  </r>
  <r>
    <x v="0"/>
    <x v="2"/>
    <x v="23"/>
    <n v="5"/>
    <m/>
  </r>
  <r>
    <x v="0"/>
    <x v="2"/>
    <x v="24"/>
    <n v="6"/>
    <m/>
  </r>
  <r>
    <x v="0"/>
    <x v="2"/>
    <x v="25"/>
    <n v="7"/>
    <m/>
  </r>
  <r>
    <x v="0"/>
    <x v="2"/>
    <x v="26"/>
    <n v="11"/>
    <m/>
  </r>
  <r>
    <x v="0"/>
    <x v="2"/>
    <x v="27"/>
    <n v="8"/>
    <m/>
  </r>
  <r>
    <x v="0"/>
    <x v="2"/>
    <x v="28"/>
    <n v="10"/>
    <m/>
  </r>
  <r>
    <x v="0"/>
    <x v="2"/>
    <x v="29"/>
    <n v="9"/>
    <m/>
  </r>
  <r>
    <x v="0"/>
    <x v="2"/>
    <x v="30"/>
    <n v="2"/>
    <m/>
  </r>
  <r>
    <x v="1"/>
    <x v="2"/>
    <x v="20"/>
    <n v="1"/>
    <m/>
  </r>
  <r>
    <x v="1"/>
    <x v="2"/>
    <x v="21"/>
    <n v="2"/>
    <m/>
  </r>
  <r>
    <x v="1"/>
    <x v="2"/>
    <x v="22"/>
    <n v="3"/>
    <m/>
  </r>
  <r>
    <x v="1"/>
    <x v="2"/>
    <x v="23"/>
    <n v="4"/>
    <m/>
  </r>
  <r>
    <x v="1"/>
    <x v="2"/>
    <x v="24"/>
    <n v="5"/>
    <m/>
  </r>
  <r>
    <x v="1"/>
    <x v="2"/>
    <x v="25"/>
    <n v="6"/>
    <m/>
  </r>
  <r>
    <x v="1"/>
    <x v="2"/>
    <x v="26"/>
    <n v="8"/>
    <m/>
  </r>
  <r>
    <x v="1"/>
    <x v="2"/>
    <x v="27"/>
    <n v="7"/>
    <m/>
  </r>
  <r>
    <x v="1"/>
    <x v="2"/>
    <x v="28"/>
    <n v="9"/>
    <m/>
  </r>
  <r>
    <x v="1"/>
    <x v="2"/>
    <x v="31"/>
    <n v="10"/>
    <m/>
  </r>
  <r>
    <x v="2"/>
    <x v="2"/>
    <x v="20"/>
    <n v="1"/>
    <m/>
  </r>
  <r>
    <x v="2"/>
    <x v="2"/>
    <x v="21"/>
    <n v="2"/>
    <m/>
  </r>
  <r>
    <x v="2"/>
    <x v="2"/>
    <x v="22"/>
    <n v="4"/>
    <m/>
  </r>
  <r>
    <x v="2"/>
    <x v="2"/>
    <x v="23"/>
    <n v="5"/>
    <m/>
  </r>
  <r>
    <x v="2"/>
    <x v="2"/>
    <x v="24"/>
    <n v="6"/>
    <m/>
  </r>
  <r>
    <x v="2"/>
    <x v="2"/>
    <x v="25"/>
    <n v="7"/>
    <m/>
  </r>
  <r>
    <x v="2"/>
    <x v="2"/>
    <x v="26"/>
    <n v="8"/>
    <m/>
  </r>
  <r>
    <x v="2"/>
    <x v="2"/>
    <x v="27"/>
    <n v="9"/>
    <m/>
  </r>
  <r>
    <x v="2"/>
    <x v="2"/>
    <x v="28"/>
    <n v="10"/>
    <m/>
  </r>
  <r>
    <x v="2"/>
    <x v="2"/>
    <x v="29"/>
    <n v="11"/>
    <m/>
  </r>
  <r>
    <x v="2"/>
    <x v="2"/>
    <x v="32"/>
    <n v="12"/>
    <m/>
  </r>
  <r>
    <x v="2"/>
    <x v="2"/>
    <x v="33"/>
    <n v="13"/>
    <m/>
  </r>
  <r>
    <x v="2"/>
    <x v="2"/>
    <x v="34"/>
    <n v="14"/>
    <m/>
  </r>
  <r>
    <x v="2"/>
    <x v="2"/>
    <x v="31"/>
    <n v="15"/>
    <m/>
  </r>
  <r>
    <x v="2"/>
    <x v="2"/>
    <x v="30"/>
    <n v="3"/>
    <m/>
  </r>
  <r>
    <x v="3"/>
    <x v="0"/>
    <x v="0"/>
    <n v="1"/>
    <n v="133"/>
  </r>
  <r>
    <x v="3"/>
    <x v="0"/>
    <x v="1"/>
    <n v="2"/>
    <n v="67"/>
  </r>
  <r>
    <x v="3"/>
    <x v="0"/>
    <x v="2"/>
    <n v="3"/>
    <n v="66"/>
  </r>
  <r>
    <x v="3"/>
    <x v="0"/>
    <x v="3"/>
    <n v="4"/>
    <n v="56"/>
  </r>
  <r>
    <x v="3"/>
    <x v="0"/>
    <x v="11"/>
    <n v="5"/>
    <n v="53"/>
  </r>
  <r>
    <x v="3"/>
    <x v="0"/>
    <x v="4"/>
    <n v="6"/>
    <n v="42"/>
  </r>
  <r>
    <x v="3"/>
    <x v="0"/>
    <x v="5"/>
    <n v="7"/>
    <n v="39"/>
  </r>
  <r>
    <x v="3"/>
    <x v="0"/>
    <x v="6"/>
    <n v="8"/>
    <n v="34"/>
  </r>
  <r>
    <x v="3"/>
    <x v="0"/>
    <x v="7"/>
    <n v="9"/>
    <n v="33"/>
  </r>
  <r>
    <x v="3"/>
    <x v="0"/>
    <x v="12"/>
    <n v="10"/>
    <n v="26"/>
  </r>
  <r>
    <x v="3"/>
    <x v="0"/>
    <x v="8"/>
    <n v="11"/>
    <n v="25"/>
  </r>
  <r>
    <x v="3"/>
    <x v="0"/>
    <x v="13"/>
    <n v="12"/>
    <n v="15"/>
  </r>
  <r>
    <x v="3"/>
    <x v="0"/>
    <x v="9"/>
    <n v="13"/>
    <n v="13"/>
  </r>
  <r>
    <x v="3"/>
    <x v="0"/>
    <x v="10"/>
    <n v="14"/>
    <n v="13"/>
  </r>
  <r>
    <x v="3"/>
    <x v="0"/>
    <x v="14"/>
    <n v="15"/>
    <n v="12"/>
  </r>
  <r>
    <x v="3"/>
    <x v="1"/>
    <x v="0"/>
    <n v="1"/>
    <n v="133"/>
  </r>
  <r>
    <x v="3"/>
    <x v="1"/>
    <x v="1"/>
    <n v="2"/>
    <n v="67"/>
  </r>
  <r>
    <x v="3"/>
    <x v="1"/>
    <x v="3"/>
    <n v="3"/>
    <n v="66"/>
  </r>
  <r>
    <x v="3"/>
    <x v="1"/>
    <x v="2"/>
    <n v="4"/>
    <n v="63"/>
  </r>
  <r>
    <x v="3"/>
    <x v="1"/>
    <x v="4"/>
    <n v="5"/>
    <n v="56"/>
  </r>
  <r>
    <x v="3"/>
    <x v="1"/>
    <x v="5"/>
    <n v="6"/>
    <n v="53"/>
  </r>
  <r>
    <x v="3"/>
    <x v="1"/>
    <x v="11"/>
    <n v="7"/>
    <n v="42"/>
  </r>
  <r>
    <x v="3"/>
    <x v="1"/>
    <x v="6"/>
    <n v="8"/>
    <n v="39"/>
  </r>
  <r>
    <x v="3"/>
    <x v="1"/>
    <x v="7"/>
    <n v="9"/>
    <n v="39"/>
  </r>
  <r>
    <x v="3"/>
    <x v="1"/>
    <x v="15"/>
    <n v="10"/>
    <n v="37"/>
  </r>
  <r>
    <x v="3"/>
    <x v="1"/>
    <x v="13"/>
    <n v="11"/>
    <n v="34"/>
  </r>
  <r>
    <x v="3"/>
    <x v="1"/>
    <x v="9"/>
    <n v="12"/>
    <n v="33"/>
  </r>
  <r>
    <x v="3"/>
    <x v="1"/>
    <x v="18"/>
    <n v="13"/>
    <n v="29"/>
  </r>
  <r>
    <x v="3"/>
    <x v="1"/>
    <x v="16"/>
    <n v="14"/>
    <n v="26"/>
  </r>
  <r>
    <x v="3"/>
    <x v="1"/>
    <x v="17"/>
    <n v="15"/>
    <n v="25"/>
  </r>
  <r>
    <x v="3"/>
    <x v="1"/>
    <x v="10"/>
    <n v="16"/>
    <n v="15"/>
  </r>
  <r>
    <x v="3"/>
    <x v="1"/>
    <x v="19"/>
    <n v="17"/>
    <n v="15"/>
  </r>
  <r>
    <x v="3"/>
    <x v="1"/>
    <x v="14"/>
    <n v="18"/>
    <n v="13"/>
  </r>
  <r>
    <x v="3"/>
    <x v="2"/>
    <x v="20"/>
    <n v="2"/>
    <m/>
  </r>
  <r>
    <x v="3"/>
    <x v="2"/>
    <x v="21"/>
    <n v="1"/>
    <m/>
  </r>
  <r>
    <x v="3"/>
    <x v="2"/>
    <x v="22"/>
    <n v="4"/>
    <m/>
  </r>
  <r>
    <x v="3"/>
    <x v="2"/>
    <x v="23"/>
    <n v="5"/>
    <m/>
  </r>
  <r>
    <x v="3"/>
    <x v="2"/>
    <x v="24"/>
    <n v="6"/>
    <m/>
  </r>
  <r>
    <x v="3"/>
    <x v="2"/>
    <x v="25"/>
    <n v="7"/>
    <m/>
  </r>
  <r>
    <x v="3"/>
    <x v="2"/>
    <x v="26"/>
    <n v="9"/>
    <m/>
  </r>
  <r>
    <x v="3"/>
    <x v="2"/>
    <x v="27"/>
    <n v="10"/>
    <m/>
  </r>
  <r>
    <x v="3"/>
    <x v="2"/>
    <x v="28"/>
    <n v="8"/>
    <m/>
  </r>
  <r>
    <x v="3"/>
    <x v="2"/>
    <x v="30"/>
    <n v="3"/>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35023978-E8FD-4A44-AEDD-7B6443993D31}" name="TablaDinámica3" cacheId="0" applyNumberFormats="0" applyBorderFormats="0" applyFontFormats="0" applyPatternFormats="0" applyAlignmentFormats="0" applyWidthHeightFormats="1" dataCaption="Valores" updatedVersion="7" minRefreshableVersion="3" itemPrintTitles="1" createdVersion="6" indent="0" outline="1" outlineData="1" multipleFieldFilters="0" chartFormat="1" fieldListSortAscending="1">
  <location ref="J4:K20" firstHeaderRow="1" firstDataRow="1" firstDataCol="1" rowPageCount="1" colPageCount="1"/>
  <pivotFields count="5">
    <pivotField multipleItemSelectionAllowed="1" showAll="0">
      <items count="5">
        <item h="1" x="0"/>
        <item h="1" x="1"/>
        <item h="1" x="2"/>
        <item x="3"/>
        <item t="default"/>
      </items>
    </pivotField>
    <pivotField axis="axisPage" multipleItemSelectionAllowed="1" showAll="0">
      <items count="4">
        <item h="1" x="2"/>
        <item x="0"/>
        <item h="1" x="1"/>
        <item t="default"/>
      </items>
    </pivotField>
    <pivotField axis="axisRow" showAll="0" sortType="ascending">
      <items count="36">
        <item x="21"/>
        <item x="13"/>
        <item x="4"/>
        <item x="32"/>
        <item x="20"/>
        <item x="0"/>
        <item x="7"/>
        <item x="23"/>
        <item x="22"/>
        <item x="28"/>
        <item x="31"/>
        <item x="14"/>
        <item x="26"/>
        <item x="34"/>
        <item x="10"/>
        <item x="18"/>
        <item x="1"/>
        <item x="8"/>
        <item x="17"/>
        <item x="16"/>
        <item x="30"/>
        <item x="6"/>
        <item x="27"/>
        <item x="11"/>
        <item x="33"/>
        <item x="24"/>
        <item x="9"/>
        <item x="29"/>
        <item x="5"/>
        <item x="12"/>
        <item x="15"/>
        <item x="19"/>
        <item x="3"/>
        <item x="2"/>
        <item x="25"/>
        <item t="default"/>
      </items>
      <autoSortScope>
        <pivotArea dataOnly="0" outline="0" fieldPosition="0">
          <references count="1">
            <reference field="4294967294" count="1" selected="0">
              <x v="0"/>
            </reference>
          </references>
        </pivotArea>
      </autoSortScope>
    </pivotField>
    <pivotField dataField="1" showAll="0"/>
    <pivotField showAll="0"/>
  </pivotFields>
  <rowFields count="1">
    <field x="2"/>
  </rowFields>
  <rowItems count="16">
    <i>
      <x v="5"/>
    </i>
    <i>
      <x v="16"/>
    </i>
    <i>
      <x v="33"/>
    </i>
    <i>
      <x v="32"/>
    </i>
    <i>
      <x v="23"/>
    </i>
    <i>
      <x v="2"/>
    </i>
    <i>
      <x v="28"/>
    </i>
    <i>
      <x v="21"/>
    </i>
    <i>
      <x v="6"/>
    </i>
    <i>
      <x v="29"/>
    </i>
    <i>
      <x v="17"/>
    </i>
    <i>
      <x v="1"/>
    </i>
    <i>
      <x v="26"/>
    </i>
    <i>
      <x v="14"/>
    </i>
    <i>
      <x v="11"/>
    </i>
    <i t="grand">
      <x/>
    </i>
  </rowItems>
  <colItems count="1">
    <i/>
  </colItems>
  <pageFields count="1">
    <pageField fld="1" hier="-1"/>
  </pageFields>
  <dataFields count="1">
    <dataField name="Posicion" fld="3" subtotal="max" baseField="2" baseItem="5"/>
  </dataFields>
  <formats count="12">
    <format dxfId="76">
      <pivotArea dataOnly="0" labelOnly="1" fieldPosition="0">
        <references count="1">
          <reference field="2" count="1">
            <x v="26"/>
          </reference>
        </references>
      </pivotArea>
    </format>
    <format dxfId="75">
      <pivotArea dataOnly="0" labelOnly="1" fieldPosition="0">
        <references count="1">
          <reference field="2" count="1">
            <x v="26"/>
          </reference>
        </references>
      </pivotArea>
    </format>
    <format dxfId="74">
      <pivotArea outline="0" collapsedLevelsAreSubtotals="1" fieldPosition="0"/>
    </format>
    <format dxfId="73">
      <pivotArea dataOnly="0" labelOnly="1" outline="0" fieldPosition="0">
        <references count="1">
          <reference field="1" count="0"/>
        </references>
      </pivotArea>
    </format>
    <format dxfId="72">
      <pivotArea dataOnly="0" labelOnly="1" outline="0" axis="axisValues" fieldPosition="0"/>
    </format>
    <format dxfId="71">
      <pivotArea dataOnly="0" labelOnly="1" outline="0" axis="axisValues" fieldPosition="0"/>
    </format>
    <format dxfId="70">
      <pivotArea outline="0" collapsedLevelsAreSubtotals="1" fieldPosition="0"/>
    </format>
    <format dxfId="69">
      <pivotArea dataOnly="0" labelOnly="1" outline="0" fieldPosition="0">
        <references count="1">
          <reference field="1" count="0"/>
        </references>
      </pivotArea>
    </format>
    <format dxfId="68">
      <pivotArea dataOnly="0" labelOnly="1" outline="0" axis="axisValues" fieldPosition="0"/>
    </format>
    <format dxfId="67">
      <pivotArea dataOnly="0" labelOnly="1" outline="0" axis="axisValues" fieldPosition="0"/>
    </format>
    <format dxfId="66">
      <pivotArea dataOnly="0" labelOnly="1" outline="0" fieldPosition="0">
        <references count="1">
          <reference field="1" count="0"/>
        </references>
      </pivotArea>
    </format>
    <format dxfId="65">
      <pivotArea dataOnly="0" labelOnly="1" outline="0" fieldPosition="0">
        <references count="1">
          <reference field="1"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7ED3C6C5-50A3-400A-9295-D42938D95C75}" name="TablaDinámica1" cacheId="0" applyNumberFormats="0" applyBorderFormats="0" applyFontFormats="0" applyPatternFormats="0" applyAlignmentFormats="0" applyWidthHeightFormats="1" dataCaption="Valores" updatedVersion="7" minRefreshableVersion="3" itemPrintTitles="1" createdVersion="6" indent="0" outline="1" outlineData="1" multipleFieldFilters="0" chartFormat="14" fieldListSortAscending="1">
  <location ref="G4:H23" firstHeaderRow="1" firstDataRow="1" firstDataCol="1" rowPageCount="1" colPageCount="1"/>
  <pivotFields count="5">
    <pivotField multipleItemSelectionAllowed="1" showAll="0">
      <items count="5">
        <item h="1" x="0"/>
        <item h="1" x="1"/>
        <item h="1" x="2"/>
        <item x="3"/>
        <item t="default"/>
      </items>
    </pivotField>
    <pivotField axis="axisPage" multipleItemSelectionAllowed="1" showAll="0">
      <items count="4">
        <item h="1" x="2"/>
        <item h="1" x="0"/>
        <item x="1"/>
        <item t="default"/>
      </items>
    </pivotField>
    <pivotField axis="axisRow" showAll="0" sortType="descending">
      <items count="36">
        <item x="21"/>
        <item x="13"/>
        <item x="4"/>
        <item x="32"/>
        <item x="20"/>
        <item x="0"/>
        <item x="7"/>
        <item x="23"/>
        <item x="22"/>
        <item x="28"/>
        <item x="31"/>
        <item x="14"/>
        <item x="26"/>
        <item x="34"/>
        <item x="10"/>
        <item x="18"/>
        <item x="1"/>
        <item x="8"/>
        <item x="17"/>
        <item x="16"/>
        <item x="30"/>
        <item x="6"/>
        <item x="27"/>
        <item x="11"/>
        <item x="33"/>
        <item x="24"/>
        <item x="9"/>
        <item x="29"/>
        <item x="5"/>
        <item x="12"/>
        <item x="15"/>
        <item x="19"/>
        <item x="3"/>
        <item x="2"/>
        <item x="25"/>
        <item t="default"/>
      </items>
      <autoSortScope>
        <pivotArea dataOnly="0" outline="0" fieldPosition="0">
          <references count="1">
            <reference field="4294967294" count="1" selected="0">
              <x v="0"/>
            </reference>
          </references>
        </pivotArea>
      </autoSortScope>
    </pivotField>
    <pivotField showAll="0"/>
    <pivotField dataField="1" showAll="0"/>
  </pivotFields>
  <rowFields count="1">
    <field x="2"/>
  </rowFields>
  <rowItems count="19">
    <i>
      <x v="5"/>
    </i>
    <i>
      <x v="16"/>
    </i>
    <i>
      <x v="32"/>
    </i>
    <i>
      <x v="33"/>
    </i>
    <i>
      <x v="2"/>
    </i>
    <i>
      <x v="28"/>
    </i>
    <i>
      <x v="23"/>
    </i>
    <i>
      <x v="6"/>
    </i>
    <i>
      <x v="21"/>
    </i>
    <i>
      <x v="30"/>
    </i>
    <i>
      <x v="1"/>
    </i>
    <i>
      <x v="26"/>
    </i>
    <i>
      <x v="15"/>
    </i>
    <i>
      <x v="19"/>
    </i>
    <i>
      <x v="18"/>
    </i>
    <i>
      <x v="31"/>
    </i>
    <i>
      <x v="14"/>
    </i>
    <i>
      <x v="11"/>
    </i>
    <i t="grand">
      <x/>
    </i>
  </rowItems>
  <colItems count="1">
    <i/>
  </colItems>
  <pageFields count="1">
    <pageField fld="1" hier="-1"/>
  </pageFields>
  <dataFields count="1">
    <dataField name="Eventos" fld="4" baseField="2" baseItem="5"/>
  </dataFields>
  <formats count="6">
    <format dxfId="82">
      <pivotArea dataOnly="0" labelOnly="1" fieldPosition="0">
        <references count="1">
          <reference field="2" count="1">
            <x v="26"/>
          </reference>
        </references>
      </pivotArea>
    </format>
    <format dxfId="81">
      <pivotArea dataOnly="0" labelOnly="1" fieldPosition="0">
        <references count="1">
          <reference field="2" count="1">
            <x v="26"/>
          </reference>
        </references>
      </pivotArea>
    </format>
    <format dxfId="80">
      <pivotArea dataOnly="0" labelOnly="1" outline="0" axis="axisValues" fieldPosition="0"/>
    </format>
    <format dxfId="79">
      <pivotArea dataOnly="0" labelOnly="1" outline="0" axis="axisValues" fieldPosition="0"/>
    </format>
    <format dxfId="78">
      <pivotArea field="2" type="button" dataOnly="0" labelOnly="1" outline="0" axis="axisRow" fieldPosition="0"/>
    </format>
    <format dxfId="77">
      <pivotArea field="2" type="button" dataOnly="0" labelOnly="1" outline="0" axis="axisRow" fieldPosition="0"/>
    </format>
  </formats>
  <chartFormats count="4">
    <chartFormat chart="0" format="7" series="1">
      <pivotArea type="data" outline="0" fieldPosition="0">
        <references count="1">
          <reference field="4294967294" count="1" selected="0">
            <x v="0"/>
          </reference>
        </references>
      </pivotArea>
    </chartFormat>
    <chartFormat chart="0" format="9">
      <pivotArea type="data" outline="0" fieldPosition="0">
        <references count="2">
          <reference field="4294967294" count="1" selected="0">
            <x v="0"/>
          </reference>
          <reference field="2" count="1" selected="0">
            <x v="26"/>
          </reference>
        </references>
      </pivotArea>
    </chartFormat>
    <chartFormat chart="1" format="10" series="1">
      <pivotArea type="data" outline="0" fieldPosition="0">
        <references count="1">
          <reference field="4294967294" count="1" selected="0">
            <x v="0"/>
          </reference>
        </references>
      </pivotArea>
    </chartFormat>
    <chartFormat chart="1" format="11">
      <pivotArea type="data" outline="0" fieldPosition="0">
        <references count="2">
          <reference field="4294967294" count="1" selected="0">
            <x v="0"/>
          </reference>
          <reference field="2" count="1" selected="0">
            <x v="2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AÑO1" xr10:uid="{D1EF7B17-68C9-4B5E-BC12-92C20BFDCC86}" sourceName="AÑO">
  <pivotTables>
    <pivotTable tabId="111" name="TablaDinámica1"/>
    <pivotTable tabId="111" name="TablaDinámica3"/>
  </pivotTables>
  <data>
    <tabular pivotCacheId="965484089">
      <items count="4">
        <i x="0"/>
        <i x="1"/>
        <i x="2"/>
        <i x="3"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AÑO 1" xr10:uid="{771715E7-412B-4B63-B1DE-6CE03D451690}" cache="SegmentaciónDeDatos_AÑO1" caption="AÑO"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EC92A8A-090D-4CF4-8D5E-A4C1816456D9}" name="Tabla3" displayName="Tabla3" ref="A3:E162" totalsRowShown="0">
  <autoFilter ref="A3:E162" xr:uid="{00000000-0009-0000-0100-000003000000}"/>
  <tableColumns count="5">
    <tableColumn id="1" xr3:uid="{205B0B4E-1CE5-4885-BAE0-B8695F5CF3E5}" name="AÑO" dataDxfId="64"/>
    <tableColumn id="2" xr3:uid="{6C4F9065-4C9C-4AF8-9E26-4B94B932E575}" name="RAKING"/>
    <tableColumn id="3" xr3:uid="{A85D1495-8383-42DF-A228-94124C1C5B07}" name="CIUDAD"/>
    <tableColumn id="4" xr3:uid="{7CC959F4-A7AC-4D7C-9000-7FC47C794480}" name="POSICIÓN"/>
    <tableColumn id="5" xr3:uid="{F38289B3-6C08-44F4-8ACD-00AA9FA97016}" name="NUMERO DE EVENTOS"/>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0000000}" name="Tabla35" displayName="Tabla35" ref="B4:E23" totalsRowShown="0" headerRowDxfId="63" dataDxfId="62">
  <autoFilter ref="B4:E23" xr:uid="{00000000-0009-0000-0100-000004000000}"/>
  <tableColumns count="4">
    <tableColumn id="1" xr3:uid="{00000000-0010-0000-0000-000001000000}" name="tipo" dataDxfId="61"/>
    <tableColumn id="2" xr3:uid="{00000000-0010-0000-0000-000002000000}" name="N° Establecimientos" dataDxfId="60"/>
    <tableColumn id="3" xr3:uid="{00000000-0010-0000-0000-000003000000}" name="No. Habitaciones" dataDxfId="59"/>
    <tableColumn id="4" xr3:uid="{00000000-0010-0000-0000-000004000000}" name="No. Plazas" dataDxfId="58"/>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a44" displayName="Tabla44" ref="B4:D20" totalsRowShown="0" headerRowDxfId="57" dataDxfId="55" headerRowBorderDxfId="56" tableBorderDxfId="54" totalsRowBorderDxfId="53">
  <autoFilter ref="B4:D20" xr:uid="{00000000-0009-0000-0100-000003000000}"/>
  <tableColumns count="3">
    <tableColumn id="1" xr3:uid="{00000000-0010-0000-0100-000001000000}" name="Sector Turístico Geográfico" dataDxfId="52"/>
    <tableColumn id="2" xr3:uid="{00000000-0010-0000-0100-000002000000}" name="No. Plaza" dataDxfId="51"/>
    <tableColumn id="3" xr3:uid="{00000000-0010-0000-0100-000003000000}" name="No. Habitaciones" dataDxfId="50"/>
  </tableColumns>
  <tableStyleInfo name="TableStyleLight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H37" dT="2021-10-20T21:08:30.80" personId="{FBE32726-5AA9-47DA-90DC-619B885EB2C0}" id="{75C3A838-7564-434D-9364-ADCA23801E18}">
    <text>SISTEMA NACIONAL DE ÁREAS PROTEGIDAS DEL ECUADOR - SNAP. El SNAP abarca cuatro regiones del país y alberga 56 reservas naturales que se extienden en aproximadamente el 20% de la superficie del Ecuador. Conservar la diversidad biológica y los recursos genéticos contenidos en el SNAP.</text>
  </threadedComment>
  <threadedComment ref="J48" dT="2021-10-20T21:17:17.18" personId="{FBE32726-5AA9-47DA-90DC-619B885EB2C0}" id="{0AACFA5F-D76D-4DBC-9A95-192A363E6723}">
    <text>https://servicios.turismo.gob.ec/entradas-y-salidas-internacionales    oct2021</text>
  </threadedComment>
</ThreadedComments>
</file>

<file path=xl/threadedComments/threadedComment2.xml><?xml version="1.0" encoding="utf-8"?>
<ThreadedComments xmlns="http://schemas.microsoft.com/office/spreadsheetml/2018/threadedcomments" xmlns:x="http://schemas.openxmlformats.org/spreadsheetml/2006/main">
  <threadedComment ref="P16" dT="2021-06-16T14:39:27.85" personId="{FBE32726-5AA9-47DA-90DC-619B885EB2C0}" id="{06F1E9A7-A57E-4E81-8DEA-C4813B30436F}">
    <text>meta 2021</text>
  </threadedComment>
</ThreadedComments>
</file>

<file path=xl/threadedComments/threadedComment3.xml><?xml version="1.0" encoding="utf-8"?>
<ThreadedComments xmlns="http://schemas.microsoft.com/office/spreadsheetml/2018/threadedcomments" xmlns:x="http://schemas.openxmlformats.org/spreadsheetml/2006/main">
  <threadedComment ref="JS38" dT="2021-06-21T21:43:19.73" personId="{FBE32726-5AA9-47DA-90DC-619B885EB2C0}" id="{E8AE7E18-A75C-4A28-AF34-A6020F016E63}">
    <text>Arrastrar los otros meses</text>
  </threadedComment>
</ThreadedComments>
</file>

<file path=xl/threadedComments/threadedComment4.xml><?xml version="1.0" encoding="utf-8"?>
<ThreadedComments xmlns="http://schemas.microsoft.com/office/spreadsheetml/2018/threadedcomments" xmlns:x="http://schemas.openxmlformats.org/spreadsheetml/2006/main">
  <threadedComment ref="JA85" dT="2021-06-21T21:43:19.73" personId="{FBE32726-5AA9-47DA-90DC-619B885EB2C0}" id="{6E404CCA-7206-45C4-BEDA-011156384290}">
    <text>Arrastrar los otros meses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areasprotegidas.ambiente.gob.ec/en/info-snap" TargetMode="External"/><Relationship Id="rId7" Type="http://schemas.openxmlformats.org/officeDocument/2006/relationships/hyperlink" Target="https://servicios.turismo.gob.ec/visualizador-economico" TargetMode="External"/><Relationship Id="rId12" Type="http://schemas.microsoft.com/office/2017/10/relationships/threadedComment" Target="../threadedComments/threadedComment1.xml"/><Relationship Id="rId2" Type="http://schemas.openxmlformats.org/officeDocument/2006/relationships/hyperlink" Target="https://servicios.turismo.gob.ec/visualizador-economico" TargetMode="External"/><Relationship Id="rId1" Type="http://schemas.openxmlformats.org/officeDocument/2006/relationships/hyperlink" Target="https://contenido.bce.fin.ec/documentos/Estadisticas/SectorReal/CuentasCantonales/Indice.htm" TargetMode="External"/><Relationship Id="rId6" Type="http://schemas.openxmlformats.org/officeDocument/2006/relationships/hyperlink" Target="http://areasprotegidas.ambiente.gob.ec/en/info-snap" TargetMode="External"/><Relationship Id="rId11" Type="http://schemas.openxmlformats.org/officeDocument/2006/relationships/comments" Target="../comments1.xml"/><Relationship Id="rId5" Type="http://schemas.openxmlformats.org/officeDocument/2006/relationships/hyperlink" Target="https://contenido.bce.fin.ec/documentos/Estadisticas/SectorReal/CuentasCantonales/Indice.htm" TargetMode="External"/><Relationship Id="rId10" Type="http://schemas.openxmlformats.org/officeDocument/2006/relationships/vmlDrawing" Target="../drawings/vmlDrawing1.vml"/><Relationship Id="rId4" Type="http://schemas.openxmlformats.org/officeDocument/2006/relationships/hyperlink" Target="http://servicios.turismo.gob.ec/index.php/turismo-cifras/2018-09-18-21-11-17/indicadores-de-alojamiento"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hyperlink" Target="https://servicios.turismo.gob.ec/index.php/turismo-cifras/2018-09-19-17-01-51/movimientos-internacionales" TargetMode="External"/><Relationship Id="rId13" Type="http://schemas.openxmlformats.org/officeDocument/2006/relationships/hyperlink" Target="https://servicios.turismo.gob.ec/index.php/turismo-cifras/2018-09-19-17-01-51/movimientos-internacionales" TargetMode="External"/><Relationship Id="rId18" Type="http://schemas.openxmlformats.org/officeDocument/2006/relationships/hyperlink" Target="https://servicios.turismo.gob.ec/visualizador-movimientos" TargetMode="External"/><Relationship Id="rId26" Type="http://schemas.openxmlformats.org/officeDocument/2006/relationships/hyperlink" Target="https://servicios.turismo.gob.ec/entradas-y-salidas-internacionales" TargetMode="External"/><Relationship Id="rId3" Type="http://schemas.openxmlformats.org/officeDocument/2006/relationships/hyperlink" Target="https://servicios.turismo.gob.ec/index.php/turismo-cifras/2018-09-19-17-01-51/movimientos-internacionales" TargetMode="External"/><Relationship Id="rId21" Type="http://schemas.openxmlformats.org/officeDocument/2006/relationships/hyperlink" Target="https://servicios.turismo.gob.ec/index.php/turismo-cifras/2018-09-19-17-01-51/movimientos-internacionales" TargetMode="External"/><Relationship Id="rId7" Type="http://schemas.openxmlformats.org/officeDocument/2006/relationships/hyperlink" Target="https://servicios.turismo.gob.ec/index.php/turismo-cifras/2018-09-19-17-01-51/movimientos-internacionales" TargetMode="External"/><Relationship Id="rId12" Type="http://schemas.openxmlformats.org/officeDocument/2006/relationships/hyperlink" Target="https://servicios.turismo.gob.ec/index.php/turismo-cifras/2018-09-19-17-01-51/movimientos-internacionales" TargetMode="External"/><Relationship Id="rId17" Type="http://schemas.openxmlformats.org/officeDocument/2006/relationships/hyperlink" Target="https://servicios.turismo.gob.ec/visualizador-movimientos" TargetMode="External"/><Relationship Id="rId25" Type="http://schemas.openxmlformats.org/officeDocument/2006/relationships/hyperlink" Target="https://servicios.turismo.gob.ec/entradas-y-salidas-internacionales" TargetMode="External"/><Relationship Id="rId2" Type="http://schemas.openxmlformats.org/officeDocument/2006/relationships/hyperlink" Target="https://servicios.turismo.gob.ec/index.php/turismo-cifras/2018-09-19-17-01-51/movimientos-internacionales" TargetMode="External"/><Relationship Id="rId16" Type="http://schemas.openxmlformats.org/officeDocument/2006/relationships/hyperlink" Target="https://servicios.turismo.gob.ec/visualizador-movimientos" TargetMode="External"/><Relationship Id="rId20" Type="http://schemas.openxmlformats.org/officeDocument/2006/relationships/hyperlink" Target="https://servicios.turismo.gob.ec/visualizador-movimientos" TargetMode="External"/><Relationship Id="rId29" Type="http://schemas.openxmlformats.org/officeDocument/2006/relationships/vmlDrawing" Target="../drawings/vmlDrawing2.vml"/><Relationship Id="rId1" Type="http://schemas.openxmlformats.org/officeDocument/2006/relationships/hyperlink" Target="https://servicios.turismo.gob.ec/index.php/turismo-cifras/2018-09-19-17-01-51/movimientos-internacionales" TargetMode="External"/><Relationship Id="rId6" Type="http://schemas.openxmlformats.org/officeDocument/2006/relationships/hyperlink" Target="https://servicios.turismo.gob.ec/index.php/turismo-cifras/2018-09-19-17-01-51/movimientos-internacionales" TargetMode="External"/><Relationship Id="rId11" Type="http://schemas.openxmlformats.org/officeDocument/2006/relationships/hyperlink" Target="https://servicios.turismo.gob.ec/index.php/turismo-cifras/2018-09-19-17-01-51/movimientos-internacionales" TargetMode="External"/><Relationship Id="rId24" Type="http://schemas.openxmlformats.org/officeDocument/2006/relationships/hyperlink" Target="https://servicios.turismo.gob.ec/entradas-y-salidas-internacionales" TargetMode="External"/><Relationship Id="rId5" Type="http://schemas.openxmlformats.org/officeDocument/2006/relationships/hyperlink" Target="https://servicios.turismo.gob.ec/index.php/turismo-cifras/2018-09-19-17-01-51/movimientos-internacionales" TargetMode="External"/><Relationship Id="rId15" Type="http://schemas.openxmlformats.org/officeDocument/2006/relationships/hyperlink" Target="https://servicios.turismo.gob.ec/index.php/turismo-cifras/2018-09-19-17-01-51/movimientos-internacionales" TargetMode="External"/><Relationship Id="rId23" Type="http://schemas.openxmlformats.org/officeDocument/2006/relationships/hyperlink" Target="https://servicios.turismo.gob.ec/entradas-y-salidas-internacionales" TargetMode="External"/><Relationship Id="rId28" Type="http://schemas.openxmlformats.org/officeDocument/2006/relationships/drawing" Target="../drawings/drawing3.xml"/><Relationship Id="rId10" Type="http://schemas.openxmlformats.org/officeDocument/2006/relationships/hyperlink" Target="https://servicios.turismo.gob.ec/index.php/turismo-cifras/2018-09-19-17-01-51/movimientos-internacionales" TargetMode="External"/><Relationship Id="rId19" Type="http://schemas.openxmlformats.org/officeDocument/2006/relationships/hyperlink" Target="https://servicios.turismo.gob.ec/index.php/turismo-cifras/2018-09-19-17-01-51/movimientos-internacionales" TargetMode="External"/><Relationship Id="rId31" Type="http://schemas.microsoft.com/office/2017/10/relationships/threadedComment" Target="../threadedComments/threadedComment2.xml"/><Relationship Id="rId4" Type="http://schemas.openxmlformats.org/officeDocument/2006/relationships/hyperlink" Target="https://servicios.turismo.gob.ec/index.php/turismo-cifras/2018-09-19-17-01-51/movimientos-internacionales" TargetMode="External"/><Relationship Id="rId9" Type="http://schemas.openxmlformats.org/officeDocument/2006/relationships/hyperlink" Target="https://servicios.turismo.gob.ec/index.php/turismo-cifras/2018-09-19-17-01-51/movimientos-internacionales" TargetMode="External"/><Relationship Id="rId14" Type="http://schemas.openxmlformats.org/officeDocument/2006/relationships/hyperlink" Target="https://servicios.turismo.gob.ec/index.php/turismo-cifras/2018-09-19-17-01-51/movimientos-internacionales" TargetMode="External"/><Relationship Id="rId22" Type="http://schemas.openxmlformats.org/officeDocument/2006/relationships/hyperlink" Target="https://servicios.turismo.gob.ec/index.php/turismo-cifras/2018-09-19-17-01-51/movimientos-internacionales" TargetMode="External"/><Relationship Id="rId27" Type="http://schemas.openxmlformats.org/officeDocument/2006/relationships/printerSettings" Target="../printerSettings/printerSettings3.bin"/><Relationship Id="rId30"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microsoft.com/office/2017/10/relationships/threadedComment" Target="../threadedComments/threadedComment3.xml"/><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5" Type="http://schemas.microsoft.com/office/2017/10/relationships/threadedComment" Target="../threadedComments/threadedComment4.xml"/><Relationship Id="rId4" Type="http://schemas.openxmlformats.org/officeDocument/2006/relationships/comments" Target="../comments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microsoft.com/office/2007/relationships/slicer" Target="../slicers/slicer1.xml"/><Relationship Id="rId5" Type="http://schemas.openxmlformats.org/officeDocument/2006/relationships/table" Target="../tables/table1.xml"/><Relationship Id="rId4"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2.bin"/><Relationship Id="rId1" Type="http://schemas.openxmlformats.org/officeDocument/2006/relationships/hyperlink" Target="https://www.iccaworld.org/" TargetMode="External"/></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hyperlink" Target="http://servicios.turismo.gob.ec/index.php/turismo-cifras/2018-09-19-20-08-01/analisis-macro-economico" TargetMode="External"/><Relationship Id="rId1" Type="http://schemas.openxmlformats.org/officeDocument/2006/relationships/hyperlink" Target="https://contenido.bce.fin.ec/documentos/Estadisticas/SectorReal/CuentasCantonales/Indice.htm" TargetMode="External"/><Relationship Id="rId6" Type="http://schemas.openxmlformats.org/officeDocument/2006/relationships/comments" Target="../comments7.xml"/><Relationship Id="rId5" Type="http://schemas.openxmlformats.org/officeDocument/2006/relationships/vmlDrawing" Target="../drawings/vmlDrawing7.vml"/><Relationship Id="rId4"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6.xml"/><Relationship Id="rId1" Type="http://schemas.openxmlformats.org/officeDocument/2006/relationships/printerSettings" Target="../printerSettings/printerSettings21.bin"/><Relationship Id="rId4" Type="http://schemas.openxmlformats.org/officeDocument/2006/relationships/comments" Target="../comments12.xml"/></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hyperlink" Target="http://servicios.turismo.gob.ec/index.php/turismo-cifras/2018-09-18-21-11-17/indicadores-de-alojamiento" TargetMode="External"/><Relationship Id="rId7" Type="http://schemas.openxmlformats.org/officeDocument/2006/relationships/hyperlink" Target="http://servicios.turismo.gob.ec/index.php/turismo-cifras/2018-09-18-21-11-17/indicadores-de-alojamiento" TargetMode="External"/><Relationship Id="rId2" Type="http://schemas.openxmlformats.org/officeDocument/2006/relationships/hyperlink" Target="http://servicios.turismo.gob.ec/index.php/turismo-cifras/2018-09-18-21-11-17/indicadores-de-alojamiento" TargetMode="External"/><Relationship Id="rId1" Type="http://schemas.openxmlformats.org/officeDocument/2006/relationships/hyperlink" Target="http://servicios.turismo.gob.ec/index.php/turismo-cifras/2018-09-18-21-11-17/indicadores-de-alojamiento" TargetMode="External"/><Relationship Id="rId6" Type="http://schemas.openxmlformats.org/officeDocument/2006/relationships/hyperlink" Target="http://servicios.turismo.gob.ec/index.php/turismo-cifras/2018-09-18-21-11-17/indicadores-de-alojamiento" TargetMode="External"/><Relationship Id="rId11" Type="http://schemas.openxmlformats.org/officeDocument/2006/relationships/comments" Target="../comments13.xml"/><Relationship Id="rId5" Type="http://schemas.openxmlformats.org/officeDocument/2006/relationships/hyperlink" Target="http://servicios.turismo.gob.ec/index.php/turismo-cifras/2018-09-18-21-11-17/indicadores-de-alojamiento" TargetMode="External"/><Relationship Id="rId10" Type="http://schemas.openxmlformats.org/officeDocument/2006/relationships/vmlDrawing" Target="../drawings/vmlDrawing13.vml"/><Relationship Id="rId4" Type="http://schemas.openxmlformats.org/officeDocument/2006/relationships/hyperlink" Target="http://servicios.turismo.gob.ec/index.php/turismo-cifras/2018-09-18-21-11-17/indicadores-de-alojamiento" TargetMode="External"/><Relationship Id="rId9" Type="http://schemas.openxmlformats.org/officeDocument/2006/relationships/drawing" Target="../drawings/drawing17.xm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5.bin"/><Relationship Id="rId3" Type="http://schemas.openxmlformats.org/officeDocument/2006/relationships/hyperlink" Target="http://servicios.turismo.gob.ec/index.php/turismo-cifras/2018-09-18-21-11-17/indicadores-de-alojamiento" TargetMode="External"/><Relationship Id="rId7" Type="http://schemas.openxmlformats.org/officeDocument/2006/relationships/hyperlink" Target="http://servicios.turismo.gob.ec/index.php/turismo-cifras/2018-09-18-21-11-17/indicadores-de-alojamiento" TargetMode="External"/><Relationship Id="rId2" Type="http://schemas.openxmlformats.org/officeDocument/2006/relationships/hyperlink" Target="http://servicios.turismo.gob.ec/index.php/turismo-cifras/2018-09-18-21-11-17/indicadores-de-alojamiento" TargetMode="External"/><Relationship Id="rId1" Type="http://schemas.openxmlformats.org/officeDocument/2006/relationships/hyperlink" Target="http://servicios.turismo.gob.ec/index.php/turismo-cifras/2018-09-18-21-11-17/indicadores-de-alojamiento" TargetMode="External"/><Relationship Id="rId6" Type="http://schemas.openxmlformats.org/officeDocument/2006/relationships/hyperlink" Target="http://servicios.turismo.gob.ec/index.php/turismo-cifras/2018-09-18-21-11-17/indicadores-de-alojamiento" TargetMode="External"/><Relationship Id="rId11" Type="http://schemas.openxmlformats.org/officeDocument/2006/relationships/comments" Target="../comments14.xml"/><Relationship Id="rId5" Type="http://schemas.openxmlformats.org/officeDocument/2006/relationships/hyperlink" Target="http://servicios.turismo.gob.ec/index.php/turismo-cifras/2018-09-18-21-11-17/indicadores-de-alojamiento" TargetMode="External"/><Relationship Id="rId10" Type="http://schemas.openxmlformats.org/officeDocument/2006/relationships/vmlDrawing" Target="../drawings/vmlDrawing14.vml"/><Relationship Id="rId4" Type="http://schemas.openxmlformats.org/officeDocument/2006/relationships/hyperlink" Target="http://servicios.turismo.gob.ec/index.php/turismo-cifras/2018-09-18-21-11-17/indicadores-de-alojamiento" TargetMode="External"/><Relationship Id="rId9" Type="http://schemas.openxmlformats.org/officeDocument/2006/relationships/drawing" Target="../drawings/drawing18.xml"/></Relationships>
</file>

<file path=xl/worksheets/_rels/sheet30.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9.xml"/><Relationship Id="rId1" Type="http://schemas.openxmlformats.org/officeDocument/2006/relationships/printerSettings" Target="../printerSettings/printerSettings26.bin"/><Relationship Id="rId4" Type="http://schemas.openxmlformats.org/officeDocument/2006/relationships/comments" Target="../comments15.xml"/></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7.bin"/></Relationships>
</file>

<file path=xl/worksheets/_rels/sheet32.xml.rels><?xml version="1.0" encoding="UTF-8" standalone="yes"?>
<Relationships xmlns="http://schemas.openxmlformats.org/package/2006/relationships"><Relationship Id="rId3" Type="http://schemas.openxmlformats.org/officeDocument/2006/relationships/hyperlink" Target="http://www.ine.es/jaxiT3/Datos.htm?t=2065" TargetMode="External"/><Relationship Id="rId7" Type="http://schemas.openxmlformats.org/officeDocument/2006/relationships/comments" Target="../comments16.xml"/><Relationship Id="rId2" Type="http://schemas.openxmlformats.org/officeDocument/2006/relationships/hyperlink" Target="http://www.ine.es/jaxiT3/Datos.htm?t=2065" TargetMode="External"/><Relationship Id="rId1" Type="http://schemas.openxmlformats.org/officeDocument/2006/relationships/hyperlink" Target="http://www.bogotaturismo.gov.co/sites/default/files/observatorio/Hoteles_2010/resultados_estancia.htm" TargetMode="External"/><Relationship Id="rId6" Type="http://schemas.openxmlformats.org/officeDocument/2006/relationships/vmlDrawing" Target="../drawings/vmlDrawing16.vml"/><Relationship Id="rId5" Type="http://schemas.openxmlformats.org/officeDocument/2006/relationships/drawing" Target="../drawings/drawing21.xml"/><Relationship Id="rId4" Type="http://schemas.openxmlformats.org/officeDocument/2006/relationships/printerSettings" Target="../printerSettings/printerSettings28.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9.bin"/></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35.xml.rels><?xml version="1.0" encoding="UTF-8" standalone="yes"?>
<Relationships xmlns="http://schemas.openxmlformats.org/package/2006/relationships"><Relationship Id="rId3" Type="http://schemas.openxmlformats.org/officeDocument/2006/relationships/drawing" Target="../drawings/drawing24.xml"/><Relationship Id="rId2" Type="http://schemas.openxmlformats.org/officeDocument/2006/relationships/printerSettings" Target="../printerSettings/printerSettings30.bin"/><Relationship Id="rId1" Type="http://schemas.openxmlformats.org/officeDocument/2006/relationships/hyperlink" Target="https://www.google.com/maps/d/viewer?mid=1m6QlLr6r7xJkUbefu-SPxMqY2IzFPcNU&amp;ll=-0.17656373534363062%2C-78.3254002070313&amp;z=11" TargetMode="External"/></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31.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33.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4.bin"/></Relationships>
</file>

<file path=xl/worksheets/_rels/sheet40.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drawing" Target="../drawings/drawing30.xml"/></Relationships>
</file>

<file path=xl/worksheets/_rels/sheet4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42.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31.xml"/><Relationship Id="rId1" Type="http://schemas.openxmlformats.org/officeDocument/2006/relationships/printerSettings" Target="../printerSettings/printerSettings35.bin"/><Relationship Id="rId4" Type="http://schemas.openxmlformats.org/officeDocument/2006/relationships/comments" Target="../comments17.xml"/></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6.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7.bin"/></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35.xml"/></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8.bin"/></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38.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41.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42.xml"/></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39.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0.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41.bin"/></Relationships>
</file>

<file path=xl/worksheets/_rels/sheet53.xml.rels><?xml version="1.0" encoding="UTF-8" standalone="yes"?>
<Relationships xmlns="http://schemas.openxmlformats.org/package/2006/relationships"><Relationship Id="rId1" Type="http://schemas.openxmlformats.org/officeDocument/2006/relationships/drawing" Target="../drawings/drawing51.xml"/></Relationships>
</file>

<file path=xl/worksheets/_rels/sheet54.xml.rels><?xml version="1.0" encoding="UTF-8" standalone="yes"?>
<Relationships xmlns="http://schemas.openxmlformats.org/package/2006/relationships"><Relationship Id="rId1" Type="http://schemas.openxmlformats.org/officeDocument/2006/relationships/drawing" Target="../drawings/drawing53.xml"/></Relationships>
</file>

<file path=xl/worksheets/_rels/sheet55.xml.rels><?xml version="1.0" encoding="UTF-8" standalone="yes"?>
<Relationships xmlns="http://schemas.openxmlformats.org/package/2006/relationships"><Relationship Id="rId1" Type="http://schemas.openxmlformats.org/officeDocument/2006/relationships/drawing" Target="../drawings/drawing55.xml"/></Relationships>
</file>

<file path=xl/worksheets/_rels/sheet56.xml.rels><?xml version="1.0" encoding="UTF-8" standalone="yes"?>
<Relationships xmlns="http://schemas.openxmlformats.org/package/2006/relationships"><Relationship Id="rId3" Type="http://schemas.openxmlformats.org/officeDocument/2006/relationships/hyperlink" Target="http://www.ambiente.gob.ec/?q=node/95" TargetMode="External"/><Relationship Id="rId2" Type="http://schemas.openxmlformats.org/officeDocument/2006/relationships/hyperlink" Target="http://www.ambiente.gob.ec/?q=node/73" TargetMode="External"/><Relationship Id="rId1" Type="http://schemas.openxmlformats.org/officeDocument/2006/relationships/hyperlink" Target="http://www.ambiente.gob.ec/?q=node/66" TargetMode="External"/><Relationship Id="rId5" Type="http://schemas.openxmlformats.org/officeDocument/2006/relationships/drawing" Target="../drawings/drawing57.xml"/><Relationship Id="rId4" Type="http://schemas.openxmlformats.org/officeDocument/2006/relationships/hyperlink" Target="http://www.ambiente.gob.ec/?q=node/7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00000"/>
    <pageSetUpPr fitToPage="1"/>
  </sheetPr>
  <dimension ref="A1:Y144"/>
  <sheetViews>
    <sheetView showGridLines="0" zoomScale="90" zoomScaleNormal="90" workbookViewId="0">
      <pane xSplit="2" ySplit="5" topLeftCell="C48" activePane="bottomRight" state="frozen"/>
      <selection activeCell="Q14" activeCellId="5" sqref="Q17:Q20 Q23 Q26 Q27 Q28 Q14"/>
      <selection pane="topRight" activeCell="Q14" activeCellId="5" sqref="Q17:Q20 Q23 Q26 Q27 Q28 Q14"/>
      <selection pane="bottomLeft" activeCell="Q14" activeCellId="5" sqref="Q17:Q20 Q23 Q26 Q27 Q28 Q14"/>
      <selection pane="bottomRight" activeCell="A5" sqref="A5"/>
    </sheetView>
  </sheetViews>
  <sheetFormatPr baseColWidth="10" defaultColWidth="11.44140625" defaultRowHeight="14.4"/>
  <cols>
    <col min="1" max="1" width="50.21875" customWidth="1"/>
    <col min="2" max="2" width="35.5546875" customWidth="1"/>
    <col min="3" max="3" width="68.44140625" customWidth="1"/>
    <col min="4" max="4" width="17.5546875" bestFit="1" customWidth="1"/>
    <col min="5" max="5" width="12.77734375" customWidth="1"/>
    <col min="6" max="6" width="58.44140625" customWidth="1"/>
    <col min="7" max="7" width="24.6640625" bestFit="1" customWidth="1"/>
    <col min="8" max="12" width="9.6640625" hidden="1" customWidth="1"/>
    <col min="13" max="25" width="9.6640625" customWidth="1"/>
  </cols>
  <sheetData>
    <row r="1" spans="1:25" s="48" customFormat="1">
      <c r="A1" s="2074"/>
      <c r="B1" s="1024"/>
      <c r="C1" s="1925"/>
      <c r="D1" s="1024"/>
      <c r="E1" s="1024"/>
      <c r="F1" s="1024"/>
      <c r="G1" s="1024"/>
      <c r="H1" s="1024"/>
      <c r="I1" s="1024"/>
      <c r="J1" s="1024"/>
      <c r="K1" s="1024"/>
      <c r="L1" s="1024"/>
      <c r="M1" s="1024"/>
      <c r="N1" s="1024"/>
      <c r="O1" s="1024"/>
      <c r="P1" s="1024"/>
      <c r="Q1" s="1024"/>
      <c r="R1" s="1024"/>
      <c r="S1" s="1024"/>
      <c r="T1" s="1024"/>
      <c r="U1" s="1024"/>
      <c r="V1" s="1024"/>
      <c r="W1" s="1024"/>
      <c r="X1" s="1024"/>
      <c r="Y1" s="1024"/>
    </row>
    <row r="2" spans="1:25" s="48" customFormat="1">
      <c r="A2" s="2074"/>
      <c r="B2" s="1957"/>
      <c r="C2" s="1931"/>
      <c r="D2" s="1040"/>
      <c r="E2" s="1040"/>
      <c r="F2" s="1040"/>
      <c r="G2" s="1040"/>
      <c r="H2" s="1040"/>
      <c r="I2" s="1040"/>
      <c r="J2" s="1040"/>
      <c r="K2" s="1040"/>
      <c r="L2" s="1040"/>
      <c r="M2" s="1040"/>
      <c r="N2" s="1040"/>
      <c r="O2" s="1040"/>
      <c r="P2" s="1040"/>
      <c r="Q2" s="1040"/>
      <c r="R2" s="1040"/>
      <c r="S2" s="1040"/>
      <c r="T2" s="1040"/>
      <c r="U2" s="1040"/>
      <c r="V2" s="1040"/>
      <c r="W2" s="1040"/>
      <c r="X2" s="1040"/>
      <c r="Y2" s="1040"/>
    </row>
    <row r="3" spans="1:25" s="48" customFormat="1">
      <c r="A3" s="2074"/>
      <c r="B3" s="1024"/>
      <c r="C3" s="1925"/>
      <c r="D3" s="1024"/>
      <c r="E3" s="1024"/>
      <c r="F3" s="1024"/>
      <c r="G3" s="1024"/>
      <c r="H3" s="1024"/>
      <c r="I3" s="1024"/>
      <c r="J3" s="1024"/>
      <c r="K3" s="1024"/>
      <c r="L3" s="1024"/>
      <c r="M3" s="1024"/>
      <c r="N3" s="1024"/>
      <c r="O3" s="1024"/>
      <c r="P3" s="1024"/>
      <c r="Q3" s="1024"/>
      <c r="R3" s="1024"/>
      <c r="S3" s="1024"/>
      <c r="T3" s="1024"/>
      <c r="U3" s="1024"/>
      <c r="V3" s="1024"/>
      <c r="W3" s="1024"/>
      <c r="X3" s="1024"/>
      <c r="Y3" s="1024"/>
    </row>
    <row r="4" spans="1:25" s="48" customFormat="1" ht="15" thickBot="1">
      <c r="A4" s="2074"/>
      <c r="B4" s="1957"/>
      <c r="C4" s="1925"/>
      <c r="D4" s="1024"/>
      <c r="E4" s="1024"/>
      <c r="F4" s="1024"/>
      <c r="G4" s="1024"/>
      <c r="H4" s="1024"/>
      <c r="I4" s="1024"/>
      <c r="J4" s="1024"/>
      <c r="K4" s="1024"/>
      <c r="L4" s="1024"/>
      <c r="M4" s="1024"/>
      <c r="N4" s="1024"/>
      <c r="O4" s="1024"/>
      <c r="P4" s="1024"/>
      <c r="Q4" s="1024"/>
      <c r="R4" s="1024"/>
      <c r="S4" s="1024"/>
      <c r="T4" s="1024"/>
      <c r="U4" s="1024"/>
      <c r="V4" s="1024"/>
      <c r="W4" s="1024"/>
      <c r="X4" s="1024"/>
      <c r="Y4" s="1024"/>
    </row>
    <row r="5" spans="1:25" s="826" customFormat="1" ht="15" thickBot="1">
      <c r="A5" s="2082" t="s">
        <v>1332</v>
      </c>
      <c r="B5" s="1992" t="s">
        <v>1316</v>
      </c>
      <c r="C5" s="1921" t="s">
        <v>1190</v>
      </c>
      <c r="D5" s="1921" t="s">
        <v>1151</v>
      </c>
      <c r="E5" s="1921" t="s">
        <v>1147</v>
      </c>
      <c r="F5" s="1921" t="s">
        <v>1156</v>
      </c>
      <c r="G5" s="2037" t="s">
        <v>1148</v>
      </c>
      <c r="H5" s="2042">
        <v>43678</v>
      </c>
      <c r="I5" s="2042">
        <v>43709</v>
      </c>
      <c r="J5" s="2042">
        <v>43739</v>
      </c>
      <c r="K5" s="2042">
        <v>43770</v>
      </c>
      <c r="L5" s="2042">
        <v>43800</v>
      </c>
      <c r="M5" s="2042">
        <v>43831</v>
      </c>
      <c r="N5" s="2042">
        <v>43862</v>
      </c>
      <c r="O5" s="2042">
        <v>43891</v>
      </c>
      <c r="P5" s="2042">
        <v>43922</v>
      </c>
      <c r="Q5" s="2042">
        <v>43952</v>
      </c>
      <c r="R5" s="2042">
        <v>43983</v>
      </c>
      <c r="S5" s="2042">
        <v>44013</v>
      </c>
      <c r="T5" s="2042">
        <v>44044</v>
      </c>
      <c r="U5" s="2042">
        <v>44075</v>
      </c>
      <c r="V5" s="2042">
        <v>44105</v>
      </c>
      <c r="W5" s="2042">
        <v>44136</v>
      </c>
      <c r="X5" s="2042">
        <v>44166</v>
      </c>
      <c r="Y5" s="2043">
        <v>44197</v>
      </c>
    </row>
    <row r="6" spans="1:25" s="48" customFormat="1">
      <c r="A6" s="2074" t="s">
        <v>1307</v>
      </c>
      <c r="B6" s="5104" t="s">
        <v>927</v>
      </c>
      <c r="C6" s="2018" t="s">
        <v>1150</v>
      </c>
      <c r="D6" s="2019" t="s">
        <v>1152</v>
      </c>
      <c r="E6" s="2019" t="s">
        <v>1149</v>
      </c>
      <c r="F6" s="2019"/>
      <c r="G6" s="2019" t="s">
        <v>1158</v>
      </c>
      <c r="H6" s="2044"/>
      <c r="I6" s="2044"/>
      <c r="J6" s="2044"/>
      <c r="K6" s="2044"/>
      <c r="L6" s="2044"/>
      <c r="M6" s="2044"/>
      <c r="N6" s="2044"/>
      <c r="O6" s="2044"/>
      <c r="P6" s="2044"/>
      <c r="Q6" s="2044"/>
      <c r="R6" s="2044"/>
      <c r="S6" s="2044"/>
      <c r="T6" s="2044"/>
      <c r="U6" s="2044"/>
      <c r="V6" s="2044"/>
      <c r="W6" s="2044"/>
      <c r="X6" s="2044"/>
      <c r="Y6" s="2044"/>
    </row>
    <row r="7" spans="1:25" s="48" customFormat="1">
      <c r="A7" s="2074" t="s">
        <v>1307</v>
      </c>
      <c r="B7" s="5092"/>
      <c r="C7" s="2015" t="s">
        <v>1153</v>
      </c>
      <c r="D7" s="2016" t="s">
        <v>1152</v>
      </c>
      <c r="E7" s="2016" t="s">
        <v>1149</v>
      </c>
      <c r="F7" s="2016"/>
      <c r="G7" s="2016" t="s">
        <v>1158</v>
      </c>
      <c r="H7" s="2045"/>
      <c r="I7" s="2045"/>
      <c r="J7" s="2045"/>
      <c r="K7" s="2045"/>
      <c r="L7" s="2045"/>
      <c r="M7" s="2045"/>
      <c r="N7" s="2045"/>
      <c r="O7" s="2045"/>
      <c r="P7" s="2045"/>
      <c r="Q7" s="2045"/>
      <c r="R7" s="2045"/>
      <c r="S7" s="2045"/>
      <c r="T7" s="2045"/>
      <c r="U7" s="2045"/>
      <c r="V7" s="2045"/>
      <c r="W7" s="2045"/>
      <c r="X7" s="2045"/>
      <c r="Y7" s="2045"/>
    </row>
    <row r="8" spans="1:25" s="48" customFormat="1">
      <c r="A8" s="2074" t="s">
        <v>1307</v>
      </c>
      <c r="B8" s="5092"/>
      <c r="C8" s="2015" t="s">
        <v>1157</v>
      </c>
      <c r="D8" s="2016" t="s">
        <v>33</v>
      </c>
      <c r="E8" s="2016" t="s">
        <v>1149</v>
      </c>
      <c r="F8" s="2016"/>
      <c r="G8" s="2016" t="s">
        <v>1158</v>
      </c>
      <c r="H8" s="2045"/>
      <c r="I8" s="2045"/>
      <c r="J8" s="2045"/>
      <c r="K8" s="2045"/>
      <c r="L8" s="2045"/>
      <c r="M8" s="2045"/>
      <c r="N8" s="2045"/>
      <c r="O8" s="2045"/>
      <c r="P8" s="2045"/>
      <c r="Q8" s="2045"/>
      <c r="R8" s="2045"/>
      <c r="S8" s="2045"/>
      <c r="T8" s="2045"/>
      <c r="U8" s="2045"/>
      <c r="V8" s="2045"/>
      <c r="W8" s="2045"/>
      <c r="X8" s="2045"/>
      <c r="Y8" s="2045"/>
    </row>
    <row r="9" spans="1:25" s="48" customFormat="1">
      <c r="A9" s="2074" t="s">
        <v>1307</v>
      </c>
      <c r="B9" s="2098" t="s">
        <v>923</v>
      </c>
      <c r="C9" s="1956" t="s">
        <v>1002</v>
      </c>
      <c r="D9" s="1922" t="s">
        <v>601</v>
      </c>
      <c r="E9" s="1922" t="s">
        <v>1155</v>
      </c>
      <c r="F9" s="1922" t="s">
        <v>1177</v>
      </c>
      <c r="G9" s="1922" t="s">
        <v>1158</v>
      </c>
      <c r="H9" s="2046"/>
      <c r="I9" s="2046"/>
      <c r="J9" s="2046"/>
      <c r="K9" s="2046"/>
      <c r="L9" s="2046"/>
      <c r="M9" s="2046" t="s">
        <v>533</v>
      </c>
      <c r="N9" s="2046"/>
      <c r="O9" s="2046"/>
      <c r="P9" s="2046"/>
      <c r="Q9" s="2046"/>
      <c r="R9" s="2046"/>
      <c r="S9" s="2046"/>
      <c r="T9" s="2046"/>
      <c r="U9" s="2046"/>
      <c r="V9" s="2046"/>
      <c r="W9" s="2046"/>
      <c r="X9" s="2046"/>
      <c r="Y9" s="2046" t="s">
        <v>533</v>
      </c>
    </row>
    <row r="10" spans="1:25" s="48" customFormat="1">
      <c r="A10" s="2074" t="s">
        <v>1307</v>
      </c>
      <c r="B10" s="5102" t="s">
        <v>1182</v>
      </c>
      <c r="C10" s="1923" t="s">
        <v>1159</v>
      </c>
      <c r="D10" s="1983" t="s">
        <v>33</v>
      </c>
      <c r="E10" s="1983" t="s">
        <v>1155</v>
      </c>
      <c r="F10" s="5103" t="s">
        <v>1178</v>
      </c>
      <c r="G10" s="5103" t="s">
        <v>1158</v>
      </c>
      <c r="H10" s="5095"/>
      <c r="I10" s="5095"/>
      <c r="J10" s="5095"/>
      <c r="K10" s="5095"/>
      <c r="L10" s="5095"/>
      <c r="M10" s="5095"/>
      <c r="N10" s="5095"/>
      <c r="O10" s="5095" t="s">
        <v>533</v>
      </c>
      <c r="P10" s="5095"/>
      <c r="Q10" s="5095"/>
      <c r="R10" s="5095"/>
      <c r="S10" s="5095"/>
      <c r="T10" s="5095"/>
      <c r="U10" s="5095"/>
      <c r="V10" s="5095"/>
      <c r="W10" s="5095"/>
      <c r="X10" s="5095"/>
      <c r="Y10" s="5095"/>
    </row>
    <row r="11" spans="1:25" s="48" customFormat="1">
      <c r="A11" s="2074" t="s">
        <v>1307</v>
      </c>
      <c r="B11" s="5102"/>
      <c r="C11" s="1923" t="s">
        <v>1160</v>
      </c>
      <c r="D11" s="1983" t="s">
        <v>33</v>
      </c>
      <c r="E11" s="1983" t="s">
        <v>1155</v>
      </c>
      <c r="F11" s="5103"/>
      <c r="G11" s="5103"/>
      <c r="H11" s="5095"/>
      <c r="I11" s="5095"/>
      <c r="J11" s="5095"/>
      <c r="K11" s="5095"/>
      <c r="L11" s="5095"/>
      <c r="M11" s="5095"/>
      <c r="N11" s="5095"/>
      <c r="O11" s="5095" t="s">
        <v>533</v>
      </c>
      <c r="P11" s="5095"/>
      <c r="Q11" s="5095"/>
      <c r="R11" s="5095"/>
      <c r="S11" s="5095"/>
      <c r="T11" s="5095"/>
      <c r="U11" s="5095"/>
      <c r="V11" s="5095"/>
      <c r="W11" s="5095"/>
      <c r="X11" s="5095"/>
      <c r="Y11" s="5095"/>
    </row>
    <row r="12" spans="1:25" s="48" customFormat="1">
      <c r="A12" s="2074" t="s">
        <v>1307</v>
      </c>
      <c r="B12" s="5102"/>
      <c r="C12" s="1923" t="s">
        <v>1161</v>
      </c>
      <c r="D12" s="1983" t="s">
        <v>33</v>
      </c>
      <c r="E12" s="1983" t="s">
        <v>1155</v>
      </c>
      <c r="F12" s="5103"/>
      <c r="G12" s="5103"/>
      <c r="H12" s="5095"/>
      <c r="I12" s="5095"/>
      <c r="J12" s="5095"/>
      <c r="K12" s="5095"/>
      <c r="L12" s="5095"/>
      <c r="M12" s="5095"/>
      <c r="N12" s="5095"/>
      <c r="O12" s="5095" t="s">
        <v>533</v>
      </c>
      <c r="P12" s="5095"/>
      <c r="Q12" s="5095"/>
      <c r="R12" s="5095"/>
      <c r="S12" s="5095"/>
      <c r="T12" s="5095"/>
      <c r="U12" s="5095"/>
      <c r="V12" s="5095"/>
      <c r="W12" s="5095"/>
      <c r="X12" s="5095"/>
      <c r="Y12" s="5095"/>
    </row>
    <row r="13" spans="1:25" s="48" customFormat="1">
      <c r="A13" s="2074" t="s">
        <v>1307</v>
      </c>
      <c r="B13" s="5102"/>
      <c r="C13" s="1923" t="s">
        <v>1162</v>
      </c>
      <c r="D13" s="1983" t="s">
        <v>33</v>
      </c>
      <c r="E13" s="1983" t="s">
        <v>1155</v>
      </c>
      <c r="F13" s="5103"/>
      <c r="G13" s="5103"/>
      <c r="H13" s="5095"/>
      <c r="I13" s="5095"/>
      <c r="J13" s="5095"/>
      <c r="K13" s="5095"/>
      <c r="L13" s="5095"/>
      <c r="M13" s="5095"/>
      <c r="N13" s="5095"/>
      <c r="O13" s="5095" t="s">
        <v>533</v>
      </c>
      <c r="P13" s="5095"/>
      <c r="Q13" s="5095"/>
      <c r="R13" s="5095"/>
      <c r="S13" s="5095"/>
      <c r="T13" s="5095"/>
      <c r="U13" s="5095"/>
      <c r="V13" s="5095"/>
      <c r="W13" s="5095"/>
      <c r="X13" s="5095"/>
      <c r="Y13" s="5095"/>
    </row>
    <row r="14" spans="1:25" s="48" customFormat="1">
      <c r="A14" s="2074" t="s">
        <v>1307</v>
      </c>
      <c r="B14" s="5102"/>
      <c r="C14" s="1923" t="s">
        <v>1163</v>
      </c>
      <c r="D14" s="1983" t="s">
        <v>33</v>
      </c>
      <c r="E14" s="1983" t="s">
        <v>1155</v>
      </c>
      <c r="F14" s="5103"/>
      <c r="G14" s="5103"/>
      <c r="H14" s="5095"/>
      <c r="I14" s="5095"/>
      <c r="J14" s="5095"/>
      <c r="K14" s="5095"/>
      <c r="L14" s="5095"/>
      <c r="M14" s="5095"/>
      <c r="N14" s="5095"/>
      <c r="O14" s="5095" t="s">
        <v>533</v>
      </c>
      <c r="P14" s="5095"/>
      <c r="Q14" s="5095"/>
      <c r="R14" s="5095"/>
      <c r="S14" s="5095"/>
      <c r="T14" s="5095"/>
      <c r="U14" s="5095"/>
      <c r="V14" s="5095"/>
      <c r="W14" s="5095"/>
      <c r="X14" s="5095"/>
      <c r="Y14" s="5095"/>
    </row>
    <row r="15" spans="1:25" s="48" customFormat="1">
      <c r="A15" s="2074" t="s">
        <v>1307</v>
      </c>
      <c r="B15" s="5102"/>
      <c r="C15" s="1923" t="s">
        <v>1164</v>
      </c>
      <c r="D15" s="1983" t="s">
        <v>33</v>
      </c>
      <c r="E15" s="1983" t="s">
        <v>1155</v>
      </c>
      <c r="F15" s="5103"/>
      <c r="G15" s="5103"/>
      <c r="H15" s="5095"/>
      <c r="I15" s="5095"/>
      <c r="J15" s="5095"/>
      <c r="K15" s="5095"/>
      <c r="L15" s="5095"/>
      <c r="M15" s="5095"/>
      <c r="N15" s="5095"/>
      <c r="O15" s="5095" t="s">
        <v>533</v>
      </c>
      <c r="P15" s="5095"/>
      <c r="Q15" s="5095"/>
      <c r="R15" s="5095"/>
      <c r="S15" s="5095"/>
      <c r="T15" s="5095"/>
      <c r="U15" s="5095"/>
      <c r="V15" s="5095"/>
      <c r="W15" s="5095"/>
      <c r="X15" s="5095"/>
      <c r="Y15" s="5095"/>
    </row>
    <row r="16" spans="1:25" s="48" customFormat="1">
      <c r="A16" s="2074" t="s">
        <v>1307</v>
      </c>
      <c r="B16" s="5102"/>
      <c r="C16" s="1923" t="s">
        <v>1165</v>
      </c>
      <c r="D16" s="1983" t="s">
        <v>33</v>
      </c>
      <c r="E16" s="1983" t="s">
        <v>1155</v>
      </c>
      <c r="F16" s="5103"/>
      <c r="G16" s="5103"/>
      <c r="H16" s="5095"/>
      <c r="I16" s="5095"/>
      <c r="J16" s="5095"/>
      <c r="K16" s="5095"/>
      <c r="L16" s="5095"/>
      <c r="M16" s="5095"/>
      <c r="N16" s="5095"/>
      <c r="O16" s="5095" t="s">
        <v>533</v>
      </c>
      <c r="P16" s="5095"/>
      <c r="Q16" s="5095"/>
      <c r="R16" s="5095"/>
      <c r="S16" s="5095"/>
      <c r="T16" s="5095"/>
      <c r="U16" s="5095"/>
      <c r="V16" s="5095"/>
      <c r="W16" s="5095"/>
      <c r="X16" s="5095"/>
      <c r="Y16" s="5095"/>
    </row>
    <row r="17" spans="1:25" s="48" customFormat="1">
      <c r="A17" s="2074" t="s">
        <v>1307</v>
      </c>
      <c r="B17" s="5102"/>
      <c r="C17" s="1923" t="s">
        <v>1166</v>
      </c>
      <c r="D17" s="1983" t="s">
        <v>33</v>
      </c>
      <c r="E17" s="1983" t="s">
        <v>1155</v>
      </c>
      <c r="F17" s="5103"/>
      <c r="G17" s="5103"/>
      <c r="H17" s="5095"/>
      <c r="I17" s="5095"/>
      <c r="J17" s="5095"/>
      <c r="K17" s="5095"/>
      <c r="L17" s="5095"/>
      <c r="M17" s="5095"/>
      <c r="N17" s="5095"/>
      <c r="O17" s="5095" t="s">
        <v>533</v>
      </c>
      <c r="P17" s="5095"/>
      <c r="Q17" s="5095"/>
      <c r="R17" s="5095"/>
      <c r="S17" s="5095"/>
      <c r="T17" s="5095"/>
      <c r="U17" s="5095"/>
      <c r="V17" s="5095"/>
      <c r="W17" s="5095"/>
      <c r="X17" s="5095"/>
      <c r="Y17" s="5095"/>
    </row>
    <row r="18" spans="1:25" s="48" customFormat="1">
      <c r="A18" s="2074" t="s">
        <v>1307</v>
      </c>
      <c r="B18" s="5102"/>
      <c r="C18" s="1923" t="s">
        <v>1167</v>
      </c>
      <c r="D18" s="1983" t="s">
        <v>33</v>
      </c>
      <c r="E18" s="1983" t="s">
        <v>1155</v>
      </c>
      <c r="F18" s="5103"/>
      <c r="G18" s="5103"/>
      <c r="H18" s="5095"/>
      <c r="I18" s="5095"/>
      <c r="J18" s="5095"/>
      <c r="K18" s="5095"/>
      <c r="L18" s="5095"/>
      <c r="M18" s="5095"/>
      <c r="N18" s="5095"/>
      <c r="O18" s="5095" t="s">
        <v>533</v>
      </c>
      <c r="P18" s="5095"/>
      <c r="Q18" s="5095"/>
      <c r="R18" s="5095"/>
      <c r="S18" s="5095"/>
      <c r="T18" s="5095"/>
      <c r="U18" s="5095"/>
      <c r="V18" s="5095"/>
      <c r="W18" s="5095"/>
      <c r="X18" s="5095"/>
      <c r="Y18" s="5095"/>
    </row>
    <row r="19" spans="1:25" s="48" customFormat="1">
      <c r="A19" s="2074" t="s">
        <v>1307</v>
      </c>
      <c r="B19" s="5102"/>
      <c r="C19" s="1923" t="s">
        <v>1168</v>
      </c>
      <c r="D19" s="1983" t="s">
        <v>33</v>
      </c>
      <c r="E19" s="1983" t="s">
        <v>1155</v>
      </c>
      <c r="F19" s="5103"/>
      <c r="G19" s="5103"/>
      <c r="H19" s="5095"/>
      <c r="I19" s="5095"/>
      <c r="J19" s="5095"/>
      <c r="K19" s="5095"/>
      <c r="L19" s="5095"/>
      <c r="M19" s="5095"/>
      <c r="N19" s="5095"/>
      <c r="O19" s="5095" t="s">
        <v>533</v>
      </c>
      <c r="P19" s="5095"/>
      <c r="Q19" s="5095"/>
      <c r="R19" s="5095"/>
      <c r="S19" s="5095"/>
      <c r="T19" s="5095"/>
      <c r="U19" s="5095"/>
      <c r="V19" s="5095"/>
      <c r="W19" s="5095"/>
      <c r="X19" s="5095"/>
      <c r="Y19" s="5095"/>
    </row>
    <row r="20" spans="1:25" s="48" customFormat="1">
      <c r="A20" s="2074" t="s">
        <v>1307</v>
      </c>
      <c r="B20" s="5102"/>
      <c r="C20" s="1923" t="s">
        <v>1169</v>
      </c>
      <c r="D20" s="1983" t="s">
        <v>33</v>
      </c>
      <c r="E20" s="1983" t="s">
        <v>1155</v>
      </c>
      <c r="F20" s="5103"/>
      <c r="G20" s="5103"/>
      <c r="H20" s="5095"/>
      <c r="I20" s="5095"/>
      <c r="J20" s="5095"/>
      <c r="K20" s="5095"/>
      <c r="L20" s="5095"/>
      <c r="M20" s="5095"/>
      <c r="N20" s="5095"/>
      <c r="O20" s="5095" t="s">
        <v>533</v>
      </c>
      <c r="P20" s="5095"/>
      <c r="Q20" s="5095"/>
      <c r="R20" s="5095"/>
      <c r="S20" s="5095"/>
      <c r="T20" s="5095"/>
      <c r="U20" s="5095"/>
      <c r="V20" s="5095"/>
      <c r="W20" s="5095"/>
      <c r="X20" s="5095"/>
      <c r="Y20" s="5095"/>
    </row>
    <row r="21" spans="1:25" s="48" customFormat="1">
      <c r="A21" s="2074" t="s">
        <v>1307</v>
      </c>
      <c r="B21" s="5102"/>
      <c r="C21" s="1923" t="s">
        <v>1170</v>
      </c>
      <c r="D21" s="1983" t="s">
        <v>33</v>
      </c>
      <c r="E21" s="1983" t="s">
        <v>1155</v>
      </c>
      <c r="F21" s="5103"/>
      <c r="G21" s="5103"/>
      <c r="H21" s="5095"/>
      <c r="I21" s="5095"/>
      <c r="J21" s="5095"/>
      <c r="K21" s="5095"/>
      <c r="L21" s="5095"/>
      <c r="M21" s="5095"/>
      <c r="N21" s="5095"/>
      <c r="O21" s="5095" t="s">
        <v>533</v>
      </c>
      <c r="P21" s="5095"/>
      <c r="Q21" s="5095"/>
      <c r="R21" s="5095"/>
      <c r="S21" s="5095"/>
      <c r="T21" s="5095"/>
      <c r="U21" s="5095"/>
      <c r="V21" s="5095"/>
      <c r="W21" s="5095"/>
      <c r="X21" s="5095"/>
      <c r="Y21" s="5095"/>
    </row>
    <row r="22" spans="1:25" s="48" customFormat="1">
      <c r="A22" s="2074" t="s">
        <v>1307</v>
      </c>
      <c r="B22" s="5102"/>
      <c r="C22" s="1923" t="s">
        <v>1171</v>
      </c>
      <c r="D22" s="1983" t="s">
        <v>33</v>
      </c>
      <c r="E22" s="1983" t="s">
        <v>1155</v>
      </c>
      <c r="F22" s="5103"/>
      <c r="G22" s="5103"/>
      <c r="H22" s="5095"/>
      <c r="I22" s="5095"/>
      <c r="J22" s="5095"/>
      <c r="K22" s="5095"/>
      <c r="L22" s="5095"/>
      <c r="M22" s="5095"/>
      <c r="N22" s="5095"/>
      <c r="O22" s="5095" t="s">
        <v>533</v>
      </c>
      <c r="P22" s="5095"/>
      <c r="Q22" s="5095"/>
      <c r="R22" s="5095"/>
      <c r="S22" s="5095"/>
      <c r="T22" s="5095"/>
      <c r="U22" s="5095"/>
      <c r="V22" s="5095"/>
      <c r="W22" s="5095"/>
      <c r="X22" s="5095"/>
      <c r="Y22" s="5095"/>
    </row>
    <row r="23" spans="1:25" s="48" customFormat="1">
      <c r="A23" s="2074" t="s">
        <v>1307</v>
      </c>
      <c r="B23" s="2098" t="s">
        <v>1005</v>
      </c>
      <c r="C23" s="1956" t="s">
        <v>1173</v>
      </c>
      <c r="D23" s="1922" t="s">
        <v>1172</v>
      </c>
      <c r="E23" s="1922" t="s">
        <v>1155</v>
      </c>
      <c r="F23" s="1922" t="s">
        <v>1176</v>
      </c>
      <c r="G23" s="1922" t="s">
        <v>1158</v>
      </c>
      <c r="H23" s="2046"/>
      <c r="I23" s="2046"/>
      <c r="J23" s="2046"/>
      <c r="K23" s="2046"/>
      <c r="L23" s="2046"/>
      <c r="M23" s="2046"/>
      <c r="N23" s="2046"/>
      <c r="O23" s="2046"/>
      <c r="P23" s="2046"/>
      <c r="Q23" s="2046"/>
      <c r="R23" s="2046" t="s">
        <v>533</v>
      </c>
      <c r="S23" s="2046"/>
      <c r="T23" s="2046"/>
      <c r="U23" s="2046"/>
      <c r="V23" s="2046"/>
      <c r="W23" s="2046"/>
      <c r="X23" s="2046"/>
      <c r="Y23" s="2046"/>
    </row>
    <row r="24" spans="1:25" s="48" customFormat="1">
      <c r="A24" s="2074" t="s">
        <v>1307</v>
      </c>
      <c r="B24" s="5092" t="s">
        <v>1006</v>
      </c>
      <c r="C24" s="2015" t="s">
        <v>1174</v>
      </c>
      <c r="D24" s="2016" t="s">
        <v>1172</v>
      </c>
      <c r="E24" s="5099" t="s">
        <v>1155</v>
      </c>
      <c r="F24" s="5099" t="s">
        <v>1176</v>
      </c>
      <c r="G24" s="5099" t="s">
        <v>1158</v>
      </c>
      <c r="H24" s="5091"/>
      <c r="I24" s="5091"/>
      <c r="J24" s="5091"/>
      <c r="K24" s="5091"/>
      <c r="L24" s="5091"/>
      <c r="M24" s="5091"/>
      <c r="N24" s="5091"/>
      <c r="O24" s="5091"/>
      <c r="P24" s="5091"/>
      <c r="Q24" s="5091"/>
      <c r="R24" s="5091" t="s">
        <v>533</v>
      </c>
      <c r="S24" s="5091"/>
      <c r="T24" s="5091"/>
      <c r="U24" s="5091"/>
      <c r="V24" s="5091"/>
      <c r="W24" s="5091"/>
      <c r="X24" s="5091"/>
      <c r="Y24" s="5091"/>
    </row>
    <row r="25" spans="1:25" s="48" customFormat="1">
      <c r="A25" s="2074" t="s">
        <v>1307</v>
      </c>
      <c r="B25" s="5092"/>
      <c r="C25" s="2015" t="s">
        <v>1175</v>
      </c>
      <c r="D25" s="2017" t="s">
        <v>33</v>
      </c>
      <c r="E25" s="5099"/>
      <c r="F25" s="5099"/>
      <c r="G25" s="5099"/>
      <c r="H25" s="5091"/>
      <c r="I25" s="5091"/>
      <c r="J25" s="5091"/>
      <c r="K25" s="5091"/>
      <c r="L25" s="5091"/>
      <c r="M25" s="5091"/>
      <c r="N25" s="5091"/>
      <c r="O25" s="5091"/>
      <c r="P25" s="5091"/>
      <c r="Q25" s="5091"/>
      <c r="R25" s="5091" t="s">
        <v>533</v>
      </c>
      <c r="S25" s="5091"/>
      <c r="T25" s="5091"/>
      <c r="U25" s="5091"/>
      <c r="V25" s="5091"/>
      <c r="W25" s="5091"/>
      <c r="X25" s="5091"/>
      <c r="Y25" s="5091"/>
    </row>
    <row r="26" spans="1:25" s="48" customFormat="1">
      <c r="A26" s="2097" t="s">
        <v>1300</v>
      </c>
      <c r="B26" s="5101" t="s">
        <v>924</v>
      </c>
      <c r="C26" s="1956" t="s">
        <v>1191</v>
      </c>
      <c r="D26" s="1922" t="s">
        <v>601</v>
      </c>
      <c r="E26" s="5100" t="s">
        <v>1155</v>
      </c>
      <c r="F26" s="5100" t="s">
        <v>1177</v>
      </c>
      <c r="G26" s="5100" t="s">
        <v>1183</v>
      </c>
      <c r="H26" s="5094"/>
      <c r="I26" s="5094"/>
      <c r="J26" s="5094"/>
      <c r="K26" s="5094"/>
      <c r="L26" s="5094"/>
      <c r="M26" s="5094" t="s">
        <v>533</v>
      </c>
      <c r="N26" s="5094"/>
      <c r="O26" s="5094"/>
      <c r="P26" s="5094"/>
      <c r="Q26" s="5094"/>
      <c r="R26" s="5094"/>
      <c r="S26" s="5094"/>
      <c r="T26" s="5094"/>
      <c r="U26" s="5094"/>
      <c r="V26" s="5094"/>
      <c r="W26" s="5094"/>
      <c r="X26" s="5094"/>
      <c r="Y26" s="5094" t="s">
        <v>533</v>
      </c>
    </row>
    <row r="27" spans="1:25" s="48" customFormat="1">
      <c r="A27" s="2097" t="s">
        <v>1300</v>
      </c>
      <c r="B27" s="5101"/>
      <c r="C27" s="1956" t="s">
        <v>465</v>
      </c>
      <c r="D27" s="1922" t="s">
        <v>601</v>
      </c>
      <c r="E27" s="5100"/>
      <c r="F27" s="5100"/>
      <c r="G27" s="5100"/>
      <c r="H27" s="5094"/>
      <c r="I27" s="5094"/>
      <c r="J27" s="5094"/>
      <c r="K27" s="5094"/>
      <c r="L27" s="5094"/>
      <c r="M27" s="5094" t="s">
        <v>533</v>
      </c>
      <c r="N27" s="5094"/>
      <c r="O27" s="5094"/>
      <c r="P27" s="5094"/>
      <c r="Q27" s="5094"/>
      <c r="R27" s="5094"/>
      <c r="S27" s="5094"/>
      <c r="T27" s="5094"/>
      <c r="U27" s="5094"/>
      <c r="V27" s="5094"/>
      <c r="W27" s="5094"/>
      <c r="X27" s="5094"/>
      <c r="Y27" s="5094" t="s">
        <v>533</v>
      </c>
    </row>
    <row r="28" spans="1:25" s="48" customFormat="1">
      <c r="A28" s="2097" t="s">
        <v>1300</v>
      </c>
      <c r="B28" s="5101"/>
      <c r="C28" s="1956" t="s">
        <v>466</v>
      </c>
      <c r="D28" s="1922" t="s">
        <v>601</v>
      </c>
      <c r="E28" s="5100"/>
      <c r="F28" s="5100"/>
      <c r="G28" s="5100"/>
      <c r="H28" s="5094"/>
      <c r="I28" s="5094"/>
      <c r="J28" s="5094"/>
      <c r="K28" s="5094"/>
      <c r="L28" s="5094"/>
      <c r="M28" s="5094" t="s">
        <v>533</v>
      </c>
      <c r="N28" s="5094"/>
      <c r="O28" s="5094"/>
      <c r="P28" s="5094"/>
      <c r="Q28" s="5094"/>
      <c r="R28" s="5094"/>
      <c r="S28" s="5094"/>
      <c r="T28" s="5094"/>
      <c r="U28" s="5094"/>
      <c r="V28" s="5094"/>
      <c r="W28" s="5094"/>
      <c r="X28" s="5094"/>
      <c r="Y28" s="5094" t="s">
        <v>533</v>
      </c>
    </row>
    <row r="29" spans="1:25" s="48" customFormat="1">
      <c r="A29" s="2097" t="s">
        <v>1300</v>
      </c>
      <c r="B29" s="5101"/>
      <c r="C29" s="1280" t="s">
        <v>1184</v>
      </c>
      <c r="D29" s="1922" t="s">
        <v>601</v>
      </c>
      <c r="E29" s="5100"/>
      <c r="F29" s="5100"/>
      <c r="G29" s="5100"/>
      <c r="H29" s="5094"/>
      <c r="I29" s="5094"/>
      <c r="J29" s="5094"/>
      <c r="K29" s="5094"/>
      <c r="L29" s="5094"/>
      <c r="M29" s="5094" t="s">
        <v>533</v>
      </c>
      <c r="N29" s="5094"/>
      <c r="O29" s="5094"/>
      <c r="P29" s="5094"/>
      <c r="Q29" s="5094"/>
      <c r="R29" s="5094"/>
      <c r="S29" s="5094"/>
      <c r="T29" s="5094"/>
      <c r="U29" s="5094"/>
      <c r="V29" s="5094"/>
      <c r="W29" s="5094"/>
      <c r="X29" s="5094"/>
      <c r="Y29" s="5094" t="s">
        <v>533</v>
      </c>
    </row>
    <row r="30" spans="1:25" s="48" customFormat="1">
      <c r="A30" s="2097" t="s">
        <v>1300</v>
      </c>
      <c r="B30" s="5101"/>
      <c r="C30" s="1956" t="s">
        <v>465</v>
      </c>
      <c r="D30" s="1922" t="s">
        <v>601</v>
      </c>
      <c r="E30" s="5100"/>
      <c r="F30" s="5100"/>
      <c r="G30" s="5100"/>
      <c r="H30" s="5094"/>
      <c r="I30" s="5094"/>
      <c r="J30" s="5094"/>
      <c r="K30" s="5094"/>
      <c r="L30" s="5094"/>
      <c r="M30" s="5094" t="s">
        <v>533</v>
      </c>
      <c r="N30" s="5094"/>
      <c r="O30" s="5094"/>
      <c r="P30" s="5094"/>
      <c r="Q30" s="5094"/>
      <c r="R30" s="5094"/>
      <c r="S30" s="5094"/>
      <c r="T30" s="5094"/>
      <c r="U30" s="5094"/>
      <c r="V30" s="5094"/>
      <c r="W30" s="5094"/>
      <c r="X30" s="5094"/>
      <c r="Y30" s="5094" t="s">
        <v>533</v>
      </c>
    </row>
    <row r="31" spans="1:25" s="48" customFormat="1">
      <c r="A31" s="2097" t="s">
        <v>1300</v>
      </c>
      <c r="B31" s="5101"/>
      <c r="C31" s="1956" t="s">
        <v>466</v>
      </c>
      <c r="D31" s="1922" t="s">
        <v>601</v>
      </c>
      <c r="E31" s="5100"/>
      <c r="F31" s="5100"/>
      <c r="G31" s="5100"/>
      <c r="H31" s="5094"/>
      <c r="I31" s="5094"/>
      <c r="J31" s="5094"/>
      <c r="K31" s="5094"/>
      <c r="L31" s="5094"/>
      <c r="M31" s="5094" t="s">
        <v>533</v>
      </c>
      <c r="N31" s="5094"/>
      <c r="O31" s="5094"/>
      <c r="P31" s="5094"/>
      <c r="Q31" s="5094"/>
      <c r="R31" s="5094"/>
      <c r="S31" s="5094"/>
      <c r="T31" s="5094"/>
      <c r="U31" s="5094"/>
      <c r="V31" s="5094"/>
      <c r="W31" s="5094"/>
      <c r="X31" s="5094"/>
      <c r="Y31" s="5094" t="s">
        <v>533</v>
      </c>
    </row>
    <row r="32" spans="1:25" s="48" customFormat="1">
      <c r="A32" s="2097" t="s">
        <v>1300</v>
      </c>
      <c r="B32" s="5101"/>
      <c r="C32" s="1280" t="s">
        <v>1185</v>
      </c>
      <c r="D32" s="1922" t="s">
        <v>601</v>
      </c>
      <c r="E32" s="5100"/>
      <c r="F32" s="5100"/>
      <c r="G32" s="5100"/>
      <c r="H32" s="5094"/>
      <c r="I32" s="5094"/>
      <c r="J32" s="5094"/>
      <c r="K32" s="5094"/>
      <c r="L32" s="5094"/>
      <c r="M32" s="5094" t="s">
        <v>533</v>
      </c>
      <c r="N32" s="5094"/>
      <c r="O32" s="5094"/>
      <c r="P32" s="5094"/>
      <c r="Q32" s="5094"/>
      <c r="R32" s="5094"/>
      <c r="S32" s="5094"/>
      <c r="T32" s="5094"/>
      <c r="U32" s="5094"/>
      <c r="V32" s="5094"/>
      <c r="W32" s="5094"/>
      <c r="X32" s="5094"/>
      <c r="Y32" s="5094" t="s">
        <v>533</v>
      </c>
    </row>
    <row r="33" spans="1:25" s="48" customFormat="1">
      <c r="A33" s="2097" t="s">
        <v>1300</v>
      </c>
      <c r="B33" s="5101"/>
      <c r="C33" s="1956" t="s">
        <v>465</v>
      </c>
      <c r="D33" s="1922" t="s">
        <v>601</v>
      </c>
      <c r="E33" s="5100"/>
      <c r="F33" s="5100"/>
      <c r="G33" s="5100"/>
      <c r="H33" s="5094"/>
      <c r="I33" s="5094"/>
      <c r="J33" s="5094"/>
      <c r="K33" s="5094"/>
      <c r="L33" s="5094"/>
      <c r="M33" s="5094" t="s">
        <v>533</v>
      </c>
      <c r="N33" s="5094"/>
      <c r="O33" s="5094"/>
      <c r="P33" s="5094"/>
      <c r="Q33" s="5094"/>
      <c r="R33" s="5094"/>
      <c r="S33" s="5094"/>
      <c r="T33" s="5094"/>
      <c r="U33" s="5094"/>
      <c r="V33" s="5094"/>
      <c r="W33" s="5094"/>
      <c r="X33" s="5094"/>
      <c r="Y33" s="5094" t="s">
        <v>533</v>
      </c>
    </row>
    <row r="34" spans="1:25" s="48" customFormat="1">
      <c r="A34" s="2097" t="s">
        <v>1300</v>
      </c>
      <c r="B34" s="5101"/>
      <c r="C34" s="1956" t="s">
        <v>466</v>
      </c>
      <c r="D34" s="1922" t="s">
        <v>601</v>
      </c>
      <c r="E34" s="5100"/>
      <c r="F34" s="5100"/>
      <c r="G34" s="5100"/>
      <c r="H34" s="5094"/>
      <c r="I34" s="5094"/>
      <c r="J34" s="5094"/>
      <c r="K34" s="5094"/>
      <c r="L34" s="5094"/>
      <c r="M34" s="5094" t="s">
        <v>533</v>
      </c>
      <c r="N34" s="5094"/>
      <c r="O34" s="5094"/>
      <c r="P34" s="5094"/>
      <c r="Q34" s="5094"/>
      <c r="R34" s="5094"/>
      <c r="S34" s="5094"/>
      <c r="T34" s="5094"/>
      <c r="U34" s="5094"/>
      <c r="V34" s="5094"/>
      <c r="W34" s="5094"/>
      <c r="X34" s="5094"/>
      <c r="Y34" s="5094" t="s">
        <v>533</v>
      </c>
    </row>
    <row r="35" spans="1:25" s="48" customFormat="1">
      <c r="A35" s="2088" t="s">
        <v>1305</v>
      </c>
      <c r="B35" s="5092" t="s">
        <v>1262</v>
      </c>
      <c r="C35" s="2022" t="s">
        <v>1195</v>
      </c>
      <c r="D35" s="2016" t="s">
        <v>601</v>
      </c>
      <c r="E35" s="5099" t="s">
        <v>1155</v>
      </c>
      <c r="F35" s="5099" t="s">
        <v>1193</v>
      </c>
      <c r="G35" s="5099" t="s">
        <v>1189</v>
      </c>
      <c r="H35" s="5091"/>
      <c r="I35" s="5091"/>
      <c r="J35" s="5091"/>
      <c r="K35" s="5091"/>
      <c r="L35" s="5091"/>
      <c r="M35" s="5091" t="s">
        <v>533</v>
      </c>
      <c r="N35" s="5091"/>
      <c r="O35" s="5091"/>
      <c r="P35" s="5091"/>
      <c r="Q35" s="5091"/>
      <c r="R35" s="5091"/>
      <c r="S35" s="5091"/>
      <c r="T35" s="5091"/>
      <c r="U35" s="5091"/>
      <c r="V35" s="5091"/>
      <c r="W35" s="5091"/>
      <c r="X35" s="5091"/>
      <c r="Y35" s="5091" t="s">
        <v>533</v>
      </c>
    </row>
    <row r="36" spans="1:25" s="48" customFormat="1">
      <c r="A36" s="2088" t="s">
        <v>1305</v>
      </c>
      <c r="B36" s="5092"/>
      <c r="C36" s="2023" t="s">
        <v>1187</v>
      </c>
      <c r="D36" s="2016" t="s">
        <v>1186</v>
      </c>
      <c r="E36" s="5099"/>
      <c r="F36" s="5099"/>
      <c r="G36" s="5099"/>
      <c r="H36" s="5091"/>
      <c r="I36" s="5091"/>
      <c r="J36" s="5091"/>
      <c r="K36" s="5091"/>
      <c r="L36" s="5091"/>
      <c r="M36" s="5091" t="s">
        <v>533</v>
      </c>
      <c r="N36" s="5091"/>
      <c r="O36" s="5091"/>
      <c r="P36" s="5091"/>
      <c r="Q36" s="5091"/>
      <c r="R36" s="5091"/>
      <c r="S36" s="5091"/>
      <c r="T36" s="5091"/>
      <c r="U36" s="5091"/>
      <c r="V36" s="5091"/>
      <c r="W36" s="5091"/>
      <c r="X36" s="5091"/>
      <c r="Y36" s="5091" t="s">
        <v>533</v>
      </c>
    </row>
    <row r="37" spans="1:25" s="48" customFormat="1">
      <c r="A37" s="2088" t="s">
        <v>1305</v>
      </c>
      <c r="B37" s="5092"/>
      <c r="C37" s="1980" t="s">
        <v>1192</v>
      </c>
      <c r="D37" s="1981" t="s">
        <v>1149</v>
      </c>
      <c r="E37" s="1981" t="s">
        <v>1155</v>
      </c>
      <c r="F37" s="1981" t="s">
        <v>1193</v>
      </c>
      <c r="G37" s="1981" t="s">
        <v>1189</v>
      </c>
      <c r="H37" s="2047"/>
      <c r="I37" s="2047"/>
      <c r="J37" s="2047"/>
      <c r="K37" s="2047"/>
      <c r="L37" s="2047"/>
      <c r="M37" s="2047" t="s">
        <v>533</v>
      </c>
      <c r="N37" s="2047"/>
      <c r="O37" s="2047"/>
      <c r="P37" s="2047"/>
      <c r="Q37" s="2047"/>
      <c r="R37" s="2047"/>
      <c r="S37" s="2047"/>
      <c r="T37" s="2047"/>
      <c r="U37" s="2047"/>
      <c r="V37" s="2047"/>
      <c r="W37" s="2047"/>
      <c r="X37" s="2047"/>
      <c r="Y37" s="2047" t="s">
        <v>533</v>
      </c>
    </row>
    <row r="38" spans="1:25" s="48" customFormat="1">
      <c r="A38" s="2088" t="s">
        <v>1305</v>
      </c>
      <c r="B38" s="5092"/>
      <c r="C38" s="2020" t="s">
        <v>1188</v>
      </c>
      <c r="D38" s="2021" t="s">
        <v>601</v>
      </c>
      <c r="E38" s="2021" t="s">
        <v>1155</v>
      </c>
      <c r="F38" s="2021" t="s">
        <v>1193</v>
      </c>
      <c r="G38" s="2021" t="s">
        <v>1189</v>
      </c>
      <c r="H38" s="2048"/>
      <c r="I38" s="2048"/>
      <c r="J38" s="2048"/>
      <c r="K38" s="2048"/>
      <c r="L38" s="2048"/>
      <c r="M38" s="2048" t="s">
        <v>533</v>
      </c>
      <c r="N38" s="2048"/>
      <c r="O38" s="2048"/>
      <c r="P38" s="2048"/>
      <c r="Q38" s="2048"/>
      <c r="R38" s="2048"/>
      <c r="S38" s="2048"/>
      <c r="T38" s="2048"/>
      <c r="U38" s="2048"/>
      <c r="V38" s="2048"/>
      <c r="W38" s="2048"/>
      <c r="X38" s="2048"/>
      <c r="Y38" s="2048" t="s">
        <v>533</v>
      </c>
    </row>
    <row r="39" spans="1:25" s="48" customFormat="1">
      <c r="A39" s="2088" t="s">
        <v>1305</v>
      </c>
      <c r="B39" s="5092"/>
      <c r="C39" s="1980" t="s">
        <v>1194</v>
      </c>
      <c r="D39" s="1981" t="s">
        <v>1149</v>
      </c>
      <c r="E39" s="1981" t="s">
        <v>1155</v>
      </c>
      <c r="F39" s="1981" t="s">
        <v>1193</v>
      </c>
      <c r="G39" s="1981" t="s">
        <v>1189</v>
      </c>
      <c r="H39" s="2047"/>
      <c r="I39" s="2047"/>
      <c r="J39" s="2047"/>
      <c r="K39" s="2047"/>
      <c r="L39" s="2047"/>
      <c r="M39" s="2047" t="s">
        <v>533</v>
      </c>
      <c r="N39" s="2047"/>
      <c r="O39" s="2047"/>
      <c r="P39" s="2047"/>
      <c r="Q39" s="2047"/>
      <c r="R39" s="2047"/>
      <c r="S39" s="2047"/>
      <c r="T39" s="2047"/>
      <c r="U39" s="2047"/>
      <c r="V39" s="2047"/>
      <c r="W39" s="2047"/>
      <c r="X39" s="2047"/>
      <c r="Y39" s="2047" t="s">
        <v>533</v>
      </c>
    </row>
    <row r="40" spans="1:25" s="48" customFormat="1">
      <c r="A40" s="2093" t="s">
        <v>1295</v>
      </c>
      <c r="B40" s="5098" t="s">
        <v>1263</v>
      </c>
      <c r="C40" s="2031" t="s">
        <v>1199</v>
      </c>
      <c r="D40" s="2032" t="s">
        <v>601</v>
      </c>
      <c r="E40" s="2032" t="s">
        <v>1155</v>
      </c>
      <c r="F40" s="2032" t="s">
        <v>1198</v>
      </c>
      <c r="G40" s="2032" t="s">
        <v>1158</v>
      </c>
      <c r="H40" s="2049"/>
      <c r="I40" s="2049"/>
      <c r="J40" s="2049"/>
      <c r="K40" s="2049"/>
      <c r="L40" s="2049"/>
      <c r="M40" s="2049" t="s">
        <v>533</v>
      </c>
      <c r="N40" s="2049"/>
      <c r="O40" s="2049"/>
      <c r="P40" s="2049"/>
      <c r="Q40" s="2049"/>
      <c r="R40" s="2049"/>
      <c r="S40" s="2049"/>
      <c r="T40" s="2049"/>
      <c r="U40" s="2049"/>
      <c r="V40" s="2049"/>
      <c r="W40" s="2049"/>
      <c r="X40" s="2049"/>
      <c r="Y40" s="2049" t="s">
        <v>533</v>
      </c>
    </row>
    <row r="41" spans="1:25" s="48" customFormat="1">
      <c r="A41" s="2093" t="s">
        <v>1295</v>
      </c>
      <c r="B41" s="5098"/>
      <c r="C41" s="2033" t="s">
        <v>1200</v>
      </c>
      <c r="D41" s="2034" t="s">
        <v>33</v>
      </c>
      <c r="E41" s="2034" t="s">
        <v>1155</v>
      </c>
      <c r="F41" s="2034" t="s">
        <v>1198</v>
      </c>
      <c r="G41" s="2034" t="s">
        <v>1158</v>
      </c>
      <c r="H41" s="2050"/>
      <c r="I41" s="2050"/>
      <c r="J41" s="2050"/>
      <c r="K41" s="2050"/>
      <c r="L41" s="2050"/>
      <c r="M41" s="2050" t="s">
        <v>533</v>
      </c>
      <c r="N41" s="2050"/>
      <c r="O41" s="2050"/>
      <c r="P41" s="2050"/>
      <c r="Q41" s="2050"/>
      <c r="R41" s="2050"/>
      <c r="S41" s="2050"/>
      <c r="T41" s="2050"/>
      <c r="U41" s="2050"/>
      <c r="V41" s="2050"/>
      <c r="W41" s="2050"/>
      <c r="X41" s="2050"/>
      <c r="Y41" s="2050" t="s">
        <v>533</v>
      </c>
    </row>
    <row r="42" spans="1:25" s="48" customFormat="1" ht="27.6">
      <c r="A42" s="2093" t="s">
        <v>1295</v>
      </c>
      <c r="B42" s="5098"/>
      <c r="C42" s="2031" t="s">
        <v>1196</v>
      </c>
      <c r="D42" s="2032" t="s">
        <v>601</v>
      </c>
      <c r="E42" s="2032" t="s">
        <v>1197</v>
      </c>
      <c r="F42" s="2032" t="s">
        <v>1201</v>
      </c>
      <c r="G42" s="2032" t="s">
        <v>1158</v>
      </c>
      <c r="H42" s="2049" t="s">
        <v>533</v>
      </c>
      <c r="I42" s="2049" t="s">
        <v>533</v>
      </c>
      <c r="J42" s="2049" t="s">
        <v>533</v>
      </c>
      <c r="K42" s="2049" t="s">
        <v>533</v>
      </c>
      <c r="L42" s="2049" t="s">
        <v>533</v>
      </c>
      <c r="M42" s="2049" t="s">
        <v>533</v>
      </c>
      <c r="N42" s="2049" t="s">
        <v>533</v>
      </c>
      <c r="O42" s="2049" t="s">
        <v>533</v>
      </c>
      <c r="P42" s="2049" t="s">
        <v>533</v>
      </c>
      <c r="Q42" s="2049" t="s">
        <v>533</v>
      </c>
      <c r="R42" s="2049" t="s">
        <v>533</v>
      </c>
      <c r="S42" s="2049" t="s">
        <v>533</v>
      </c>
      <c r="T42" s="2049"/>
      <c r="U42" s="2049"/>
      <c r="V42" s="2049"/>
      <c r="W42" s="2049"/>
      <c r="X42" s="2049"/>
      <c r="Y42" s="2049" t="s">
        <v>533</v>
      </c>
    </row>
    <row r="43" spans="1:25" s="48" customFormat="1" ht="27.6">
      <c r="A43" s="2093" t="s">
        <v>1295</v>
      </c>
      <c r="B43" s="5098"/>
      <c r="C43" s="2033" t="s">
        <v>1204</v>
      </c>
      <c r="D43" s="2034" t="s">
        <v>33</v>
      </c>
      <c r="E43" s="2034" t="s">
        <v>1197</v>
      </c>
      <c r="F43" s="2034" t="s">
        <v>1201</v>
      </c>
      <c r="G43" s="2032" t="s">
        <v>1158</v>
      </c>
      <c r="H43" s="2049" t="s">
        <v>533</v>
      </c>
      <c r="I43" s="2049" t="s">
        <v>533</v>
      </c>
      <c r="J43" s="2049" t="s">
        <v>533</v>
      </c>
      <c r="K43" s="2049" t="s">
        <v>533</v>
      </c>
      <c r="L43" s="2049" t="s">
        <v>533</v>
      </c>
      <c r="M43" s="2049" t="s">
        <v>533</v>
      </c>
      <c r="N43" s="2049" t="s">
        <v>533</v>
      </c>
      <c r="O43" s="2049" t="s">
        <v>533</v>
      </c>
      <c r="P43" s="2049" t="s">
        <v>533</v>
      </c>
      <c r="Q43" s="2049" t="s">
        <v>533</v>
      </c>
      <c r="R43" s="2049" t="s">
        <v>533</v>
      </c>
      <c r="S43" s="2049" t="s">
        <v>533</v>
      </c>
      <c r="T43" s="2049"/>
      <c r="U43" s="2049"/>
      <c r="V43" s="2049"/>
      <c r="W43" s="2049"/>
      <c r="X43" s="2049"/>
      <c r="Y43" s="2049" t="s">
        <v>533</v>
      </c>
    </row>
    <row r="44" spans="1:25" s="48" customFormat="1" ht="27.6">
      <c r="A44" s="2093" t="s">
        <v>1295</v>
      </c>
      <c r="B44" s="5098"/>
      <c r="C44" s="2035" t="s">
        <v>1203</v>
      </c>
      <c r="D44" s="2036" t="s">
        <v>601</v>
      </c>
      <c r="E44" s="2036" t="s">
        <v>1197</v>
      </c>
      <c r="F44" s="2036" t="s">
        <v>1202</v>
      </c>
      <c r="G44" s="2036" t="s">
        <v>1158</v>
      </c>
      <c r="H44" s="2051" t="s">
        <v>533</v>
      </c>
      <c r="I44" s="2051" t="s">
        <v>533</v>
      </c>
      <c r="J44" s="2051" t="s">
        <v>533</v>
      </c>
      <c r="K44" s="2051" t="s">
        <v>533</v>
      </c>
      <c r="L44" s="2051" t="s">
        <v>533</v>
      </c>
      <c r="M44" s="2051" t="s">
        <v>533</v>
      </c>
      <c r="N44" s="2051" t="s">
        <v>533</v>
      </c>
      <c r="O44" s="2051" t="s">
        <v>533</v>
      </c>
      <c r="P44" s="2051" t="s">
        <v>533</v>
      </c>
      <c r="Q44" s="2051" t="s">
        <v>533</v>
      </c>
      <c r="R44" s="2051" t="s">
        <v>533</v>
      </c>
      <c r="S44" s="2051" t="s">
        <v>533</v>
      </c>
      <c r="T44" s="2051"/>
      <c r="U44" s="2051"/>
      <c r="V44" s="2051"/>
      <c r="W44" s="2051"/>
      <c r="X44" s="2051"/>
      <c r="Y44" s="2051" t="s">
        <v>533</v>
      </c>
    </row>
    <row r="45" spans="1:25" s="48" customFormat="1" ht="27.6">
      <c r="A45" s="2093" t="s">
        <v>1295</v>
      </c>
      <c r="B45" s="5098"/>
      <c r="C45" s="2035" t="s">
        <v>1205</v>
      </c>
      <c r="D45" s="2036" t="s">
        <v>1149</v>
      </c>
      <c r="E45" s="2036" t="s">
        <v>1155</v>
      </c>
      <c r="F45" s="2036" t="s">
        <v>1206</v>
      </c>
      <c r="G45" s="2036" t="s">
        <v>1158</v>
      </c>
      <c r="H45" s="2051"/>
      <c r="I45" s="2051"/>
      <c r="J45" s="2051"/>
      <c r="K45" s="2051"/>
      <c r="L45" s="2051"/>
      <c r="M45" s="2051" t="s">
        <v>533</v>
      </c>
      <c r="N45" s="2051"/>
      <c r="O45" s="2051"/>
      <c r="P45" s="2051"/>
      <c r="Q45" s="2051"/>
      <c r="R45" s="2051"/>
      <c r="S45" s="2051"/>
      <c r="T45" s="2051"/>
      <c r="U45" s="2051"/>
      <c r="V45" s="2051"/>
      <c r="W45" s="2051"/>
      <c r="X45" s="2051"/>
      <c r="Y45" s="2051" t="s">
        <v>533</v>
      </c>
    </row>
    <row r="46" spans="1:25" s="48" customFormat="1" ht="27.6">
      <c r="A46" s="2093" t="s">
        <v>1295</v>
      </c>
      <c r="B46" s="5098"/>
      <c r="C46" s="2035" t="s">
        <v>1214</v>
      </c>
      <c r="D46" s="2036" t="s">
        <v>1149</v>
      </c>
      <c r="E46" s="2036" t="s">
        <v>1155</v>
      </c>
      <c r="F46" s="2036" t="s">
        <v>1208</v>
      </c>
      <c r="G46" s="2036" t="s">
        <v>1209</v>
      </c>
      <c r="H46" s="2051"/>
      <c r="I46" s="2051"/>
      <c r="J46" s="2051"/>
      <c r="K46" s="2051"/>
      <c r="L46" s="2051"/>
      <c r="M46" s="2051" t="s">
        <v>533</v>
      </c>
      <c r="N46" s="2051"/>
      <c r="O46" s="2051"/>
      <c r="P46" s="2051"/>
      <c r="Q46" s="2051"/>
      <c r="R46" s="2051"/>
      <c r="S46" s="2051"/>
      <c r="T46" s="2051"/>
      <c r="U46" s="2051"/>
      <c r="V46" s="2051"/>
      <c r="W46" s="2051"/>
      <c r="X46" s="2051"/>
      <c r="Y46" s="2051" t="s">
        <v>533</v>
      </c>
    </row>
    <row r="47" spans="1:25" s="48" customFormat="1" ht="27.6">
      <c r="A47" s="2093" t="s">
        <v>1295</v>
      </c>
      <c r="B47" s="5098"/>
      <c r="C47" s="2035" t="s">
        <v>1207</v>
      </c>
      <c r="D47" s="2036" t="s">
        <v>1149</v>
      </c>
      <c r="E47" s="2036" t="s">
        <v>1155</v>
      </c>
      <c r="F47" s="2036" t="s">
        <v>1208</v>
      </c>
      <c r="G47" s="2036" t="s">
        <v>1209</v>
      </c>
      <c r="H47" s="2051"/>
      <c r="I47" s="2051"/>
      <c r="J47" s="2051"/>
      <c r="K47" s="2051"/>
      <c r="L47" s="2051"/>
      <c r="M47" s="2051" t="s">
        <v>533</v>
      </c>
      <c r="N47" s="2051"/>
      <c r="O47" s="2051"/>
      <c r="P47" s="2051"/>
      <c r="Q47" s="2051"/>
      <c r="R47" s="2051"/>
      <c r="S47" s="2051"/>
      <c r="T47" s="2051"/>
      <c r="U47" s="2051"/>
      <c r="V47" s="2051"/>
      <c r="W47" s="2051"/>
      <c r="X47" s="2051"/>
      <c r="Y47" s="2051" t="s">
        <v>533</v>
      </c>
    </row>
    <row r="48" spans="1:25" s="48" customFormat="1" ht="27.6">
      <c r="A48" s="2091" t="s">
        <v>1296</v>
      </c>
      <c r="B48" s="5096" t="s">
        <v>1016</v>
      </c>
      <c r="C48" s="1997" t="s">
        <v>1211</v>
      </c>
      <c r="D48" s="1998" t="s">
        <v>1210</v>
      </c>
      <c r="E48" s="1991" t="s">
        <v>1155</v>
      </c>
      <c r="F48" s="1991" t="s">
        <v>1208</v>
      </c>
      <c r="G48" s="1991" t="s">
        <v>1209</v>
      </c>
      <c r="H48" s="2052"/>
      <c r="I48" s="2052"/>
      <c r="J48" s="2052"/>
      <c r="K48" s="2052"/>
      <c r="L48" s="2052"/>
      <c r="M48" s="2052" t="s">
        <v>533</v>
      </c>
      <c r="N48" s="2052"/>
      <c r="O48" s="2052"/>
      <c r="P48" s="2052"/>
      <c r="Q48" s="2052"/>
      <c r="R48" s="2052"/>
      <c r="S48" s="2052"/>
      <c r="T48" s="2052"/>
      <c r="U48" s="2052"/>
      <c r="V48" s="2052"/>
      <c r="W48" s="2052"/>
      <c r="X48" s="2052"/>
      <c r="Y48" s="2052" t="s">
        <v>533</v>
      </c>
    </row>
    <row r="49" spans="1:25" s="48" customFormat="1" ht="27.6">
      <c r="A49" s="2091" t="s">
        <v>1296</v>
      </c>
      <c r="B49" s="5096"/>
      <c r="C49" s="1997" t="s">
        <v>1212</v>
      </c>
      <c r="D49" s="1998" t="s">
        <v>1172</v>
      </c>
      <c r="E49" s="1991" t="s">
        <v>1155</v>
      </c>
      <c r="F49" s="1991" t="s">
        <v>1208</v>
      </c>
      <c r="G49" s="1991" t="s">
        <v>1209</v>
      </c>
      <c r="H49" s="2052"/>
      <c r="I49" s="2052"/>
      <c r="J49" s="2052"/>
      <c r="K49" s="2052"/>
      <c r="L49" s="2052"/>
      <c r="M49" s="2052" t="s">
        <v>533</v>
      </c>
      <c r="N49" s="2052"/>
      <c r="O49" s="2052"/>
      <c r="P49" s="2052"/>
      <c r="Q49" s="2052"/>
      <c r="R49" s="2052"/>
      <c r="S49" s="2052"/>
      <c r="T49" s="2052"/>
      <c r="U49" s="2052"/>
      <c r="V49" s="2052"/>
      <c r="W49" s="2052"/>
      <c r="X49" s="2052"/>
      <c r="Y49" s="2052" t="s">
        <v>533</v>
      </c>
    </row>
    <row r="50" spans="1:25" s="48" customFormat="1" ht="27.6">
      <c r="A50" s="2091" t="s">
        <v>1296</v>
      </c>
      <c r="B50" s="5096"/>
      <c r="C50" s="1997" t="s">
        <v>1213</v>
      </c>
      <c r="D50" s="1998" t="s">
        <v>1172</v>
      </c>
      <c r="E50" s="1991" t="s">
        <v>1155</v>
      </c>
      <c r="F50" s="1991" t="s">
        <v>1208</v>
      </c>
      <c r="G50" s="1991" t="s">
        <v>1209</v>
      </c>
      <c r="H50" s="2052"/>
      <c r="I50" s="2052"/>
      <c r="J50" s="2052"/>
      <c r="K50" s="2052"/>
      <c r="L50" s="2052"/>
      <c r="M50" s="2052" t="s">
        <v>533</v>
      </c>
      <c r="N50" s="2052"/>
      <c r="O50" s="2052"/>
      <c r="P50" s="2052"/>
      <c r="Q50" s="2052"/>
      <c r="R50" s="2052"/>
      <c r="S50" s="2052"/>
      <c r="T50" s="2052"/>
      <c r="U50" s="2052"/>
      <c r="V50" s="2052"/>
      <c r="W50" s="2052"/>
      <c r="X50" s="2052"/>
      <c r="Y50" s="2052" t="s">
        <v>533</v>
      </c>
    </row>
    <row r="51" spans="1:25" s="48" customFormat="1" ht="27.6">
      <c r="A51" s="2091" t="s">
        <v>1296</v>
      </c>
      <c r="B51" s="5096"/>
      <c r="C51" s="1997" t="s">
        <v>508</v>
      </c>
      <c r="D51" s="1998" t="s">
        <v>1172</v>
      </c>
      <c r="E51" s="1991" t="s">
        <v>1155</v>
      </c>
      <c r="F51" s="1991" t="s">
        <v>1208</v>
      </c>
      <c r="G51" s="1991" t="s">
        <v>1209</v>
      </c>
      <c r="H51" s="2052"/>
      <c r="I51" s="2052"/>
      <c r="J51" s="2052"/>
      <c r="K51" s="2052"/>
      <c r="L51" s="2052"/>
      <c r="M51" s="2052" t="s">
        <v>533</v>
      </c>
      <c r="N51" s="2052"/>
      <c r="O51" s="2052"/>
      <c r="P51" s="2052"/>
      <c r="Q51" s="2052"/>
      <c r="R51" s="2052"/>
      <c r="S51" s="2052"/>
      <c r="T51" s="2052"/>
      <c r="U51" s="2052"/>
      <c r="V51" s="2052"/>
      <c r="W51" s="2052"/>
      <c r="X51" s="2052"/>
      <c r="Y51" s="2052" t="s">
        <v>533</v>
      </c>
    </row>
    <row r="52" spans="1:25" s="48" customFormat="1">
      <c r="A52" s="2095" t="s">
        <v>1297</v>
      </c>
      <c r="B52" s="5093" t="s">
        <v>445</v>
      </c>
      <c r="C52" s="2024" t="s">
        <v>1219</v>
      </c>
      <c r="D52" s="2004" t="s">
        <v>33</v>
      </c>
      <c r="E52" s="2004" t="s">
        <v>1215</v>
      </c>
      <c r="F52" s="2004" t="s">
        <v>1216</v>
      </c>
      <c r="G52" s="2004" t="s">
        <v>1158</v>
      </c>
      <c r="H52" s="2053"/>
      <c r="I52" s="2053"/>
      <c r="J52" s="2053"/>
      <c r="K52" s="2053"/>
      <c r="L52" s="2053"/>
      <c r="M52" s="2053" t="s">
        <v>533</v>
      </c>
      <c r="N52" s="2053"/>
      <c r="O52" s="2053"/>
      <c r="P52" s="2053"/>
      <c r="Q52" s="2053"/>
      <c r="R52" s="2053"/>
      <c r="S52" s="2053" t="s">
        <v>533</v>
      </c>
      <c r="T52" s="2053"/>
      <c r="U52" s="2053"/>
      <c r="V52" s="2053"/>
      <c r="W52" s="2053"/>
      <c r="X52" s="2053"/>
      <c r="Y52" s="2053" t="s">
        <v>533</v>
      </c>
    </row>
    <row r="53" spans="1:25" s="48" customFormat="1" ht="27.6">
      <c r="A53" s="2095" t="s">
        <v>1297</v>
      </c>
      <c r="B53" s="5093"/>
      <c r="C53" s="2024" t="s">
        <v>1217</v>
      </c>
      <c r="D53" s="2004" t="s">
        <v>33</v>
      </c>
      <c r="E53" s="2004" t="s">
        <v>1197</v>
      </c>
      <c r="F53" s="2004" t="s">
        <v>1218</v>
      </c>
      <c r="G53" s="2004" t="s">
        <v>1209</v>
      </c>
      <c r="H53" s="2053" t="s">
        <v>533</v>
      </c>
      <c r="I53" s="2053" t="s">
        <v>533</v>
      </c>
      <c r="J53" s="2053" t="s">
        <v>533</v>
      </c>
      <c r="K53" s="2053" t="s">
        <v>533</v>
      </c>
      <c r="L53" s="2053" t="s">
        <v>533</v>
      </c>
      <c r="M53" s="2053" t="s">
        <v>533</v>
      </c>
      <c r="N53" s="2053" t="s">
        <v>533</v>
      </c>
      <c r="O53" s="2053" t="s">
        <v>533</v>
      </c>
      <c r="P53" s="2053" t="s">
        <v>533</v>
      </c>
      <c r="Q53" s="2053" t="s">
        <v>533</v>
      </c>
      <c r="R53" s="2053" t="s">
        <v>533</v>
      </c>
      <c r="S53" s="2053" t="s">
        <v>533</v>
      </c>
      <c r="T53" s="2053"/>
      <c r="U53" s="2053"/>
      <c r="V53" s="2053"/>
      <c r="W53" s="2053"/>
      <c r="X53" s="2053"/>
      <c r="Y53" s="2053" t="s">
        <v>533</v>
      </c>
    </row>
    <row r="54" spans="1:25" s="48" customFormat="1">
      <c r="A54" s="2095" t="s">
        <v>1297</v>
      </c>
      <c r="B54" s="5093"/>
      <c r="C54" s="2024" t="s">
        <v>1220</v>
      </c>
      <c r="D54" s="2004" t="s">
        <v>33</v>
      </c>
      <c r="E54" s="2004" t="s">
        <v>1215</v>
      </c>
      <c r="F54" s="2004" t="s">
        <v>1216</v>
      </c>
      <c r="G54" s="2004" t="s">
        <v>1158</v>
      </c>
      <c r="H54" s="2053"/>
      <c r="I54" s="2053"/>
      <c r="J54" s="2053"/>
      <c r="K54" s="2053"/>
      <c r="L54" s="2053"/>
      <c r="M54" s="2053" t="s">
        <v>533</v>
      </c>
      <c r="N54" s="2053"/>
      <c r="O54" s="2053"/>
      <c r="P54" s="2053"/>
      <c r="Q54" s="2053"/>
      <c r="R54" s="2053"/>
      <c r="S54" s="2053" t="s">
        <v>533</v>
      </c>
      <c r="T54" s="2053"/>
      <c r="U54" s="2053"/>
      <c r="V54" s="2053"/>
      <c r="W54" s="2053"/>
      <c r="X54" s="2053"/>
      <c r="Y54" s="2053" t="s">
        <v>533</v>
      </c>
    </row>
    <row r="55" spans="1:25" s="48" customFormat="1" ht="27.6">
      <c r="A55" s="2095" t="s">
        <v>1297</v>
      </c>
      <c r="B55" s="5093"/>
      <c r="C55" s="2024" t="s">
        <v>1221</v>
      </c>
      <c r="D55" s="2004" t="s">
        <v>33</v>
      </c>
      <c r="E55" s="2004" t="s">
        <v>1197</v>
      </c>
      <c r="F55" s="2004" t="s">
        <v>1218</v>
      </c>
      <c r="G55" s="2004" t="s">
        <v>1209</v>
      </c>
      <c r="H55" s="2053" t="s">
        <v>533</v>
      </c>
      <c r="I55" s="2053" t="s">
        <v>533</v>
      </c>
      <c r="J55" s="2053" t="s">
        <v>533</v>
      </c>
      <c r="K55" s="2053" t="s">
        <v>533</v>
      </c>
      <c r="L55" s="2053" t="s">
        <v>533</v>
      </c>
      <c r="M55" s="2053" t="s">
        <v>533</v>
      </c>
      <c r="N55" s="2053" t="s">
        <v>533</v>
      </c>
      <c r="O55" s="2053" t="s">
        <v>533</v>
      </c>
      <c r="P55" s="2053" t="s">
        <v>533</v>
      </c>
      <c r="Q55" s="2053" t="s">
        <v>533</v>
      </c>
      <c r="R55" s="2053" t="s">
        <v>533</v>
      </c>
      <c r="S55" s="2053" t="s">
        <v>533</v>
      </c>
      <c r="T55" s="2053"/>
      <c r="U55" s="2053"/>
      <c r="V55" s="2053"/>
      <c r="W55" s="2053"/>
      <c r="X55" s="2053"/>
      <c r="Y55" s="2053" t="s">
        <v>533</v>
      </c>
    </row>
    <row r="56" spans="1:25" s="48" customFormat="1">
      <c r="A56" s="2095" t="s">
        <v>1297</v>
      </c>
      <c r="B56" s="5093"/>
      <c r="C56" s="2024" t="s">
        <v>1222</v>
      </c>
      <c r="D56" s="2004" t="s">
        <v>33</v>
      </c>
      <c r="E56" s="2004" t="s">
        <v>1215</v>
      </c>
      <c r="F56" s="2004" t="s">
        <v>1216</v>
      </c>
      <c r="G56" s="2004" t="s">
        <v>1158</v>
      </c>
      <c r="H56" s="2053"/>
      <c r="I56" s="2053"/>
      <c r="J56" s="2053"/>
      <c r="K56" s="2053"/>
      <c r="L56" s="2053"/>
      <c r="M56" s="2053" t="s">
        <v>533</v>
      </c>
      <c r="N56" s="2053"/>
      <c r="O56" s="2053"/>
      <c r="P56" s="2053"/>
      <c r="Q56" s="2053"/>
      <c r="R56" s="2053"/>
      <c r="S56" s="2053" t="s">
        <v>533</v>
      </c>
      <c r="T56" s="2053"/>
      <c r="U56" s="2053"/>
      <c r="V56" s="2053"/>
      <c r="W56" s="2053"/>
      <c r="X56" s="2053"/>
      <c r="Y56" s="2053" t="s">
        <v>533</v>
      </c>
    </row>
    <row r="57" spans="1:25" s="48" customFormat="1" ht="27.6">
      <c r="A57" s="2095" t="s">
        <v>1297</v>
      </c>
      <c r="B57" s="5093"/>
      <c r="C57" s="2024" t="s">
        <v>1223</v>
      </c>
      <c r="D57" s="2004" t="s">
        <v>33</v>
      </c>
      <c r="E57" s="2004" t="s">
        <v>1197</v>
      </c>
      <c r="F57" s="2004" t="s">
        <v>1218</v>
      </c>
      <c r="G57" s="2004" t="s">
        <v>1209</v>
      </c>
      <c r="H57" s="2053" t="s">
        <v>533</v>
      </c>
      <c r="I57" s="2053" t="s">
        <v>533</v>
      </c>
      <c r="J57" s="2053" t="s">
        <v>533</v>
      </c>
      <c r="K57" s="2053" t="s">
        <v>533</v>
      </c>
      <c r="L57" s="2053" t="s">
        <v>533</v>
      </c>
      <c r="M57" s="2053" t="s">
        <v>533</v>
      </c>
      <c r="N57" s="2053" t="s">
        <v>533</v>
      </c>
      <c r="O57" s="2053" t="s">
        <v>533</v>
      </c>
      <c r="P57" s="2053" t="s">
        <v>533</v>
      </c>
      <c r="Q57" s="2053" t="s">
        <v>533</v>
      </c>
      <c r="R57" s="2053" t="s">
        <v>533</v>
      </c>
      <c r="S57" s="2053" t="s">
        <v>533</v>
      </c>
      <c r="T57" s="2053"/>
      <c r="U57" s="2053"/>
      <c r="V57" s="2053"/>
      <c r="W57" s="2053"/>
      <c r="X57" s="2053"/>
      <c r="Y57" s="2053" t="s">
        <v>533</v>
      </c>
    </row>
    <row r="58" spans="1:25" s="48" customFormat="1">
      <c r="A58" s="2095" t="s">
        <v>1297</v>
      </c>
      <c r="B58" s="5093"/>
      <c r="C58" s="2024" t="s">
        <v>1224</v>
      </c>
      <c r="D58" s="2004" t="s">
        <v>33</v>
      </c>
      <c r="E58" s="2004" t="s">
        <v>1215</v>
      </c>
      <c r="F58" s="2004" t="s">
        <v>1216</v>
      </c>
      <c r="G58" s="2004" t="s">
        <v>1158</v>
      </c>
      <c r="H58" s="2053"/>
      <c r="I58" s="2053"/>
      <c r="J58" s="2053"/>
      <c r="K58" s="2053"/>
      <c r="L58" s="2053"/>
      <c r="M58" s="2053" t="s">
        <v>533</v>
      </c>
      <c r="N58" s="2053"/>
      <c r="O58" s="2053"/>
      <c r="P58" s="2053"/>
      <c r="Q58" s="2053"/>
      <c r="R58" s="2053"/>
      <c r="S58" s="2053" t="s">
        <v>533</v>
      </c>
      <c r="T58" s="2053"/>
      <c r="U58" s="2053"/>
      <c r="V58" s="2053"/>
      <c r="W58" s="2053"/>
      <c r="X58" s="2053"/>
      <c r="Y58" s="2053" t="s">
        <v>533</v>
      </c>
    </row>
    <row r="59" spans="1:25" s="48" customFormat="1" ht="27.6">
      <c r="A59" s="2095" t="s">
        <v>1297</v>
      </c>
      <c r="B59" s="5093"/>
      <c r="C59" s="2024" t="s">
        <v>1225</v>
      </c>
      <c r="D59" s="2004" t="s">
        <v>33</v>
      </c>
      <c r="E59" s="2004" t="s">
        <v>1197</v>
      </c>
      <c r="F59" s="2004" t="s">
        <v>1218</v>
      </c>
      <c r="G59" s="2004" t="s">
        <v>1209</v>
      </c>
      <c r="H59" s="2053" t="s">
        <v>533</v>
      </c>
      <c r="I59" s="2053" t="s">
        <v>533</v>
      </c>
      <c r="J59" s="2053" t="s">
        <v>533</v>
      </c>
      <c r="K59" s="2053" t="s">
        <v>533</v>
      </c>
      <c r="L59" s="2053" t="s">
        <v>533</v>
      </c>
      <c r="M59" s="2053" t="s">
        <v>533</v>
      </c>
      <c r="N59" s="2053" t="s">
        <v>533</v>
      </c>
      <c r="O59" s="2053" t="s">
        <v>533</v>
      </c>
      <c r="P59" s="2053" t="s">
        <v>533</v>
      </c>
      <c r="Q59" s="2053" t="s">
        <v>533</v>
      </c>
      <c r="R59" s="2053" t="s">
        <v>533</v>
      </c>
      <c r="S59" s="2053" t="s">
        <v>533</v>
      </c>
      <c r="T59" s="2053"/>
      <c r="U59" s="2053"/>
      <c r="V59" s="2053"/>
      <c r="W59" s="2053"/>
      <c r="X59" s="2053"/>
      <c r="Y59" s="2053" t="s">
        <v>533</v>
      </c>
    </row>
    <row r="60" spans="1:25" s="48" customFormat="1" ht="27.6">
      <c r="A60" s="2095" t="s">
        <v>1297</v>
      </c>
      <c r="B60" s="5093"/>
      <c r="C60" s="2025" t="s">
        <v>175</v>
      </c>
      <c r="D60" s="2005" t="s">
        <v>1172</v>
      </c>
      <c r="E60" s="2005" t="s">
        <v>1197</v>
      </c>
      <c r="F60" s="2005" t="s">
        <v>1218</v>
      </c>
      <c r="G60" s="2005" t="s">
        <v>1209</v>
      </c>
      <c r="H60" s="2054" t="s">
        <v>533</v>
      </c>
      <c r="I60" s="2054" t="s">
        <v>533</v>
      </c>
      <c r="J60" s="2054" t="s">
        <v>533</v>
      </c>
      <c r="K60" s="2054" t="s">
        <v>533</v>
      </c>
      <c r="L60" s="2054" t="s">
        <v>533</v>
      </c>
      <c r="M60" s="2054" t="s">
        <v>533</v>
      </c>
      <c r="N60" s="2054" t="s">
        <v>533</v>
      </c>
      <c r="O60" s="2054" t="s">
        <v>533</v>
      </c>
      <c r="P60" s="2054" t="s">
        <v>533</v>
      </c>
      <c r="Q60" s="2054" t="s">
        <v>533</v>
      </c>
      <c r="R60" s="2054" t="s">
        <v>533</v>
      </c>
      <c r="S60" s="2054" t="s">
        <v>533</v>
      </c>
      <c r="T60" s="2054"/>
      <c r="U60" s="2054"/>
      <c r="V60" s="2054"/>
      <c r="W60" s="2054"/>
      <c r="X60" s="2054"/>
      <c r="Y60" s="2054" t="s">
        <v>533</v>
      </c>
    </row>
    <row r="61" spans="1:25" s="48" customFormat="1" ht="27.6">
      <c r="A61" s="2095" t="s">
        <v>1297</v>
      </c>
      <c r="B61" s="5093"/>
      <c r="C61" s="2026" t="s">
        <v>1234</v>
      </c>
      <c r="D61" s="2006" t="s">
        <v>1172</v>
      </c>
      <c r="E61" s="2006" t="s">
        <v>1197</v>
      </c>
      <c r="F61" s="2006" t="s">
        <v>1218</v>
      </c>
      <c r="G61" s="2006" t="s">
        <v>1209</v>
      </c>
      <c r="H61" s="2055" t="s">
        <v>533</v>
      </c>
      <c r="I61" s="2055" t="s">
        <v>533</v>
      </c>
      <c r="J61" s="2055" t="s">
        <v>533</v>
      </c>
      <c r="K61" s="2055" t="s">
        <v>533</v>
      </c>
      <c r="L61" s="2055" t="s">
        <v>533</v>
      </c>
      <c r="M61" s="2055" t="s">
        <v>533</v>
      </c>
      <c r="N61" s="2055" t="s">
        <v>533</v>
      </c>
      <c r="O61" s="2055" t="s">
        <v>533</v>
      </c>
      <c r="P61" s="2055" t="s">
        <v>533</v>
      </c>
      <c r="Q61" s="2055" t="s">
        <v>533</v>
      </c>
      <c r="R61" s="2055" t="s">
        <v>533</v>
      </c>
      <c r="S61" s="2055" t="s">
        <v>533</v>
      </c>
      <c r="T61" s="2055"/>
      <c r="U61" s="2055"/>
      <c r="V61" s="2055"/>
      <c r="W61" s="2055"/>
      <c r="X61" s="2055"/>
      <c r="Y61" s="2055" t="s">
        <v>533</v>
      </c>
    </row>
    <row r="62" spans="1:25" s="48" customFormat="1" ht="27.6">
      <c r="A62" s="2095" t="s">
        <v>1297</v>
      </c>
      <c r="B62" s="5093"/>
      <c r="C62" s="2026" t="s">
        <v>1235</v>
      </c>
      <c r="D62" s="2006" t="s">
        <v>1172</v>
      </c>
      <c r="E62" s="2006" t="s">
        <v>1197</v>
      </c>
      <c r="F62" s="2006" t="s">
        <v>1218</v>
      </c>
      <c r="G62" s="2006" t="s">
        <v>1209</v>
      </c>
      <c r="H62" s="2055" t="s">
        <v>533</v>
      </c>
      <c r="I62" s="2055" t="s">
        <v>533</v>
      </c>
      <c r="J62" s="2055" t="s">
        <v>533</v>
      </c>
      <c r="K62" s="2055" t="s">
        <v>533</v>
      </c>
      <c r="L62" s="2055" t="s">
        <v>533</v>
      </c>
      <c r="M62" s="2055" t="s">
        <v>533</v>
      </c>
      <c r="N62" s="2055" t="s">
        <v>533</v>
      </c>
      <c r="O62" s="2055" t="s">
        <v>533</v>
      </c>
      <c r="P62" s="2055" t="s">
        <v>533</v>
      </c>
      <c r="Q62" s="2055" t="s">
        <v>533</v>
      </c>
      <c r="R62" s="2055" t="s">
        <v>533</v>
      </c>
      <c r="S62" s="2055" t="s">
        <v>533</v>
      </c>
      <c r="T62" s="2055"/>
      <c r="U62" s="2055"/>
      <c r="V62" s="2055"/>
      <c r="W62" s="2055"/>
      <c r="X62" s="2055"/>
      <c r="Y62" s="2055" t="s">
        <v>533</v>
      </c>
    </row>
    <row r="63" spans="1:25" s="48" customFormat="1" ht="27.6">
      <c r="A63" s="2095" t="s">
        <v>1297</v>
      </c>
      <c r="B63" s="5093"/>
      <c r="C63" s="2026" t="s">
        <v>1236</v>
      </c>
      <c r="D63" s="2006" t="s">
        <v>1172</v>
      </c>
      <c r="E63" s="2006" t="s">
        <v>1197</v>
      </c>
      <c r="F63" s="2006" t="s">
        <v>1218</v>
      </c>
      <c r="G63" s="2006" t="s">
        <v>1209</v>
      </c>
      <c r="H63" s="2055" t="s">
        <v>533</v>
      </c>
      <c r="I63" s="2055" t="s">
        <v>533</v>
      </c>
      <c r="J63" s="2055" t="s">
        <v>533</v>
      </c>
      <c r="K63" s="2055" t="s">
        <v>533</v>
      </c>
      <c r="L63" s="2055" t="s">
        <v>533</v>
      </c>
      <c r="M63" s="2055" t="s">
        <v>533</v>
      </c>
      <c r="N63" s="2055" t="s">
        <v>533</v>
      </c>
      <c r="O63" s="2055" t="s">
        <v>533</v>
      </c>
      <c r="P63" s="2055" t="s">
        <v>533</v>
      </c>
      <c r="Q63" s="2055" t="s">
        <v>533</v>
      </c>
      <c r="R63" s="2055" t="s">
        <v>533</v>
      </c>
      <c r="S63" s="2055" t="s">
        <v>533</v>
      </c>
      <c r="T63" s="2055"/>
      <c r="U63" s="2055"/>
      <c r="V63" s="2055"/>
      <c r="W63" s="2055"/>
      <c r="X63" s="2055"/>
      <c r="Y63" s="2055" t="s">
        <v>533</v>
      </c>
    </row>
    <row r="64" spans="1:25" s="48" customFormat="1" ht="27.6">
      <c r="A64" s="2095" t="s">
        <v>1297</v>
      </c>
      <c r="B64" s="5093"/>
      <c r="C64" s="2027" t="s">
        <v>1237</v>
      </c>
      <c r="D64" s="2007" t="s">
        <v>1241</v>
      </c>
      <c r="E64" s="2007" t="s">
        <v>1197</v>
      </c>
      <c r="F64" s="2007" t="s">
        <v>1218</v>
      </c>
      <c r="G64" s="2007" t="s">
        <v>1209</v>
      </c>
      <c r="H64" s="2056" t="s">
        <v>533</v>
      </c>
      <c r="I64" s="2056" t="s">
        <v>533</v>
      </c>
      <c r="J64" s="2056" t="s">
        <v>533</v>
      </c>
      <c r="K64" s="2056" t="s">
        <v>533</v>
      </c>
      <c r="L64" s="2056" t="s">
        <v>533</v>
      </c>
      <c r="M64" s="2056" t="s">
        <v>533</v>
      </c>
      <c r="N64" s="2056" t="s">
        <v>533</v>
      </c>
      <c r="O64" s="2056" t="s">
        <v>533</v>
      </c>
      <c r="P64" s="2056" t="s">
        <v>533</v>
      </c>
      <c r="Q64" s="2056" t="s">
        <v>533</v>
      </c>
      <c r="R64" s="2056" t="s">
        <v>533</v>
      </c>
      <c r="S64" s="2056" t="s">
        <v>533</v>
      </c>
      <c r="T64" s="2056"/>
      <c r="U64" s="2056"/>
      <c r="V64" s="2056"/>
      <c r="W64" s="2056"/>
      <c r="X64" s="2056"/>
      <c r="Y64" s="2056" t="s">
        <v>533</v>
      </c>
    </row>
    <row r="65" spans="1:25" s="48" customFormat="1" ht="27.6">
      <c r="A65" s="2095" t="s">
        <v>1297</v>
      </c>
      <c r="B65" s="5093"/>
      <c r="C65" s="2028" t="s">
        <v>1239</v>
      </c>
      <c r="D65" s="2008" t="s">
        <v>1241</v>
      </c>
      <c r="E65" s="2008" t="s">
        <v>1197</v>
      </c>
      <c r="F65" s="2008" t="s">
        <v>1218</v>
      </c>
      <c r="G65" s="2008" t="s">
        <v>1209</v>
      </c>
      <c r="H65" s="2056" t="s">
        <v>533</v>
      </c>
      <c r="I65" s="2056" t="s">
        <v>533</v>
      </c>
      <c r="J65" s="2056" t="s">
        <v>533</v>
      </c>
      <c r="K65" s="2056" t="s">
        <v>533</v>
      </c>
      <c r="L65" s="2056" t="s">
        <v>533</v>
      </c>
      <c r="M65" s="2056" t="s">
        <v>533</v>
      </c>
      <c r="N65" s="2056" t="s">
        <v>533</v>
      </c>
      <c r="O65" s="2056" t="s">
        <v>533</v>
      </c>
      <c r="P65" s="2056" t="s">
        <v>533</v>
      </c>
      <c r="Q65" s="2056" t="s">
        <v>533</v>
      </c>
      <c r="R65" s="2056" t="s">
        <v>533</v>
      </c>
      <c r="S65" s="2056" t="s">
        <v>533</v>
      </c>
      <c r="T65" s="2056"/>
      <c r="U65" s="2056"/>
      <c r="V65" s="2056"/>
      <c r="W65" s="2056"/>
      <c r="X65" s="2056"/>
      <c r="Y65" s="2056" t="s">
        <v>533</v>
      </c>
    </row>
    <row r="66" spans="1:25" s="48" customFormat="1" ht="27.6">
      <c r="A66" s="2095" t="s">
        <v>1297</v>
      </c>
      <c r="B66" s="5093"/>
      <c r="C66" s="2028" t="s">
        <v>1238</v>
      </c>
      <c r="D66" s="2008" t="s">
        <v>1241</v>
      </c>
      <c r="E66" s="2008" t="s">
        <v>1197</v>
      </c>
      <c r="F66" s="2008" t="s">
        <v>1218</v>
      </c>
      <c r="G66" s="2008" t="s">
        <v>1209</v>
      </c>
      <c r="H66" s="2056" t="s">
        <v>533</v>
      </c>
      <c r="I66" s="2056" t="s">
        <v>533</v>
      </c>
      <c r="J66" s="2056" t="s">
        <v>533</v>
      </c>
      <c r="K66" s="2056" t="s">
        <v>533</v>
      </c>
      <c r="L66" s="2056" t="s">
        <v>533</v>
      </c>
      <c r="M66" s="2056" t="s">
        <v>533</v>
      </c>
      <c r="N66" s="2056" t="s">
        <v>533</v>
      </c>
      <c r="O66" s="2056" t="s">
        <v>533</v>
      </c>
      <c r="P66" s="2056" t="s">
        <v>533</v>
      </c>
      <c r="Q66" s="2056" t="s">
        <v>533</v>
      </c>
      <c r="R66" s="2056" t="s">
        <v>533</v>
      </c>
      <c r="S66" s="2056" t="s">
        <v>533</v>
      </c>
      <c r="T66" s="2056"/>
      <c r="U66" s="2056"/>
      <c r="V66" s="2056"/>
      <c r="W66" s="2056"/>
      <c r="X66" s="2056"/>
      <c r="Y66" s="2056" t="s">
        <v>533</v>
      </c>
    </row>
    <row r="67" spans="1:25" s="48" customFormat="1" ht="27.6">
      <c r="A67" s="2095" t="s">
        <v>1297</v>
      </c>
      <c r="B67" s="5093"/>
      <c r="C67" s="2028" t="s">
        <v>1240</v>
      </c>
      <c r="D67" s="2008" t="s">
        <v>1241</v>
      </c>
      <c r="E67" s="2008" t="s">
        <v>1197</v>
      </c>
      <c r="F67" s="2008" t="s">
        <v>1218</v>
      </c>
      <c r="G67" s="2008" t="s">
        <v>1209</v>
      </c>
      <c r="H67" s="2056" t="s">
        <v>533</v>
      </c>
      <c r="I67" s="2056" t="s">
        <v>533</v>
      </c>
      <c r="J67" s="2056" t="s">
        <v>533</v>
      </c>
      <c r="K67" s="2056" t="s">
        <v>533</v>
      </c>
      <c r="L67" s="2056" t="s">
        <v>533</v>
      </c>
      <c r="M67" s="2056" t="s">
        <v>533</v>
      </c>
      <c r="N67" s="2056" t="s">
        <v>533</v>
      </c>
      <c r="O67" s="2056" t="s">
        <v>533</v>
      </c>
      <c r="P67" s="2056" t="s">
        <v>533</v>
      </c>
      <c r="Q67" s="2056" t="s">
        <v>533</v>
      </c>
      <c r="R67" s="2056" t="s">
        <v>533</v>
      </c>
      <c r="S67" s="2056" t="s">
        <v>533</v>
      </c>
      <c r="T67" s="2056"/>
      <c r="U67" s="2056"/>
      <c r="V67" s="2056"/>
      <c r="W67" s="2056"/>
      <c r="X67" s="2056"/>
      <c r="Y67" s="2056" t="s">
        <v>533</v>
      </c>
    </row>
    <row r="68" spans="1:25" s="48" customFormat="1" ht="27.6">
      <c r="A68" s="2097" t="s">
        <v>1300</v>
      </c>
      <c r="B68" s="5096" t="s">
        <v>301</v>
      </c>
      <c r="C68" s="2002" t="s">
        <v>1247</v>
      </c>
      <c r="D68" s="1990" t="s">
        <v>601</v>
      </c>
      <c r="E68" s="1990" t="s">
        <v>1215</v>
      </c>
      <c r="F68" s="1998" t="s">
        <v>1216</v>
      </c>
      <c r="G68" s="1990" t="s">
        <v>1183</v>
      </c>
      <c r="H68" s="2057"/>
      <c r="I68" s="2057"/>
      <c r="J68" s="2057"/>
      <c r="K68" s="2057"/>
      <c r="L68" s="2057"/>
      <c r="M68" s="2057" t="s">
        <v>533</v>
      </c>
      <c r="N68" s="2057"/>
      <c r="O68" s="2057"/>
      <c r="P68" s="2057"/>
      <c r="Q68" s="2057"/>
      <c r="R68" s="2057"/>
      <c r="S68" s="2057" t="s">
        <v>533</v>
      </c>
      <c r="T68" s="2057"/>
      <c r="U68" s="2057"/>
      <c r="V68" s="2057"/>
      <c r="W68" s="2057"/>
      <c r="X68" s="2057"/>
      <c r="Y68" s="2057" t="s">
        <v>533</v>
      </c>
    </row>
    <row r="69" spans="1:25" s="48" customFormat="1">
      <c r="A69" s="2097" t="s">
        <v>1300</v>
      </c>
      <c r="B69" s="5096"/>
      <c r="C69" s="2002" t="s">
        <v>1253</v>
      </c>
      <c r="D69" s="1990" t="s">
        <v>33</v>
      </c>
      <c r="E69" s="1990" t="s">
        <v>1215</v>
      </c>
      <c r="F69" s="1998" t="s">
        <v>1216</v>
      </c>
      <c r="G69" s="1990" t="s">
        <v>1183</v>
      </c>
      <c r="H69" s="2057"/>
      <c r="I69" s="2057"/>
      <c r="J69" s="2057"/>
      <c r="K69" s="2057"/>
      <c r="L69" s="2057"/>
      <c r="M69" s="2057" t="s">
        <v>533</v>
      </c>
      <c r="N69" s="2057"/>
      <c r="O69" s="2057"/>
      <c r="P69" s="2057"/>
      <c r="Q69" s="2057"/>
      <c r="R69" s="2057"/>
      <c r="S69" s="2057" t="s">
        <v>533</v>
      </c>
      <c r="T69" s="2057"/>
      <c r="U69" s="2057"/>
      <c r="V69" s="2057"/>
      <c r="W69" s="2057"/>
      <c r="X69" s="2057"/>
      <c r="Y69" s="2057" t="s">
        <v>533</v>
      </c>
    </row>
    <row r="70" spans="1:25" s="48" customFormat="1">
      <c r="A70" s="2097" t="s">
        <v>1300</v>
      </c>
      <c r="B70" s="5096"/>
      <c r="C70" s="2002" t="s">
        <v>1248</v>
      </c>
      <c r="D70" s="1990" t="s">
        <v>601</v>
      </c>
      <c r="E70" s="1990" t="s">
        <v>1215</v>
      </c>
      <c r="F70" s="1998" t="s">
        <v>1216</v>
      </c>
      <c r="G70" s="1990" t="s">
        <v>1183</v>
      </c>
      <c r="H70" s="2057"/>
      <c r="I70" s="2057"/>
      <c r="J70" s="2057"/>
      <c r="K70" s="2057"/>
      <c r="L70" s="2057"/>
      <c r="M70" s="2057" t="s">
        <v>533</v>
      </c>
      <c r="N70" s="2057"/>
      <c r="O70" s="2057"/>
      <c r="P70" s="2057"/>
      <c r="Q70" s="2057"/>
      <c r="R70" s="2057"/>
      <c r="S70" s="2057" t="s">
        <v>533</v>
      </c>
      <c r="T70" s="2057"/>
      <c r="U70" s="2057"/>
      <c r="V70" s="2057"/>
      <c r="W70" s="2057"/>
      <c r="X70" s="2057"/>
      <c r="Y70" s="2057" t="s">
        <v>533</v>
      </c>
    </row>
    <row r="71" spans="1:25" s="48" customFormat="1">
      <c r="A71" s="2097" t="s">
        <v>1300</v>
      </c>
      <c r="B71" s="5096"/>
      <c r="C71" s="2002" t="s">
        <v>1253</v>
      </c>
      <c r="D71" s="1990" t="s">
        <v>33</v>
      </c>
      <c r="E71" s="1990" t="s">
        <v>1215</v>
      </c>
      <c r="F71" s="1998" t="s">
        <v>1216</v>
      </c>
      <c r="G71" s="1990" t="s">
        <v>1183</v>
      </c>
      <c r="H71" s="2057"/>
      <c r="I71" s="2057"/>
      <c r="J71" s="2057"/>
      <c r="K71" s="2057"/>
      <c r="L71" s="2057"/>
      <c r="M71" s="2057" t="s">
        <v>533</v>
      </c>
      <c r="N71" s="2057"/>
      <c r="O71" s="2057"/>
      <c r="P71" s="2057"/>
      <c r="Q71" s="2057"/>
      <c r="R71" s="2057"/>
      <c r="S71" s="2057" t="s">
        <v>533</v>
      </c>
      <c r="T71" s="2057"/>
      <c r="U71" s="2057"/>
      <c r="V71" s="2057"/>
      <c r="W71" s="2057"/>
      <c r="X71" s="2057"/>
      <c r="Y71" s="2057" t="s">
        <v>533</v>
      </c>
    </row>
    <row r="72" spans="1:25" s="48" customFormat="1">
      <c r="A72" s="2097" t="s">
        <v>1300</v>
      </c>
      <c r="B72" s="5096"/>
      <c r="C72" s="2002" t="s">
        <v>1249</v>
      </c>
      <c r="D72" s="1990" t="s">
        <v>601</v>
      </c>
      <c r="E72" s="1990" t="s">
        <v>1215</v>
      </c>
      <c r="F72" s="1998" t="s">
        <v>1216</v>
      </c>
      <c r="G72" s="1990" t="s">
        <v>1183</v>
      </c>
      <c r="H72" s="2057"/>
      <c r="I72" s="2057"/>
      <c r="J72" s="2057"/>
      <c r="K72" s="2057"/>
      <c r="L72" s="2057"/>
      <c r="M72" s="2057" t="s">
        <v>533</v>
      </c>
      <c r="N72" s="2057"/>
      <c r="O72" s="2057"/>
      <c r="P72" s="2057"/>
      <c r="Q72" s="2057"/>
      <c r="R72" s="2057"/>
      <c r="S72" s="2057" t="s">
        <v>533</v>
      </c>
      <c r="T72" s="2057"/>
      <c r="U72" s="2057"/>
      <c r="V72" s="2057"/>
      <c r="W72" s="2057"/>
      <c r="X72" s="2057"/>
      <c r="Y72" s="2057" t="s">
        <v>533</v>
      </c>
    </row>
    <row r="73" spans="1:25" s="48" customFormat="1">
      <c r="A73" s="2097" t="s">
        <v>1300</v>
      </c>
      <c r="B73" s="5096"/>
      <c r="C73" s="2002" t="s">
        <v>1253</v>
      </c>
      <c r="D73" s="1990" t="s">
        <v>33</v>
      </c>
      <c r="E73" s="1990" t="s">
        <v>1215</v>
      </c>
      <c r="F73" s="1998" t="s">
        <v>1216</v>
      </c>
      <c r="G73" s="1990" t="s">
        <v>1183</v>
      </c>
      <c r="H73" s="2057"/>
      <c r="I73" s="2057"/>
      <c r="J73" s="2057"/>
      <c r="K73" s="2057"/>
      <c r="L73" s="2057"/>
      <c r="M73" s="2057" t="s">
        <v>533</v>
      </c>
      <c r="N73" s="2057"/>
      <c r="O73" s="2057"/>
      <c r="P73" s="2057"/>
      <c r="Q73" s="2057"/>
      <c r="R73" s="2057"/>
      <c r="S73" s="2057" t="s">
        <v>533</v>
      </c>
      <c r="T73" s="2057"/>
      <c r="U73" s="2057"/>
      <c r="V73" s="2057"/>
      <c r="W73" s="2057"/>
      <c r="X73" s="2057"/>
      <c r="Y73" s="2057" t="s">
        <v>533</v>
      </c>
    </row>
    <row r="74" spans="1:25" s="48" customFormat="1">
      <c r="A74" s="2097" t="s">
        <v>1300</v>
      </c>
      <c r="B74" s="5096"/>
      <c r="C74" s="2002" t="s">
        <v>1250</v>
      </c>
      <c r="D74" s="1990" t="s">
        <v>601</v>
      </c>
      <c r="E74" s="1990" t="s">
        <v>1215</v>
      </c>
      <c r="F74" s="1998" t="s">
        <v>1216</v>
      </c>
      <c r="G74" s="1990" t="s">
        <v>1183</v>
      </c>
      <c r="H74" s="2057"/>
      <c r="I74" s="2057"/>
      <c r="J74" s="2057"/>
      <c r="K74" s="2057"/>
      <c r="L74" s="2057"/>
      <c r="M74" s="2057" t="s">
        <v>533</v>
      </c>
      <c r="N74" s="2057"/>
      <c r="O74" s="2057"/>
      <c r="P74" s="2057"/>
      <c r="Q74" s="2057"/>
      <c r="R74" s="2057"/>
      <c r="S74" s="2057" t="s">
        <v>533</v>
      </c>
      <c r="T74" s="2057"/>
      <c r="U74" s="2057"/>
      <c r="V74" s="2057"/>
      <c r="W74" s="2057"/>
      <c r="X74" s="2057"/>
      <c r="Y74" s="2057" t="s">
        <v>533</v>
      </c>
    </row>
    <row r="75" spans="1:25" s="48" customFormat="1">
      <c r="A75" s="2097" t="s">
        <v>1300</v>
      </c>
      <c r="B75" s="5096"/>
      <c r="C75" s="2002" t="s">
        <v>1253</v>
      </c>
      <c r="D75" s="1990" t="s">
        <v>33</v>
      </c>
      <c r="E75" s="1990" t="s">
        <v>1215</v>
      </c>
      <c r="F75" s="1998" t="s">
        <v>1216</v>
      </c>
      <c r="G75" s="1990" t="s">
        <v>1183</v>
      </c>
      <c r="H75" s="2057"/>
      <c r="I75" s="2057"/>
      <c r="J75" s="2057"/>
      <c r="K75" s="2057"/>
      <c r="L75" s="2057"/>
      <c r="M75" s="2057" t="s">
        <v>533</v>
      </c>
      <c r="N75" s="2057"/>
      <c r="O75" s="2057"/>
      <c r="P75" s="2057"/>
      <c r="Q75" s="2057"/>
      <c r="R75" s="2057"/>
      <c r="S75" s="2057" t="s">
        <v>533</v>
      </c>
      <c r="T75" s="2057"/>
      <c r="U75" s="2057"/>
      <c r="V75" s="2057"/>
      <c r="W75" s="2057"/>
      <c r="X75" s="2057"/>
      <c r="Y75" s="2057" t="s">
        <v>533</v>
      </c>
    </row>
    <row r="76" spans="1:25" s="48" customFormat="1">
      <c r="A76" s="2097" t="s">
        <v>1300</v>
      </c>
      <c r="B76" s="5096"/>
      <c r="C76" s="2002" t="s">
        <v>1251</v>
      </c>
      <c r="D76" s="1990" t="s">
        <v>601</v>
      </c>
      <c r="E76" s="1990" t="s">
        <v>1215</v>
      </c>
      <c r="F76" s="1998" t="s">
        <v>1216</v>
      </c>
      <c r="G76" s="1990" t="s">
        <v>1183</v>
      </c>
      <c r="H76" s="2057"/>
      <c r="I76" s="2057"/>
      <c r="J76" s="2057"/>
      <c r="K76" s="2057"/>
      <c r="L76" s="2057"/>
      <c r="M76" s="2057" t="s">
        <v>533</v>
      </c>
      <c r="N76" s="2057"/>
      <c r="O76" s="2057"/>
      <c r="P76" s="2057"/>
      <c r="Q76" s="2057"/>
      <c r="R76" s="2057"/>
      <c r="S76" s="2057" t="s">
        <v>533</v>
      </c>
      <c r="T76" s="2057"/>
      <c r="U76" s="2057"/>
      <c r="V76" s="2057"/>
      <c r="W76" s="2057"/>
      <c r="X76" s="2057"/>
      <c r="Y76" s="2057" t="s">
        <v>533</v>
      </c>
    </row>
    <row r="77" spans="1:25" s="48" customFormat="1">
      <c r="A77" s="2097" t="s">
        <v>1300</v>
      </c>
      <c r="B77" s="5096"/>
      <c r="C77" s="2002" t="s">
        <v>1253</v>
      </c>
      <c r="D77" s="1990" t="s">
        <v>33</v>
      </c>
      <c r="E77" s="1990" t="s">
        <v>1215</v>
      </c>
      <c r="F77" s="1998" t="s">
        <v>1216</v>
      </c>
      <c r="G77" s="1990" t="s">
        <v>1183</v>
      </c>
      <c r="H77" s="2057"/>
      <c r="I77" s="2057"/>
      <c r="J77" s="2057"/>
      <c r="K77" s="2057"/>
      <c r="L77" s="2057"/>
      <c r="M77" s="2057" t="s">
        <v>533</v>
      </c>
      <c r="N77" s="2057"/>
      <c r="O77" s="2057"/>
      <c r="P77" s="2057"/>
      <c r="Q77" s="2057"/>
      <c r="R77" s="2057"/>
      <c r="S77" s="2057" t="s">
        <v>533</v>
      </c>
      <c r="T77" s="2057"/>
      <c r="U77" s="2057"/>
      <c r="V77" s="2057"/>
      <c r="W77" s="2057"/>
      <c r="X77" s="2057"/>
      <c r="Y77" s="2057" t="s">
        <v>533</v>
      </c>
    </row>
    <row r="78" spans="1:25" s="48" customFormat="1">
      <c r="A78" s="2097" t="s">
        <v>1300</v>
      </c>
      <c r="B78" s="5096"/>
      <c r="C78" s="2038" t="s">
        <v>1279</v>
      </c>
      <c r="D78" s="2039" t="s">
        <v>1149</v>
      </c>
      <c r="E78" s="2039" t="s">
        <v>1215</v>
      </c>
      <c r="F78" s="2040" t="s">
        <v>1216</v>
      </c>
      <c r="G78" s="2039" t="s">
        <v>1183</v>
      </c>
      <c r="H78" s="2058"/>
      <c r="I78" s="2058"/>
      <c r="J78" s="2058"/>
      <c r="K78" s="2058"/>
      <c r="L78" s="2058"/>
      <c r="M78" s="2058" t="s">
        <v>533</v>
      </c>
      <c r="N78" s="2058"/>
      <c r="O78" s="2058"/>
      <c r="P78" s="2058"/>
      <c r="Q78" s="2058"/>
      <c r="R78" s="2058"/>
      <c r="S78" s="2058" t="s">
        <v>533</v>
      </c>
      <c r="T78" s="2058"/>
      <c r="U78" s="2058"/>
      <c r="V78" s="2058"/>
      <c r="W78" s="2058"/>
      <c r="X78" s="2058"/>
      <c r="Y78" s="2058" t="s">
        <v>533</v>
      </c>
    </row>
    <row r="79" spans="1:25" s="48" customFormat="1">
      <c r="A79" s="2097" t="s">
        <v>1300</v>
      </c>
      <c r="B79" s="5096"/>
      <c r="C79" s="1996" t="s">
        <v>1252</v>
      </c>
      <c r="D79" s="1991" t="s">
        <v>601</v>
      </c>
      <c r="E79" s="1991" t="s">
        <v>1215</v>
      </c>
      <c r="F79" s="1998" t="s">
        <v>1216</v>
      </c>
      <c r="G79" s="1991" t="s">
        <v>1183</v>
      </c>
      <c r="H79" s="2052"/>
      <c r="I79" s="2052"/>
      <c r="J79" s="2052"/>
      <c r="K79" s="2052"/>
      <c r="L79" s="2052"/>
      <c r="M79" s="2052" t="s">
        <v>533</v>
      </c>
      <c r="N79" s="2052"/>
      <c r="O79" s="2052"/>
      <c r="P79" s="2052"/>
      <c r="Q79" s="2052"/>
      <c r="R79" s="2052"/>
      <c r="S79" s="2052" t="s">
        <v>533</v>
      </c>
      <c r="T79" s="2052"/>
      <c r="U79" s="2052"/>
      <c r="V79" s="2052"/>
      <c r="W79" s="2052"/>
      <c r="X79" s="2052"/>
      <c r="Y79" s="2052" t="s">
        <v>533</v>
      </c>
    </row>
    <row r="80" spans="1:25" s="48" customFormat="1">
      <c r="A80" s="2097" t="s">
        <v>1300</v>
      </c>
      <c r="B80" s="5096"/>
      <c r="C80" s="2041" t="s">
        <v>1280</v>
      </c>
      <c r="D80" s="2010" t="s">
        <v>601</v>
      </c>
      <c r="E80" s="2010" t="s">
        <v>1215</v>
      </c>
      <c r="F80" s="2009" t="s">
        <v>1216</v>
      </c>
      <c r="G80" s="2010" t="s">
        <v>1183</v>
      </c>
      <c r="H80" s="2059"/>
      <c r="I80" s="2059"/>
      <c r="J80" s="2059"/>
      <c r="K80" s="2059"/>
      <c r="L80" s="2059"/>
      <c r="M80" s="2059" t="s">
        <v>533</v>
      </c>
      <c r="N80" s="2059"/>
      <c r="O80" s="2059"/>
      <c r="P80" s="2059"/>
      <c r="Q80" s="2059"/>
      <c r="R80" s="2059"/>
      <c r="S80" s="2059" t="s">
        <v>533</v>
      </c>
      <c r="T80" s="2059"/>
      <c r="U80" s="2059"/>
      <c r="V80" s="2059"/>
      <c r="W80" s="2059"/>
      <c r="X80" s="2059"/>
      <c r="Y80" s="2059" t="s">
        <v>533</v>
      </c>
    </row>
    <row r="81" spans="1:25" s="48" customFormat="1">
      <c r="A81" s="2097" t="s">
        <v>1300</v>
      </c>
      <c r="B81" s="5096"/>
      <c r="C81" s="2041" t="s">
        <v>1281</v>
      </c>
      <c r="D81" s="2010" t="s">
        <v>601</v>
      </c>
      <c r="E81" s="2010" t="s">
        <v>1215</v>
      </c>
      <c r="F81" s="2009" t="s">
        <v>1216</v>
      </c>
      <c r="G81" s="2010" t="s">
        <v>1183</v>
      </c>
      <c r="H81" s="2059"/>
      <c r="I81" s="2059"/>
      <c r="J81" s="2059"/>
      <c r="K81" s="2059"/>
      <c r="L81" s="2059"/>
      <c r="M81" s="2059" t="s">
        <v>533</v>
      </c>
      <c r="N81" s="2059"/>
      <c r="O81" s="2059"/>
      <c r="P81" s="2059"/>
      <c r="Q81" s="2059"/>
      <c r="R81" s="2059"/>
      <c r="S81" s="2059" t="s">
        <v>533</v>
      </c>
      <c r="T81" s="2059"/>
      <c r="U81" s="2059"/>
      <c r="V81" s="2059"/>
      <c r="W81" s="2059"/>
      <c r="X81" s="2059"/>
      <c r="Y81" s="2059" t="s">
        <v>533</v>
      </c>
    </row>
    <row r="82" spans="1:25" s="48" customFormat="1">
      <c r="A82" s="2097" t="s">
        <v>1300</v>
      </c>
      <c r="B82" s="5096"/>
      <c r="C82" s="1996" t="s">
        <v>1280</v>
      </c>
      <c r="D82" s="1991" t="s">
        <v>601</v>
      </c>
      <c r="E82" s="1991" t="s">
        <v>1215</v>
      </c>
      <c r="F82" s="1998" t="s">
        <v>1216</v>
      </c>
      <c r="G82" s="1991" t="s">
        <v>1183</v>
      </c>
      <c r="H82" s="2052"/>
      <c r="I82" s="2052"/>
      <c r="J82" s="2052"/>
      <c r="K82" s="2052"/>
      <c r="L82" s="2052"/>
      <c r="M82" s="2052" t="s">
        <v>533</v>
      </c>
      <c r="N82" s="2052"/>
      <c r="O82" s="2052"/>
      <c r="P82" s="2052"/>
      <c r="Q82" s="2052"/>
      <c r="R82" s="2052"/>
      <c r="S82" s="2052" t="s">
        <v>533</v>
      </c>
      <c r="T82" s="2052"/>
      <c r="U82" s="2052"/>
      <c r="V82" s="2052"/>
      <c r="W82" s="2052"/>
      <c r="X82" s="2052"/>
      <c r="Y82" s="2052" t="s">
        <v>533</v>
      </c>
    </row>
    <row r="83" spans="1:25" s="48" customFormat="1">
      <c r="A83" s="2097" t="s">
        <v>1300</v>
      </c>
      <c r="B83" s="5096"/>
      <c r="C83" s="1996" t="s">
        <v>1281</v>
      </c>
      <c r="D83" s="1991" t="s">
        <v>601</v>
      </c>
      <c r="E83" s="1991" t="s">
        <v>1215</v>
      </c>
      <c r="F83" s="1998" t="s">
        <v>1216</v>
      </c>
      <c r="G83" s="1991" t="s">
        <v>1183</v>
      </c>
      <c r="H83" s="2052"/>
      <c r="I83" s="2052"/>
      <c r="J83" s="2052"/>
      <c r="K83" s="2052"/>
      <c r="L83" s="2052"/>
      <c r="M83" s="2052" t="s">
        <v>533</v>
      </c>
      <c r="N83" s="2052"/>
      <c r="O83" s="2052"/>
      <c r="P83" s="2052"/>
      <c r="Q83" s="2052"/>
      <c r="R83" s="2052"/>
      <c r="S83" s="2052" t="s">
        <v>533</v>
      </c>
      <c r="T83" s="2052"/>
      <c r="U83" s="2052"/>
      <c r="V83" s="2052"/>
      <c r="W83" s="2052"/>
      <c r="X83" s="2052"/>
      <c r="Y83" s="2052" t="s">
        <v>533</v>
      </c>
    </row>
    <row r="84" spans="1:25" s="48" customFormat="1">
      <c r="A84" s="2096" t="s">
        <v>1297</v>
      </c>
      <c r="B84" s="5093" t="s">
        <v>1038</v>
      </c>
      <c r="C84" s="2029" t="s">
        <v>1039</v>
      </c>
      <c r="D84" s="1999" t="s">
        <v>601</v>
      </c>
      <c r="E84" s="1999" t="s">
        <v>1215</v>
      </c>
      <c r="F84" s="1999" t="s">
        <v>1216</v>
      </c>
      <c r="G84" s="1999" t="s">
        <v>1183</v>
      </c>
      <c r="H84" s="2060"/>
      <c r="I84" s="2060"/>
      <c r="J84" s="2060"/>
      <c r="K84" s="2060"/>
      <c r="L84" s="2060"/>
      <c r="M84" s="2060" t="s">
        <v>533</v>
      </c>
      <c r="N84" s="2060"/>
      <c r="O84" s="2060"/>
      <c r="P84" s="2060"/>
      <c r="Q84" s="2060"/>
      <c r="R84" s="2060"/>
      <c r="S84" s="2060" t="s">
        <v>533</v>
      </c>
      <c r="T84" s="2060"/>
      <c r="U84" s="2060"/>
      <c r="V84" s="2060"/>
      <c r="W84" s="2060"/>
      <c r="X84" s="2060"/>
      <c r="Y84" s="2060" t="s">
        <v>533</v>
      </c>
    </row>
    <row r="85" spans="1:25" s="48" customFormat="1">
      <c r="A85" s="2096" t="s">
        <v>1297</v>
      </c>
      <c r="B85" s="5093"/>
      <c r="C85" s="1994" t="s">
        <v>1254</v>
      </c>
      <c r="D85" s="2003" t="s">
        <v>601</v>
      </c>
      <c r="E85" s="2003" t="s">
        <v>1215</v>
      </c>
      <c r="F85" s="2004" t="s">
        <v>1216</v>
      </c>
      <c r="G85" s="2003" t="s">
        <v>1183</v>
      </c>
      <c r="H85" s="2060"/>
      <c r="I85" s="2060"/>
      <c r="J85" s="2060"/>
      <c r="K85" s="2060"/>
      <c r="L85" s="2060"/>
      <c r="M85" s="2060" t="s">
        <v>533</v>
      </c>
      <c r="N85" s="2060"/>
      <c r="O85" s="2060"/>
      <c r="P85" s="2060"/>
      <c r="Q85" s="2060"/>
      <c r="R85" s="2060"/>
      <c r="S85" s="2060" t="s">
        <v>533</v>
      </c>
      <c r="T85" s="2060"/>
      <c r="U85" s="2060"/>
      <c r="V85" s="2060"/>
      <c r="W85" s="2060"/>
      <c r="X85" s="2060"/>
      <c r="Y85" s="2060" t="s">
        <v>533</v>
      </c>
    </row>
    <row r="86" spans="1:25" s="48" customFormat="1">
      <c r="A86" s="2096" t="s">
        <v>1297</v>
      </c>
      <c r="B86" s="5093"/>
      <c r="C86" s="1994" t="s">
        <v>1255</v>
      </c>
      <c r="D86" s="2003" t="s">
        <v>601</v>
      </c>
      <c r="E86" s="2003" t="s">
        <v>1215</v>
      </c>
      <c r="F86" s="2003" t="s">
        <v>1216</v>
      </c>
      <c r="G86" s="2003" t="s">
        <v>1183</v>
      </c>
      <c r="H86" s="2060"/>
      <c r="I86" s="2060"/>
      <c r="J86" s="2060"/>
      <c r="K86" s="2060"/>
      <c r="L86" s="2060"/>
      <c r="M86" s="2060" t="s">
        <v>533</v>
      </c>
      <c r="N86" s="2060"/>
      <c r="O86" s="2060"/>
      <c r="P86" s="2060"/>
      <c r="Q86" s="2060"/>
      <c r="R86" s="2060"/>
      <c r="S86" s="2060" t="s">
        <v>533</v>
      </c>
      <c r="T86" s="2060"/>
      <c r="U86" s="2060"/>
      <c r="V86" s="2060"/>
      <c r="W86" s="2060"/>
      <c r="X86" s="2060"/>
      <c r="Y86" s="2060" t="s">
        <v>533</v>
      </c>
    </row>
    <row r="87" spans="1:25" s="48" customFormat="1" ht="27.6">
      <c r="A87" s="2096" t="s">
        <v>1297</v>
      </c>
      <c r="B87" s="5096" t="s">
        <v>1125</v>
      </c>
      <c r="C87" s="2000" t="s">
        <v>1256</v>
      </c>
      <c r="D87" s="2001" t="s">
        <v>601</v>
      </c>
      <c r="E87" s="2001" t="s">
        <v>1215</v>
      </c>
      <c r="F87" s="2001" t="s">
        <v>1216</v>
      </c>
      <c r="G87" s="2001" t="s">
        <v>1183</v>
      </c>
      <c r="H87" s="2057"/>
      <c r="I87" s="2057"/>
      <c r="J87" s="2057"/>
      <c r="K87" s="2057"/>
      <c r="L87" s="2057"/>
      <c r="M87" s="2057" t="s">
        <v>533</v>
      </c>
      <c r="N87" s="2057"/>
      <c r="O87" s="2057"/>
      <c r="P87" s="2057"/>
      <c r="Q87" s="2057"/>
      <c r="R87" s="2057"/>
      <c r="S87" s="2057" t="s">
        <v>533</v>
      </c>
      <c r="T87" s="2057"/>
      <c r="U87" s="2057"/>
      <c r="V87" s="2057"/>
      <c r="W87" s="2057"/>
      <c r="X87" s="2057"/>
      <c r="Y87" s="2057" t="s">
        <v>533</v>
      </c>
    </row>
    <row r="88" spans="1:25" s="48" customFormat="1" ht="27.6">
      <c r="A88" s="2096" t="s">
        <v>1297</v>
      </c>
      <c r="B88" s="5096"/>
      <c r="C88" s="2002" t="s">
        <v>1260</v>
      </c>
      <c r="D88" s="1990" t="s">
        <v>601</v>
      </c>
      <c r="E88" s="1990" t="s">
        <v>1215</v>
      </c>
      <c r="F88" s="1990" t="s">
        <v>1216</v>
      </c>
      <c r="G88" s="1990" t="s">
        <v>1183</v>
      </c>
      <c r="H88" s="2057"/>
      <c r="I88" s="2057"/>
      <c r="J88" s="2057"/>
      <c r="K88" s="2057"/>
      <c r="L88" s="2057"/>
      <c r="M88" s="2057" t="s">
        <v>533</v>
      </c>
      <c r="N88" s="2057"/>
      <c r="O88" s="2057"/>
      <c r="P88" s="2057"/>
      <c r="Q88" s="2057"/>
      <c r="R88" s="2057"/>
      <c r="S88" s="2057" t="s">
        <v>533</v>
      </c>
      <c r="T88" s="2057"/>
      <c r="U88" s="2057"/>
      <c r="V88" s="2057"/>
      <c r="W88" s="2057"/>
      <c r="X88" s="2057"/>
      <c r="Y88" s="2057" t="s">
        <v>533</v>
      </c>
    </row>
    <row r="89" spans="1:25" s="48" customFormat="1" ht="27.6">
      <c r="A89" s="2096" t="s">
        <v>1297</v>
      </c>
      <c r="B89" s="5096"/>
      <c r="C89" s="2002" t="s">
        <v>1261</v>
      </c>
      <c r="D89" s="1990" t="s">
        <v>601</v>
      </c>
      <c r="E89" s="1990" t="s">
        <v>1215</v>
      </c>
      <c r="F89" s="1990" t="s">
        <v>1216</v>
      </c>
      <c r="G89" s="1990" t="s">
        <v>1183</v>
      </c>
      <c r="H89" s="2057"/>
      <c r="I89" s="2057"/>
      <c r="J89" s="2057"/>
      <c r="K89" s="2057"/>
      <c r="L89" s="2057"/>
      <c r="M89" s="2057" t="s">
        <v>533</v>
      </c>
      <c r="N89" s="2057"/>
      <c r="O89" s="2057"/>
      <c r="P89" s="2057"/>
      <c r="Q89" s="2057"/>
      <c r="R89" s="2057"/>
      <c r="S89" s="2057" t="s">
        <v>533</v>
      </c>
      <c r="T89" s="2057"/>
      <c r="U89" s="2057"/>
      <c r="V89" s="2057"/>
      <c r="W89" s="2057"/>
      <c r="X89" s="2057"/>
      <c r="Y89" s="2057" t="s">
        <v>533</v>
      </c>
    </row>
    <row r="90" spans="1:25" s="48" customFormat="1">
      <c r="A90" s="2096" t="s">
        <v>1297</v>
      </c>
      <c r="B90" s="5092" t="s">
        <v>1126</v>
      </c>
      <c r="C90" s="2011" t="s">
        <v>1257</v>
      </c>
      <c r="D90" s="2012" t="s">
        <v>601</v>
      </c>
      <c r="E90" s="2012" t="s">
        <v>1215</v>
      </c>
      <c r="F90" s="2012" t="s">
        <v>1216</v>
      </c>
      <c r="G90" s="2012" t="s">
        <v>1183</v>
      </c>
      <c r="H90" s="2061"/>
      <c r="I90" s="2061"/>
      <c r="J90" s="2061"/>
      <c r="K90" s="2061"/>
      <c r="L90" s="2061"/>
      <c r="M90" s="2061" t="s">
        <v>533</v>
      </c>
      <c r="N90" s="2061"/>
      <c r="O90" s="2061"/>
      <c r="P90" s="2061"/>
      <c r="Q90" s="2061"/>
      <c r="R90" s="2061"/>
      <c r="S90" s="2061" t="s">
        <v>533</v>
      </c>
      <c r="T90" s="2061"/>
      <c r="U90" s="2061"/>
      <c r="V90" s="2061"/>
      <c r="W90" s="2061"/>
      <c r="X90" s="2061"/>
      <c r="Y90" s="2061" t="s">
        <v>533</v>
      </c>
    </row>
    <row r="91" spans="1:25" s="48" customFormat="1" ht="27.6">
      <c r="A91" s="2096" t="s">
        <v>1297</v>
      </c>
      <c r="B91" s="5092"/>
      <c r="C91" s="2013" t="s">
        <v>1258</v>
      </c>
      <c r="D91" s="2014" t="s">
        <v>601</v>
      </c>
      <c r="E91" s="2014" t="s">
        <v>1215</v>
      </c>
      <c r="F91" s="2014" t="s">
        <v>1216</v>
      </c>
      <c r="G91" s="2014" t="s">
        <v>1183</v>
      </c>
      <c r="H91" s="2061"/>
      <c r="I91" s="2061"/>
      <c r="J91" s="2061"/>
      <c r="K91" s="2061"/>
      <c r="L91" s="2061"/>
      <c r="M91" s="2061" t="s">
        <v>533</v>
      </c>
      <c r="N91" s="2061"/>
      <c r="O91" s="2061"/>
      <c r="P91" s="2061"/>
      <c r="Q91" s="2061"/>
      <c r="R91" s="2061"/>
      <c r="S91" s="2061" t="s">
        <v>533</v>
      </c>
      <c r="T91" s="2061"/>
      <c r="U91" s="2061"/>
      <c r="V91" s="2061"/>
      <c r="W91" s="2061"/>
      <c r="X91" s="2061"/>
      <c r="Y91" s="2061" t="s">
        <v>533</v>
      </c>
    </row>
    <row r="92" spans="1:25" s="48" customFormat="1">
      <c r="A92" s="2096" t="s">
        <v>1297</v>
      </c>
      <c r="B92" s="5092"/>
      <c r="C92" s="2013" t="s">
        <v>1259</v>
      </c>
      <c r="D92" s="2014" t="s">
        <v>601</v>
      </c>
      <c r="E92" s="2014" t="s">
        <v>1215</v>
      </c>
      <c r="F92" s="2014" t="s">
        <v>1216</v>
      </c>
      <c r="G92" s="2014" t="s">
        <v>1183</v>
      </c>
      <c r="H92" s="2061"/>
      <c r="I92" s="2061"/>
      <c r="J92" s="2061"/>
      <c r="K92" s="2061"/>
      <c r="L92" s="2061"/>
      <c r="M92" s="2061" t="s">
        <v>533</v>
      </c>
      <c r="N92" s="2061"/>
      <c r="O92" s="2061"/>
      <c r="P92" s="2061"/>
      <c r="Q92" s="2061"/>
      <c r="R92" s="2061"/>
      <c r="S92" s="2061" t="s">
        <v>533</v>
      </c>
      <c r="T92" s="2061"/>
      <c r="U92" s="2061"/>
      <c r="V92" s="2061"/>
      <c r="W92" s="2061"/>
      <c r="X92" s="2061"/>
      <c r="Y92" s="2061" t="s">
        <v>533</v>
      </c>
    </row>
    <row r="93" spans="1:25" s="2181" customFormat="1">
      <c r="A93" s="2182" t="s">
        <v>1305</v>
      </c>
      <c r="B93" s="5097" t="s">
        <v>1108</v>
      </c>
      <c r="C93" s="2183" t="s">
        <v>1264</v>
      </c>
      <c r="D93" s="2179" t="s">
        <v>1265</v>
      </c>
      <c r="E93" s="2179" t="s">
        <v>1155</v>
      </c>
      <c r="F93" s="2184" t="s">
        <v>1355</v>
      </c>
      <c r="G93" s="2179" t="s">
        <v>1266</v>
      </c>
      <c r="H93" s="2180"/>
      <c r="I93" s="2180"/>
      <c r="J93" s="2180"/>
      <c r="K93" s="2180"/>
      <c r="L93" s="2180"/>
      <c r="M93" s="2180"/>
      <c r="N93" s="2180"/>
      <c r="O93" s="2180"/>
      <c r="P93" s="2180"/>
      <c r="Q93" s="2180"/>
      <c r="R93" s="2180" t="s">
        <v>1356</v>
      </c>
      <c r="S93" s="2180"/>
      <c r="T93" s="2180"/>
      <c r="U93" s="2180"/>
      <c r="V93" s="2180"/>
      <c r="W93" s="2180"/>
      <c r="X93" s="2180"/>
      <c r="Y93" s="2180"/>
    </row>
    <row r="94" spans="1:25" s="2181" customFormat="1">
      <c r="A94" s="2182" t="s">
        <v>1305</v>
      </c>
      <c r="B94" s="5097"/>
      <c r="C94" s="2178" t="s">
        <v>1267</v>
      </c>
      <c r="D94" s="2179" t="s">
        <v>1265</v>
      </c>
      <c r="E94" s="2179" t="s">
        <v>1155</v>
      </c>
      <c r="F94" s="2184" t="s">
        <v>1355</v>
      </c>
      <c r="G94" s="2179" t="s">
        <v>1266</v>
      </c>
      <c r="H94" s="2180"/>
      <c r="I94" s="2180"/>
      <c r="J94" s="2180"/>
      <c r="K94" s="2180"/>
      <c r="L94" s="2180"/>
      <c r="M94" s="2180"/>
      <c r="N94" s="2180"/>
      <c r="O94" s="2180"/>
      <c r="P94" s="2180"/>
      <c r="Q94" s="2180"/>
      <c r="R94" s="2180" t="s">
        <v>1356</v>
      </c>
      <c r="S94" s="2180"/>
      <c r="T94" s="2180"/>
      <c r="U94" s="2180"/>
      <c r="V94" s="2180"/>
      <c r="W94" s="2180"/>
      <c r="X94" s="2180"/>
      <c r="Y94" s="2180"/>
    </row>
    <row r="95" spans="1:25" s="2181" customFormat="1">
      <c r="A95" s="2182"/>
      <c r="B95" s="5097"/>
      <c r="C95" s="2178"/>
      <c r="D95" s="2179"/>
      <c r="E95" s="2179"/>
      <c r="F95" s="2184"/>
      <c r="G95" s="2179"/>
      <c r="H95" s="2180"/>
      <c r="I95" s="2180"/>
      <c r="J95" s="2180"/>
      <c r="K95" s="2180"/>
      <c r="L95" s="2180"/>
      <c r="M95" s="2180"/>
      <c r="N95" s="2180"/>
      <c r="O95" s="2180"/>
      <c r="P95" s="2180"/>
      <c r="Q95" s="2180"/>
      <c r="R95" s="2180"/>
      <c r="S95" s="2180"/>
      <c r="T95" s="2180"/>
      <c r="U95" s="2180"/>
      <c r="V95" s="2180"/>
      <c r="W95" s="2180"/>
      <c r="X95" s="2180"/>
      <c r="Y95" s="2180"/>
    </row>
    <row r="96" spans="1:25" s="2181" customFormat="1">
      <c r="A96" s="2182" t="s">
        <v>1305</v>
      </c>
      <c r="B96" s="5097"/>
      <c r="C96" s="2178" t="s">
        <v>1268</v>
      </c>
      <c r="D96" s="2179" t="s">
        <v>1265</v>
      </c>
      <c r="E96" s="2179" t="s">
        <v>1155</v>
      </c>
      <c r="F96" s="2184" t="s">
        <v>1355</v>
      </c>
      <c r="G96" s="2179" t="s">
        <v>1266</v>
      </c>
      <c r="H96" s="2180"/>
      <c r="I96" s="2180"/>
      <c r="J96" s="2180"/>
      <c r="K96" s="2180"/>
      <c r="L96" s="2180"/>
      <c r="M96" s="2180"/>
      <c r="N96" s="2180"/>
      <c r="O96" s="2180"/>
      <c r="P96" s="2180"/>
      <c r="Q96" s="2180"/>
      <c r="R96" s="2180" t="s">
        <v>1356</v>
      </c>
      <c r="S96" s="2180"/>
      <c r="T96" s="2180"/>
      <c r="U96" s="2180"/>
      <c r="V96" s="2180"/>
      <c r="W96" s="2180"/>
      <c r="X96" s="2180"/>
      <c r="Y96" s="2180"/>
    </row>
    <row r="97" spans="1:25" s="2181" customFormat="1" ht="27.6">
      <c r="A97" s="2182" t="s">
        <v>1305</v>
      </c>
      <c r="B97" s="2177" t="s">
        <v>1395</v>
      </c>
      <c r="C97" s="2178"/>
      <c r="D97" s="2179"/>
      <c r="E97" s="2179"/>
      <c r="F97" s="2184"/>
      <c r="G97" s="2179"/>
      <c r="H97" s="2180"/>
      <c r="I97" s="2180"/>
      <c r="J97" s="2180"/>
      <c r="K97" s="2180"/>
      <c r="L97" s="2180"/>
      <c r="M97" s="2180"/>
      <c r="N97" s="2180"/>
      <c r="O97" s="2180"/>
      <c r="P97" s="2180"/>
      <c r="Q97" s="2180"/>
      <c r="R97" s="2180"/>
      <c r="S97" s="2180"/>
      <c r="T97" s="2180"/>
      <c r="U97" s="2180"/>
      <c r="V97" s="2180"/>
      <c r="W97" s="2180"/>
      <c r="X97" s="2180"/>
      <c r="Y97" s="2180"/>
    </row>
    <row r="98" spans="1:25" s="2181" customFormat="1" ht="27.6">
      <c r="A98" s="2182" t="s">
        <v>1305</v>
      </c>
      <c r="B98" s="2177" t="s">
        <v>1396</v>
      </c>
      <c r="C98" s="2178"/>
      <c r="D98" s="2179"/>
      <c r="E98" s="2179"/>
      <c r="F98" s="2184"/>
      <c r="G98" s="2179"/>
      <c r="H98" s="2180"/>
      <c r="I98" s="2180"/>
      <c r="J98" s="2180"/>
      <c r="K98" s="2180"/>
      <c r="L98" s="2180"/>
      <c r="M98" s="2180"/>
      <c r="N98" s="2180"/>
      <c r="O98" s="2180"/>
      <c r="P98" s="2180"/>
      <c r="Q98" s="2180"/>
      <c r="R98" s="2180"/>
      <c r="S98" s="2180"/>
      <c r="T98" s="2180"/>
      <c r="U98" s="2180"/>
      <c r="V98" s="2180"/>
      <c r="W98" s="2180"/>
      <c r="X98" s="2180"/>
      <c r="Y98" s="2180"/>
    </row>
    <row r="99" spans="1:25" s="2181" customFormat="1">
      <c r="A99" s="2182"/>
      <c r="B99" s="2177"/>
      <c r="C99" s="2178"/>
      <c r="D99" s="2179"/>
      <c r="E99" s="2179"/>
      <c r="F99" s="2184"/>
      <c r="G99" s="2179"/>
      <c r="H99" s="2180"/>
      <c r="I99" s="2180"/>
      <c r="J99" s="2180"/>
      <c r="K99" s="2180"/>
      <c r="L99" s="2180"/>
      <c r="M99" s="2180"/>
      <c r="N99" s="2180"/>
      <c r="O99" s="2180"/>
      <c r="P99" s="2180"/>
      <c r="Q99" s="2180"/>
      <c r="R99" s="2180"/>
      <c r="S99" s="2180"/>
      <c r="T99" s="2180"/>
      <c r="U99" s="2180"/>
      <c r="V99" s="2180"/>
      <c r="W99" s="2180"/>
      <c r="X99" s="2180"/>
      <c r="Y99" s="2180"/>
    </row>
    <row r="100" spans="1:25" s="2181" customFormat="1">
      <c r="A100" s="2182"/>
      <c r="B100" s="2177"/>
      <c r="C100" s="2178"/>
      <c r="D100" s="2179"/>
      <c r="E100" s="2179"/>
      <c r="F100" s="2184"/>
      <c r="G100" s="2179"/>
      <c r="H100" s="2180"/>
      <c r="I100" s="2180"/>
      <c r="J100" s="2180"/>
      <c r="K100" s="2180"/>
      <c r="L100" s="2180"/>
      <c r="M100" s="2180"/>
      <c r="N100" s="2180"/>
      <c r="O100" s="2180"/>
      <c r="P100" s="2180"/>
      <c r="Q100" s="2180"/>
      <c r="R100" s="2180"/>
      <c r="S100" s="2180"/>
      <c r="T100" s="2180"/>
      <c r="U100" s="2180"/>
      <c r="V100" s="2180"/>
      <c r="W100" s="2180"/>
      <c r="X100" s="2180"/>
      <c r="Y100" s="2180"/>
    </row>
    <row r="101" spans="1:25" s="48" customFormat="1" ht="27.6">
      <c r="A101" s="2092" t="s">
        <v>1298</v>
      </c>
      <c r="B101" s="5092" t="s">
        <v>1278</v>
      </c>
      <c r="C101" s="133" t="s">
        <v>1270</v>
      </c>
      <c r="D101" s="1995" t="s">
        <v>601</v>
      </c>
      <c r="E101" s="1995" t="s">
        <v>1155</v>
      </c>
      <c r="F101" s="1995" t="s">
        <v>1269</v>
      </c>
      <c r="G101" s="1995" t="s">
        <v>1189</v>
      </c>
      <c r="H101" s="2062"/>
      <c r="I101" s="2062"/>
      <c r="J101" s="2062"/>
      <c r="K101" s="2062"/>
      <c r="L101" s="2062"/>
      <c r="M101" s="2062"/>
      <c r="N101" s="2062"/>
      <c r="O101" s="2062" t="s">
        <v>533</v>
      </c>
      <c r="P101" s="2062"/>
      <c r="Q101" s="2062"/>
      <c r="R101" s="2062"/>
      <c r="S101" s="2062"/>
      <c r="T101" s="2062"/>
      <c r="U101" s="2062"/>
      <c r="V101" s="2062"/>
      <c r="W101" s="2062"/>
      <c r="X101" s="2062"/>
      <c r="Y101" s="2062"/>
    </row>
    <row r="102" spans="1:25" s="48" customFormat="1" ht="27.6">
      <c r="A102" s="2092" t="s">
        <v>1298</v>
      </c>
      <c r="B102" s="5092"/>
      <c r="C102" s="133" t="s">
        <v>1271</v>
      </c>
      <c r="D102" s="1995" t="s">
        <v>601</v>
      </c>
      <c r="E102" s="1995" t="s">
        <v>1155</v>
      </c>
      <c r="F102" s="1995" t="s">
        <v>1269</v>
      </c>
      <c r="G102" s="1995" t="s">
        <v>1189</v>
      </c>
      <c r="H102" s="2062"/>
      <c r="I102" s="2062"/>
      <c r="J102" s="2062"/>
      <c r="K102" s="2062"/>
      <c r="L102" s="2062"/>
      <c r="M102" s="2062"/>
      <c r="N102" s="2062"/>
      <c r="O102" s="2062"/>
      <c r="P102" s="2062" t="s">
        <v>533</v>
      </c>
      <c r="Q102" s="2062"/>
      <c r="R102" s="2062"/>
      <c r="S102" s="2062"/>
      <c r="T102" s="2062"/>
      <c r="U102" s="2062"/>
      <c r="V102" s="2062"/>
      <c r="W102" s="2062"/>
      <c r="X102" s="2062"/>
      <c r="Y102" s="2062"/>
    </row>
    <row r="103" spans="1:25" s="48" customFormat="1" ht="27.6">
      <c r="A103" s="2092" t="s">
        <v>1298</v>
      </c>
      <c r="B103" s="5092"/>
      <c r="C103" s="133" t="s">
        <v>1272</v>
      </c>
      <c r="D103" s="1995" t="s">
        <v>601</v>
      </c>
      <c r="E103" s="1995" t="s">
        <v>1155</v>
      </c>
      <c r="F103" s="1995" t="s">
        <v>1269</v>
      </c>
      <c r="G103" s="1995" t="s">
        <v>1189</v>
      </c>
      <c r="H103" s="2062"/>
      <c r="I103" s="2062"/>
      <c r="J103" s="2062"/>
      <c r="K103" s="2062"/>
      <c r="L103" s="2062"/>
      <c r="M103" s="2062"/>
      <c r="N103" s="2062"/>
      <c r="O103" s="2062"/>
      <c r="P103" s="2062"/>
      <c r="Q103" s="2062" t="s">
        <v>533</v>
      </c>
      <c r="R103" s="2062"/>
      <c r="S103" s="2062"/>
      <c r="T103" s="2062"/>
      <c r="U103" s="2062"/>
      <c r="V103" s="2062"/>
      <c r="W103" s="2062"/>
      <c r="X103" s="2062"/>
      <c r="Y103" s="2062"/>
    </row>
    <row r="104" spans="1:25" s="48" customFormat="1" ht="27.6">
      <c r="A104" s="2092" t="s">
        <v>1298</v>
      </c>
      <c r="B104" s="5092"/>
      <c r="C104" s="133" t="s">
        <v>1273</v>
      </c>
      <c r="D104" s="1995" t="s">
        <v>601</v>
      </c>
      <c r="E104" s="1995" t="s">
        <v>1155</v>
      </c>
      <c r="F104" s="1995" t="s">
        <v>1269</v>
      </c>
      <c r="G104" s="1995" t="s">
        <v>1189</v>
      </c>
      <c r="H104" s="2062"/>
      <c r="I104" s="2062"/>
      <c r="J104" s="2062"/>
      <c r="K104" s="2062"/>
      <c r="L104" s="2062"/>
      <c r="M104" s="2062"/>
      <c r="N104" s="2062"/>
      <c r="O104" s="2062"/>
      <c r="P104" s="2062"/>
      <c r="Q104" s="2062"/>
      <c r="R104" s="2062" t="s">
        <v>533</v>
      </c>
      <c r="S104" s="2062"/>
      <c r="T104" s="2062"/>
      <c r="U104" s="2062"/>
      <c r="V104" s="2062"/>
      <c r="W104" s="2062"/>
      <c r="X104" s="2062"/>
      <c r="Y104" s="2062"/>
    </row>
    <row r="105" spans="1:25" s="48" customFormat="1" ht="27.6">
      <c r="A105" s="2092" t="s">
        <v>1298</v>
      </c>
      <c r="B105" s="5092"/>
      <c r="C105" s="133" t="s">
        <v>1274</v>
      </c>
      <c r="D105" s="1995" t="s">
        <v>601</v>
      </c>
      <c r="E105" s="1995" t="s">
        <v>1155</v>
      </c>
      <c r="F105" s="1995" t="s">
        <v>1269</v>
      </c>
      <c r="G105" s="1995" t="s">
        <v>1189</v>
      </c>
      <c r="H105" s="2062"/>
      <c r="I105" s="2062"/>
      <c r="J105" s="2062"/>
      <c r="K105" s="2062"/>
      <c r="L105" s="2062"/>
      <c r="M105" s="2062"/>
      <c r="N105" s="2062"/>
      <c r="O105" s="2062"/>
      <c r="P105" s="2062"/>
      <c r="Q105" s="2062"/>
      <c r="R105" s="2062"/>
      <c r="S105" s="2062"/>
      <c r="T105" s="2062" t="s">
        <v>533</v>
      </c>
      <c r="U105" s="2062"/>
      <c r="V105" s="2062"/>
      <c r="W105" s="2062" t="s">
        <v>533</v>
      </c>
      <c r="X105" s="2062"/>
      <c r="Y105" s="2062"/>
    </row>
    <row r="106" spans="1:25" s="48" customFormat="1">
      <c r="A106" s="2092" t="s">
        <v>1298</v>
      </c>
      <c r="B106" s="5092"/>
      <c r="C106" s="133" t="s">
        <v>1275</v>
      </c>
      <c r="D106" s="1995" t="s">
        <v>601</v>
      </c>
      <c r="E106" s="1995" t="s">
        <v>1155</v>
      </c>
      <c r="F106" s="1995" t="s">
        <v>1269</v>
      </c>
      <c r="G106" s="1995" t="s">
        <v>1189</v>
      </c>
      <c r="H106" s="2062"/>
      <c r="I106" s="2062"/>
      <c r="J106" s="2062"/>
      <c r="K106" s="2062"/>
      <c r="L106" s="2062"/>
      <c r="M106" s="2062"/>
      <c r="N106" s="2062"/>
      <c r="O106" s="2062"/>
      <c r="P106" s="2062"/>
      <c r="Q106" s="2062"/>
      <c r="R106" s="2062"/>
      <c r="S106" s="2062"/>
      <c r="T106" s="2062"/>
      <c r="U106" s="2062"/>
      <c r="V106" s="2062"/>
      <c r="W106" s="2062"/>
      <c r="X106" s="2062" t="s">
        <v>533</v>
      </c>
      <c r="Y106" s="2062"/>
    </row>
    <row r="107" spans="1:25" s="48" customFormat="1" ht="27.6">
      <c r="A107" s="2092" t="s">
        <v>1298</v>
      </c>
      <c r="B107" s="5092"/>
      <c r="C107" s="133" t="s">
        <v>1276</v>
      </c>
      <c r="D107" s="1995" t="s">
        <v>601</v>
      </c>
      <c r="E107" s="1995" t="s">
        <v>1155</v>
      </c>
      <c r="F107" s="1995" t="s">
        <v>1269</v>
      </c>
      <c r="G107" s="1995" t="s">
        <v>1189</v>
      </c>
      <c r="H107" s="2062"/>
      <c r="I107" s="2062"/>
      <c r="J107" s="2062"/>
      <c r="K107" s="2062"/>
      <c r="L107" s="2062"/>
      <c r="M107" s="2062"/>
      <c r="N107" s="2062"/>
      <c r="O107" s="2062"/>
      <c r="P107" s="2062"/>
      <c r="Q107" s="2062"/>
      <c r="R107" s="2062"/>
      <c r="S107" s="2062"/>
      <c r="T107" s="2062"/>
      <c r="U107" s="2062"/>
      <c r="V107" s="2062"/>
      <c r="W107" s="2062"/>
      <c r="X107" s="2062" t="s">
        <v>533</v>
      </c>
      <c r="Y107" s="2062"/>
    </row>
    <row r="108" spans="1:25" s="48" customFormat="1">
      <c r="A108" s="2092" t="s">
        <v>1298</v>
      </c>
      <c r="B108" s="5092"/>
      <c r="C108" s="133" t="s">
        <v>1277</v>
      </c>
      <c r="D108" s="1995" t="s">
        <v>601</v>
      </c>
      <c r="E108" s="1995" t="s">
        <v>1155</v>
      </c>
      <c r="F108" s="1995" t="s">
        <v>1269</v>
      </c>
      <c r="G108" s="1995" t="s">
        <v>1189</v>
      </c>
      <c r="H108" s="2062"/>
      <c r="I108" s="2062"/>
      <c r="J108" s="2062"/>
      <c r="K108" s="2062"/>
      <c r="L108" s="2062"/>
      <c r="M108" s="2062"/>
      <c r="N108" s="2062"/>
      <c r="O108" s="2062"/>
      <c r="P108" s="2062"/>
      <c r="Q108" s="2062"/>
      <c r="R108" s="2062"/>
      <c r="S108" s="2062"/>
      <c r="T108" s="2062"/>
      <c r="U108" s="2062"/>
      <c r="V108" s="2062"/>
      <c r="W108" s="2062"/>
      <c r="X108" s="2062"/>
      <c r="Y108" s="2062"/>
    </row>
    <row r="109" spans="1:25" s="48" customFormat="1">
      <c r="A109" s="2094" t="s">
        <v>1299</v>
      </c>
      <c r="B109" s="2099" t="s">
        <v>1282</v>
      </c>
      <c r="C109" s="2064" t="s">
        <v>1283</v>
      </c>
      <c r="D109" s="2065" t="s">
        <v>601</v>
      </c>
      <c r="E109" s="2065" t="s">
        <v>1197</v>
      </c>
      <c r="F109" s="2066" t="s">
        <v>1284</v>
      </c>
      <c r="G109" s="2065" t="s">
        <v>1189</v>
      </c>
      <c r="H109" s="2067" t="s">
        <v>533</v>
      </c>
      <c r="I109" s="2067" t="s">
        <v>533</v>
      </c>
      <c r="J109" s="2067" t="s">
        <v>533</v>
      </c>
      <c r="K109" s="2067" t="s">
        <v>533</v>
      </c>
      <c r="L109" s="2067" t="s">
        <v>533</v>
      </c>
      <c r="M109" s="2067" t="s">
        <v>533</v>
      </c>
      <c r="N109" s="2067" t="s">
        <v>533</v>
      </c>
      <c r="O109" s="2067" t="s">
        <v>533</v>
      </c>
      <c r="P109" s="2067" t="s">
        <v>533</v>
      </c>
      <c r="Q109" s="2067" t="s">
        <v>533</v>
      </c>
      <c r="R109" s="2067" t="s">
        <v>533</v>
      </c>
      <c r="S109" s="2067" t="s">
        <v>533</v>
      </c>
      <c r="T109" s="2067" t="s">
        <v>533</v>
      </c>
      <c r="U109" s="2067" t="s">
        <v>533</v>
      </c>
      <c r="V109" s="2067" t="s">
        <v>533</v>
      </c>
      <c r="W109" s="2067" t="s">
        <v>533</v>
      </c>
      <c r="X109" s="2067" t="s">
        <v>533</v>
      </c>
      <c r="Y109" s="2067" t="s">
        <v>533</v>
      </c>
    </row>
    <row r="110" spans="1:25" s="48" customFormat="1">
      <c r="A110" s="2088" t="s">
        <v>1305</v>
      </c>
      <c r="B110" s="5087" t="s">
        <v>1294</v>
      </c>
      <c r="C110" s="2068" t="s">
        <v>1285</v>
      </c>
      <c r="D110" s="2030" t="s">
        <v>1172</v>
      </c>
      <c r="E110" s="2069" t="s">
        <v>1197</v>
      </c>
      <c r="F110" s="2070" t="s">
        <v>1284</v>
      </c>
      <c r="G110" s="2030" t="s">
        <v>1293</v>
      </c>
      <c r="H110" s="2071" t="s">
        <v>533</v>
      </c>
      <c r="I110" s="2071" t="s">
        <v>533</v>
      </c>
      <c r="J110" s="2071" t="s">
        <v>533</v>
      </c>
      <c r="K110" s="2071" t="s">
        <v>533</v>
      </c>
      <c r="L110" s="2071" t="s">
        <v>533</v>
      </c>
      <c r="M110" s="2071" t="s">
        <v>533</v>
      </c>
      <c r="N110" s="2071" t="s">
        <v>533</v>
      </c>
      <c r="O110" s="2071" t="s">
        <v>533</v>
      </c>
      <c r="P110" s="2071" t="s">
        <v>533</v>
      </c>
      <c r="Q110" s="2071" t="s">
        <v>533</v>
      </c>
      <c r="R110" s="2071" t="s">
        <v>533</v>
      </c>
      <c r="S110" s="2071" t="s">
        <v>533</v>
      </c>
      <c r="T110" s="2071" t="s">
        <v>533</v>
      </c>
      <c r="U110" s="2071" t="s">
        <v>533</v>
      </c>
      <c r="V110" s="2071" t="s">
        <v>533</v>
      </c>
      <c r="W110" s="2071" t="s">
        <v>533</v>
      </c>
      <c r="X110" s="2071" t="s">
        <v>533</v>
      </c>
      <c r="Y110" s="2071" t="s">
        <v>533</v>
      </c>
    </row>
    <row r="111" spans="1:25" s="48" customFormat="1">
      <c r="A111" s="2088" t="s">
        <v>1305</v>
      </c>
      <c r="B111" s="5087"/>
      <c r="C111" s="2068" t="s">
        <v>1286</v>
      </c>
      <c r="D111" s="2030" t="s">
        <v>1172</v>
      </c>
      <c r="E111" s="2069" t="s">
        <v>1197</v>
      </c>
      <c r="F111" s="2070" t="s">
        <v>1284</v>
      </c>
      <c r="G111" s="2030" t="s">
        <v>1293</v>
      </c>
      <c r="H111" s="2071" t="s">
        <v>533</v>
      </c>
      <c r="I111" s="2071" t="s">
        <v>533</v>
      </c>
      <c r="J111" s="2071" t="s">
        <v>533</v>
      </c>
      <c r="K111" s="2071" t="s">
        <v>533</v>
      </c>
      <c r="L111" s="2071" t="s">
        <v>533</v>
      </c>
      <c r="M111" s="2071" t="s">
        <v>533</v>
      </c>
      <c r="N111" s="2071" t="s">
        <v>533</v>
      </c>
      <c r="O111" s="2071" t="s">
        <v>533</v>
      </c>
      <c r="P111" s="2071" t="s">
        <v>533</v>
      </c>
      <c r="Q111" s="2071" t="s">
        <v>533</v>
      </c>
      <c r="R111" s="2071" t="s">
        <v>533</v>
      </c>
      <c r="S111" s="2071" t="s">
        <v>533</v>
      </c>
      <c r="T111" s="2071" t="s">
        <v>533</v>
      </c>
      <c r="U111" s="2071" t="s">
        <v>533</v>
      </c>
      <c r="V111" s="2071" t="s">
        <v>533</v>
      </c>
      <c r="W111" s="2071" t="s">
        <v>533</v>
      </c>
      <c r="X111" s="2071" t="s">
        <v>533</v>
      </c>
      <c r="Y111" s="2071" t="s">
        <v>533</v>
      </c>
    </row>
    <row r="112" spans="1:25" s="48" customFormat="1">
      <c r="A112" s="2088" t="s">
        <v>1305</v>
      </c>
      <c r="B112" s="5087"/>
      <c r="C112" s="2068" t="s">
        <v>1287</v>
      </c>
      <c r="D112" s="2072" t="s">
        <v>1172</v>
      </c>
      <c r="E112" s="2069" t="s">
        <v>1197</v>
      </c>
      <c r="F112" s="2070" t="s">
        <v>1284</v>
      </c>
      <c r="G112" s="2030" t="s">
        <v>1293</v>
      </c>
      <c r="H112" s="2071" t="s">
        <v>533</v>
      </c>
      <c r="I112" s="2071" t="s">
        <v>533</v>
      </c>
      <c r="J112" s="2071" t="s">
        <v>533</v>
      </c>
      <c r="K112" s="2071" t="s">
        <v>533</v>
      </c>
      <c r="L112" s="2071" t="s">
        <v>533</v>
      </c>
      <c r="M112" s="2071" t="s">
        <v>533</v>
      </c>
      <c r="N112" s="2071" t="s">
        <v>533</v>
      </c>
      <c r="O112" s="2071" t="s">
        <v>533</v>
      </c>
      <c r="P112" s="2071" t="s">
        <v>533</v>
      </c>
      <c r="Q112" s="2071" t="s">
        <v>533</v>
      </c>
      <c r="R112" s="2071" t="s">
        <v>533</v>
      </c>
      <c r="S112" s="2071" t="s">
        <v>533</v>
      </c>
      <c r="T112" s="2071" t="s">
        <v>533</v>
      </c>
      <c r="U112" s="2071" t="s">
        <v>533</v>
      </c>
      <c r="V112" s="2071" t="s">
        <v>533</v>
      </c>
      <c r="W112" s="2071" t="s">
        <v>533</v>
      </c>
      <c r="X112" s="2071" t="s">
        <v>533</v>
      </c>
      <c r="Y112" s="2071" t="s">
        <v>533</v>
      </c>
    </row>
    <row r="113" spans="1:25" s="48" customFormat="1">
      <c r="A113" s="2088" t="s">
        <v>1305</v>
      </c>
      <c r="B113" s="5087"/>
      <c r="C113" s="2068" t="s">
        <v>1288</v>
      </c>
      <c r="D113" s="2072" t="s">
        <v>1172</v>
      </c>
      <c r="E113" s="2069" t="s">
        <v>1197</v>
      </c>
      <c r="F113" s="2070" t="s">
        <v>1284</v>
      </c>
      <c r="G113" s="2030" t="s">
        <v>1293</v>
      </c>
      <c r="H113" s="2071" t="s">
        <v>533</v>
      </c>
      <c r="I113" s="2071" t="s">
        <v>533</v>
      </c>
      <c r="J113" s="2071" t="s">
        <v>533</v>
      </c>
      <c r="K113" s="2071" t="s">
        <v>533</v>
      </c>
      <c r="L113" s="2071" t="s">
        <v>533</v>
      </c>
      <c r="M113" s="2071" t="s">
        <v>533</v>
      </c>
      <c r="N113" s="2071" t="s">
        <v>533</v>
      </c>
      <c r="O113" s="2071" t="s">
        <v>533</v>
      </c>
      <c r="P113" s="2071" t="s">
        <v>533</v>
      </c>
      <c r="Q113" s="2071" t="s">
        <v>533</v>
      </c>
      <c r="R113" s="2071" t="s">
        <v>533</v>
      </c>
      <c r="S113" s="2071" t="s">
        <v>533</v>
      </c>
      <c r="T113" s="2071" t="s">
        <v>533</v>
      </c>
      <c r="U113" s="2071" t="s">
        <v>533</v>
      </c>
      <c r="V113" s="2071" t="s">
        <v>533</v>
      </c>
      <c r="W113" s="2071" t="s">
        <v>533</v>
      </c>
      <c r="X113" s="2071" t="s">
        <v>533</v>
      </c>
      <c r="Y113" s="2071" t="s">
        <v>533</v>
      </c>
    </row>
    <row r="114" spans="1:25" s="48" customFormat="1">
      <c r="A114" s="2088" t="s">
        <v>1305</v>
      </c>
      <c r="B114" s="5087"/>
      <c r="C114" s="2068" t="s">
        <v>1289</v>
      </c>
      <c r="D114" s="2072" t="s">
        <v>1172</v>
      </c>
      <c r="E114" s="2073" t="s">
        <v>1197</v>
      </c>
      <c r="F114" s="2070" t="s">
        <v>1284</v>
      </c>
      <c r="G114" s="2030" t="s">
        <v>1293</v>
      </c>
      <c r="H114" s="2071" t="s">
        <v>533</v>
      </c>
      <c r="I114" s="2071" t="s">
        <v>533</v>
      </c>
      <c r="J114" s="2071" t="s">
        <v>533</v>
      </c>
      <c r="K114" s="2071" t="s">
        <v>533</v>
      </c>
      <c r="L114" s="2071" t="s">
        <v>533</v>
      </c>
      <c r="M114" s="2071" t="s">
        <v>533</v>
      </c>
      <c r="N114" s="2071" t="s">
        <v>533</v>
      </c>
      <c r="O114" s="2071" t="s">
        <v>533</v>
      </c>
      <c r="P114" s="2071" t="s">
        <v>533</v>
      </c>
      <c r="Q114" s="2071" t="s">
        <v>533</v>
      </c>
      <c r="R114" s="2071" t="s">
        <v>533</v>
      </c>
      <c r="S114" s="2071" t="s">
        <v>533</v>
      </c>
      <c r="T114" s="2071" t="s">
        <v>533</v>
      </c>
      <c r="U114" s="2071" t="s">
        <v>533</v>
      </c>
      <c r="V114" s="2071" t="s">
        <v>533</v>
      </c>
      <c r="W114" s="2071" t="s">
        <v>533</v>
      </c>
      <c r="X114" s="2071" t="s">
        <v>533</v>
      </c>
      <c r="Y114" s="2071" t="s">
        <v>533</v>
      </c>
    </row>
    <row r="115" spans="1:25" s="48" customFormat="1">
      <c r="A115" s="2088" t="s">
        <v>1305</v>
      </c>
      <c r="B115" s="5087"/>
      <c r="C115" s="2068" t="s">
        <v>1290</v>
      </c>
      <c r="D115" s="2072" t="s">
        <v>1172</v>
      </c>
      <c r="E115" s="2073" t="s">
        <v>1197</v>
      </c>
      <c r="F115" s="2070" t="s">
        <v>1284</v>
      </c>
      <c r="G115" s="2030" t="s">
        <v>1293</v>
      </c>
      <c r="H115" s="2071" t="s">
        <v>533</v>
      </c>
      <c r="I115" s="2071" t="s">
        <v>533</v>
      </c>
      <c r="J115" s="2071" t="s">
        <v>533</v>
      </c>
      <c r="K115" s="2071" t="s">
        <v>533</v>
      </c>
      <c r="L115" s="2071" t="s">
        <v>533</v>
      </c>
      <c r="M115" s="2071" t="s">
        <v>533</v>
      </c>
      <c r="N115" s="2071" t="s">
        <v>533</v>
      </c>
      <c r="O115" s="2071" t="s">
        <v>533</v>
      </c>
      <c r="P115" s="2071" t="s">
        <v>533</v>
      </c>
      <c r="Q115" s="2071" t="s">
        <v>533</v>
      </c>
      <c r="R115" s="2071" t="s">
        <v>533</v>
      </c>
      <c r="S115" s="2071" t="s">
        <v>533</v>
      </c>
      <c r="T115" s="2071" t="s">
        <v>533</v>
      </c>
      <c r="U115" s="2071" t="s">
        <v>533</v>
      </c>
      <c r="V115" s="2071" t="s">
        <v>533</v>
      </c>
      <c r="W115" s="2071" t="s">
        <v>533</v>
      </c>
      <c r="X115" s="2071" t="s">
        <v>533</v>
      </c>
      <c r="Y115" s="2071" t="s">
        <v>533</v>
      </c>
    </row>
    <row r="116" spans="1:25" s="48" customFormat="1">
      <c r="A116" s="2088" t="s">
        <v>1305</v>
      </c>
      <c r="B116" s="5087"/>
      <c r="C116" s="2068" t="s">
        <v>1291</v>
      </c>
      <c r="D116" s="2072" t="s">
        <v>1172</v>
      </c>
      <c r="E116" s="2073" t="s">
        <v>1197</v>
      </c>
      <c r="F116" s="2070" t="s">
        <v>1284</v>
      </c>
      <c r="G116" s="2030" t="s">
        <v>1293</v>
      </c>
      <c r="H116" s="2071" t="s">
        <v>533</v>
      </c>
      <c r="I116" s="2071" t="s">
        <v>533</v>
      </c>
      <c r="J116" s="2071" t="s">
        <v>533</v>
      </c>
      <c r="K116" s="2071" t="s">
        <v>533</v>
      </c>
      <c r="L116" s="2071" t="s">
        <v>533</v>
      </c>
      <c r="M116" s="2071" t="s">
        <v>533</v>
      </c>
      <c r="N116" s="2071" t="s">
        <v>533</v>
      </c>
      <c r="O116" s="2071" t="s">
        <v>533</v>
      </c>
      <c r="P116" s="2071" t="s">
        <v>533</v>
      </c>
      <c r="Q116" s="2071" t="s">
        <v>533</v>
      </c>
      <c r="R116" s="2071" t="s">
        <v>533</v>
      </c>
      <c r="S116" s="2071" t="s">
        <v>533</v>
      </c>
      <c r="T116" s="2071" t="s">
        <v>533</v>
      </c>
      <c r="U116" s="2071" t="s">
        <v>533</v>
      </c>
      <c r="V116" s="2071" t="s">
        <v>533</v>
      </c>
      <c r="W116" s="2071" t="s">
        <v>533</v>
      </c>
      <c r="X116" s="2071" t="s">
        <v>533</v>
      </c>
      <c r="Y116" s="2071" t="s">
        <v>533</v>
      </c>
    </row>
    <row r="117" spans="1:25" s="48" customFormat="1">
      <c r="A117" s="2088" t="s">
        <v>1305</v>
      </c>
      <c r="B117" s="5088"/>
      <c r="C117" s="2075" t="s">
        <v>1292</v>
      </c>
      <c r="D117" s="2076" t="s">
        <v>1172</v>
      </c>
      <c r="E117" s="2077" t="s">
        <v>1197</v>
      </c>
      <c r="F117" s="2070" t="s">
        <v>1284</v>
      </c>
      <c r="G117" s="2078" t="s">
        <v>1293</v>
      </c>
      <c r="H117" s="2071" t="s">
        <v>533</v>
      </c>
      <c r="I117" s="2071" t="s">
        <v>533</v>
      </c>
      <c r="J117" s="2071" t="s">
        <v>533</v>
      </c>
      <c r="K117" s="2071" t="s">
        <v>533</v>
      </c>
      <c r="L117" s="2071" t="s">
        <v>533</v>
      </c>
      <c r="M117" s="2071" t="s">
        <v>533</v>
      </c>
      <c r="N117" s="2071" t="s">
        <v>533</v>
      </c>
      <c r="O117" s="2071" t="s">
        <v>533</v>
      </c>
      <c r="P117" s="2071" t="s">
        <v>533</v>
      </c>
      <c r="Q117" s="2071" t="s">
        <v>533</v>
      </c>
      <c r="R117" s="2071" t="s">
        <v>533</v>
      </c>
      <c r="S117" s="2071" t="s">
        <v>533</v>
      </c>
      <c r="T117" s="2071" t="s">
        <v>533</v>
      </c>
      <c r="U117" s="2071" t="s">
        <v>533</v>
      </c>
      <c r="V117" s="2071" t="s">
        <v>533</v>
      </c>
      <c r="W117" s="2071" t="s">
        <v>533</v>
      </c>
      <c r="X117" s="2071" t="s">
        <v>533</v>
      </c>
      <c r="Y117" s="2071" t="s">
        <v>533</v>
      </c>
    </row>
    <row r="118" spans="1:25" s="48" customFormat="1">
      <c r="A118" s="2087" t="s">
        <v>1301</v>
      </c>
      <c r="B118" s="1993" t="s">
        <v>1308</v>
      </c>
      <c r="C118" s="1980" t="s">
        <v>1320</v>
      </c>
      <c r="D118" s="1995" t="s">
        <v>1149</v>
      </c>
      <c r="E118" s="1995" t="s">
        <v>1155</v>
      </c>
      <c r="F118" s="1995" t="s">
        <v>1331</v>
      </c>
      <c r="G118" s="1995" t="s">
        <v>1330</v>
      </c>
      <c r="H118" s="2062"/>
      <c r="I118" s="2062"/>
      <c r="J118" s="2062"/>
      <c r="K118" s="2062"/>
      <c r="L118" s="2062"/>
      <c r="M118" s="2062"/>
      <c r="N118" s="2062"/>
      <c r="O118" s="2062"/>
      <c r="P118" s="2062"/>
      <c r="Q118" s="2062"/>
      <c r="R118" s="2062" t="s">
        <v>533</v>
      </c>
      <c r="S118" s="2062"/>
      <c r="T118" s="2062"/>
      <c r="U118" s="2062"/>
      <c r="V118" s="2062"/>
      <c r="W118" s="2062"/>
      <c r="X118" s="2062"/>
      <c r="Y118" s="2062"/>
    </row>
    <row r="119" spans="1:25" s="48" customFormat="1">
      <c r="A119" s="2087" t="s">
        <v>1301</v>
      </c>
      <c r="B119" s="1993" t="s">
        <v>1309</v>
      </c>
      <c r="C119" s="1980" t="s">
        <v>1321</v>
      </c>
      <c r="D119" s="1995" t="s">
        <v>1149</v>
      </c>
      <c r="E119" s="1995" t="s">
        <v>1155</v>
      </c>
      <c r="F119" s="1995" t="s">
        <v>1331</v>
      </c>
      <c r="G119" s="1995" t="s">
        <v>1330</v>
      </c>
      <c r="H119" s="2062" t="s">
        <v>533</v>
      </c>
      <c r="I119" s="2062"/>
      <c r="J119" s="2062"/>
      <c r="K119" s="2062"/>
      <c r="L119" s="2062"/>
      <c r="M119" s="2062"/>
      <c r="N119" s="2062"/>
      <c r="O119" s="2062"/>
      <c r="P119" s="2062"/>
      <c r="Q119" s="2062"/>
      <c r="R119" s="2062"/>
      <c r="S119" s="2062"/>
      <c r="T119" s="2062" t="s">
        <v>533</v>
      </c>
      <c r="U119" s="2062"/>
      <c r="V119" s="2062"/>
      <c r="W119" s="2062"/>
      <c r="X119" s="2062"/>
      <c r="Y119" s="2062"/>
    </row>
    <row r="120" spans="1:25" s="2181" customFormat="1">
      <c r="A120" s="2176" t="s">
        <v>1301</v>
      </c>
      <c r="B120" s="2177" t="s">
        <v>1394</v>
      </c>
      <c r="C120" s="2178"/>
      <c r="D120" s="2179"/>
      <c r="E120" s="2179"/>
      <c r="F120" s="2179"/>
      <c r="G120" s="2179"/>
      <c r="H120" s="2180"/>
      <c r="I120" s="2180"/>
      <c r="J120" s="2180"/>
      <c r="K120" s="2180"/>
      <c r="L120" s="2180"/>
      <c r="M120" s="2180"/>
      <c r="N120" s="2180"/>
      <c r="O120" s="2180"/>
      <c r="P120" s="2180"/>
      <c r="Q120" s="2180"/>
      <c r="R120" s="2180"/>
      <c r="S120" s="2180"/>
      <c r="T120" s="2180"/>
      <c r="U120" s="2180"/>
      <c r="V120" s="2180"/>
      <c r="W120" s="2180"/>
      <c r="X120" s="2180"/>
      <c r="Y120" s="2180"/>
    </row>
    <row r="121" spans="1:25" s="48" customFormat="1">
      <c r="A121" s="2087"/>
      <c r="B121" s="2173"/>
      <c r="C121" s="1980"/>
      <c r="D121" s="1995"/>
      <c r="E121" s="1995"/>
      <c r="F121" s="1995"/>
      <c r="G121" s="1995"/>
      <c r="H121" s="2062"/>
      <c r="I121" s="2062"/>
      <c r="J121" s="2062"/>
      <c r="K121" s="2062"/>
      <c r="L121" s="2062"/>
      <c r="M121" s="2062"/>
      <c r="N121" s="2062"/>
      <c r="O121" s="2062"/>
      <c r="P121" s="2062"/>
      <c r="Q121" s="2062"/>
      <c r="R121" s="2062"/>
      <c r="S121" s="2062"/>
      <c r="T121" s="2062"/>
      <c r="U121" s="2062"/>
      <c r="V121" s="2062"/>
      <c r="W121" s="2062"/>
      <c r="X121" s="2062"/>
      <c r="Y121" s="2062"/>
    </row>
    <row r="122" spans="1:25" s="48" customFormat="1">
      <c r="A122" s="2087"/>
      <c r="B122" s="2173"/>
      <c r="C122" s="1980"/>
      <c r="D122" s="1995"/>
      <c r="E122" s="1995"/>
      <c r="F122" s="1995"/>
      <c r="G122" s="1995"/>
      <c r="H122" s="2062"/>
      <c r="I122" s="2062"/>
      <c r="J122" s="2062"/>
      <c r="K122" s="2062"/>
      <c r="L122" s="2062"/>
      <c r="M122" s="2062"/>
      <c r="N122" s="2062"/>
      <c r="O122" s="2062"/>
      <c r="P122" s="2062"/>
      <c r="Q122" s="2062"/>
      <c r="R122" s="2062"/>
      <c r="S122" s="2062"/>
      <c r="T122" s="2062"/>
      <c r="U122" s="2062"/>
      <c r="V122" s="2062"/>
      <c r="W122" s="2062"/>
      <c r="X122" s="2062"/>
      <c r="Y122" s="2062"/>
    </row>
    <row r="123" spans="1:25" s="48" customFormat="1" ht="27.6">
      <c r="A123" s="2084" t="s">
        <v>1302</v>
      </c>
      <c r="B123" s="1993" t="s">
        <v>1310</v>
      </c>
      <c r="C123" s="1980" t="s">
        <v>1315</v>
      </c>
      <c r="D123" s="1995" t="s">
        <v>1149</v>
      </c>
      <c r="E123" s="1995" t="s">
        <v>1155</v>
      </c>
      <c r="F123" s="1981" t="s">
        <v>1387</v>
      </c>
      <c r="G123" s="1995" t="s">
        <v>1330</v>
      </c>
      <c r="H123" s="2062"/>
      <c r="I123" s="2062"/>
      <c r="J123" s="2062"/>
      <c r="K123" s="2062"/>
      <c r="L123" s="2062"/>
      <c r="M123" s="2062"/>
      <c r="N123" s="2062"/>
      <c r="O123" s="2062"/>
      <c r="P123" s="2062"/>
      <c r="Q123" s="2062"/>
      <c r="R123" s="2062"/>
      <c r="S123" s="2062"/>
      <c r="T123" s="2062"/>
      <c r="U123" s="2062"/>
      <c r="V123" s="2062"/>
      <c r="W123" s="2062"/>
      <c r="X123" s="2062"/>
      <c r="Y123" s="2062"/>
    </row>
    <row r="124" spans="1:25" s="2081" customFormat="1">
      <c r="A124" s="2084" t="s">
        <v>1302</v>
      </c>
      <c r="B124" s="2100" t="s">
        <v>1311</v>
      </c>
      <c r="C124" s="2079" t="s">
        <v>1311</v>
      </c>
      <c r="D124" s="1995" t="s">
        <v>1149</v>
      </c>
      <c r="E124" s="2080" t="s">
        <v>1155</v>
      </c>
      <c r="F124" s="1981" t="s">
        <v>1387</v>
      </c>
      <c r="G124" s="1995" t="s">
        <v>1330</v>
      </c>
      <c r="H124" s="2080"/>
      <c r="I124" s="2080"/>
      <c r="J124" s="2080"/>
      <c r="K124" s="2080"/>
      <c r="L124" s="2080"/>
      <c r="M124" s="2080"/>
      <c r="N124" s="2080"/>
      <c r="O124" s="2080"/>
      <c r="P124" s="2080"/>
      <c r="Q124" s="2080"/>
      <c r="R124" s="2080"/>
      <c r="S124" s="2080"/>
      <c r="T124" s="2080"/>
      <c r="U124" s="2080"/>
      <c r="V124" s="2080"/>
      <c r="W124" s="2080"/>
      <c r="X124" s="2080"/>
      <c r="Y124" s="2080"/>
    </row>
    <row r="125" spans="1:25" s="48" customFormat="1">
      <c r="A125" s="2084" t="s">
        <v>1302</v>
      </c>
      <c r="B125" s="1993" t="s">
        <v>1312</v>
      </c>
      <c r="C125" s="1980" t="s">
        <v>1317</v>
      </c>
      <c r="D125" s="1995" t="s">
        <v>1149</v>
      </c>
      <c r="E125" s="1995" t="s">
        <v>1155</v>
      </c>
      <c r="F125" s="1981" t="s">
        <v>1387</v>
      </c>
      <c r="G125" s="1995" t="s">
        <v>1330</v>
      </c>
      <c r="H125" s="2062"/>
      <c r="I125" s="2062"/>
      <c r="J125" s="2062"/>
      <c r="K125" s="2062"/>
      <c r="L125" s="2062"/>
      <c r="M125" s="2062"/>
      <c r="N125" s="2062"/>
      <c r="O125" s="2062"/>
      <c r="P125" s="2062"/>
      <c r="Q125" s="2062"/>
      <c r="R125" s="2062"/>
      <c r="S125" s="2062"/>
      <c r="T125" s="2062"/>
      <c r="U125" s="2062"/>
      <c r="V125" s="2062"/>
      <c r="W125" s="2062"/>
      <c r="X125" s="2062"/>
      <c r="Y125" s="2062"/>
    </row>
    <row r="126" spans="1:25" s="48" customFormat="1">
      <c r="A126" s="2084" t="s">
        <v>1302</v>
      </c>
      <c r="B126" s="1993" t="s">
        <v>1313</v>
      </c>
      <c r="C126" s="1980" t="s">
        <v>1318</v>
      </c>
      <c r="D126" s="1995" t="s">
        <v>1149</v>
      </c>
      <c r="E126" s="1995" t="s">
        <v>1155</v>
      </c>
      <c r="F126" s="1981" t="s">
        <v>1387</v>
      </c>
      <c r="G126" s="1995" t="s">
        <v>1330</v>
      </c>
      <c r="H126" s="2062"/>
      <c r="I126" s="2062"/>
      <c r="J126" s="2062"/>
      <c r="K126" s="2062"/>
      <c r="L126" s="2062"/>
      <c r="M126" s="2062"/>
      <c r="N126" s="2062"/>
      <c r="O126" s="2062"/>
      <c r="P126" s="2062"/>
      <c r="Q126" s="2062"/>
      <c r="R126" s="2062"/>
      <c r="S126" s="2062"/>
      <c r="T126" s="2062"/>
      <c r="U126" s="2062"/>
      <c r="V126" s="2062"/>
      <c r="W126" s="2062"/>
      <c r="X126" s="2062"/>
      <c r="Y126" s="2062"/>
    </row>
    <row r="127" spans="1:25" s="48" customFormat="1" ht="27.6">
      <c r="A127" s="2084" t="s">
        <v>1302</v>
      </c>
      <c r="B127" s="1993" t="s">
        <v>1314</v>
      </c>
      <c r="C127" s="1980" t="s">
        <v>1319</v>
      </c>
      <c r="D127" s="1995" t="s">
        <v>1149</v>
      </c>
      <c r="E127" s="1995" t="s">
        <v>1155</v>
      </c>
      <c r="F127" s="1981" t="s">
        <v>1387</v>
      </c>
      <c r="G127" s="1995" t="s">
        <v>1330</v>
      </c>
      <c r="H127" s="2062"/>
      <c r="I127" s="2062"/>
      <c r="J127" s="2062"/>
      <c r="K127" s="2062"/>
      <c r="L127" s="2062"/>
      <c r="M127" s="2062"/>
      <c r="N127" s="2062"/>
      <c r="O127" s="2062"/>
      <c r="P127" s="2062"/>
      <c r="Q127" s="2062"/>
      <c r="R127" s="2062"/>
      <c r="S127" s="2062"/>
      <c r="T127" s="2062"/>
      <c r="U127" s="2062"/>
      <c r="V127" s="2062"/>
      <c r="W127" s="2062"/>
      <c r="X127" s="2062"/>
      <c r="Y127" s="2062"/>
    </row>
    <row r="128" spans="1:25" s="48" customFormat="1">
      <c r="A128" s="2086" t="s">
        <v>1303</v>
      </c>
      <c r="B128" s="2101" t="s">
        <v>1325</v>
      </c>
      <c r="C128" s="1994" t="s">
        <v>1326</v>
      </c>
      <c r="D128" s="1995" t="s">
        <v>1149</v>
      </c>
      <c r="E128" s="1995" t="s">
        <v>1155</v>
      </c>
      <c r="F128" s="1981" t="s">
        <v>1387</v>
      </c>
      <c r="G128" s="1995" t="s">
        <v>1330</v>
      </c>
      <c r="H128" s="2062"/>
      <c r="I128" s="2062"/>
      <c r="J128" s="2062"/>
      <c r="K128" s="2062"/>
      <c r="L128" s="2062"/>
      <c r="M128" s="2062"/>
      <c r="N128" s="2062"/>
      <c r="O128" s="2062"/>
      <c r="P128" s="2062"/>
      <c r="Q128" s="2062"/>
      <c r="R128" s="2062"/>
      <c r="S128" s="2062"/>
      <c r="T128" s="2062"/>
      <c r="U128" s="2062"/>
      <c r="V128" s="2062"/>
      <c r="W128" s="2062"/>
      <c r="X128" s="2062"/>
      <c r="Y128" s="2062"/>
    </row>
    <row r="129" spans="1:25" s="48" customFormat="1">
      <c r="A129" s="2086" t="s">
        <v>1303</v>
      </c>
      <c r="B129" s="2101" t="s">
        <v>1322</v>
      </c>
      <c r="C129" s="1994" t="s">
        <v>1327</v>
      </c>
      <c r="D129" s="1995" t="s">
        <v>1149</v>
      </c>
      <c r="E129" s="1995" t="s">
        <v>1155</v>
      </c>
      <c r="F129" s="1981" t="s">
        <v>1387</v>
      </c>
      <c r="G129" s="1995" t="s">
        <v>1330</v>
      </c>
      <c r="H129" s="2062"/>
      <c r="I129" s="2062"/>
      <c r="J129" s="2062"/>
      <c r="K129" s="2062"/>
      <c r="L129" s="2062"/>
      <c r="M129" s="2062"/>
      <c r="N129" s="2062"/>
      <c r="O129" s="2062"/>
      <c r="P129" s="2062"/>
      <c r="Q129" s="2062"/>
      <c r="R129" s="2062"/>
      <c r="S129" s="2062"/>
      <c r="T129" s="2062"/>
      <c r="U129" s="2062"/>
      <c r="V129" s="2062"/>
      <c r="W129" s="2062"/>
      <c r="X129" s="2062"/>
      <c r="Y129" s="2062"/>
    </row>
    <row r="130" spans="1:25" s="48" customFormat="1">
      <c r="A130" s="2086" t="s">
        <v>1303</v>
      </c>
      <c r="B130" s="2101" t="s">
        <v>1323</v>
      </c>
      <c r="C130" s="1994" t="s">
        <v>1328</v>
      </c>
      <c r="D130" s="1995" t="s">
        <v>1149</v>
      </c>
      <c r="E130" s="1995" t="s">
        <v>1155</v>
      </c>
      <c r="F130" s="1981" t="s">
        <v>1387</v>
      </c>
      <c r="G130" s="1995" t="s">
        <v>1330</v>
      </c>
      <c r="H130" s="2062"/>
      <c r="I130" s="2062"/>
      <c r="J130" s="2062"/>
      <c r="K130" s="2062"/>
      <c r="L130" s="2062"/>
      <c r="M130" s="2062"/>
      <c r="N130" s="2062"/>
      <c r="O130" s="2062"/>
      <c r="P130" s="2062"/>
      <c r="Q130" s="2062"/>
      <c r="R130" s="2062"/>
      <c r="S130" s="2062"/>
      <c r="T130" s="2062"/>
      <c r="U130" s="2062"/>
      <c r="V130" s="2062"/>
      <c r="W130" s="2062"/>
      <c r="X130" s="2062"/>
      <c r="Y130" s="2062"/>
    </row>
    <row r="131" spans="1:25" s="48" customFormat="1">
      <c r="A131" s="2086" t="s">
        <v>1303</v>
      </c>
      <c r="B131" s="2083" t="s">
        <v>1324</v>
      </c>
      <c r="C131" s="1994" t="s">
        <v>1329</v>
      </c>
      <c r="D131" s="1995" t="s">
        <v>1149</v>
      </c>
      <c r="E131" s="1995" t="s">
        <v>1155</v>
      </c>
      <c r="F131" s="1981" t="s">
        <v>1387</v>
      </c>
      <c r="G131" s="1995" t="s">
        <v>1330</v>
      </c>
      <c r="H131" s="2062"/>
      <c r="I131" s="2062"/>
      <c r="J131" s="2062"/>
      <c r="K131" s="2062"/>
      <c r="L131" s="2062"/>
      <c r="M131" s="2062"/>
      <c r="N131" s="2062"/>
      <c r="O131" s="2062"/>
      <c r="P131" s="2062"/>
      <c r="Q131" s="2062"/>
      <c r="R131" s="2062"/>
      <c r="S131" s="2062"/>
      <c r="T131" s="2062"/>
      <c r="U131" s="2062"/>
      <c r="V131" s="2062"/>
      <c r="W131" s="2062"/>
      <c r="X131" s="2062"/>
      <c r="Y131" s="2062"/>
    </row>
    <row r="132" spans="1:25" s="48" customFormat="1">
      <c r="A132" s="2085" t="s">
        <v>1304</v>
      </c>
      <c r="B132" s="5089" t="s">
        <v>1333</v>
      </c>
      <c r="C132" s="1994" t="s">
        <v>1337</v>
      </c>
      <c r="D132" s="1995" t="s">
        <v>1172</v>
      </c>
      <c r="E132" s="1995" t="s">
        <v>1197</v>
      </c>
      <c r="F132" s="1995" t="s">
        <v>1284</v>
      </c>
      <c r="G132" s="1995" t="s">
        <v>1339</v>
      </c>
      <c r="H132" s="2062" t="s">
        <v>533</v>
      </c>
      <c r="I132" s="2062" t="s">
        <v>533</v>
      </c>
      <c r="J132" s="2062" t="s">
        <v>533</v>
      </c>
      <c r="K132" s="2062" t="s">
        <v>533</v>
      </c>
      <c r="L132" s="2062" t="s">
        <v>533</v>
      </c>
      <c r="M132" s="2062" t="s">
        <v>533</v>
      </c>
      <c r="N132" s="2062" t="s">
        <v>533</v>
      </c>
      <c r="O132" s="2062" t="s">
        <v>533</v>
      </c>
      <c r="P132" s="2062" t="s">
        <v>533</v>
      </c>
      <c r="Q132" s="2062" t="s">
        <v>533</v>
      </c>
      <c r="R132" s="2062" t="s">
        <v>533</v>
      </c>
      <c r="S132" s="2062" t="s">
        <v>533</v>
      </c>
      <c r="T132" s="2062" t="s">
        <v>533</v>
      </c>
      <c r="U132" s="2062" t="s">
        <v>533</v>
      </c>
      <c r="V132" s="2062" t="s">
        <v>533</v>
      </c>
      <c r="W132" s="2062" t="s">
        <v>533</v>
      </c>
      <c r="X132" s="2062" t="s">
        <v>533</v>
      </c>
      <c r="Y132" s="2062" t="s">
        <v>533</v>
      </c>
    </row>
    <row r="133" spans="1:25" s="48" customFormat="1">
      <c r="A133" s="2085" t="s">
        <v>1304</v>
      </c>
      <c r="B133" s="5090"/>
      <c r="C133" s="1994" t="s">
        <v>1338</v>
      </c>
      <c r="D133" s="1995" t="s">
        <v>1172</v>
      </c>
      <c r="E133" s="1995" t="s">
        <v>1197</v>
      </c>
      <c r="F133" s="1995" t="s">
        <v>1284</v>
      </c>
      <c r="G133" s="1995" t="s">
        <v>1339</v>
      </c>
      <c r="H133" s="2062" t="s">
        <v>533</v>
      </c>
      <c r="I133" s="2062" t="s">
        <v>533</v>
      </c>
      <c r="J133" s="2062" t="s">
        <v>533</v>
      </c>
      <c r="K133" s="2062" t="s">
        <v>533</v>
      </c>
      <c r="L133" s="2062" t="s">
        <v>533</v>
      </c>
      <c r="M133" s="2062" t="s">
        <v>533</v>
      </c>
      <c r="N133" s="2062" t="s">
        <v>533</v>
      </c>
      <c r="O133" s="2062" t="s">
        <v>533</v>
      </c>
      <c r="P133" s="2062" t="s">
        <v>533</v>
      </c>
      <c r="Q133" s="2062" t="s">
        <v>533</v>
      </c>
      <c r="R133" s="2062" t="s">
        <v>533</v>
      </c>
      <c r="S133" s="2062" t="s">
        <v>533</v>
      </c>
      <c r="T133" s="2062" t="s">
        <v>533</v>
      </c>
      <c r="U133" s="2062" t="s">
        <v>533</v>
      </c>
      <c r="V133" s="2062" t="s">
        <v>533</v>
      </c>
      <c r="W133" s="2062" t="s">
        <v>533</v>
      </c>
      <c r="X133" s="2062" t="s">
        <v>533</v>
      </c>
      <c r="Y133" s="2062" t="s">
        <v>533</v>
      </c>
    </row>
    <row r="134" spans="1:25" s="48" customFormat="1">
      <c r="A134" s="2085" t="s">
        <v>1304</v>
      </c>
      <c r="B134" s="5085" t="s">
        <v>1334</v>
      </c>
      <c r="C134" s="1994" t="s">
        <v>1335</v>
      </c>
      <c r="D134" s="1995" t="s">
        <v>1172</v>
      </c>
      <c r="E134" s="1995" t="s">
        <v>1197</v>
      </c>
      <c r="F134" s="1995" t="s">
        <v>1284</v>
      </c>
      <c r="G134" s="1995" t="s">
        <v>1339</v>
      </c>
      <c r="H134" s="2062" t="s">
        <v>533</v>
      </c>
      <c r="I134" s="2062" t="s">
        <v>533</v>
      </c>
      <c r="J134" s="2062" t="s">
        <v>533</v>
      </c>
      <c r="K134" s="2062" t="s">
        <v>533</v>
      </c>
      <c r="L134" s="2062" t="s">
        <v>533</v>
      </c>
      <c r="M134" s="2062" t="s">
        <v>533</v>
      </c>
      <c r="N134" s="2062" t="s">
        <v>533</v>
      </c>
      <c r="O134" s="2062" t="s">
        <v>533</v>
      </c>
      <c r="P134" s="2062" t="s">
        <v>533</v>
      </c>
      <c r="Q134" s="2062" t="s">
        <v>533</v>
      </c>
      <c r="R134" s="2062" t="s">
        <v>533</v>
      </c>
      <c r="S134" s="2062" t="s">
        <v>533</v>
      </c>
      <c r="T134" s="2062" t="s">
        <v>533</v>
      </c>
      <c r="U134" s="2062" t="s">
        <v>533</v>
      </c>
      <c r="V134" s="2062" t="s">
        <v>533</v>
      </c>
      <c r="W134" s="2062" t="s">
        <v>533</v>
      </c>
      <c r="X134" s="2062" t="s">
        <v>533</v>
      </c>
      <c r="Y134" s="2062" t="s">
        <v>533</v>
      </c>
    </row>
    <row r="135" spans="1:25" s="48" customFormat="1">
      <c r="A135" s="2085" t="s">
        <v>1304</v>
      </c>
      <c r="B135" s="5086"/>
      <c r="C135" s="1994" t="s">
        <v>1336</v>
      </c>
      <c r="D135" s="1995" t="s">
        <v>1172</v>
      </c>
      <c r="E135" s="1995" t="s">
        <v>1197</v>
      </c>
      <c r="F135" s="1995" t="s">
        <v>1284</v>
      </c>
      <c r="G135" s="1995" t="s">
        <v>1339</v>
      </c>
      <c r="H135" s="2062" t="s">
        <v>533</v>
      </c>
      <c r="I135" s="2062" t="s">
        <v>533</v>
      </c>
      <c r="J135" s="2062" t="s">
        <v>533</v>
      </c>
      <c r="K135" s="2062" t="s">
        <v>533</v>
      </c>
      <c r="L135" s="2062" t="s">
        <v>533</v>
      </c>
      <c r="M135" s="2062" t="s">
        <v>533</v>
      </c>
      <c r="N135" s="2062" t="s">
        <v>533</v>
      </c>
      <c r="O135" s="2062" t="s">
        <v>533</v>
      </c>
      <c r="P135" s="2062" t="s">
        <v>533</v>
      </c>
      <c r="Q135" s="2062" t="s">
        <v>533</v>
      </c>
      <c r="R135" s="2062" t="s">
        <v>533</v>
      </c>
      <c r="S135" s="2062" t="s">
        <v>533</v>
      </c>
      <c r="T135" s="2062" t="s">
        <v>533</v>
      </c>
      <c r="U135" s="2062" t="s">
        <v>533</v>
      </c>
      <c r="V135" s="2062" t="s">
        <v>533</v>
      </c>
      <c r="W135" s="2062" t="s">
        <v>533</v>
      </c>
      <c r="X135" s="2062" t="s">
        <v>533</v>
      </c>
      <c r="Y135" s="2062" t="s">
        <v>533</v>
      </c>
    </row>
    <row r="136" spans="1:25" s="48" customFormat="1" ht="27.6">
      <c r="A136" s="2089" t="s">
        <v>1305</v>
      </c>
      <c r="B136" s="1993" t="s">
        <v>1340</v>
      </c>
      <c r="C136" s="1994" t="s">
        <v>1341</v>
      </c>
      <c r="D136" s="1995" t="s">
        <v>1149</v>
      </c>
      <c r="E136" s="1995" t="s">
        <v>1155</v>
      </c>
      <c r="F136" s="1981" t="s">
        <v>1386</v>
      </c>
      <c r="G136" s="1995" t="s">
        <v>1330</v>
      </c>
      <c r="H136" s="2062"/>
      <c r="I136" s="2062"/>
      <c r="J136" s="2062"/>
      <c r="K136" s="2062"/>
      <c r="L136" s="2062"/>
      <c r="M136" s="2062"/>
      <c r="N136" s="2062"/>
      <c r="O136" s="2062"/>
      <c r="P136" s="2062"/>
      <c r="Q136" s="2062"/>
      <c r="R136" s="2062"/>
      <c r="S136" s="2062"/>
      <c r="T136" s="2062"/>
      <c r="U136" s="2062"/>
      <c r="V136" s="2062"/>
      <c r="W136" s="2062"/>
      <c r="X136" s="2062"/>
      <c r="Y136" s="2062"/>
    </row>
    <row r="137" spans="1:25" s="48" customFormat="1">
      <c r="A137" s="2090" t="s">
        <v>1306</v>
      </c>
      <c r="B137" s="1993" t="s">
        <v>1342</v>
      </c>
      <c r="C137" s="1980" t="s">
        <v>1345</v>
      </c>
      <c r="D137" s="1995" t="s">
        <v>1149</v>
      </c>
      <c r="E137" s="1995" t="s">
        <v>1155</v>
      </c>
      <c r="F137" s="1981" t="s">
        <v>1385</v>
      </c>
      <c r="G137" s="1995" t="s">
        <v>1330</v>
      </c>
      <c r="H137" s="2062"/>
      <c r="I137" s="2062"/>
      <c r="J137" s="2062"/>
      <c r="K137" s="2062"/>
      <c r="L137" s="2062"/>
      <c r="M137" s="2062"/>
      <c r="N137" s="2062"/>
      <c r="O137" s="2062"/>
      <c r="P137" s="2062"/>
      <c r="Q137" s="2062"/>
      <c r="R137" s="2062"/>
      <c r="S137" s="2062"/>
      <c r="T137" s="2062"/>
      <c r="U137" s="2062"/>
      <c r="V137" s="2062"/>
      <c r="W137" s="2062"/>
      <c r="X137" s="2062"/>
      <c r="Y137" s="2062"/>
    </row>
    <row r="138" spans="1:25" s="48" customFormat="1">
      <c r="A138" s="2090" t="s">
        <v>1306</v>
      </c>
      <c r="B138" s="1993" t="s">
        <v>1343</v>
      </c>
      <c r="C138" s="1980" t="s">
        <v>1346</v>
      </c>
      <c r="D138" s="1995" t="s">
        <v>1149</v>
      </c>
      <c r="E138" s="1995" t="s">
        <v>1155</v>
      </c>
      <c r="F138" s="1981" t="s">
        <v>1385</v>
      </c>
      <c r="G138" s="1995" t="s">
        <v>1330</v>
      </c>
      <c r="H138" s="2062"/>
      <c r="I138" s="2062"/>
      <c r="J138" s="2062"/>
      <c r="K138" s="2062"/>
      <c r="L138" s="2062"/>
      <c r="M138" s="2062"/>
      <c r="N138" s="2062"/>
      <c r="O138" s="2062"/>
      <c r="P138" s="2062"/>
      <c r="Q138" s="2062"/>
      <c r="R138" s="2062"/>
      <c r="S138" s="2062"/>
      <c r="T138" s="2062"/>
      <c r="U138" s="2062"/>
      <c r="V138" s="2062"/>
      <c r="W138" s="2062"/>
      <c r="X138" s="2062"/>
      <c r="Y138" s="2062"/>
    </row>
    <row r="139" spans="1:25" s="48" customFormat="1" ht="27.6">
      <c r="A139" s="2090" t="s">
        <v>1306</v>
      </c>
      <c r="B139" s="1993" t="s">
        <v>1344</v>
      </c>
      <c r="C139" s="1980" t="s">
        <v>1347</v>
      </c>
      <c r="D139" s="1995" t="s">
        <v>1149</v>
      </c>
      <c r="E139" s="1995" t="s">
        <v>1155</v>
      </c>
      <c r="F139" s="1981" t="s">
        <v>1385</v>
      </c>
      <c r="G139" s="1995" t="s">
        <v>1330</v>
      </c>
      <c r="H139" s="2062"/>
      <c r="I139" s="2062"/>
      <c r="J139" s="2062"/>
      <c r="K139" s="2062"/>
      <c r="L139" s="2062"/>
      <c r="M139" s="2062"/>
      <c r="N139" s="2062"/>
      <c r="O139" s="2062"/>
      <c r="P139" s="2062"/>
      <c r="Q139" s="2062"/>
      <c r="R139" s="2062"/>
      <c r="S139" s="2062"/>
      <c r="T139" s="2062"/>
      <c r="U139" s="2062"/>
      <c r="V139" s="2062"/>
      <c r="W139" s="2062"/>
      <c r="X139" s="2062"/>
      <c r="Y139" s="2062"/>
    </row>
    <row r="140" spans="1:25" s="48" customFormat="1" ht="41.4">
      <c r="A140" s="2090" t="s">
        <v>1306</v>
      </c>
      <c r="B140" s="1993" t="s">
        <v>1351</v>
      </c>
      <c r="C140" s="1980" t="s">
        <v>1348</v>
      </c>
      <c r="D140" s="1995" t="s">
        <v>1149</v>
      </c>
      <c r="E140" s="1995" t="s">
        <v>1155</v>
      </c>
      <c r="F140" s="1981" t="s">
        <v>1385</v>
      </c>
      <c r="G140" s="1995" t="s">
        <v>1330</v>
      </c>
      <c r="H140" s="2062"/>
      <c r="I140" s="2062"/>
      <c r="J140" s="2062"/>
      <c r="K140" s="2062"/>
      <c r="L140" s="2062"/>
      <c r="M140" s="2062"/>
      <c r="N140" s="2062"/>
      <c r="O140" s="2062"/>
      <c r="P140" s="2062"/>
      <c r="Q140" s="2062"/>
      <c r="R140" s="2062"/>
      <c r="S140" s="2062"/>
      <c r="T140" s="2062"/>
      <c r="U140" s="2062"/>
      <c r="V140" s="2062"/>
      <c r="W140" s="2062"/>
      <c r="X140" s="2062"/>
      <c r="Y140" s="2062"/>
    </row>
    <row r="141" spans="1:25" s="48" customFormat="1" ht="27.6">
      <c r="A141" s="2090" t="s">
        <v>1306</v>
      </c>
      <c r="B141" s="1993" t="s">
        <v>1352</v>
      </c>
      <c r="C141" s="1980" t="s">
        <v>1349</v>
      </c>
      <c r="D141" s="1995" t="s">
        <v>1149</v>
      </c>
      <c r="E141" s="1995" t="s">
        <v>1155</v>
      </c>
      <c r="F141" s="1981" t="s">
        <v>1385</v>
      </c>
      <c r="G141" s="1995" t="s">
        <v>1330</v>
      </c>
      <c r="H141" s="2062"/>
      <c r="I141" s="2062"/>
      <c r="J141" s="2062"/>
      <c r="K141" s="2062"/>
      <c r="L141" s="2062"/>
      <c r="M141" s="2062"/>
      <c r="N141" s="2062"/>
      <c r="O141" s="2062"/>
      <c r="P141" s="2062"/>
      <c r="Q141" s="2062"/>
      <c r="R141" s="2062"/>
      <c r="S141" s="2062"/>
      <c r="T141" s="2062"/>
      <c r="U141" s="2062"/>
      <c r="V141" s="2062"/>
      <c r="W141" s="2062"/>
      <c r="X141" s="2062"/>
      <c r="Y141" s="2062"/>
    </row>
    <row r="142" spans="1:25" s="48" customFormat="1" ht="27.6">
      <c r="A142" s="2090" t="s">
        <v>1306</v>
      </c>
      <c r="B142" s="1993" t="s">
        <v>1353</v>
      </c>
      <c r="C142" s="1980" t="s">
        <v>1350</v>
      </c>
      <c r="D142" s="1995" t="s">
        <v>1149</v>
      </c>
      <c r="E142" s="1995" t="s">
        <v>1155</v>
      </c>
      <c r="F142" s="1981" t="s">
        <v>1385</v>
      </c>
      <c r="G142" s="1995" t="s">
        <v>1330</v>
      </c>
      <c r="H142" s="2062"/>
      <c r="I142" s="2062"/>
      <c r="J142" s="2062"/>
      <c r="K142" s="2062"/>
      <c r="L142" s="2062"/>
      <c r="M142" s="2062"/>
      <c r="N142" s="2062"/>
      <c r="O142" s="2062"/>
      <c r="P142" s="2062"/>
      <c r="Q142" s="2062"/>
      <c r="R142" s="2062"/>
      <c r="S142" s="2062"/>
      <c r="T142" s="2062"/>
      <c r="U142" s="2062"/>
      <c r="V142" s="2062"/>
      <c r="W142" s="2062"/>
      <c r="X142" s="2062"/>
      <c r="Y142" s="2062"/>
    </row>
    <row r="143" spans="1:25" s="48" customFormat="1">
      <c r="A143" s="2074"/>
      <c r="B143" s="1024"/>
      <c r="C143" s="1977"/>
      <c r="D143" s="1942"/>
      <c r="E143" s="1942"/>
      <c r="F143" s="1942"/>
      <c r="G143" s="1942"/>
      <c r="H143" s="2063"/>
      <c r="I143" s="2063"/>
      <c r="J143" s="2063"/>
      <c r="K143" s="2063"/>
      <c r="L143" s="2063"/>
      <c r="M143" s="2063"/>
      <c r="N143" s="2063"/>
      <c r="O143" s="2063"/>
      <c r="P143" s="2063"/>
      <c r="Q143" s="2063"/>
      <c r="R143" s="2063"/>
      <c r="S143" s="2063"/>
      <c r="T143" s="2063"/>
      <c r="U143" s="2063"/>
      <c r="V143" s="2063"/>
      <c r="W143" s="2063"/>
      <c r="X143" s="2063"/>
      <c r="Y143" s="2063"/>
    </row>
    <row r="144" spans="1:25" s="48" customFormat="1">
      <c r="A144" s="2074"/>
      <c r="B144" s="1024"/>
      <c r="C144" s="1977"/>
      <c r="D144" s="1942"/>
      <c r="E144" s="1942"/>
      <c r="F144" s="1942"/>
      <c r="G144" s="1942"/>
      <c r="H144" s="2063"/>
      <c r="I144" s="2063"/>
      <c r="J144" s="2063"/>
      <c r="K144" s="2063"/>
      <c r="L144" s="2063"/>
      <c r="M144" s="2063"/>
      <c r="N144" s="2063"/>
      <c r="O144" s="2063"/>
      <c r="P144" s="2063"/>
      <c r="Q144" s="2063"/>
      <c r="R144" s="2063"/>
      <c r="S144" s="2063"/>
      <c r="T144" s="2063"/>
      <c r="U144" s="2063"/>
      <c r="V144" s="2063"/>
      <c r="W144" s="2063"/>
      <c r="X144" s="2063"/>
      <c r="Y144" s="2063"/>
    </row>
  </sheetData>
  <protectedRanges>
    <protectedRange sqref="C112:D112 C114:D117 C110:C111" name="Rango2_20"/>
    <protectedRange sqref="C113:D113" name="Rango2_1_2"/>
    <protectedRange sqref="E114:E117 E110:E112" name="Rango2_20_2"/>
    <protectedRange sqref="E113" name="Rango2_1_2_2"/>
  </protectedRanges>
  <autoFilter ref="A5:Y142" xr:uid="{00000000-0009-0000-0000-000000000000}"/>
  <mergeCells count="100">
    <mergeCell ref="B6:B8"/>
    <mergeCell ref="J10:J22"/>
    <mergeCell ref="K10:K22"/>
    <mergeCell ref="L10:L22"/>
    <mergeCell ref="M10:M22"/>
    <mergeCell ref="H24:H25"/>
    <mergeCell ref="N10:N22"/>
    <mergeCell ref="B10:B22"/>
    <mergeCell ref="F10:F22"/>
    <mergeCell ref="G10:G22"/>
    <mergeCell ref="H10:H22"/>
    <mergeCell ref="I10:I22"/>
    <mergeCell ref="I24:I25"/>
    <mergeCell ref="J24:J25"/>
    <mergeCell ref="K24:K25"/>
    <mergeCell ref="L24:L25"/>
    <mergeCell ref="R35:R36"/>
    <mergeCell ref="O26:O34"/>
    <mergeCell ref="P26:P34"/>
    <mergeCell ref="Q26:Q34"/>
    <mergeCell ref="B24:B25"/>
    <mergeCell ref="E24:E25"/>
    <mergeCell ref="F24:F25"/>
    <mergeCell ref="G24:G25"/>
    <mergeCell ref="M24:M25"/>
    <mergeCell ref="N24:N25"/>
    <mergeCell ref="O24:O25"/>
    <mergeCell ref="F26:F34"/>
    <mergeCell ref="G26:G34"/>
    <mergeCell ref="B26:B34"/>
    <mergeCell ref="E26:E34"/>
    <mergeCell ref="N26:N34"/>
    <mergeCell ref="G35:G36"/>
    <mergeCell ref="E35:E36"/>
    <mergeCell ref="F35:F36"/>
    <mergeCell ref="P35:P36"/>
    <mergeCell ref="Q35:Q36"/>
    <mergeCell ref="B87:B89"/>
    <mergeCell ref="B90:B92"/>
    <mergeCell ref="B93:B96"/>
    <mergeCell ref="B52:B67"/>
    <mergeCell ref="B35:B39"/>
    <mergeCell ref="B40:B47"/>
    <mergeCell ref="B48:B51"/>
    <mergeCell ref="B68:B83"/>
    <mergeCell ref="U10:U22"/>
    <mergeCell ref="T24:T25"/>
    <mergeCell ref="U24:U25"/>
    <mergeCell ref="O10:O22"/>
    <mergeCell ref="P10:P22"/>
    <mergeCell ref="Q10:Q22"/>
    <mergeCell ref="R10:R22"/>
    <mergeCell ref="S10:S22"/>
    <mergeCell ref="T10:T22"/>
    <mergeCell ref="V10:V22"/>
    <mergeCell ref="W10:W22"/>
    <mergeCell ref="X10:X22"/>
    <mergeCell ref="Y10:Y22"/>
    <mergeCell ref="V24:V25"/>
    <mergeCell ref="W24:W25"/>
    <mergeCell ref="X24:X25"/>
    <mergeCell ref="Y24:Y25"/>
    <mergeCell ref="H26:H34"/>
    <mergeCell ref="I26:I34"/>
    <mergeCell ref="J26:J34"/>
    <mergeCell ref="K26:K34"/>
    <mergeCell ref="L26:L34"/>
    <mergeCell ref="M26:M34"/>
    <mergeCell ref="P24:P25"/>
    <mergeCell ref="Q24:Q25"/>
    <mergeCell ref="R24:R25"/>
    <mergeCell ref="S24:S25"/>
    <mergeCell ref="R26:R34"/>
    <mergeCell ref="S26:S34"/>
    <mergeCell ref="T26:T34"/>
    <mergeCell ref="U26:U34"/>
    <mergeCell ref="V26:V34"/>
    <mergeCell ref="V35:V36"/>
    <mergeCell ref="W35:W36"/>
    <mergeCell ref="X35:X36"/>
    <mergeCell ref="Y35:Y36"/>
    <mergeCell ref="X26:X34"/>
    <mergeCell ref="Y26:Y34"/>
    <mergeCell ref="W26:W34"/>
    <mergeCell ref="B134:B135"/>
    <mergeCell ref="B110:B117"/>
    <mergeCell ref="B132:B133"/>
    <mergeCell ref="T35:T36"/>
    <mergeCell ref="U35:U36"/>
    <mergeCell ref="H35:H36"/>
    <mergeCell ref="I35:I36"/>
    <mergeCell ref="J35:J36"/>
    <mergeCell ref="K35:K36"/>
    <mergeCell ref="L35:L36"/>
    <mergeCell ref="M35:M36"/>
    <mergeCell ref="N35:N36"/>
    <mergeCell ref="O35:O36"/>
    <mergeCell ref="B101:B108"/>
    <mergeCell ref="S35:S36"/>
    <mergeCell ref="B84:B86"/>
  </mergeCells>
  <pageMargins left="0.39370078740157483" right="0.19685039370078741" top="0.39370078740157483" bottom="0.39370078740157483" header="0.31496062992125984" footer="0.31496062992125984"/>
  <pageSetup paperSize="9" scale="53" fitToWidth="2" fitToHeight="3"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Z145"/>
  <sheetViews>
    <sheetView showGridLines="0" zoomScale="70" zoomScaleNormal="70" workbookViewId="0">
      <pane xSplit="7" ySplit="5" topLeftCell="H120" activePane="bottomRight" state="frozen"/>
      <selection pane="topRight" activeCell="H1" sqref="H1"/>
      <selection pane="bottomLeft" activeCell="A6" sqref="A6"/>
      <selection pane="bottomRight" activeCell="A54" sqref="A54:L60"/>
    </sheetView>
  </sheetViews>
  <sheetFormatPr baseColWidth="10" defaultColWidth="11.44140625" defaultRowHeight="14.4"/>
  <cols>
    <col min="1" max="1" width="4.33203125" style="731" bestFit="1" customWidth="1"/>
    <col min="2" max="2" width="52" style="1188" customWidth="1"/>
    <col min="3" max="3" width="14.88671875" style="731" hidden="1" customWidth="1"/>
    <col min="4" max="5" width="14.109375" style="731" hidden="1" customWidth="1"/>
    <col min="6" max="7" width="25.21875" style="731" hidden="1" customWidth="1"/>
    <col min="8" max="8" width="25.21875" style="1238" hidden="1" customWidth="1"/>
    <col min="9" max="11" width="25.21875" style="1238" customWidth="1"/>
    <col min="12" max="12" width="47.33203125" style="1189" customWidth="1"/>
    <col min="13" max="13" width="2.33203125" style="165" customWidth="1"/>
    <col min="14" max="14" width="40.33203125" style="1196" customWidth="1"/>
    <col min="15" max="20" width="11.44140625" style="165"/>
    <col min="21" max="21" width="39.109375" style="1946" customWidth="1"/>
    <col min="22" max="22" width="48.6640625" style="1977" customWidth="1"/>
    <col min="23" max="23" width="17.5546875" style="1942" bestFit="1" customWidth="1"/>
    <col min="24" max="24" width="12.77734375" style="1942" bestFit="1" customWidth="1"/>
    <col min="25" max="25" width="45.88671875" style="1942" customWidth="1"/>
    <col min="26" max="26" width="23.109375" style="1942" bestFit="1" customWidth="1"/>
    <col min="27" max="16384" width="11.44140625" style="165"/>
  </cols>
  <sheetData>
    <row r="1" spans="1:26" ht="21">
      <c r="A1" s="5171" t="s">
        <v>173</v>
      </c>
      <c r="B1" s="5172"/>
      <c r="C1" s="5172"/>
      <c r="D1" s="5172"/>
      <c r="E1" s="5172"/>
      <c r="F1" s="5172"/>
      <c r="G1" s="5172"/>
      <c r="H1" s="5172"/>
      <c r="I1" s="5172"/>
      <c r="J1" s="5172"/>
      <c r="K1" s="5172"/>
      <c r="L1" s="5173"/>
      <c r="V1" s="1925"/>
      <c r="W1" s="1024"/>
      <c r="X1" s="1024"/>
      <c r="Y1" s="1024"/>
      <c r="Z1" s="1024"/>
    </row>
    <row r="2" spans="1:26">
      <c r="A2" s="1255"/>
      <c r="B2" s="1213"/>
      <c r="C2" s="1212"/>
      <c r="D2" s="1212"/>
      <c r="E2" s="1212"/>
      <c r="F2" s="1212"/>
      <c r="G2" s="1212"/>
      <c r="H2" s="1263"/>
      <c r="I2" s="1263"/>
      <c r="J2" s="1263"/>
      <c r="K2" s="1263"/>
      <c r="L2" s="1264"/>
      <c r="U2" s="1619"/>
      <c r="V2" s="1931"/>
      <c r="W2" s="1040"/>
      <c r="X2" s="1040"/>
      <c r="Y2" s="1040"/>
      <c r="Z2" s="1040"/>
    </row>
    <row r="3" spans="1:26" ht="63" customHeight="1">
      <c r="A3" s="5174" t="s">
        <v>906</v>
      </c>
      <c r="B3" s="5175"/>
      <c r="C3" s="5175"/>
      <c r="D3" s="5175"/>
      <c r="E3" s="5175"/>
      <c r="F3" s="5175"/>
      <c r="G3" s="5175"/>
      <c r="H3" s="5175"/>
      <c r="I3" s="5175"/>
      <c r="J3" s="5175"/>
      <c r="K3" s="5175"/>
      <c r="L3" s="5176"/>
      <c r="V3" s="1925"/>
      <c r="W3" s="1024"/>
      <c r="X3" s="1024"/>
      <c r="Y3" s="1024"/>
      <c r="Z3" s="1024"/>
    </row>
    <row r="4" spans="1:26" ht="15" thickBot="1">
      <c r="A4" s="1255"/>
      <c r="B4" s="1213"/>
      <c r="C4" s="1212"/>
      <c r="D4" s="1212"/>
      <c r="E4" s="1212"/>
      <c r="F4" s="1212"/>
      <c r="G4" s="1212"/>
      <c r="H4" s="5242"/>
      <c r="I4" s="5242"/>
      <c r="J4" s="2221"/>
      <c r="K4" s="2535"/>
      <c r="L4" s="1264"/>
      <c r="U4" s="1619"/>
      <c r="V4" s="1925"/>
      <c r="W4" s="1024"/>
      <c r="X4" s="1024"/>
      <c r="Y4" s="1024"/>
      <c r="Z4" s="1024"/>
    </row>
    <row r="5" spans="1:26" s="1190" customFormat="1" ht="35.4" customHeight="1" thickBot="1">
      <c r="A5" s="5193" t="s">
        <v>1003</v>
      </c>
      <c r="B5" s="5194"/>
      <c r="C5" s="5194"/>
      <c r="D5" s="5194"/>
      <c r="E5" s="5194"/>
      <c r="F5" s="5194"/>
      <c r="G5" s="5195"/>
      <c r="H5" s="1278" t="s">
        <v>922</v>
      </c>
      <c r="I5" s="5208" t="s">
        <v>775</v>
      </c>
      <c r="J5" s="5209"/>
      <c r="K5" s="5210"/>
      <c r="L5" s="2295" t="s">
        <v>585</v>
      </c>
      <c r="N5" s="4332"/>
      <c r="U5" s="1947"/>
      <c r="V5" s="1921" t="s">
        <v>1190</v>
      </c>
      <c r="W5" s="1921" t="s">
        <v>1151</v>
      </c>
      <c r="X5" s="1921" t="s">
        <v>1147</v>
      </c>
      <c r="Y5" s="1921" t="s">
        <v>1156</v>
      </c>
      <c r="Z5" s="1921" t="s">
        <v>1148</v>
      </c>
    </row>
    <row r="6" spans="1:26" ht="17.399999999999999" customHeight="1">
      <c r="A6" s="5240" t="s">
        <v>993</v>
      </c>
      <c r="B6" s="5196" t="s">
        <v>927</v>
      </c>
      <c r="C6" s="5196"/>
      <c r="D6" s="5196"/>
      <c r="E6" s="5196"/>
      <c r="F6" s="5196"/>
      <c r="G6" s="5197"/>
      <c r="H6" s="5253">
        <v>283561</v>
      </c>
      <c r="I6" s="5211">
        <v>4230.74</v>
      </c>
      <c r="J6" s="5212"/>
      <c r="K6" s="5213"/>
      <c r="L6" s="1251" t="s">
        <v>1044</v>
      </c>
      <c r="N6" s="5205" t="s">
        <v>1046</v>
      </c>
      <c r="O6" s="5205"/>
      <c r="P6" s="5205"/>
      <c r="Q6" s="5205"/>
      <c r="R6" s="5205"/>
      <c r="S6" s="5205"/>
      <c r="U6" s="5226" t="s">
        <v>927</v>
      </c>
      <c r="V6" s="1965" t="s">
        <v>1150</v>
      </c>
      <c r="W6" s="1926" t="s">
        <v>1152</v>
      </c>
      <c r="X6" s="1926" t="s">
        <v>1149</v>
      </c>
      <c r="Y6" s="1926"/>
      <c r="Z6" s="1926"/>
    </row>
    <row r="7" spans="1:26" ht="17.399999999999999" customHeight="1">
      <c r="A7" s="5240"/>
      <c r="B7" s="5198"/>
      <c r="C7" s="5198"/>
      <c r="D7" s="5198"/>
      <c r="E7" s="5198"/>
      <c r="F7" s="5198"/>
      <c r="G7" s="5199"/>
      <c r="H7" s="5254"/>
      <c r="I7" s="5214">
        <f>I6*9%</f>
        <v>380.76659999999998</v>
      </c>
      <c r="J7" s="5215"/>
      <c r="K7" s="5216"/>
      <c r="L7" s="5122" t="s">
        <v>925</v>
      </c>
      <c r="N7" s="5205" t="s">
        <v>1046</v>
      </c>
      <c r="O7" s="5205"/>
      <c r="P7" s="5205"/>
      <c r="Q7" s="5205"/>
      <c r="R7" s="5205"/>
      <c r="S7" s="5205"/>
      <c r="U7" s="5111"/>
      <c r="V7" s="1956" t="s">
        <v>1153</v>
      </c>
      <c r="W7" s="1922" t="s">
        <v>1152</v>
      </c>
      <c r="X7" s="1922" t="s">
        <v>1149</v>
      </c>
      <c r="Y7" s="1922"/>
      <c r="Z7" s="1922"/>
    </row>
    <row r="8" spans="1:26" ht="14.4" customHeight="1">
      <c r="A8" s="5241"/>
      <c r="B8" s="5191"/>
      <c r="C8" s="5191"/>
      <c r="D8" s="5191"/>
      <c r="E8" s="5191"/>
      <c r="F8" s="5191"/>
      <c r="G8" s="5192"/>
      <c r="H8" s="5255"/>
      <c r="I8" s="5217" t="s">
        <v>1022</v>
      </c>
      <c r="J8" s="5218"/>
      <c r="K8" s="5219"/>
      <c r="L8" s="5123"/>
      <c r="O8" s="1196"/>
      <c r="P8" s="1196"/>
      <c r="Q8" s="1196"/>
      <c r="R8" s="1196"/>
      <c r="S8" s="1196"/>
      <c r="U8" s="5112"/>
      <c r="V8" s="1956" t="s">
        <v>1157</v>
      </c>
      <c r="W8" s="1922" t="s">
        <v>33</v>
      </c>
      <c r="X8" s="1922" t="s">
        <v>1149</v>
      </c>
      <c r="Y8" s="1922"/>
      <c r="Z8" s="1922"/>
    </row>
    <row r="9" spans="1:26" ht="28.95" customHeight="1">
      <c r="A9" s="1872" t="s">
        <v>994</v>
      </c>
      <c r="B9" s="5200" t="s">
        <v>923</v>
      </c>
      <c r="C9" s="5200"/>
      <c r="D9" s="5200"/>
      <c r="E9" s="5200"/>
      <c r="F9" s="5200"/>
      <c r="G9" s="5201"/>
      <c r="H9" s="1279">
        <v>17511000</v>
      </c>
      <c r="I9" s="5220">
        <f>[3]RESUMEN!$V$6</f>
        <v>2786115</v>
      </c>
      <c r="J9" s="5221"/>
      <c r="K9" s="5222"/>
      <c r="L9" s="1249" t="s">
        <v>1002</v>
      </c>
      <c r="N9" s="5205" t="s">
        <v>1497</v>
      </c>
      <c r="O9" s="5205"/>
      <c r="P9" s="5205"/>
      <c r="Q9" s="5205"/>
      <c r="R9" s="5205"/>
      <c r="S9" s="5205"/>
      <c r="U9" s="1952" t="s">
        <v>923</v>
      </c>
      <c r="V9" s="1956" t="s">
        <v>1002</v>
      </c>
      <c r="W9" s="1922" t="s">
        <v>1154</v>
      </c>
      <c r="X9" s="1922" t="s">
        <v>1155</v>
      </c>
      <c r="Y9" s="1922" t="s">
        <v>1177</v>
      </c>
      <c r="Z9" s="1922" t="s">
        <v>1158</v>
      </c>
    </row>
    <row r="10" spans="1:26">
      <c r="A10" s="5246" t="s">
        <v>589</v>
      </c>
      <c r="B10" s="5247" t="s">
        <v>1000</v>
      </c>
      <c r="C10" s="5247"/>
      <c r="D10" s="5247"/>
      <c r="E10" s="5247"/>
      <c r="F10" s="5247"/>
      <c r="G10" s="5247"/>
      <c r="I10" s="5227" t="s">
        <v>1023</v>
      </c>
      <c r="J10" s="5228"/>
      <c r="K10" s="2624"/>
      <c r="L10" s="1250"/>
      <c r="P10" s="1196"/>
      <c r="Q10" s="1196"/>
      <c r="R10" s="1196"/>
      <c r="S10" s="1196"/>
      <c r="V10" s="1925"/>
      <c r="W10" s="1024"/>
      <c r="X10" s="1024"/>
      <c r="Y10" s="1024"/>
      <c r="Z10" s="1024"/>
    </row>
    <row r="11" spans="1:26" ht="48.6" customHeight="1">
      <c r="A11" s="5240"/>
      <c r="B11" s="5248"/>
      <c r="C11" s="5248"/>
      <c r="D11" s="5248"/>
      <c r="E11" s="5248"/>
      <c r="F11" s="5248"/>
      <c r="G11" s="5248"/>
      <c r="I11" s="5152" t="s">
        <v>1024</v>
      </c>
      <c r="J11" s="5152"/>
      <c r="K11" s="1943">
        <v>0.2</v>
      </c>
      <c r="L11" s="5153" t="s">
        <v>1033</v>
      </c>
      <c r="N11" s="5156" t="s">
        <v>1008</v>
      </c>
      <c r="O11" s="5159" t="s">
        <v>1010</v>
      </c>
      <c r="P11" s="5162" t="s">
        <v>1007</v>
      </c>
      <c r="Q11" s="5163"/>
      <c r="R11" s="5163"/>
      <c r="S11" s="5164"/>
      <c r="U11" s="5110" t="s">
        <v>1182</v>
      </c>
      <c r="V11" s="1923" t="s">
        <v>1159</v>
      </c>
      <c r="W11" s="1945" t="s">
        <v>33</v>
      </c>
      <c r="X11" s="1945" t="s">
        <v>1155</v>
      </c>
      <c r="Y11" s="5113" t="s">
        <v>1178</v>
      </c>
      <c r="Z11" s="5223" t="s">
        <v>1158</v>
      </c>
    </row>
    <row r="12" spans="1:26">
      <c r="A12" s="5240"/>
      <c r="B12" s="5248"/>
      <c r="C12" s="5248"/>
      <c r="D12" s="5248"/>
      <c r="E12" s="5248"/>
      <c r="F12" s="5248"/>
      <c r="G12" s="5248"/>
      <c r="I12" s="5152" t="s">
        <v>1025</v>
      </c>
      <c r="J12" s="5152"/>
      <c r="K12" s="1943">
        <v>0.17799999999999999</v>
      </c>
      <c r="L12" s="5154"/>
      <c r="N12" s="5157"/>
      <c r="O12" s="5160"/>
      <c r="P12" s="5165"/>
      <c r="Q12" s="5166"/>
      <c r="R12" s="5166"/>
      <c r="S12" s="5167"/>
      <c r="U12" s="5111"/>
      <c r="V12" s="1923" t="s">
        <v>1160</v>
      </c>
      <c r="W12" s="1945" t="s">
        <v>33</v>
      </c>
      <c r="X12" s="1945" t="s">
        <v>1155</v>
      </c>
      <c r="Y12" s="5114"/>
      <c r="Z12" s="5224"/>
    </row>
    <row r="13" spans="1:26">
      <c r="A13" s="5240"/>
      <c r="B13" s="5248"/>
      <c r="C13" s="5248"/>
      <c r="D13" s="5248"/>
      <c r="E13" s="5248"/>
      <c r="F13" s="5248"/>
      <c r="G13" s="5248"/>
      <c r="I13" s="5152" t="s">
        <v>1026</v>
      </c>
      <c r="J13" s="5152"/>
      <c r="K13" s="1943">
        <v>0.16</v>
      </c>
      <c r="L13" s="5154"/>
      <c r="N13" s="5157"/>
      <c r="O13" s="5160"/>
      <c r="P13" s="5165"/>
      <c r="Q13" s="5166"/>
      <c r="R13" s="5166"/>
      <c r="S13" s="5167"/>
      <c r="U13" s="5111"/>
      <c r="V13" s="1923" t="s">
        <v>1161</v>
      </c>
      <c r="W13" s="1945" t="s">
        <v>33</v>
      </c>
      <c r="X13" s="1945" t="s">
        <v>1155</v>
      </c>
      <c r="Y13" s="5114"/>
      <c r="Z13" s="5224"/>
    </row>
    <row r="14" spans="1:26">
      <c r="A14" s="5240"/>
      <c r="B14" s="5248"/>
      <c r="C14" s="5248"/>
      <c r="D14" s="5248"/>
      <c r="E14" s="5248"/>
      <c r="F14" s="5248"/>
      <c r="G14" s="5248"/>
      <c r="I14" s="5152" t="s">
        <v>1027</v>
      </c>
      <c r="J14" s="5152"/>
      <c r="K14" s="1943">
        <v>0.107</v>
      </c>
      <c r="L14" s="5154"/>
      <c r="N14" s="5157"/>
      <c r="O14" s="5160"/>
      <c r="P14" s="5165"/>
      <c r="Q14" s="5166"/>
      <c r="R14" s="5166"/>
      <c r="S14" s="5167"/>
      <c r="U14" s="5111"/>
      <c r="V14" s="1923" t="s">
        <v>1162</v>
      </c>
      <c r="W14" s="1945" t="s">
        <v>33</v>
      </c>
      <c r="X14" s="1945" t="s">
        <v>1155</v>
      </c>
      <c r="Y14" s="5114"/>
      <c r="Z14" s="5224"/>
    </row>
    <row r="15" spans="1:26">
      <c r="A15" s="5240"/>
      <c r="B15" s="5248"/>
      <c r="C15" s="5248"/>
      <c r="D15" s="5248"/>
      <c r="E15" s="5248"/>
      <c r="F15" s="5248"/>
      <c r="G15" s="5248"/>
      <c r="I15" s="5152" t="s">
        <v>1028</v>
      </c>
      <c r="J15" s="5152"/>
      <c r="K15" s="1943">
        <v>6.8000000000000005E-2</v>
      </c>
      <c r="L15" s="5154"/>
      <c r="N15" s="5157"/>
      <c r="O15" s="5160"/>
      <c r="P15" s="5165"/>
      <c r="Q15" s="5166"/>
      <c r="R15" s="5166"/>
      <c r="S15" s="5167"/>
      <c r="U15" s="5111"/>
      <c r="V15" s="1923" t="s">
        <v>1163</v>
      </c>
      <c r="W15" s="1945" t="s">
        <v>33</v>
      </c>
      <c r="X15" s="1945" t="s">
        <v>1155</v>
      </c>
      <c r="Y15" s="5114"/>
      <c r="Z15" s="5224"/>
    </row>
    <row r="16" spans="1:26">
      <c r="A16" s="5240"/>
      <c r="B16" s="5248"/>
      <c r="C16" s="5248"/>
      <c r="D16" s="5248"/>
      <c r="E16" s="5248"/>
      <c r="F16" s="5248"/>
      <c r="G16" s="5248"/>
      <c r="I16" s="5152" t="s">
        <v>1029</v>
      </c>
      <c r="J16" s="5152"/>
      <c r="K16" s="1944">
        <v>6.4000000000000001E-2</v>
      </c>
      <c r="L16" s="5154"/>
      <c r="N16" s="5157"/>
      <c r="O16" s="5160"/>
      <c r="P16" s="5165"/>
      <c r="Q16" s="5166"/>
      <c r="R16" s="5166"/>
      <c r="S16" s="5167"/>
      <c r="U16" s="5111"/>
      <c r="V16" s="1924" t="s">
        <v>1164</v>
      </c>
      <c r="W16" s="1945" t="s">
        <v>33</v>
      </c>
      <c r="X16" s="1945" t="s">
        <v>1155</v>
      </c>
      <c r="Y16" s="5114"/>
      <c r="Z16" s="5224"/>
    </row>
    <row r="17" spans="1:26">
      <c r="A17" s="5240"/>
      <c r="B17" s="5248"/>
      <c r="C17" s="5248"/>
      <c r="D17" s="5248"/>
      <c r="E17" s="5248"/>
      <c r="F17" s="5248"/>
      <c r="G17" s="5248"/>
      <c r="I17" s="5152" t="s">
        <v>1030</v>
      </c>
      <c r="J17" s="5152"/>
      <c r="K17" s="1943">
        <v>6.2E-2</v>
      </c>
      <c r="L17" s="5154"/>
      <c r="N17" s="5157"/>
      <c r="O17" s="5160"/>
      <c r="P17" s="5165"/>
      <c r="Q17" s="5166"/>
      <c r="R17" s="5166"/>
      <c r="S17" s="5167"/>
      <c r="U17" s="5111"/>
      <c r="V17" s="1923" t="s">
        <v>1165</v>
      </c>
      <c r="W17" s="1945" t="s">
        <v>33</v>
      </c>
      <c r="X17" s="1945" t="s">
        <v>1155</v>
      </c>
      <c r="Y17" s="5114"/>
      <c r="Z17" s="5224"/>
    </row>
    <row r="18" spans="1:26">
      <c r="A18" s="5240"/>
      <c r="B18" s="5248"/>
      <c r="C18" s="5248"/>
      <c r="D18" s="5248"/>
      <c r="E18" s="5248"/>
      <c r="F18" s="5248"/>
      <c r="G18" s="5248"/>
      <c r="I18" s="5152" t="s">
        <v>1031</v>
      </c>
      <c r="J18" s="5152"/>
      <c r="K18" s="1943">
        <v>3.5999999999999997E-2</v>
      </c>
      <c r="L18" s="5154"/>
      <c r="N18" s="5157"/>
      <c r="O18" s="5160"/>
      <c r="P18" s="5165"/>
      <c r="Q18" s="5166"/>
      <c r="R18" s="5166"/>
      <c r="S18" s="5167"/>
      <c r="U18" s="5111"/>
      <c r="V18" s="1923" t="s">
        <v>1166</v>
      </c>
      <c r="W18" s="1945" t="s">
        <v>33</v>
      </c>
      <c r="X18" s="1945" t="s">
        <v>1155</v>
      </c>
      <c r="Y18" s="5114"/>
      <c r="Z18" s="5224"/>
    </row>
    <row r="19" spans="1:26">
      <c r="A19" s="5240"/>
      <c r="B19" s="5248"/>
      <c r="C19" s="5248"/>
      <c r="D19" s="5248"/>
      <c r="E19" s="5248"/>
      <c r="F19" s="5248"/>
      <c r="G19" s="5248"/>
      <c r="I19" s="5152" t="s">
        <v>1032</v>
      </c>
      <c r="J19" s="5152"/>
      <c r="K19" s="1943">
        <v>3.1E-2</v>
      </c>
      <c r="L19" s="5154"/>
      <c r="N19" s="5157"/>
      <c r="O19" s="5160"/>
      <c r="P19" s="5165"/>
      <c r="Q19" s="5166"/>
      <c r="R19" s="5166"/>
      <c r="S19" s="5167"/>
      <c r="U19" s="5111"/>
      <c r="V19" s="1923" t="s">
        <v>1167</v>
      </c>
      <c r="W19" s="1945" t="s">
        <v>33</v>
      </c>
      <c r="X19" s="1945" t="s">
        <v>1155</v>
      </c>
      <c r="Y19" s="5114"/>
      <c r="Z19" s="5224"/>
    </row>
    <row r="20" spans="1:26">
      <c r="A20" s="5240"/>
      <c r="B20" s="5248"/>
      <c r="C20" s="5248"/>
      <c r="D20" s="5248"/>
      <c r="E20" s="5248"/>
      <c r="F20" s="5248"/>
      <c r="G20" s="5248"/>
      <c r="I20" s="5152" t="s">
        <v>1358</v>
      </c>
      <c r="J20" s="5152"/>
      <c r="K20" s="1943"/>
      <c r="L20" s="5154"/>
      <c r="N20" s="5157"/>
      <c r="O20" s="5160"/>
      <c r="P20" s="5165"/>
      <c r="Q20" s="5166"/>
      <c r="R20" s="5166"/>
      <c r="S20" s="5167"/>
      <c r="U20" s="5111"/>
      <c r="V20" s="1923"/>
      <c r="W20" s="1945"/>
      <c r="X20" s="1945"/>
      <c r="Y20" s="5114"/>
      <c r="Z20" s="5224"/>
    </row>
    <row r="21" spans="1:26">
      <c r="A21" s="5240"/>
      <c r="B21" s="5248"/>
      <c r="C21" s="5248"/>
      <c r="D21" s="5248"/>
      <c r="E21" s="5248"/>
      <c r="F21" s="5248"/>
      <c r="G21" s="5248"/>
      <c r="I21" s="5152" t="s">
        <v>1359</v>
      </c>
      <c r="J21" s="5152"/>
      <c r="K21" s="1943">
        <v>2.4E-2</v>
      </c>
      <c r="L21" s="5154"/>
      <c r="N21" s="5157"/>
      <c r="O21" s="5160"/>
      <c r="P21" s="5165"/>
      <c r="Q21" s="5166"/>
      <c r="R21" s="5166"/>
      <c r="S21" s="5167"/>
      <c r="U21" s="5111"/>
      <c r="V21" s="1923" t="s">
        <v>1168</v>
      </c>
      <c r="W21" s="1945" t="s">
        <v>33</v>
      </c>
      <c r="X21" s="1945" t="s">
        <v>1155</v>
      </c>
      <c r="Y21" s="5114"/>
      <c r="Z21" s="5224"/>
    </row>
    <row r="22" spans="1:26">
      <c r="A22" s="5240"/>
      <c r="B22" s="5248"/>
      <c r="C22" s="5248"/>
      <c r="D22" s="5248"/>
      <c r="E22" s="5248"/>
      <c r="F22" s="5248"/>
      <c r="G22" s="5248"/>
      <c r="I22" s="5152" t="s">
        <v>1360</v>
      </c>
      <c r="J22" s="5152"/>
      <c r="K22" s="1944">
        <v>1.7000000000000001E-2</v>
      </c>
      <c r="L22" s="5154"/>
      <c r="N22" s="5157"/>
      <c r="O22" s="5160"/>
      <c r="P22" s="5165"/>
      <c r="Q22" s="5166"/>
      <c r="R22" s="5166"/>
      <c r="S22" s="5167"/>
      <c r="U22" s="5111"/>
      <c r="V22" s="1924" t="s">
        <v>1169</v>
      </c>
      <c r="W22" s="1945" t="s">
        <v>33</v>
      </c>
      <c r="X22" s="1945" t="s">
        <v>1155</v>
      </c>
      <c r="Y22" s="5114"/>
      <c r="Z22" s="5224"/>
    </row>
    <row r="23" spans="1:26">
      <c r="A23" s="5240"/>
      <c r="B23" s="5248"/>
      <c r="C23" s="5248"/>
      <c r="D23" s="5248"/>
      <c r="E23" s="5248"/>
      <c r="F23" s="5248"/>
      <c r="G23" s="5248"/>
      <c r="I23" s="5152" t="s">
        <v>1361</v>
      </c>
      <c r="J23" s="5152"/>
      <c r="K23" s="1943">
        <v>1.4E-2</v>
      </c>
      <c r="L23" s="5154"/>
      <c r="N23" s="5157"/>
      <c r="O23" s="5160"/>
      <c r="P23" s="5165"/>
      <c r="Q23" s="5166"/>
      <c r="R23" s="5166"/>
      <c r="S23" s="5167"/>
      <c r="U23" s="5111"/>
      <c r="V23" s="1923" t="s">
        <v>1170</v>
      </c>
      <c r="W23" s="1945" t="s">
        <v>33</v>
      </c>
      <c r="X23" s="1945" t="s">
        <v>1155</v>
      </c>
      <c r="Y23" s="5114"/>
      <c r="Z23" s="5224"/>
    </row>
    <row r="24" spans="1:26">
      <c r="A24" s="5241"/>
      <c r="B24" s="5249"/>
      <c r="C24" s="5249"/>
      <c r="D24" s="5249"/>
      <c r="E24" s="5249"/>
      <c r="F24" s="5249"/>
      <c r="G24" s="5249"/>
      <c r="I24" s="5152" t="s">
        <v>1362</v>
      </c>
      <c r="J24" s="5152"/>
      <c r="K24" s="1943">
        <v>5.0000000000000001E-3</v>
      </c>
      <c r="L24" s="5155"/>
      <c r="N24" s="5158"/>
      <c r="O24" s="5161"/>
      <c r="P24" s="5168"/>
      <c r="Q24" s="5169"/>
      <c r="R24" s="5169"/>
      <c r="S24" s="5170"/>
      <c r="U24" s="5112"/>
      <c r="V24" s="1923" t="s">
        <v>1171</v>
      </c>
      <c r="W24" s="1945" t="s">
        <v>33</v>
      </c>
      <c r="X24" s="1945" t="s">
        <v>1155</v>
      </c>
      <c r="Y24" s="5115"/>
      <c r="Z24" s="5225"/>
    </row>
    <row r="25" spans="1:26" ht="27.6">
      <c r="A25" s="1873" t="s">
        <v>995</v>
      </c>
      <c r="B25" s="5200" t="s">
        <v>1005</v>
      </c>
      <c r="C25" s="5200"/>
      <c r="D25" s="5200"/>
      <c r="E25" s="5200"/>
      <c r="F25" s="5200"/>
      <c r="G25" s="5201"/>
      <c r="H25" s="2315">
        <v>108108009</v>
      </c>
      <c r="K25" s="1281">
        <v>25032606.081425533</v>
      </c>
      <c r="L25" s="1251" t="s">
        <v>1628</v>
      </c>
      <c r="N25" s="4050" t="s">
        <v>1629</v>
      </c>
      <c r="O25" s="1198" t="s">
        <v>1010</v>
      </c>
      <c r="P25" s="5179" t="s">
        <v>1007</v>
      </c>
      <c r="Q25" s="5179"/>
      <c r="R25" s="5179"/>
      <c r="S25" s="5179"/>
      <c r="U25" s="1952" t="s">
        <v>1005</v>
      </c>
      <c r="V25" s="1956" t="s">
        <v>1173</v>
      </c>
      <c r="W25" s="1922" t="s">
        <v>1172</v>
      </c>
      <c r="X25" s="1922" t="s">
        <v>1155</v>
      </c>
      <c r="Y25" s="1922" t="s">
        <v>1176</v>
      </c>
      <c r="Z25" s="1922" t="s">
        <v>1158</v>
      </c>
    </row>
    <row r="26" spans="1:26" s="435" customFormat="1">
      <c r="A26" s="5246" t="s">
        <v>996</v>
      </c>
      <c r="B26" s="5189" t="s">
        <v>1006</v>
      </c>
      <c r="C26" s="5189"/>
      <c r="D26" s="5189"/>
      <c r="E26" s="5189"/>
      <c r="F26" s="5189"/>
      <c r="G26" s="5190"/>
      <c r="H26" s="4048" t="s">
        <v>1626</v>
      </c>
      <c r="K26" s="1282">
        <f>K25*K27</f>
        <v>750978.18244276592</v>
      </c>
      <c r="L26" s="1249" t="s">
        <v>1004</v>
      </c>
      <c r="N26" s="4333"/>
      <c r="U26" s="5110" t="s">
        <v>1006</v>
      </c>
      <c r="V26" s="1956" t="s">
        <v>1174</v>
      </c>
      <c r="W26" s="1922" t="s">
        <v>1172</v>
      </c>
      <c r="X26" s="5116" t="s">
        <v>1155</v>
      </c>
      <c r="Y26" s="5116" t="s">
        <v>1176</v>
      </c>
      <c r="Z26" s="5116" t="s">
        <v>1158</v>
      </c>
    </row>
    <row r="27" spans="1:26" ht="24.6" customHeight="1">
      <c r="A27" s="5241"/>
      <c r="B27" s="5191"/>
      <c r="C27" s="5191"/>
      <c r="D27" s="5191"/>
      <c r="E27" s="5191"/>
      <c r="F27" s="5191"/>
      <c r="G27" s="5192"/>
      <c r="H27" s="2316">
        <v>1.2E-2</v>
      </c>
      <c r="K27" s="1283">
        <v>0.03</v>
      </c>
      <c r="L27" s="1249" t="s">
        <v>1055</v>
      </c>
      <c r="N27" s="4050" t="s">
        <v>1014</v>
      </c>
      <c r="O27" s="1198" t="s">
        <v>9</v>
      </c>
      <c r="P27" s="5180" t="s">
        <v>1525</v>
      </c>
      <c r="Q27" s="5179"/>
      <c r="R27" s="5179"/>
      <c r="S27" s="5179"/>
      <c r="U27" s="5112"/>
      <c r="V27" s="1956" t="s">
        <v>1175</v>
      </c>
      <c r="W27" s="1928" t="s">
        <v>33</v>
      </c>
      <c r="X27" s="5118"/>
      <c r="Y27" s="5118"/>
      <c r="Z27" s="5118"/>
    </row>
    <row r="28" spans="1:26" s="435" customFormat="1" ht="27.6">
      <c r="A28" s="5186" t="s">
        <v>997</v>
      </c>
      <c r="B28" s="5200" t="s">
        <v>924</v>
      </c>
      <c r="C28" s="5200"/>
      <c r="D28" s="5200"/>
      <c r="E28" s="5200"/>
      <c r="F28" s="5200"/>
      <c r="G28" s="5201"/>
      <c r="H28" s="2317" t="s">
        <v>1627</v>
      </c>
      <c r="K28" s="3028">
        <f>K29+K30</f>
        <v>30675</v>
      </c>
      <c r="L28" s="5122" t="s">
        <v>1523</v>
      </c>
      <c r="N28" s="5181" t="s">
        <v>1630</v>
      </c>
      <c r="O28" s="5181"/>
      <c r="P28" s="3029" t="s">
        <v>1525</v>
      </c>
      <c r="Q28" s="1199"/>
      <c r="R28" s="1199"/>
      <c r="S28" s="1199"/>
      <c r="U28" s="5107" t="s">
        <v>924</v>
      </c>
      <c r="V28" s="1956" t="s">
        <v>1191</v>
      </c>
      <c r="W28" s="1922" t="s">
        <v>1179</v>
      </c>
      <c r="X28" s="5116" t="s">
        <v>1155</v>
      </c>
      <c r="Y28" s="5116" t="s">
        <v>1177</v>
      </c>
      <c r="Z28" s="5116" t="s">
        <v>1183</v>
      </c>
    </row>
    <row r="29" spans="1:26" ht="14.4" customHeight="1">
      <c r="A29" s="5187"/>
      <c r="B29" s="5206" t="s">
        <v>465</v>
      </c>
      <c r="C29" s="5206"/>
      <c r="D29" s="5206"/>
      <c r="E29" s="5206"/>
      <c r="F29" s="5206"/>
      <c r="G29" s="5207"/>
      <c r="H29" s="5185" t="s">
        <v>1043</v>
      </c>
      <c r="K29" s="2629">
        <f>EMPLEO_tur_DMQ!F11</f>
        <v>14048</v>
      </c>
      <c r="L29" s="5151"/>
      <c r="N29" s="5133" t="s">
        <v>1524</v>
      </c>
      <c r="O29" s="5134"/>
      <c r="P29" s="5134"/>
      <c r="Q29" s="5134"/>
      <c r="R29" s="5134"/>
      <c r="S29" s="5135"/>
      <c r="U29" s="5108"/>
      <c r="V29" s="1927" t="s">
        <v>465</v>
      </c>
      <c r="W29" s="1922" t="s">
        <v>1180</v>
      </c>
      <c r="X29" s="5117"/>
      <c r="Y29" s="5117"/>
      <c r="Z29" s="5117"/>
    </row>
    <row r="30" spans="1:26" ht="17.399999999999999" customHeight="1">
      <c r="A30" s="5187"/>
      <c r="B30" s="5177" t="s">
        <v>466</v>
      </c>
      <c r="C30" s="5177"/>
      <c r="D30" s="5177"/>
      <c r="E30" s="5177"/>
      <c r="F30" s="5177"/>
      <c r="G30" s="5178"/>
      <c r="H30" s="5185"/>
      <c r="K30" s="2629">
        <f>EMPLEO_tur_DMQ!G11</f>
        <v>16627</v>
      </c>
      <c r="L30" s="5151"/>
      <c r="N30" s="5136"/>
      <c r="O30" s="5137"/>
      <c r="P30" s="5137"/>
      <c r="Q30" s="5137"/>
      <c r="R30" s="5137"/>
      <c r="S30" s="5138"/>
      <c r="U30" s="5108"/>
      <c r="V30" s="1927" t="s">
        <v>466</v>
      </c>
      <c r="W30" s="1922" t="s">
        <v>1181</v>
      </c>
      <c r="X30" s="5117"/>
      <c r="Y30" s="5117"/>
      <c r="Z30" s="5117"/>
    </row>
    <row r="31" spans="1:26" ht="18">
      <c r="A31" s="5187"/>
      <c r="B31" s="5250" t="s">
        <v>1134</v>
      </c>
      <c r="C31" s="1210"/>
      <c r="D31" s="1210"/>
      <c r="E31" s="1210"/>
      <c r="F31" s="1210"/>
      <c r="I31" s="5146" t="s">
        <v>32</v>
      </c>
      <c r="J31" s="5146"/>
      <c r="K31" s="3027">
        <f>EMPLEO_tur_DMQ!H33</f>
        <v>7152</v>
      </c>
      <c r="L31" s="5151"/>
      <c r="N31" s="5136"/>
      <c r="O31" s="5137"/>
      <c r="P31" s="5137"/>
      <c r="Q31" s="5137"/>
      <c r="R31" s="5137"/>
      <c r="S31" s="5138"/>
      <c r="U31" s="5108"/>
      <c r="V31" s="1908" t="s">
        <v>1184</v>
      </c>
      <c r="W31" s="1922" t="s">
        <v>1179</v>
      </c>
      <c r="X31" s="5117"/>
      <c r="Y31" s="5117"/>
      <c r="Z31" s="5117"/>
    </row>
    <row r="32" spans="1:26" ht="17.399999999999999" customHeight="1">
      <c r="A32" s="5187"/>
      <c r="B32" s="5251"/>
      <c r="C32" s="1210"/>
      <c r="D32" s="1210"/>
      <c r="E32" s="1210"/>
      <c r="F32" s="1210"/>
      <c r="I32" s="5147" t="s">
        <v>465</v>
      </c>
      <c r="J32" s="5147"/>
      <c r="K32" s="2979">
        <f>EMPLEO_tur_DMQ!F33</f>
        <v>3055</v>
      </c>
      <c r="L32" s="5151"/>
      <c r="N32" s="5136"/>
      <c r="O32" s="5137"/>
      <c r="P32" s="5137"/>
      <c r="Q32" s="5137"/>
      <c r="R32" s="5137"/>
      <c r="S32" s="5138"/>
      <c r="U32" s="5108"/>
      <c r="V32" s="1927" t="s">
        <v>465</v>
      </c>
      <c r="W32" s="1922" t="s">
        <v>1180</v>
      </c>
      <c r="X32" s="5117"/>
      <c r="Y32" s="5117"/>
      <c r="Z32" s="5117"/>
    </row>
    <row r="33" spans="1:26" ht="17.399999999999999" customHeight="1">
      <c r="A33" s="5187"/>
      <c r="B33" s="5252"/>
      <c r="C33" s="1210"/>
      <c r="D33" s="1210"/>
      <c r="E33" s="1210"/>
      <c r="F33" s="1210"/>
      <c r="I33" s="5147" t="s">
        <v>466</v>
      </c>
      <c r="J33" s="5147"/>
      <c r="K33" s="2979">
        <f>EMPLEO_tur_DMQ!G33</f>
        <v>4097</v>
      </c>
      <c r="L33" s="5151"/>
      <c r="N33" s="5136"/>
      <c r="O33" s="5137"/>
      <c r="P33" s="5137"/>
      <c r="Q33" s="5137"/>
      <c r="R33" s="5137"/>
      <c r="S33" s="5138"/>
      <c r="U33" s="5108"/>
      <c r="V33" s="1927" t="s">
        <v>466</v>
      </c>
      <c r="W33" s="1922" t="s">
        <v>1181</v>
      </c>
      <c r="X33" s="5117"/>
      <c r="Y33" s="5117"/>
      <c r="Z33" s="5117"/>
    </row>
    <row r="34" spans="1:26" ht="18">
      <c r="A34" s="5187"/>
      <c r="B34" s="5250" t="s">
        <v>1135</v>
      </c>
      <c r="C34" s="1210"/>
      <c r="D34" s="1210"/>
      <c r="E34" s="1210"/>
      <c r="F34" s="1210"/>
      <c r="I34" s="5146" t="s">
        <v>32</v>
      </c>
      <c r="J34" s="5146"/>
      <c r="K34" s="3027">
        <f>EMPLEO_tur_DMQ!H48</f>
        <v>1793</v>
      </c>
      <c r="L34" s="5151"/>
      <c r="N34" s="5136"/>
      <c r="O34" s="5137"/>
      <c r="P34" s="5137"/>
      <c r="Q34" s="5137"/>
      <c r="R34" s="5137"/>
      <c r="S34" s="5138"/>
      <c r="U34" s="5108"/>
      <c r="V34" s="1908" t="s">
        <v>1185</v>
      </c>
      <c r="W34" s="1922" t="s">
        <v>1179</v>
      </c>
      <c r="X34" s="5117"/>
      <c r="Y34" s="5117"/>
      <c r="Z34" s="5117"/>
    </row>
    <row r="35" spans="1:26">
      <c r="A35" s="5187"/>
      <c r="B35" s="5251"/>
      <c r="C35" s="1210"/>
      <c r="D35" s="1210"/>
      <c r="E35" s="1210"/>
      <c r="F35" s="1210"/>
      <c r="I35" s="5147" t="s">
        <v>465</v>
      </c>
      <c r="J35" s="5147"/>
      <c r="K35" s="2979">
        <f>EMPLEO_tur_DMQ!F48</f>
        <v>920</v>
      </c>
      <c r="L35" s="5151"/>
      <c r="N35" s="5136"/>
      <c r="O35" s="5137"/>
      <c r="P35" s="5137"/>
      <c r="Q35" s="5137"/>
      <c r="R35" s="5137"/>
      <c r="S35" s="5138"/>
      <c r="U35" s="5108"/>
      <c r="V35" s="1927" t="s">
        <v>465</v>
      </c>
      <c r="W35" s="1922" t="s">
        <v>1180</v>
      </c>
      <c r="X35" s="5117"/>
      <c r="Y35" s="5117"/>
      <c r="Z35" s="5117"/>
    </row>
    <row r="36" spans="1:26" ht="17.399999999999999" customHeight="1">
      <c r="A36" s="5188"/>
      <c r="B36" s="5252"/>
      <c r="C36" s="1210"/>
      <c r="D36" s="1210"/>
      <c r="E36" s="1210"/>
      <c r="F36" s="1210"/>
      <c r="I36" s="5147" t="s">
        <v>466</v>
      </c>
      <c r="J36" s="5147"/>
      <c r="K36" s="2979">
        <f>EMPLEO_tur_DMQ!G48</f>
        <v>873</v>
      </c>
      <c r="L36" s="5123"/>
      <c r="N36" s="5139"/>
      <c r="O36" s="5140"/>
      <c r="P36" s="5140"/>
      <c r="Q36" s="5140"/>
      <c r="R36" s="5140"/>
      <c r="S36" s="5141"/>
      <c r="U36" s="5109"/>
      <c r="V36" s="1927" t="s">
        <v>466</v>
      </c>
      <c r="W36" s="1922" t="s">
        <v>1181</v>
      </c>
      <c r="X36" s="5118"/>
      <c r="Y36" s="5118"/>
      <c r="Z36" s="5118"/>
    </row>
    <row r="37" spans="1:26" s="435" customFormat="1" ht="30" customHeight="1">
      <c r="A37" s="5202" t="s">
        <v>1119</v>
      </c>
      <c r="B37" s="5189" t="s">
        <v>926</v>
      </c>
      <c r="C37" s="5189"/>
      <c r="D37" s="5189"/>
      <c r="E37" s="5189"/>
      <c r="F37" s="5189"/>
      <c r="G37" s="5190"/>
      <c r="H37" s="2317">
        <v>56</v>
      </c>
      <c r="K37" s="1284">
        <v>2</v>
      </c>
      <c r="L37" s="1249" t="s">
        <v>998</v>
      </c>
      <c r="N37" s="4050" t="s">
        <v>1012</v>
      </c>
      <c r="O37" s="1197" t="s">
        <v>9</v>
      </c>
      <c r="P37" s="5148" t="s">
        <v>1011</v>
      </c>
      <c r="Q37" s="5149"/>
      <c r="R37" s="5149"/>
      <c r="S37" s="5150"/>
      <c r="U37" s="5107" t="s">
        <v>926</v>
      </c>
      <c r="V37" s="1919" t="s">
        <v>1195</v>
      </c>
      <c r="W37" s="1922" t="s">
        <v>601</v>
      </c>
      <c r="X37" s="5116" t="s">
        <v>1155</v>
      </c>
      <c r="Y37" s="5116" t="s">
        <v>1193</v>
      </c>
      <c r="Z37" s="5116" t="s">
        <v>1189</v>
      </c>
    </row>
    <row r="38" spans="1:26" s="435" customFormat="1">
      <c r="A38" s="5203"/>
      <c r="B38" s="5191"/>
      <c r="C38" s="5191"/>
      <c r="D38" s="5191"/>
      <c r="E38" s="5191"/>
      <c r="F38" s="5191"/>
      <c r="G38" s="5192"/>
      <c r="H38" s="2317">
        <f>H6*20%</f>
        <v>56712.200000000004</v>
      </c>
      <c r="K38" s="1284">
        <v>1794.7912000000001</v>
      </c>
      <c r="L38" s="1249" t="s">
        <v>1143</v>
      </c>
      <c r="N38" s="5182" t="s">
        <v>1013</v>
      </c>
      <c r="O38" s="5183"/>
      <c r="P38" s="5183"/>
      <c r="Q38" s="5183"/>
      <c r="R38" s="5183"/>
      <c r="S38" s="5184"/>
      <c r="U38" s="5109"/>
      <c r="V38" s="1978" t="s">
        <v>1187</v>
      </c>
      <c r="W38" s="1922" t="s">
        <v>1186</v>
      </c>
      <c r="X38" s="5118"/>
      <c r="Y38" s="5118"/>
      <c r="Z38" s="5118"/>
    </row>
    <row r="39" spans="1:26" s="435" customFormat="1">
      <c r="A39" s="5203"/>
      <c r="B39" s="5256" t="s">
        <v>922</v>
      </c>
      <c r="C39" s="5256"/>
      <c r="D39" s="5256"/>
      <c r="E39" s="5256"/>
      <c r="F39" s="5256"/>
      <c r="G39" s="5256"/>
      <c r="H39" s="5256"/>
      <c r="I39" s="5256"/>
      <c r="J39" s="5256"/>
      <c r="K39" s="5256"/>
      <c r="L39" s="5257"/>
      <c r="N39" s="1912"/>
      <c r="O39" s="1246"/>
      <c r="P39" s="1246"/>
      <c r="Q39" s="1246"/>
      <c r="R39" s="1246"/>
      <c r="S39" s="1246"/>
      <c r="U39" s="1946"/>
      <c r="V39" s="1925"/>
      <c r="W39" s="1946"/>
      <c r="X39" s="1946"/>
      <c r="Y39" s="1946"/>
      <c r="Z39" s="1946"/>
    </row>
    <row r="40" spans="1:26" ht="337.2" customHeight="1">
      <c r="A40" s="5204"/>
      <c r="B40" s="5143" t="s">
        <v>1121</v>
      </c>
      <c r="C40" s="5143"/>
      <c r="D40" s="5143"/>
      <c r="E40" s="5143"/>
      <c r="F40" s="5143"/>
      <c r="G40" s="5144"/>
      <c r="H40" s="5142" t="s">
        <v>1120</v>
      </c>
      <c r="I40" s="5143"/>
      <c r="J40" s="5144"/>
      <c r="K40" s="5142" t="s">
        <v>988</v>
      </c>
      <c r="L40" s="5145"/>
      <c r="N40" s="4050" t="s">
        <v>1012</v>
      </c>
      <c r="O40" s="1197" t="s">
        <v>9</v>
      </c>
      <c r="P40" s="5148" t="s">
        <v>1011</v>
      </c>
      <c r="Q40" s="5149"/>
      <c r="R40" s="5149"/>
      <c r="S40" s="5150"/>
      <c r="U40" s="1979" t="s">
        <v>1192</v>
      </c>
      <c r="V40" s="1981" t="s">
        <v>1192</v>
      </c>
      <c r="W40" s="1981" t="s">
        <v>1149</v>
      </c>
      <c r="X40" s="1981" t="s">
        <v>1155</v>
      </c>
      <c r="Y40" s="1981" t="s">
        <v>1193</v>
      </c>
      <c r="Z40" s="1981" t="s">
        <v>1189</v>
      </c>
    </row>
    <row r="41" spans="1:26" s="435" customFormat="1">
      <c r="A41" s="1268"/>
      <c r="B41" s="5258" t="s">
        <v>1045</v>
      </c>
      <c r="C41" s="5258"/>
      <c r="D41" s="5258"/>
      <c r="E41" s="5258"/>
      <c r="F41" s="5258"/>
      <c r="G41" s="5258"/>
      <c r="H41" s="5258"/>
      <c r="I41" s="5258"/>
      <c r="J41" s="5258"/>
      <c r="K41" s="5258"/>
      <c r="L41" s="5259"/>
      <c r="N41" s="4333"/>
      <c r="U41" s="1946"/>
      <c r="V41" s="1925"/>
      <c r="W41" s="1946"/>
      <c r="X41" s="1946"/>
      <c r="Y41" s="1946"/>
      <c r="Z41" s="1946"/>
    </row>
    <row r="42" spans="1:26" s="435" customFormat="1">
      <c r="A42" s="5187" t="s">
        <v>1001</v>
      </c>
      <c r="B42" s="5262" t="s">
        <v>928</v>
      </c>
      <c r="C42" s="5262"/>
      <c r="D42" s="5262"/>
      <c r="E42" s="5262"/>
      <c r="F42" s="5262"/>
      <c r="G42" s="5262"/>
      <c r="H42" s="2320"/>
      <c r="I42" s="2321"/>
      <c r="J42" s="5131">
        <v>7</v>
      </c>
      <c r="K42" s="5131"/>
      <c r="L42" s="5132"/>
      <c r="N42" s="5133" t="s">
        <v>1013</v>
      </c>
      <c r="O42" s="5134"/>
      <c r="P42" s="5134"/>
      <c r="Q42" s="5134"/>
      <c r="R42" s="5134"/>
      <c r="S42" s="5135"/>
      <c r="U42" s="1983" t="s">
        <v>928</v>
      </c>
      <c r="V42" s="1984" t="s">
        <v>1188</v>
      </c>
      <c r="W42" s="1985" t="s">
        <v>601</v>
      </c>
      <c r="X42" s="1985" t="s">
        <v>1155</v>
      </c>
      <c r="Y42" s="1985" t="s">
        <v>1193</v>
      </c>
      <c r="Z42" s="1985" t="s">
        <v>1189</v>
      </c>
    </row>
    <row r="43" spans="1:26" ht="124.2" customHeight="1">
      <c r="A43" s="5187"/>
      <c r="B43" s="5263"/>
      <c r="C43" s="5264"/>
      <c r="D43" s="5264"/>
      <c r="E43" s="5264"/>
      <c r="F43" s="5264"/>
      <c r="G43" s="5264"/>
      <c r="H43" s="2319"/>
      <c r="I43" s="2318"/>
      <c r="J43" s="5129" t="s">
        <v>1438</v>
      </c>
      <c r="K43" s="5129"/>
      <c r="L43" s="5130"/>
      <c r="N43" s="5136"/>
      <c r="O43" s="5137"/>
      <c r="P43" s="5137"/>
      <c r="Q43" s="5137"/>
      <c r="R43" s="5137"/>
      <c r="S43" s="5138"/>
      <c r="U43" s="1982" t="s">
        <v>1194</v>
      </c>
      <c r="V43" s="1981" t="s">
        <v>1194</v>
      </c>
      <c r="W43" s="1981" t="s">
        <v>1149</v>
      </c>
      <c r="X43" s="1981" t="s">
        <v>1155</v>
      </c>
      <c r="Y43" s="1981" t="s">
        <v>1193</v>
      </c>
      <c r="Z43" s="1981" t="s">
        <v>1189</v>
      </c>
    </row>
    <row r="44" spans="1:26">
      <c r="A44" s="5188"/>
      <c r="B44" s="5268" t="s">
        <v>1042</v>
      </c>
      <c r="C44" s="5268"/>
      <c r="D44" s="5268"/>
      <c r="E44" s="5268"/>
      <c r="F44" s="5268"/>
      <c r="G44" s="5268"/>
      <c r="H44" s="5268"/>
      <c r="I44" s="5268"/>
      <c r="J44" s="5268"/>
      <c r="K44" s="5268"/>
      <c r="L44" s="5269"/>
      <c r="N44" s="5139"/>
      <c r="O44" s="5140"/>
      <c r="P44" s="5140"/>
      <c r="Q44" s="5140"/>
      <c r="R44" s="5140"/>
      <c r="S44" s="5141"/>
      <c r="V44" s="1925"/>
      <c r="W44" s="1946"/>
      <c r="X44" s="1946"/>
      <c r="Y44" s="1946"/>
      <c r="Z44" s="1946"/>
    </row>
    <row r="45" spans="1:26" customFormat="1">
      <c r="N45" s="229"/>
      <c r="U45" s="36"/>
      <c r="V45" s="266"/>
      <c r="W45" s="53"/>
      <c r="X45" s="53"/>
      <c r="Y45" s="53"/>
      <c r="Z45" s="53"/>
    </row>
    <row r="46" spans="1:26" customFormat="1" ht="21.6" thickBot="1">
      <c r="B46" s="5245" t="s">
        <v>1129</v>
      </c>
      <c r="C46" s="5245"/>
      <c r="D46" s="5245"/>
      <c r="E46" s="5245"/>
      <c r="F46" s="5245"/>
      <c r="G46" s="5245"/>
      <c r="H46" s="5245"/>
      <c r="I46" s="5245"/>
      <c r="J46" s="2278"/>
      <c r="K46" s="2625"/>
      <c r="N46" s="229"/>
      <c r="U46" s="36"/>
      <c r="V46" s="266"/>
      <c r="W46" s="53"/>
      <c r="X46" s="53"/>
      <c r="Y46" s="53"/>
      <c r="Z46" s="53"/>
    </row>
    <row r="47" spans="1:26" s="1190" customFormat="1" ht="14.4" customHeight="1">
      <c r="A47" s="5243" t="s">
        <v>1122</v>
      </c>
      <c r="C47" s="1883">
        <v>2013</v>
      </c>
      <c r="D47" s="1884">
        <v>2014</v>
      </c>
      <c r="E47" s="1885">
        <v>2015</v>
      </c>
      <c r="F47" s="1886">
        <v>2016</v>
      </c>
      <c r="G47" s="1887">
        <v>2017</v>
      </c>
      <c r="H47" s="1888">
        <v>2018</v>
      </c>
      <c r="I47" s="1884">
        <v>2019</v>
      </c>
      <c r="J47" s="2309">
        <v>2020</v>
      </c>
      <c r="K47" s="2626" t="s">
        <v>1441</v>
      </c>
      <c r="L47" s="1277" t="s">
        <v>585</v>
      </c>
      <c r="N47" s="5105" t="s">
        <v>1631</v>
      </c>
      <c r="U47" s="1947"/>
      <c r="V47" s="1966"/>
      <c r="W47" s="1958"/>
      <c r="X47" s="1958"/>
      <c r="Y47" s="1958"/>
      <c r="Z47" s="1958"/>
    </row>
    <row r="48" spans="1:26" ht="28.8" customHeight="1">
      <c r="A48" s="5240"/>
      <c r="B48" s="1871" t="s">
        <v>1118</v>
      </c>
      <c r="C48" s="1191">
        <v>1364057</v>
      </c>
      <c r="D48" s="1192">
        <v>1556991</v>
      </c>
      <c r="E48" s="1193">
        <v>1544463</v>
      </c>
      <c r="F48" s="1194">
        <v>1418159</v>
      </c>
      <c r="G48" s="1195">
        <v>1608473</v>
      </c>
      <c r="H48" s="1201">
        <v>2428536</v>
      </c>
      <c r="I48" s="1192">
        <v>2043993</v>
      </c>
      <c r="J48" s="2322">
        <v>468894</v>
      </c>
      <c r="K48" s="2627"/>
      <c r="L48" s="1874" t="s">
        <v>1116</v>
      </c>
      <c r="N48" s="5106"/>
      <c r="U48" s="1950" t="s">
        <v>1118</v>
      </c>
      <c r="V48" s="1967" t="s">
        <v>1199</v>
      </c>
      <c r="W48" s="1929" t="s">
        <v>601</v>
      </c>
      <c r="X48" s="1929" t="s">
        <v>1155</v>
      </c>
      <c r="Y48" s="1929" t="s">
        <v>1198</v>
      </c>
      <c r="Z48" s="1929" t="s">
        <v>1158</v>
      </c>
    </row>
    <row r="49" spans="1:26" ht="28.2" thickBot="1">
      <c r="A49" s="5244"/>
      <c r="B49" s="1875" t="s">
        <v>1117</v>
      </c>
      <c r="C49" s="1876"/>
      <c r="D49" s="1877">
        <f t="shared" ref="D49:J49" si="0">D48/C48-1</f>
        <v>0.14144130340594274</v>
      </c>
      <c r="E49" s="1878">
        <f t="shared" si="0"/>
        <v>-8.0462892849091361E-3</v>
      </c>
      <c r="F49" s="1879">
        <f t="shared" si="0"/>
        <v>-8.1778585825623584E-2</v>
      </c>
      <c r="G49" s="1880">
        <f t="shared" si="0"/>
        <v>0.13419792844102818</v>
      </c>
      <c r="H49" s="1881">
        <f t="shared" si="0"/>
        <v>0.50983945642855066</v>
      </c>
      <c r="I49" s="1882">
        <f t="shared" si="0"/>
        <v>-0.158343545247013</v>
      </c>
      <c r="J49" s="2323">
        <f t="shared" si="0"/>
        <v>-0.77059901868548475</v>
      </c>
      <c r="K49" s="2628"/>
      <c r="L49" s="1267" t="s">
        <v>444</v>
      </c>
      <c r="N49" s="5106"/>
      <c r="U49" s="1951" t="s">
        <v>1117</v>
      </c>
      <c r="V49" s="1968" t="s">
        <v>1200</v>
      </c>
      <c r="W49" s="1930" t="s">
        <v>33</v>
      </c>
      <c r="X49" s="1930" t="s">
        <v>1155</v>
      </c>
      <c r="Y49" s="1930" t="s">
        <v>1198</v>
      </c>
      <c r="Z49" s="1930" t="s">
        <v>1158</v>
      </c>
    </row>
    <row r="50" spans="1:26" customFormat="1" ht="28.8">
      <c r="G50" s="5273" t="s">
        <v>1124</v>
      </c>
      <c r="H50" s="864" t="s">
        <v>1123</v>
      </c>
      <c r="I50" s="2219" t="s">
        <v>1405</v>
      </c>
      <c r="J50" s="2219"/>
      <c r="N50" s="5106"/>
      <c r="U50" s="36"/>
      <c r="V50" s="266"/>
      <c r="W50" s="53"/>
      <c r="X50" s="53"/>
      <c r="Y50" s="53"/>
      <c r="Z50" s="53"/>
    </row>
    <row r="51" spans="1:26" customFormat="1">
      <c r="G51" s="5274"/>
      <c r="H51" s="1902">
        <f>(H48-850000)/G48-1</f>
        <v>-1.8612062496541792E-2</v>
      </c>
      <c r="I51" s="1902">
        <f>(I48-400000)/H48-1</f>
        <v>-0.32305183040317298</v>
      </c>
      <c r="J51" s="2219"/>
      <c r="L51" s="1"/>
      <c r="N51" s="229"/>
      <c r="U51" s="36"/>
      <c r="V51" s="266"/>
      <c r="W51" s="53"/>
      <c r="X51" s="53"/>
      <c r="Y51" s="53"/>
      <c r="Z51" s="53"/>
    </row>
    <row r="52" spans="1:26" customFormat="1">
      <c r="H52" s="1901"/>
      <c r="J52" s="2219"/>
      <c r="N52" s="229"/>
      <c r="U52" s="36"/>
      <c r="V52" s="266"/>
      <c r="W52" s="53"/>
      <c r="X52" s="53"/>
      <c r="Y52" s="53"/>
      <c r="Z52" s="53"/>
    </row>
    <row r="53" spans="1:26" customFormat="1" ht="15" thickBot="1">
      <c r="N53" s="229"/>
      <c r="U53" s="36"/>
      <c r="V53" s="266"/>
      <c r="W53" s="53"/>
      <c r="X53" s="53"/>
      <c r="Y53" s="53"/>
      <c r="Z53" s="53"/>
    </row>
    <row r="54" spans="1:26" ht="29.4" thickBot="1">
      <c r="A54" s="5270" t="s">
        <v>1034</v>
      </c>
      <c r="B54" s="5271"/>
      <c r="C54" s="5271"/>
      <c r="D54" s="5271"/>
      <c r="E54" s="5271"/>
      <c r="F54" s="5271"/>
      <c r="G54" s="5271"/>
      <c r="H54" s="5271"/>
      <c r="I54" s="5271"/>
      <c r="J54" s="5271"/>
      <c r="K54" s="5271"/>
      <c r="L54" s="5272"/>
      <c r="V54" s="1925"/>
      <c r="W54" s="1946"/>
      <c r="X54" s="1946"/>
      <c r="Y54" s="1946"/>
      <c r="Z54" s="1946"/>
    </row>
    <row r="55" spans="1:26" s="1190" customFormat="1">
      <c r="A55" s="1269"/>
      <c r="B55" s="1270" t="s">
        <v>999</v>
      </c>
      <c r="C55" s="1271">
        <v>2013</v>
      </c>
      <c r="D55" s="1272">
        <v>2014</v>
      </c>
      <c r="E55" s="1273">
        <v>2015</v>
      </c>
      <c r="F55" s="1274">
        <v>2016</v>
      </c>
      <c r="G55" s="1275">
        <v>2017</v>
      </c>
      <c r="H55" s="1276">
        <v>2018</v>
      </c>
      <c r="I55" s="1272">
        <v>2019</v>
      </c>
      <c r="J55" s="2296">
        <v>2020</v>
      </c>
      <c r="K55" s="2626" t="s">
        <v>1441</v>
      </c>
      <c r="L55" s="1277" t="s">
        <v>585</v>
      </c>
      <c r="N55" s="5237" t="s">
        <v>1490</v>
      </c>
      <c r="U55" s="1959" t="s">
        <v>999</v>
      </c>
      <c r="V55" s="1969"/>
      <c r="W55" s="1960"/>
      <c r="X55" s="1960"/>
      <c r="Y55" s="1960"/>
      <c r="Z55" s="1960"/>
    </row>
    <row r="56" spans="1:26" s="1190" customFormat="1" ht="27.6">
      <c r="A56" s="2985">
        <v>1</v>
      </c>
      <c r="B56" s="1200" t="s">
        <v>262</v>
      </c>
      <c r="C56" s="1191">
        <f>'Llegadas '!$H$16</f>
        <v>628958</v>
      </c>
      <c r="D56" s="1192">
        <f>'Llegadas '!I16</f>
        <v>703015</v>
      </c>
      <c r="E56" s="1193">
        <f>'Llegadas '!J16</f>
        <v>712877</v>
      </c>
      <c r="F56" s="1194">
        <f>'Llegadas '!K16</f>
        <v>627626</v>
      </c>
      <c r="G56" s="1195">
        <f>'Llegadas '!L16</f>
        <v>652931</v>
      </c>
      <c r="H56" s="1201">
        <f>'Llegadas '!M16</f>
        <v>692492</v>
      </c>
      <c r="I56" s="1192">
        <f>'Llegadas '!N16</f>
        <v>684390</v>
      </c>
      <c r="J56" s="2297">
        <f>'Llegadas '!O16</f>
        <v>190417</v>
      </c>
      <c r="K56" s="2629">
        <f>'Llegadas '!P16</f>
        <v>280996</v>
      </c>
      <c r="L56" s="1249" t="s">
        <v>171</v>
      </c>
      <c r="N56" s="5237"/>
      <c r="U56" s="1952" t="s">
        <v>262</v>
      </c>
      <c r="V56" s="1986" t="s">
        <v>1196</v>
      </c>
      <c r="W56" s="1987" t="s">
        <v>601</v>
      </c>
      <c r="X56" s="1987" t="s">
        <v>1197</v>
      </c>
      <c r="Y56" s="1987" t="s">
        <v>1201</v>
      </c>
      <c r="Z56" s="1929" t="s">
        <v>1158</v>
      </c>
    </row>
    <row r="57" spans="1:26" s="1190" customFormat="1" ht="27.6">
      <c r="A57" s="1253">
        <f>A56+1</f>
        <v>2</v>
      </c>
      <c r="B57" s="1200" t="s">
        <v>1117</v>
      </c>
      <c r="C57" s="1202">
        <f>'Llegadas '!$H$20</f>
        <v>0.17902065392214572</v>
      </c>
      <c r="D57" s="1203">
        <f t="shared" ref="D57:K57" si="1">D56/C56-1</f>
        <v>0.11774554103771639</v>
      </c>
      <c r="E57" s="1204">
        <f t="shared" si="1"/>
        <v>1.4028150181717214E-2</v>
      </c>
      <c r="F57" s="1205">
        <f t="shared" si="1"/>
        <v>-0.11958724997439951</v>
      </c>
      <c r="G57" s="1206">
        <f t="shared" si="1"/>
        <v>4.0318597381242993E-2</v>
      </c>
      <c r="H57" s="1207">
        <f t="shared" si="1"/>
        <v>6.0589863247418219E-2</v>
      </c>
      <c r="I57" s="1208">
        <f t="shared" si="1"/>
        <v>-1.1699774149015463E-2</v>
      </c>
      <c r="J57" s="2298">
        <f t="shared" si="1"/>
        <v>-0.72177121232046049</v>
      </c>
      <c r="K57" s="2630">
        <f t="shared" si="1"/>
        <v>0.47568756991235017</v>
      </c>
      <c r="L57" s="1249" t="s">
        <v>444</v>
      </c>
      <c r="N57" s="5237"/>
      <c r="U57" s="1952" t="s">
        <v>1117</v>
      </c>
      <c r="V57" s="1988" t="s">
        <v>1204</v>
      </c>
      <c r="W57" s="1989" t="s">
        <v>33</v>
      </c>
      <c r="X57" s="1989" t="s">
        <v>1197</v>
      </c>
      <c r="Y57" s="1989" t="s">
        <v>1201</v>
      </c>
      <c r="Z57" s="1929" t="s">
        <v>1158</v>
      </c>
    </row>
    <row r="58" spans="1:26" s="1190" customFormat="1" ht="27.6">
      <c r="A58" s="2985">
        <f>A57+1</f>
        <v>3</v>
      </c>
      <c r="B58" s="1200" t="s">
        <v>1489</v>
      </c>
      <c r="C58" s="5238">
        <f>'Llegadas '!R16</f>
        <v>533394.4</v>
      </c>
      <c r="D58" s="5238"/>
      <c r="E58" s="5238"/>
      <c r="F58" s="5238"/>
      <c r="G58" s="5238"/>
      <c r="H58" s="5238"/>
      <c r="I58" s="5238"/>
      <c r="J58" s="5238"/>
      <c r="K58" s="5239"/>
      <c r="L58" s="1249" t="s">
        <v>171</v>
      </c>
      <c r="N58" s="5237"/>
      <c r="U58" s="1952" t="s">
        <v>547</v>
      </c>
      <c r="V58" s="1970" t="s">
        <v>1203</v>
      </c>
      <c r="W58" s="1947" t="s">
        <v>601</v>
      </c>
      <c r="X58" s="1947" t="s">
        <v>1197</v>
      </c>
      <c r="Y58" s="1947" t="s">
        <v>1202</v>
      </c>
      <c r="Z58" s="1947" t="s">
        <v>1158</v>
      </c>
    </row>
    <row r="59" spans="1:26" s="1190" customFormat="1" ht="27.6">
      <c r="A59" s="1253">
        <f>A58+1</f>
        <v>4</v>
      </c>
      <c r="B59" s="1200" t="s">
        <v>169</v>
      </c>
      <c r="C59" s="5235" t="s">
        <v>586</v>
      </c>
      <c r="D59" s="5235"/>
      <c r="E59" s="5235"/>
      <c r="F59" s="5235"/>
      <c r="G59" s="5235"/>
      <c r="H59" s="5235"/>
      <c r="I59" s="5235"/>
      <c r="J59" s="5235"/>
      <c r="K59" s="5235"/>
      <c r="L59" s="5236"/>
      <c r="N59" s="5237"/>
      <c r="U59" s="1952" t="s">
        <v>169</v>
      </c>
      <c r="V59" s="1970" t="s">
        <v>1205</v>
      </c>
      <c r="W59" s="1947" t="s">
        <v>1149</v>
      </c>
      <c r="X59" s="1947" t="s">
        <v>1155</v>
      </c>
      <c r="Y59" s="1947" t="s">
        <v>1206</v>
      </c>
      <c r="Z59" s="1947" t="s">
        <v>1158</v>
      </c>
    </row>
    <row r="60" spans="1:26" s="1190" customFormat="1" ht="27.6">
      <c r="A60" s="2985">
        <f>A59+1</f>
        <v>5</v>
      </c>
      <c r="B60" s="1209" t="s">
        <v>170</v>
      </c>
      <c r="C60" s="5266" t="s">
        <v>1035</v>
      </c>
      <c r="D60" s="5266"/>
      <c r="E60" s="5266"/>
      <c r="F60" s="5266"/>
      <c r="G60" s="5266"/>
      <c r="H60" s="5266"/>
      <c r="I60" s="5266"/>
      <c r="J60" s="5266"/>
      <c r="K60" s="5266"/>
      <c r="L60" s="5267"/>
      <c r="N60" s="5237"/>
      <c r="U60" s="1948" t="s">
        <v>170</v>
      </c>
      <c r="V60" s="1970" t="s">
        <v>1207</v>
      </c>
      <c r="W60" s="1947" t="s">
        <v>1149</v>
      </c>
      <c r="X60" s="1947" t="s">
        <v>1155</v>
      </c>
      <c r="Y60" s="1947" t="s">
        <v>1208</v>
      </c>
      <c r="Z60" s="1947" t="s">
        <v>1209</v>
      </c>
    </row>
    <row r="61" spans="1:26" s="1190" customFormat="1">
      <c r="A61" s="1252"/>
      <c r="B61" s="1210"/>
      <c r="C61" s="1211"/>
      <c r="D61" s="1211"/>
      <c r="E61" s="1211"/>
      <c r="F61" s="1211"/>
      <c r="G61" s="1211"/>
      <c r="H61" s="1211"/>
      <c r="I61" s="1211"/>
      <c r="J61" s="1211"/>
      <c r="K61" s="1211"/>
      <c r="L61" s="1254"/>
      <c r="N61" s="4332"/>
      <c r="U61" s="1949"/>
      <c r="V61" s="1931"/>
      <c r="W61" s="1040"/>
      <c r="X61" s="1040"/>
      <c r="Y61" s="1040"/>
      <c r="Z61" s="1040"/>
    </row>
    <row r="62" spans="1:26" ht="15" thickBot="1">
      <c r="A62" s="1255"/>
      <c r="B62" s="1213"/>
      <c r="C62" s="1214"/>
      <c r="D62" s="1214"/>
      <c r="E62" s="1214"/>
      <c r="F62" s="1214"/>
      <c r="G62" s="1214"/>
      <c r="H62" s="1211"/>
      <c r="I62" s="1211"/>
      <c r="J62" s="1211"/>
      <c r="K62" s="1211"/>
      <c r="L62" s="1254"/>
      <c r="U62" s="1619"/>
      <c r="V62" s="1931"/>
      <c r="W62" s="1040"/>
      <c r="X62" s="1040"/>
      <c r="Y62" s="1040"/>
      <c r="Z62" s="1040"/>
    </row>
    <row r="63" spans="1:26" s="1190" customFormat="1" ht="55.2">
      <c r="A63" s="1269"/>
      <c r="B63" s="1270" t="s">
        <v>1016</v>
      </c>
      <c r="C63" s="1626" t="str">
        <f>'Sugeridos-estancia-gasto'!G4</f>
        <v xml:space="preserve"> junio 2013</v>
      </c>
      <c r="D63" s="1627" t="str">
        <f>'Sugeridos-estancia-gasto'!H4</f>
        <v xml:space="preserve"> agosto 2014</v>
      </c>
      <c r="E63" s="1628" t="str">
        <f>'Sugeridos-estancia-gasto'!I4</f>
        <v xml:space="preserve"> agosto 2015</v>
      </c>
      <c r="F63" s="1629" t="str">
        <f>'Sugeridos-estancia-gasto'!J4</f>
        <v xml:space="preserve"> diciembre 2016</v>
      </c>
      <c r="G63" s="1630" t="str">
        <f>'Sugeridos-estancia-gasto'!K4</f>
        <v xml:space="preserve"> enero 2017 (e) </v>
      </c>
      <c r="H63" s="1276" t="s">
        <v>820</v>
      </c>
      <c r="I63" s="1631" t="s">
        <v>841</v>
      </c>
      <c r="J63" s="2296" t="s">
        <v>1404</v>
      </c>
      <c r="K63" s="2626" t="s">
        <v>1441</v>
      </c>
      <c r="L63" s="1277" t="s">
        <v>585</v>
      </c>
      <c r="N63" s="5124" t="s">
        <v>1490</v>
      </c>
      <c r="U63" s="1959" t="s">
        <v>1016</v>
      </c>
      <c r="V63" s="1971"/>
      <c r="W63" s="1959"/>
      <c r="X63" s="1959"/>
      <c r="Y63" s="1959"/>
      <c r="Z63" s="1959"/>
    </row>
    <row r="64" spans="1:26" s="1190" customFormat="1" ht="27.6">
      <c r="A64" s="1253">
        <f>A60+1</f>
        <v>6</v>
      </c>
      <c r="B64" s="1200" t="s">
        <v>484</v>
      </c>
      <c r="C64" s="1215">
        <f>'Sugeridos-estancia-gasto'!G5</f>
        <v>5.38</v>
      </c>
      <c r="D64" s="1216">
        <f>'Sugeridos-estancia-gasto'!H5</f>
        <v>7.45</v>
      </c>
      <c r="E64" s="1217">
        <f>'Sugeridos-estancia-gasto'!I5</f>
        <v>5.92</v>
      </c>
      <c r="F64" s="1218">
        <f>'Sugeridos-estancia-gasto'!J5</f>
        <v>5.53</v>
      </c>
      <c r="G64" s="1219">
        <f>'Sugeridos-estancia-gasto'!K5</f>
        <v>4.8682914931280266</v>
      </c>
      <c r="H64" s="1220">
        <f>'Sugeridos-estancia-gasto'!L5</f>
        <v>5.84</v>
      </c>
      <c r="I64" s="1632">
        <f>'Sugeridos-estancia-gasto'!M5</f>
        <v>5.9216582986256059</v>
      </c>
      <c r="J64" s="2300">
        <f>'Sugeridos-estancia-gasto'!N5</f>
        <v>5</v>
      </c>
      <c r="K64" s="2663">
        <f>'Sugeridos-estancia-gasto'!O5</f>
        <v>5</v>
      </c>
      <c r="L64" s="1249" t="s">
        <v>1015</v>
      </c>
      <c r="N64" s="5124"/>
      <c r="U64" s="1952" t="s">
        <v>484</v>
      </c>
      <c r="V64" s="1972" t="s">
        <v>1211</v>
      </c>
      <c r="W64" s="1932" t="s">
        <v>1210</v>
      </c>
      <c r="X64" s="1947" t="s">
        <v>1155</v>
      </c>
      <c r="Y64" s="1947" t="s">
        <v>1208</v>
      </c>
      <c r="Z64" s="1947" t="s">
        <v>1209</v>
      </c>
    </row>
    <row r="65" spans="1:26" s="1190" customFormat="1" ht="27.6">
      <c r="A65" s="2985">
        <f>A64+1</f>
        <v>7</v>
      </c>
      <c r="B65" s="1200" t="s">
        <v>500</v>
      </c>
      <c r="C65" s="1215">
        <f>'Sugeridos-estancia-gasto'!G6</f>
        <v>572</v>
      </c>
      <c r="D65" s="1216">
        <f>'Sugeridos-estancia-gasto'!H6</f>
        <v>666</v>
      </c>
      <c r="E65" s="1217">
        <f>'Sugeridos-estancia-gasto'!I6</f>
        <v>446</v>
      </c>
      <c r="F65" s="1218">
        <f>'Sugeridos-estancia-gasto'!J6</f>
        <v>631</v>
      </c>
      <c r="G65" s="1219">
        <f>'Sugeridos-estancia-gasto'!K6</f>
        <v>550.08828863600218</v>
      </c>
      <c r="H65" s="1220">
        <f>'Sugeridos-estancia-gasto'!L6</f>
        <v>690</v>
      </c>
      <c r="I65" s="1632">
        <f>'Sugeridos-estancia-gasto'!M6</f>
        <v>759</v>
      </c>
      <c r="J65" s="2300">
        <f>'Sugeridos-estancia-gasto'!N6</f>
        <v>569.36999999999989</v>
      </c>
      <c r="K65" s="2663">
        <f>'Sugeridos-estancia-gasto'!O6</f>
        <v>569.36999999999989</v>
      </c>
      <c r="L65" s="1249" t="s">
        <v>593</v>
      </c>
      <c r="N65" s="5124"/>
      <c r="U65" s="1952" t="s">
        <v>500</v>
      </c>
      <c r="V65" s="1972" t="s">
        <v>1212</v>
      </c>
      <c r="W65" s="1932" t="s">
        <v>1172</v>
      </c>
      <c r="X65" s="1947" t="s">
        <v>1155</v>
      </c>
      <c r="Y65" s="1947" t="s">
        <v>1208</v>
      </c>
      <c r="Z65" s="1947" t="s">
        <v>1209</v>
      </c>
    </row>
    <row r="66" spans="1:26" s="1190" customFormat="1" ht="27.6">
      <c r="A66" s="1253">
        <f>A65+1</f>
        <v>8</v>
      </c>
      <c r="B66" s="1200" t="s">
        <v>501</v>
      </c>
      <c r="C66" s="1215">
        <f>'Sugeridos-estancia-gasto'!G7</f>
        <v>106</v>
      </c>
      <c r="D66" s="1216">
        <f>'Sugeridos-estancia-gasto'!H7</f>
        <v>89</v>
      </c>
      <c r="E66" s="1217">
        <f>'Sugeridos-estancia-gasto'!I7</f>
        <v>75</v>
      </c>
      <c r="F66" s="1218">
        <f>'Sugeridos-estancia-gasto'!J7</f>
        <v>114</v>
      </c>
      <c r="G66" s="1219">
        <f>'Sugeridos-estancia-gasto'!K7</f>
        <v>112.99411496055541</v>
      </c>
      <c r="H66" s="1220">
        <f>'Sugeridos-estancia-gasto'!L7</f>
        <v>118.15068493150686</v>
      </c>
      <c r="I66" s="1632">
        <f>'Sugeridos-estancia-gasto'!M7</f>
        <v>101.82895997841246</v>
      </c>
      <c r="J66" s="2300">
        <f>'Sugeridos-estancia-gasto'!N7</f>
        <v>100</v>
      </c>
      <c r="K66" s="2663">
        <f>'Sugeridos-estancia-gasto'!O7</f>
        <v>100</v>
      </c>
      <c r="L66" s="1249" t="s">
        <v>594</v>
      </c>
      <c r="N66" s="5124"/>
      <c r="U66" s="1952" t="s">
        <v>501</v>
      </c>
      <c r="V66" s="1972" t="s">
        <v>1213</v>
      </c>
      <c r="W66" s="1932" t="s">
        <v>1172</v>
      </c>
      <c r="X66" s="1947" t="s">
        <v>1155</v>
      </c>
      <c r="Y66" s="1947" t="s">
        <v>1208</v>
      </c>
      <c r="Z66" s="1947" t="s">
        <v>1209</v>
      </c>
    </row>
    <row r="67" spans="1:26" s="1190" customFormat="1" ht="27.6">
      <c r="A67" s="2985">
        <f>A66+1</f>
        <v>9</v>
      </c>
      <c r="B67" s="1200" t="s">
        <v>508</v>
      </c>
      <c r="C67" s="1215">
        <f>'Ingresos-divisas'!G18</f>
        <v>326.08048142306973</v>
      </c>
      <c r="D67" s="1216">
        <f>'Ingresos-divisas'!H18</f>
        <v>437.39520600457314</v>
      </c>
      <c r="E67" s="1217">
        <f>'Ingresos-divisas'!I18</f>
        <v>402.95932772507791</v>
      </c>
      <c r="F67" s="1218">
        <f>'Ingresos-divisas'!J18</f>
        <v>476.88278732000003</v>
      </c>
      <c r="G67" s="1219">
        <f>'Ingresos-divisas'!K18</f>
        <v>496.11003242000004</v>
      </c>
      <c r="H67" s="1220">
        <f>'Ingresos-divisas'!L18*1000000</f>
        <v>526169271.44000012</v>
      </c>
      <c r="I67" s="1632">
        <f>'Ingresos-divisas'!M18*1000000</f>
        <v>520013209.80000001</v>
      </c>
      <c r="J67" s="2300">
        <f>'Ingresos-divisas'!N18*1000000</f>
        <v>108417727.28999998</v>
      </c>
      <c r="K67" s="2663">
        <f>'Ingresos-divisas'!O18*1000000</f>
        <v>159990692.51999998</v>
      </c>
      <c r="L67" s="1249" t="s">
        <v>1004</v>
      </c>
      <c r="N67" s="5124"/>
      <c r="U67" s="1952" t="s">
        <v>508</v>
      </c>
      <c r="V67" s="1972" t="s">
        <v>508</v>
      </c>
      <c r="W67" s="1932" t="s">
        <v>1172</v>
      </c>
      <c r="X67" s="1947" t="s">
        <v>1155</v>
      </c>
      <c r="Y67" s="1947" t="s">
        <v>1208</v>
      </c>
      <c r="Z67" s="1947" t="s">
        <v>1209</v>
      </c>
    </row>
    <row r="68" spans="1:26" s="1190" customFormat="1" ht="27.6">
      <c r="A68" s="1253">
        <f>A67+1</f>
        <v>10</v>
      </c>
      <c r="B68" s="1200" t="s">
        <v>174</v>
      </c>
      <c r="C68" s="5233" t="s">
        <v>548</v>
      </c>
      <c r="D68" s="5233"/>
      <c r="E68" s="5233"/>
      <c r="F68" s="5233"/>
      <c r="G68" s="5233"/>
      <c r="H68" s="5233"/>
      <c r="I68" s="5233"/>
      <c r="J68" s="5233"/>
      <c r="K68" s="5233"/>
      <c r="L68" s="5234"/>
      <c r="N68" s="5124"/>
      <c r="U68" s="1952" t="s">
        <v>174</v>
      </c>
      <c r="V68" s="1952" t="s">
        <v>1214</v>
      </c>
      <c r="W68" s="1947" t="s">
        <v>1149</v>
      </c>
      <c r="X68" s="1947" t="s">
        <v>1155</v>
      </c>
      <c r="Y68" s="1947" t="s">
        <v>1208</v>
      </c>
      <c r="Z68" s="1947" t="s">
        <v>1209</v>
      </c>
    </row>
    <row r="69" spans="1:26" s="1190" customFormat="1">
      <c r="A69" s="1252"/>
      <c r="B69" s="1210"/>
      <c r="C69" s="1221"/>
      <c r="D69" s="1221"/>
      <c r="E69" s="1221"/>
      <c r="F69" s="1221"/>
      <c r="G69" s="1221"/>
      <c r="H69" s="1221"/>
      <c r="I69" s="1221"/>
      <c r="J69" s="1221"/>
      <c r="K69" s="1221"/>
      <c r="L69" s="1256"/>
      <c r="N69" s="4332"/>
      <c r="U69" s="1949"/>
      <c r="V69" s="1973"/>
      <c r="W69" s="1933"/>
      <c r="X69" s="1933"/>
      <c r="Y69" s="1933"/>
      <c r="Z69" s="1933"/>
    </row>
    <row r="70" spans="1:26" ht="15" thickBot="1">
      <c r="A70" s="1255"/>
      <c r="B70" s="1213"/>
      <c r="C70" s="1214"/>
      <c r="D70" s="1214"/>
      <c r="E70" s="1214"/>
      <c r="F70" s="1214"/>
      <c r="G70" s="1214"/>
      <c r="H70" s="1211"/>
      <c r="I70" s="1221"/>
      <c r="J70" s="1221"/>
      <c r="K70" s="1221"/>
      <c r="L70" s="1256"/>
      <c r="U70" s="1619"/>
      <c r="V70" s="1973"/>
      <c r="W70" s="1933"/>
      <c r="X70" s="1933"/>
      <c r="Y70" s="1933"/>
      <c r="Z70" s="1933"/>
    </row>
    <row r="71" spans="1:26" s="1190" customFormat="1">
      <c r="A71" s="1269"/>
      <c r="B71" s="1270" t="s">
        <v>445</v>
      </c>
      <c r="C71" s="1271">
        <v>2013</v>
      </c>
      <c r="D71" s="1272">
        <v>2014</v>
      </c>
      <c r="E71" s="1273">
        <f>E55</f>
        <v>2015</v>
      </c>
      <c r="F71" s="1274">
        <f>F55</f>
        <v>2016</v>
      </c>
      <c r="G71" s="1275" t="s">
        <v>581</v>
      </c>
      <c r="H71" s="1276" t="s">
        <v>820</v>
      </c>
      <c r="I71" s="1631" t="s">
        <v>1085</v>
      </c>
      <c r="J71" s="2301" t="s">
        <v>1404</v>
      </c>
      <c r="K71" s="2626" t="s">
        <v>1498</v>
      </c>
      <c r="L71" s="1277" t="s">
        <v>585</v>
      </c>
      <c r="N71" s="4332"/>
      <c r="U71" s="1959" t="s">
        <v>445</v>
      </c>
      <c r="V71" s="1971"/>
      <c r="W71" s="1959"/>
      <c r="X71" s="1959"/>
      <c r="Y71" s="1959"/>
      <c r="Z71" s="1959"/>
    </row>
    <row r="72" spans="1:26" s="1190" customFormat="1" ht="34.799999999999997">
      <c r="A72" s="2986">
        <f>A68+1</f>
        <v>11</v>
      </c>
      <c r="B72" s="2285" t="s">
        <v>1437</v>
      </c>
      <c r="C72" s="2286"/>
      <c r="D72" s="2286"/>
      <c r="E72" s="2286"/>
      <c r="F72" s="2286"/>
      <c r="G72" s="2286"/>
      <c r="H72" s="2287">
        <f>'TOH (hist) '!N5</f>
        <v>46.433055555555562</v>
      </c>
      <c r="I72" s="2288"/>
      <c r="J72" s="3968"/>
      <c r="L72" s="5120" t="s">
        <v>33</v>
      </c>
      <c r="N72" s="5125" t="s">
        <v>1494</v>
      </c>
      <c r="O72" s="5119" t="s">
        <v>1047</v>
      </c>
      <c r="P72" s="5119"/>
      <c r="Q72" s="5119"/>
      <c r="R72" s="5119"/>
      <c r="S72" s="5119"/>
      <c r="U72" s="1983" t="s">
        <v>1226</v>
      </c>
      <c r="V72" s="1932" t="s">
        <v>1219</v>
      </c>
      <c r="W72" s="1932" t="s">
        <v>33</v>
      </c>
      <c r="X72" s="1932" t="s">
        <v>1215</v>
      </c>
      <c r="Y72" s="1932" t="s">
        <v>1216</v>
      </c>
      <c r="Z72" s="1932" t="s">
        <v>1158</v>
      </c>
    </row>
    <row r="73" spans="1:26" s="1190" customFormat="1" ht="27.6">
      <c r="A73" s="2289"/>
      <c r="B73" s="2290" t="s">
        <v>1605</v>
      </c>
      <c r="C73" s="2291">
        <f>'TOH (hist) '!I5</f>
        <v>58.003843053502898</v>
      </c>
      <c r="D73" s="2292">
        <f>'TOH (hist) '!J5</f>
        <v>56.91449749144774</v>
      </c>
      <c r="E73" s="2293">
        <f>'TOH (hist) '!K5</f>
        <v>52.646506184060037</v>
      </c>
      <c r="F73" s="2294">
        <f>'TOH (hist) '!L5</f>
        <v>46.512730614023319</v>
      </c>
      <c r="G73" s="2284">
        <f>'TOH (hist) '!M5</f>
        <v>46.020581605453351</v>
      </c>
      <c r="H73" s="2284">
        <f>'TOH (hist) '!O5</f>
        <v>50.197122475217498</v>
      </c>
      <c r="I73" s="2288">
        <f>'TOH (hist) '!P5</f>
        <v>35.67</v>
      </c>
      <c r="J73" s="3969">
        <f>'TOH (hist) '!Q5</f>
        <v>9.39</v>
      </c>
      <c r="K73" s="3970">
        <f>'TOH (hist) '!R5</f>
        <v>20.21</v>
      </c>
      <c r="L73" s="5121"/>
      <c r="N73" s="5126"/>
      <c r="O73" s="5119"/>
      <c r="P73" s="5119"/>
      <c r="Q73" s="5119"/>
      <c r="R73" s="5119"/>
      <c r="S73" s="5119"/>
      <c r="U73" s="1948" t="s">
        <v>1229</v>
      </c>
      <c r="V73" s="1932" t="s">
        <v>1217</v>
      </c>
      <c r="W73" s="1932" t="s">
        <v>33</v>
      </c>
      <c r="X73" s="1932" t="s">
        <v>1197</v>
      </c>
      <c r="Y73" s="1932" t="s">
        <v>1218</v>
      </c>
      <c r="Z73" s="1932" t="s">
        <v>1209</v>
      </c>
    </row>
    <row r="74" spans="1:26" s="1190" customFormat="1" ht="43.2">
      <c r="A74" s="1262">
        <f>A72+1</f>
        <v>12</v>
      </c>
      <c r="B74" s="1209" t="s">
        <v>1426</v>
      </c>
      <c r="H74" s="1237">
        <f>'TOH (hist) '!N6</f>
        <v>58.598333333333329</v>
      </c>
      <c r="I74" s="1649"/>
      <c r="J74" s="3968"/>
      <c r="L74" s="5122" t="s">
        <v>33</v>
      </c>
      <c r="N74" s="5126"/>
      <c r="O74" s="5119"/>
      <c r="P74" s="5119"/>
      <c r="Q74" s="5119"/>
      <c r="R74" s="5119"/>
      <c r="S74" s="5119"/>
      <c r="U74" s="1948" t="s">
        <v>1230</v>
      </c>
      <c r="V74" s="1932" t="s">
        <v>1220</v>
      </c>
      <c r="W74" s="1932" t="s">
        <v>33</v>
      </c>
      <c r="X74" s="1932" t="s">
        <v>1215</v>
      </c>
      <c r="Y74" s="1932" t="s">
        <v>1216</v>
      </c>
      <c r="Z74" s="1932" t="s">
        <v>1158</v>
      </c>
    </row>
    <row r="75" spans="1:26" s="1190" customFormat="1" ht="27.6">
      <c r="A75" s="1258"/>
      <c r="B75" s="1257" t="s">
        <v>1084</v>
      </c>
      <c r="C75" s="1215">
        <f>'TOH (hist) '!I6</f>
        <v>72.996543651867498</v>
      </c>
      <c r="D75" s="1216">
        <f>'TOH (hist) '!J6</f>
        <v>71.928309465167587</v>
      </c>
      <c r="E75" s="1217">
        <f>'TOH (hist) '!K6</f>
        <v>64.822142260364402</v>
      </c>
      <c r="F75" s="1218">
        <f>'TOH (hist) '!L6</f>
        <v>56.255716656902933</v>
      </c>
      <c r="G75" s="1219">
        <f>'TOH (hist) '!M6</f>
        <v>55.680000000000007</v>
      </c>
      <c r="H75" s="1625">
        <f>'TOH (hist) '!O6</f>
        <v>58.598333333333329</v>
      </c>
      <c r="I75" s="1632">
        <f>'TOH (hist) '!P6</f>
        <v>49.59</v>
      </c>
      <c r="J75" s="3969">
        <f>'TOH (hist) '!Q6</f>
        <v>17.36</v>
      </c>
      <c r="K75" s="3970">
        <f>'TOH (hist) '!R6</f>
        <v>31.02</v>
      </c>
      <c r="L75" s="5123"/>
      <c r="N75" s="5126"/>
      <c r="O75" s="5119"/>
      <c r="P75" s="5119"/>
      <c r="Q75" s="5119"/>
      <c r="R75" s="5119"/>
      <c r="S75" s="5119"/>
      <c r="U75" s="1949" t="s">
        <v>1231</v>
      </c>
      <c r="V75" s="1932" t="s">
        <v>1221</v>
      </c>
      <c r="W75" s="1932" t="s">
        <v>33</v>
      </c>
      <c r="X75" s="1932" t="s">
        <v>1197</v>
      </c>
      <c r="Y75" s="1932" t="s">
        <v>1218</v>
      </c>
      <c r="Z75" s="1932" t="s">
        <v>1209</v>
      </c>
    </row>
    <row r="76" spans="1:26" s="1190" customFormat="1" ht="43.2">
      <c r="A76" s="2987">
        <f>A74+1</f>
        <v>13</v>
      </c>
      <c r="B76" s="1200" t="s">
        <v>1427</v>
      </c>
      <c r="H76" s="1220">
        <f>'TOH (hist) '!N7</f>
        <v>55</v>
      </c>
      <c r="I76" s="1632"/>
      <c r="J76" s="3968"/>
      <c r="L76" s="5122" t="s">
        <v>33</v>
      </c>
      <c r="N76" s="5126"/>
      <c r="O76" s="5119"/>
      <c r="P76" s="5119"/>
      <c r="Q76" s="5119"/>
      <c r="R76" s="5119"/>
      <c r="S76" s="5119"/>
      <c r="U76" s="1952" t="s">
        <v>1227</v>
      </c>
      <c r="V76" s="1932" t="s">
        <v>1222</v>
      </c>
      <c r="W76" s="1932" t="s">
        <v>33</v>
      </c>
      <c r="X76" s="1932" t="s">
        <v>1215</v>
      </c>
      <c r="Y76" s="1932" t="s">
        <v>1216</v>
      </c>
      <c r="Z76" s="1932" t="s">
        <v>1158</v>
      </c>
    </row>
    <row r="77" spans="1:26" s="1190" customFormat="1" ht="27.6">
      <c r="A77" s="1259"/>
      <c r="B77" s="1257" t="s">
        <v>1084</v>
      </c>
      <c r="C77" s="1215">
        <f>'TOH (hist) '!I7</f>
        <v>61.425279513620964</v>
      </c>
      <c r="D77" s="1216">
        <f>'TOH (hist) '!J7</f>
        <v>61.063023474311244</v>
      </c>
      <c r="E77" s="1217">
        <f>'TOH (hist) '!K7</f>
        <v>55.378711204374724</v>
      </c>
      <c r="F77" s="1218">
        <f>'TOH (hist) '!L7</f>
        <v>48.255950576103231</v>
      </c>
      <c r="G77" s="1219">
        <f>'TOH (hist) '!M7</f>
        <v>50.666666666666664</v>
      </c>
      <c r="H77" s="1625">
        <f>'TOH (hist) '!O7</f>
        <v>55</v>
      </c>
      <c r="I77" s="1632">
        <f>'TOH (hist) '!P7</f>
        <v>38.630000000000003</v>
      </c>
      <c r="J77" s="3969">
        <f>'TOH (hist) '!Q7</f>
        <v>6.73</v>
      </c>
      <c r="K77" s="3970">
        <f>'TOH (hist) '!R7</f>
        <v>22.01</v>
      </c>
      <c r="L77" s="5123"/>
      <c r="N77" s="5126"/>
      <c r="O77" s="5119"/>
      <c r="P77" s="5119"/>
      <c r="Q77" s="5119"/>
      <c r="R77" s="5119"/>
      <c r="S77" s="5119"/>
      <c r="U77" s="1949" t="s">
        <v>1232</v>
      </c>
      <c r="V77" s="1932" t="s">
        <v>1223</v>
      </c>
      <c r="W77" s="1932" t="s">
        <v>33</v>
      </c>
      <c r="X77" s="1932" t="s">
        <v>1197</v>
      </c>
      <c r="Y77" s="1932" t="s">
        <v>1218</v>
      </c>
      <c r="Z77" s="1932" t="s">
        <v>1209</v>
      </c>
    </row>
    <row r="78" spans="1:26" s="1190" customFormat="1" ht="43.2">
      <c r="A78" s="1258">
        <f>A76+1</f>
        <v>14</v>
      </c>
      <c r="B78" s="1200" t="s">
        <v>1428</v>
      </c>
      <c r="C78" s="1650"/>
      <c r="D78" s="1650"/>
      <c r="E78" s="1650"/>
      <c r="F78" s="1650"/>
      <c r="G78" s="1650"/>
      <c r="H78" s="1220">
        <f>'TOH (hist) '!N8</f>
        <v>25.833333333333332</v>
      </c>
      <c r="I78" s="1632"/>
      <c r="J78" s="3968"/>
      <c r="L78" s="5122" t="s">
        <v>33</v>
      </c>
      <c r="N78" s="5126"/>
      <c r="O78" s="5119"/>
      <c r="P78" s="5119"/>
      <c r="Q78" s="5119"/>
      <c r="R78" s="5119"/>
      <c r="S78" s="5119"/>
      <c r="U78" s="1952" t="s">
        <v>1228</v>
      </c>
      <c r="V78" s="1932" t="s">
        <v>1224</v>
      </c>
      <c r="W78" s="1932" t="s">
        <v>33</v>
      </c>
      <c r="X78" s="1932" t="s">
        <v>1215</v>
      </c>
      <c r="Y78" s="1932" t="s">
        <v>1216</v>
      </c>
      <c r="Z78" s="1932" t="s">
        <v>1158</v>
      </c>
    </row>
    <row r="79" spans="1:26" s="1190" customFormat="1" ht="27.6">
      <c r="A79" s="1258"/>
      <c r="B79" s="1651" t="s">
        <v>1084</v>
      </c>
      <c r="C79" s="2279">
        <f>'TOH (hist) '!I8</f>
        <v>42.685597701509735</v>
      </c>
      <c r="D79" s="1216">
        <f>'TOH (hist) '!J8</f>
        <v>40.793439968219424</v>
      </c>
      <c r="E79" s="1217">
        <f>'TOH (hist) '!K8</f>
        <v>40.019455322143479</v>
      </c>
      <c r="F79" s="1218">
        <f>'TOH (hist) '!L8</f>
        <v>36.569361252115065</v>
      </c>
      <c r="G79" s="1219">
        <f>'TOH (hist) '!M8</f>
        <v>27.666666666666668</v>
      </c>
      <c r="H79" s="1625">
        <f>'TOH (hist) '!O8</f>
        <v>43.385741017973068</v>
      </c>
      <c r="I79" s="1632">
        <f>'TOH (hist) '!P8</f>
        <v>22.35</v>
      </c>
      <c r="J79" s="3969">
        <f>'TOH (hist) '!Q8</f>
        <v>6.46</v>
      </c>
      <c r="K79" s="3970">
        <f>'TOH (hist) '!R8</f>
        <v>13.15</v>
      </c>
      <c r="L79" s="5123"/>
      <c r="N79" s="5127"/>
      <c r="O79" s="1222"/>
      <c r="P79" s="1222"/>
      <c r="Q79" s="1222"/>
      <c r="R79" s="1222"/>
      <c r="S79" s="1222"/>
      <c r="U79" s="1949" t="s">
        <v>1233</v>
      </c>
      <c r="V79" s="1932" t="s">
        <v>1225</v>
      </c>
      <c r="W79" s="1932" t="s">
        <v>33</v>
      </c>
      <c r="X79" s="1932" t="s">
        <v>1197</v>
      </c>
      <c r="Y79" s="1932" t="s">
        <v>1218</v>
      </c>
      <c r="Z79" s="1932" t="s">
        <v>1209</v>
      </c>
    </row>
    <row r="80" spans="1:26" s="1190" customFormat="1">
      <c r="A80" s="1252"/>
      <c r="B80" s="1210"/>
      <c r="C80" s="1221"/>
      <c r="D80" s="1221"/>
      <c r="E80" s="1221"/>
      <c r="F80" s="1221"/>
      <c r="G80" s="1221"/>
      <c r="H80" s="1221"/>
      <c r="I80" s="1221"/>
      <c r="J80" s="1221"/>
      <c r="K80" s="1221"/>
      <c r="L80" s="1256"/>
      <c r="N80" s="4332"/>
      <c r="U80" s="2277"/>
      <c r="V80" s="1973"/>
      <c r="W80" s="1933"/>
      <c r="X80" s="1933"/>
      <c r="Y80" s="1933"/>
      <c r="Z80" s="1933"/>
    </row>
    <row r="81" spans="1:26" ht="15" thickBot="1">
      <c r="A81" s="1255"/>
      <c r="B81" s="1213"/>
      <c r="C81" s="1214"/>
      <c r="D81" s="1214"/>
      <c r="E81" s="1214"/>
      <c r="F81" s="1214"/>
      <c r="G81" s="1214"/>
      <c r="H81" s="1211"/>
      <c r="I81" s="1221"/>
      <c r="J81" s="1221"/>
      <c r="K81" s="1221"/>
      <c r="L81" s="1256"/>
      <c r="U81" s="1619"/>
      <c r="V81" s="1973"/>
      <c r="W81" s="1933"/>
      <c r="X81" s="1933"/>
      <c r="Y81" s="1933"/>
      <c r="Z81" s="1933"/>
    </row>
    <row r="82" spans="1:26" s="1190" customFormat="1">
      <c r="A82" s="1269"/>
      <c r="B82" s="1270"/>
      <c r="C82" s="1271"/>
      <c r="D82" s="1272"/>
      <c r="E82" s="1273"/>
      <c r="F82" s="1274"/>
      <c r="G82" s="1275" t="s">
        <v>581</v>
      </c>
      <c r="H82" s="1276" t="s">
        <v>820</v>
      </c>
      <c r="I82" s="1631" t="s">
        <v>1085</v>
      </c>
      <c r="J82" s="2301" t="s">
        <v>1439</v>
      </c>
      <c r="K82" s="2626" t="s">
        <v>1441</v>
      </c>
      <c r="L82" s="1277" t="s">
        <v>585</v>
      </c>
      <c r="N82" s="4332"/>
      <c r="U82" s="1959"/>
      <c r="V82" s="1971"/>
      <c r="W82" s="1959"/>
      <c r="X82" s="1959"/>
      <c r="Y82" s="1959"/>
      <c r="Z82" s="1959"/>
    </row>
    <row r="83" spans="1:26" s="1587" customFormat="1" ht="28.8">
      <c r="A83" s="2988">
        <f>A78+1</f>
        <v>15</v>
      </c>
      <c r="B83" s="1584" t="s">
        <v>1429</v>
      </c>
      <c r="C83" s="1585">
        <f>'Tarifa Promedio Hab ocupada'!FH7</f>
        <v>70.816867591603753</v>
      </c>
      <c r="D83" s="1585">
        <f>'Tarifa Promedio Hab ocupada'!FI7</f>
        <v>74.546770196242463</v>
      </c>
      <c r="E83" s="1585">
        <f>'Tarifa Promedio Hab ocupada'!FJ7</f>
        <v>74.014241640131232</v>
      </c>
      <c r="F83" s="1895">
        <f>'Tarifa Promedio Hab ocupada'!FK7</f>
        <v>75.128842081056305</v>
      </c>
      <c r="G83" s="1898">
        <f>'Tarifa Promedio Hab ocupada'!FL7</f>
        <v>74.830703976826754</v>
      </c>
      <c r="H83" s="1585">
        <f>'Tarifa Promedio Hab ocupada'!FM7</f>
        <v>73.867485097172107</v>
      </c>
      <c r="I83" s="1633">
        <f>'Tarifa Promedio Hab ocupada'!FN7</f>
        <v>76.849999999999994</v>
      </c>
      <c r="J83" s="2302">
        <f>'Tarifa Promedio Hab ocupada'!FO7</f>
        <v>72.569999999999993</v>
      </c>
      <c r="K83" s="2636">
        <f>'Tarifa Promedio Hab ocupada'!FP7</f>
        <v>86.74</v>
      </c>
      <c r="L83" s="1586" t="s">
        <v>172</v>
      </c>
      <c r="N83" s="5125" t="s">
        <v>1495</v>
      </c>
      <c r="U83" s="1961" t="s">
        <v>175</v>
      </c>
      <c r="V83" s="1962" t="s">
        <v>175</v>
      </c>
      <c r="W83" s="1962" t="s">
        <v>1172</v>
      </c>
      <c r="X83" s="1962" t="s">
        <v>1197</v>
      </c>
      <c r="Y83" s="1962" t="s">
        <v>1218</v>
      </c>
      <c r="Z83" s="1962" t="s">
        <v>1209</v>
      </c>
    </row>
    <row r="84" spans="1:26" s="1190" customFormat="1" ht="28.8">
      <c r="A84" s="1258">
        <f t="shared" ref="A84:A90" si="2">A83+1</f>
        <v>16</v>
      </c>
      <c r="B84" s="1200" t="s">
        <v>1430</v>
      </c>
      <c r="C84" s="1588">
        <f>'Tarifa Promedio Hab ocupada'!FH8</f>
        <v>107.48127913034415</v>
      </c>
      <c r="D84" s="1588">
        <f>'Tarifa Promedio Hab ocupada'!FI8</f>
        <v>108.36970892473407</v>
      </c>
      <c r="E84" s="1588">
        <f>'Tarifa Promedio Hab ocupada'!FJ8</f>
        <v>109.76973658136149</v>
      </c>
      <c r="F84" s="1896">
        <f>'Tarifa Promedio Hab ocupada'!FK8</f>
        <v>111.32438408792268</v>
      </c>
      <c r="G84" s="1899">
        <f>'Tarifa Promedio Hab ocupada'!FL8</f>
        <v>110.77102068584797</v>
      </c>
      <c r="H84" s="1588">
        <f>'Tarifa Promedio Hab ocupada'!FM8</f>
        <v>100.971</v>
      </c>
      <c r="I84" s="1634">
        <f>'Tarifa Promedio Hab ocupada'!FN8</f>
        <v>97.01</v>
      </c>
      <c r="J84" s="2303">
        <f>'Tarifa Promedio Hab ocupada'!FO8</f>
        <v>101.03</v>
      </c>
      <c r="K84" s="2637">
        <f>'Tarifa Promedio Hab ocupada'!FP8</f>
        <v>118.27</v>
      </c>
      <c r="L84" s="1249" t="s">
        <v>172</v>
      </c>
      <c r="N84" s="5126"/>
      <c r="U84" s="1952" t="s">
        <v>1060</v>
      </c>
      <c r="V84" s="1934" t="s">
        <v>1234</v>
      </c>
      <c r="W84" s="1934" t="s">
        <v>1172</v>
      </c>
      <c r="X84" s="1934" t="s">
        <v>1197</v>
      </c>
      <c r="Y84" s="1934" t="s">
        <v>1218</v>
      </c>
      <c r="Z84" s="1934" t="s">
        <v>1209</v>
      </c>
    </row>
    <row r="85" spans="1:26" s="1190" customFormat="1" ht="28.8">
      <c r="A85" s="2987">
        <f t="shared" si="2"/>
        <v>17</v>
      </c>
      <c r="B85" s="1200" t="s">
        <v>1431</v>
      </c>
      <c r="C85" s="1588">
        <f>'Tarifa Promedio Hab ocupada'!FH9</f>
        <v>65.881004587108848</v>
      </c>
      <c r="D85" s="1588">
        <f>'Tarifa Promedio Hab ocupada'!FI9</f>
        <v>71.127635656641971</v>
      </c>
      <c r="E85" s="1588">
        <f>'Tarifa Promedio Hab ocupada'!FJ9</f>
        <v>70.751485187846001</v>
      </c>
      <c r="F85" s="1896">
        <f>'Tarifa Promedio Hab ocupada'!FK9</f>
        <v>73.191647386778854</v>
      </c>
      <c r="G85" s="1899">
        <f>'Tarifa Promedio Hab ocupada'!FL9</f>
        <v>72.461903330985947</v>
      </c>
      <c r="H85" s="1588">
        <f>'Tarifa Promedio Hab ocupada'!FM9</f>
        <v>65.051999999999992</v>
      </c>
      <c r="I85" s="1634">
        <f>'Tarifa Promedio Hab ocupada'!FN9</f>
        <v>78.28</v>
      </c>
      <c r="J85" s="2303">
        <f>'Tarifa Promedio Hab ocupada'!FO9</f>
        <v>73.77</v>
      </c>
      <c r="K85" s="2637">
        <f>'Tarifa Promedio Hab ocupada'!FP9</f>
        <v>83.98</v>
      </c>
      <c r="L85" s="1249" t="s">
        <v>172</v>
      </c>
      <c r="N85" s="5126"/>
      <c r="U85" s="1952" t="s">
        <v>1061</v>
      </c>
      <c r="V85" s="1934" t="s">
        <v>1235</v>
      </c>
      <c r="W85" s="1934" t="s">
        <v>1172</v>
      </c>
      <c r="X85" s="1934" t="s">
        <v>1197</v>
      </c>
      <c r="Y85" s="1934" t="s">
        <v>1218</v>
      </c>
      <c r="Z85" s="1934" t="s">
        <v>1209</v>
      </c>
    </row>
    <row r="86" spans="1:26" s="1190" customFormat="1" ht="29.4" thickBot="1">
      <c r="A86" s="1260">
        <f t="shared" si="2"/>
        <v>18</v>
      </c>
      <c r="B86" s="1223" t="s">
        <v>1432</v>
      </c>
      <c r="C86" s="1589">
        <f>'Tarifa Promedio Hab ocupada'!FH10</f>
        <v>25.571024828160251</v>
      </c>
      <c r="D86" s="1589">
        <f>'Tarifa Promedio Hab ocupada'!FI10</f>
        <v>30.034124512722617</v>
      </c>
      <c r="E86" s="1589">
        <f>'Tarifa Promedio Hab ocupada'!FJ10</f>
        <v>29.809169797596006</v>
      </c>
      <c r="F86" s="1897">
        <f>'Tarifa Promedio Hab ocupada'!FK10</f>
        <v>29.263269989189585</v>
      </c>
      <c r="G86" s="1900">
        <f>'Tarifa Promedio Hab ocupada'!FL10</f>
        <v>29.566671308973152</v>
      </c>
      <c r="H86" s="1589">
        <f>'Tarifa Promedio Hab ocupada'!FM10</f>
        <v>33</v>
      </c>
      <c r="I86" s="1635">
        <f>'Tarifa Promedio Hab ocupada'!FN10</f>
        <v>41.45</v>
      </c>
      <c r="J86" s="2304">
        <f>'Tarifa Promedio Hab ocupada'!FO10</f>
        <v>53.37</v>
      </c>
      <c r="K86" s="2638">
        <f>'Tarifa Promedio Hab ocupada'!FP10</f>
        <v>60.18</v>
      </c>
      <c r="L86" s="1261" t="s">
        <v>172</v>
      </c>
      <c r="N86" s="5126"/>
      <c r="U86" s="1953" t="s">
        <v>1062</v>
      </c>
      <c r="V86" s="1935" t="s">
        <v>1236</v>
      </c>
      <c r="W86" s="1935" t="s">
        <v>1172</v>
      </c>
      <c r="X86" s="1935" t="s">
        <v>1197</v>
      </c>
      <c r="Y86" s="1935" t="s">
        <v>1218</v>
      </c>
      <c r="Z86" s="1935" t="s">
        <v>1209</v>
      </c>
    </row>
    <row r="87" spans="1:26" s="1587" customFormat="1" ht="29.4" thickTop="1">
      <c r="A87" s="2988">
        <f t="shared" si="2"/>
        <v>19</v>
      </c>
      <c r="B87" s="1584" t="s">
        <v>1433</v>
      </c>
      <c r="C87" s="1620">
        <v>1.5954468689699381</v>
      </c>
      <c r="D87" s="1621">
        <f>'Estancia hotelera'!L19</f>
        <v>1.6156575134046374</v>
      </c>
      <c r="E87" s="1622">
        <f>'Estancia hotelera'!M19</f>
        <v>1.5855894194982867</v>
      </c>
      <c r="F87" s="1623">
        <f>'Estancia hotelera'!N19</f>
        <v>1.5566332188277681</v>
      </c>
      <c r="G87" s="1624">
        <f>'Estancia hotelera'!O19</f>
        <v>1.5448134813886878</v>
      </c>
      <c r="H87" s="1621">
        <f>'Estancia hotelera'!P19</f>
        <v>1.5756734082798449</v>
      </c>
      <c r="I87" s="1636">
        <f>'Estancia hotelera'!Q19</f>
        <v>1.48</v>
      </c>
      <c r="J87" s="2305">
        <f>'Estancia hotelera'!R19</f>
        <v>1.48</v>
      </c>
      <c r="K87" s="2639">
        <f>'Estancia hotelera'!S19</f>
        <v>1.1399999999999999</v>
      </c>
      <c r="L87" s="1586" t="s">
        <v>177</v>
      </c>
      <c r="N87" s="5126"/>
      <c r="U87" s="1961" t="s">
        <v>176</v>
      </c>
      <c r="V87" s="1963" t="s">
        <v>1237</v>
      </c>
      <c r="W87" s="1963" t="s">
        <v>1241</v>
      </c>
      <c r="X87" s="1963" t="s">
        <v>1197</v>
      </c>
      <c r="Y87" s="1963" t="s">
        <v>1218</v>
      </c>
      <c r="Z87" s="1963" t="s">
        <v>1209</v>
      </c>
    </row>
    <row r="88" spans="1:26" s="1190" customFormat="1" ht="28.8">
      <c r="A88" s="1258">
        <f t="shared" si="2"/>
        <v>20</v>
      </c>
      <c r="B88" s="1200" t="s">
        <v>1434</v>
      </c>
      <c r="C88" s="1227">
        <v>1.6793686513898753</v>
      </c>
      <c r="D88" s="1228">
        <f>'Estancia hotelera'!L16</f>
        <v>1.7163406179145451</v>
      </c>
      <c r="E88" s="1229">
        <f>'Estancia hotelera'!M16</f>
        <v>1.707987782490568</v>
      </c>
      <c r="F88" s="1230">
        <f>'Estancia hotelera'!N16</f>
        <v>1.672298398929029</v>
      </c>
      <c r="G88" s="1231">
        <f>'Estancia hotelera'!O16</f>
        <v>1.6794015480118631</v>
      </c>
      <c r="H88" s="1228">
        <f>'Estancia hotelera'!P16</f>
        <v>1.6940070868365014</v>
      </c>
      <c r="I88" s="1637">
        <f>'Estancia hotelera'!Q16</f>
        <v>1.73</v>
      </c>
      <c r="J88" s="2306">
        <f>'Estancia hotelera'!R16</f>
        <v>2.06</v>
      </c>
      <c r="K88" s="2640">
        <f>'Estancia hotelera'!S16</f>
        <v>1.03</v>
      </c>
      <c r="L88" s="1249" t="s">
        <v>177</v>
      </c>
      <c r="N88" s="5126"/>
      <c r="U88" s="1952" t="s">
        <v>1063</v>
      </c>
      <c r="V88" s="1936" t="s">
        <v>1239</v>
      </c>
      <c r="W88" s="1936" t="s">
        <v>1241</v>
      </c>
      <c r="X88" s="1936" t="s">
        <v>1197</v>
      </c>
      <c r="Y88" s="1936" t="s">
        <v>1218</v>
      </c>
      <c r="Z88" s="1936" t="s">
        <v>1209</v>
      </c>
    </row>
    <row r="89" spans="1:26" s="1190" customFormat="1" ht="28.8">
      <c r="A89" s="2987">
        <f t="shared" si="2"/>
        <v>21</v>
      </c>
      <c r="B89" s="1200" t="s">
        <v>1435</v>
      </c>
      <c r="C89" s="1227">
        <v>1.6993283773797931</v>
      </c>
      <c r="D89" s="1228">
        <f>'Estancia hotelera'!L17</f>
        <v>1.5809865305383213</v>
      </c>
      <c r="E89" s="1229">
        <f>'Estancia hotelera'!M17</f>
        <v>1.5535594304643294</v>
      </c>
      <c r="F89" s="1230">
        <f>'Estancia hotelera'!N17</f>
        <v>1.5537887147871752</v>
      </c>
      <c r="G89" s="1231">
        <f>'Estancia hotelera'!O17</f>
        <v>1.5315145834595965</v>
      </c>
      <c r="H89" s="1228">
        <f>'Estancia hotelera'!P17</f>
        <v>1.5549623148123557</v>
      </c>
      <c r="I89" s="1637">
        <f>'Estancia hotelera'!Q17</f>
        <v>1.4</v>
      </c>
      <c r="J89" s="2306">
        <f>'Estancia hotelera'!R17</f>
        <v>1.1000000000000001</v>
      </c>
      <c r="K89" s="2640" t="str">
        <f>'Estancia hotelera'!S17</f>
        <v>1,,15</v>
      </c>
      <c r="L89" s="1249" t="s">
        <v>177</v>
      </c>
      <c r="N89" s="5126"/>
      <c r="U89" s="1952" t="s">
        <v>1064</v>
      </c>
      <c r="V89" s="1936" t="s">
        <v>1238</v>
      </c>
      <c r="W89" s="1936" t="s">
        <v>1241</v>
      </c>
      <c r="X89" s="1936" t="s">
        <v>1197</v>
      </c>
      <c r="Y89" s="1936" t="s">
        <v>1218</v>
      </c>
      <c r="Z89" s="1936" t="s">
        <v>1209</v>
      </c>
    </row>
    <row r="90" spans="1:26" s="1190" customFormat="1" ht="28.8">
      <c r="A90" s="1262">
        <f t="shared" si="2"/>
        <v>22</v>
      </c>
      <c r="B90" s="1209" t="s">
        <v>1436</v>
      </c>
      <c r="C90" s="1232">
        <v>1.3756954837204702</v>
      </c>
      <c r="D90" s="1233">
        <f>'Estancia hotelera'!L18</f>
        <v>1.5242255498597903</v>
      </c>
      <c r="E90" s="1234">
        <f>'Estancia hotelera'!M18</f>
        <v>1.4809016616053134</v>
      </c>
      <c r="F90" s="1235">
        <f>'Estancia hotelera'!N18</f>
        <v>1.4348377511665937</v>
      </c>
      <c r="G90" s="1236">
        <f>'Estancia hotelera'!O18</f>
        <v>1.4157283717951621</v>
      </c>
      <c r="H90" s="1233">
        <f>'Estancia hotelera'!P18</f>
        <v>1.463923333606715</v>
      </c>
      <c r="I90" s="1638">
        <f>'Estancia hotelera'!Q18</f>
        <v>1.24</v>
      </c>
      <c r="J90" s="2307">
        <f>'Estancia hotelera'!R18</f>
        <v>1.66</v>
      </c>
      <c r="K90" s="2641">
        <f>'Estancia hotelera'!S18</f>
        <v>1.18</v>
      </c>
      <c r="L90" s="1251" t="s">
        <v>177</v>
      </c>
      <c r="N90" s="5127"/>
      <c r="U90" s="1948" t="s">
        <v>1065</v>
      </c>
      <c r="V90" s="1937" t="s">
        <v>1240</v>
      </c>
      <c r="W90" s="1937" t="s">
        <v>1241</v>
      </c>
      <c r="X90" s="1937" t="s">
        <v>1197</v>
      </c>
      <c r="Y90" s="1937" t="s">
        <v>1218</v>
      </c>
      <c r="Z90" s="1937" t="s">
        <v>1209</v>
      </c>
    </row>
    <row r="91" spans="1:26" s="1190" customFormat="1" ht="31.8" customHeight="1">
      <c r="A91" s="1252"/>
      <c r="B91" s="1210"/>
      <c r="C91" s="1224"/>
      <c r="D91" s="1225"/>
      <c r="E91" s="1226"/>
      <c r="F91" s="1224"/>
      <c r="G91" s="1224"/>
      <c r="H91" s="1221"/>
      <c r="I91" s="1224"/>
      <c r="J91" s="1224"/>
      <c r="K91" s="1224"/>
      <c r="L91" s="1250"/>
      <c r="N91" s="4332"/>
      <c r="U91" s="1949"/>
      <c r="V91" s="1974"/>
      <c r="W91" s="1938"/>
      <c r="X91" s="1938"/>
      <c r="Y91" s="1938"/>
      <c r="Z91" s="1938"/>
    </row>
    <row r="92" spans="1:26" ht="15" thickBot="1">
      <c r="A92" s="1255"/>
      <c r="B92" s="1213"/>
      <c r="C92" s="1212"/>
      <c r="D92" s="1212"/>
      <c r="E92" s="1212"/>
      <c r="F92" s="1212"/>
      <c r="G92" s="1212"/>
      <c r="H92" s="1212"/>
      <c r="I92" s="1212"/>
      <c r="J92" s="1212"/>
      <c r="K92" s="1212"/>
      <c r="L92" s="1893"/>
      <c r="U92" s="1619"/>
      <c r="V92" s="1920"/>
      <c r="W92" s="1619"/>
      <c r="X92" s="1619"/>
      <c r="Y92" s="1619"/>
      <c r="Z92" s="1619"/>
    </row>
    <row r="93" spans="1:26" s="1190" customFormat="1">
      <c r="A93" s="1269"/>
      <c r="B93" s="1270" t="s">
        <v>301</v>
      </c>
      <c r="C93" s="1271">
        <v>2013</v>
      </c>
      <c r="D93" s="1272">
        <v>2014</v>
      </c>
      <c r="E93" s="1273">
        <v>2015</v>
      </c>
      <c r="F93" s="1274"/>
      <c r="G93" s="1275">
        <v>2017</v>
      </c>
      <c r="H93" s="1276">
        <v>2018</v>
      </c>
      <c r="I93" s="2155" t="s">
        <v>875</v>
      </c>
      <c r="J93" s="2308" t="s">
        <v>1404</v>
      </c>
      <c r="K93" s="2626" t="s">
        <v>1441</v>
      </c>
      <c r="L93" s="1277" t="s">
        <v>585</v>
      </c>
      <c r="N93" s="4332"/>
      <c r="U93" s="1959" t="s">
        <v>301</v>
      </c>
      <c r="V93" s="1971"/>
      <c r="W93" s="1959"/>
      <c r="X93" s="1959"/>
      <c r="Y93" s="1959"/>
      <c r="Z93" s="1959"/>
    </row>
    <row r="94" spans="1:26" s="1190" customFormat="1">
      <c r="A94" s="5265" t="s">
        <v>1136</v>
      </c>
      <c r="B94" s="5265"/>
      <c r="C94" s="1883"/>
      <c r="D94" s="1884"/>
      <c r="E94" s="1885"/>
      <c r="F94" s="1886"/>
      <c r="G94" s="1887"/>
      <c r="H94" s="1888"/>
      <c r="I94" s="1909"/>
      <c r="J94" s="2309"/>
      <c r="K94" s="2642"/>
      <c r="L94" s="1910"/>
      <c r="N94" s="4332"/>
      <c r="U94" s="1947"/>
      <c r="V94" s="1975"/>
      <c r="W94" s="1964"/>
      <c r="X94" s="1964"/>
      <c r="Y94" s="1964"/>
      <c r="Z94" s="1964"/>
    </row>
    <row r="95" spans="1:26" s="1190" customFormat="1" ht="41.4">
      <c r="A95" s="5229">
        <f>A90+1</f>
        <v>23</v>
      </c>
      <c r="B95" s="5231" t="str">
        <f>'Actividades económicas TUR'!C4</f>
        <v>OPERACIÓN E INTERMEDIACIÓN TUR (AGENCIA DE VIAJES Y TURISMO)</v>
      </c>
      <c r="C95" s="1215">
        <f>'Actividades económicas TUR'!I4</f>
        <v>631</v>
      </c>
      <c r="D95" s="1239">
        <f>'Actividades económicas TUR'!J4</f>
        <v>679</v>
      </c>
      <c r="E95" s="1240">
        <f>'Actividades económicas TUR'!K4</f>
        <v>722</v>
      </c>
      <c r="F95" s="1241"/>
      <c r="G95" s="1242">
        <f>'Actividades económicas TUR'!M4</f>
        <v>739</v>
      </c>
      <c r="H95" s="1243">
        <f>'Actividades económicas TUR'!N4</f>
        <v>644</v>
      </c>
      <c r="I95" s="1639">
        <f>'Actividades económicas TUR'!O4</f>
        <v>730</v>
      </c>
      <c r="J95" s="2299">
        <f>'Actividades económicas TUR'!P4</f>
        <v>735</v>
      </c>
      <c r="K95" s="2643">
        <f>'Actividades económicas TUR'!Q4</f>
        <v>756</v>
      </c>
      <c r="L95" s="1870" t="s">
        <v>601</v>
      </c>
      <c r="N95" s="5128" t="s">
        <v>1524</v>
      </c>
      <c r="O95" s="1889"/>
      <c r="P95" s="1889"/>
      <c r="Q95" s="1889"/>
      <c r="R95" s="1889"/>
      <c r="S95" s="1889"/>
      <c r="U95" s="1952" t="s">
        <v>1242</v>
      </c>
      <c r="V95" s="1990" t="s">
        <v>1247</v>
      </c>
      <c r="W95" s="1990" t="s">
        <v>601</v>
      </c>
      <c r="X95" s="1990" t="s">
        <v>1215</v>
      </c>
      <c r="Y95" s="1932" t="s">
        <v>1216</v>
      </c>
      <c r="Z95" s="1990" t="s">
        <v>1183</v>
      </c>
    </row>
    <row r="96" spans="1:26" s="1244" customFormat="1">
      <c r="A96" s="5230"/>
      <c r="B96" s="5232"/>
      <c r="C96" s="2648"/>
      <c r="D96" s="2649"/>
      <c r="E96" s="2649"/>
      <c r="F96" s="2650"/>
      <c r="G96" s="2650">
        <f>G95/G105</f>
        <v>0.14127317912445039</v>
      </c>
      <c r="H96" s="2650">
        <f>H95/H105</f>
        <v>0.14699840219128052</v>
      </c>
      <c r="I96" s="2651">
        <f>I95/I105</f>
        <v>0.15361952861952863</v>
      </c>
      <c r="J96" s="2652">
        <f>J95/J105</f>
        <v>0.15389447236180903</v>
      </c>
      <c r="K96" s="2653">
        <f>K95/K105</f>
        <v>0.15561959654178675</v>
      </c>
      <c r="L96" s="2654" t="s">
        <v>1036</v>
      </c>
      <c r="N96" s="5128"/>
      <c r="O96" s="1890"/>
      <c r="P96" s="1890"/>
      <c r="Q96" s="1890"/>
      <c r="R96" s="1890"/>
      <c r="S96" s="1890"/>
      <c r="U96" s="1952" t="s">
        <v>1253</v>
      </c>
      <c r="V96" s="1990" t="s">
        <v>1253</v>
      </c>
      <c r="W96" s="1990" t="s">
        <v>33</v>
      </c>
      <c r="X96" s="1990" t="s">
        <v>1215</v>
      </c>
      <c r="Y96" s="1932" t="s">
        <v>1216</v>
      </c>
      <c r="Z96" s="1990" t="s">
        <v>1183</v>
      </c>
    </row>
    <row r="97" spans="1:26" s="1190" customFormat="1" ht="27.6">
      <c r="A97" s="5275">
        <f>A95+1</f>
        <v>24</v>
      </c>
      <c r="B97" s="5231" t="str">
        <f>'Actividades económicas TUR'!C5</f>
        <v xml:space="preserve">ALIMENTOS Y BEBIDAS </v>
      </c>
      <c r="C97" s="1215">
        <f>'Actividades económicas TUR'!I5</f>
        <v>3021</v>
      </c>
      <c r="D97" s="1239">
        <f>'Actividades económicas TUR'!J5</f>
        <v>3316</v>
      </c>
      <c r="E97" s="1240">
        <f>'Actividades económicas TUR'!K5</f>
        <v>3486</v>
      </c>
      <c r="F97" s="1241"/>
      <c r="G97" s="1242">
        <f>'Actividades económicas TUR'!M5</f>
        <v>3517</v>
      </c>
      <c r="H97" s="1243">
        <f>'Actividades económicas TUR'!N5</f>
        <v>2786</v>
      </c>
      <c r="I97" s="1639">
        <f>'Actividades económicas TUR'!O5</f>
        <v>2978</v>
      </c>
      <c r="J97" s="2299">
        <f>'Actividades económicas TUR'!P5</f>
        <v>2989</v>
      </c>
      <c r="K97" s="2643">
        <f>'Actividades económicas TUR'!Q5</f>
        <v>3199</v>
      </c>
      <c r="L97" s="1870" t="s">
        <v>601</v>
      </c>
      <c r="N97" s="5128"/>
      <c r="O97" s="1890"/>
      <c r="P97" s="1890"/>
      <c r="Q97" s="1890"/>
      <c r="R97" s="1890"/>
      <c r="S97" s="1890"/>
      <c r="U97" s="1952" t="s">
        <v>1243</v>
      </c>
      <c r="V97" s="1990" t="s">
        <v>1248</v>
      </c>
      <c r="W97" s="1990" t="s">
        <v>601</v>
      </c>
      <c r="X97" s="1990" t="s">
        <v>1215</v>
      </c>
      <c r="Y97" s="1932" t="s">
        <v>1216</v>
      </c>
      <c r="Z97" s="1990" t="s">
        <v>1183</v>
      </c>
    </row>
    <row r="98" spans="1:26" s="1245" customFormat="1">
      <c r="A98" s="5276"/>
      <c r="B98" s="5232"/>
      <c r="C98" s="2648"/>
      <c r="D98" s="2649"/>
      <c r="E98" s="2649"/>
      <c r="F98" s="2650"/>
      <c r="G98" s="2650">
        <f>G97/G105</f>
        <v>0.67233798508889309</v>
      </c>
      <c r="H98" s="2650">
        <f>H97/H105</f>
        <v>0.63592787034923537</v>
      </c>
      <c r="I98" s="2651">
        <f>I97/I105</f>
        <v>0.62668350168350173</v>
      </c>
      <c r="J98" s="2652">
        <f>J97/J105</f>
        <v>0.62583752093802347</v>
      </c>
      <c r="K98" s="2653">
        <f>K97/K105</f>
        <v>0.65850144092219021</v>
      </c>
      <c r="L98" s="2654" t="s">
        <v>1036</v>
      </c>
      <c r="N98" s="5128"/>
      <c r="O98" s="1890"/>
      <c r="P98" s="1890"/>
      <c r="Q98" s="1890"/>
      <c r="R98" s="1890"/>
      <c r="S98" s="1890"/>
      <c r="U98" s="1952" t="s">
        <v>1253</v>
      </c>
      <c r="V98" s="1990" t="s">
        <v>1253</v>
      </c>
      <c r="W98" s="1990" t="s">
        <v>33</v>
      </c>
      <c r="X98" s="1990" t="s">
        <v>1215</v>
      </c>
      <c r="Y98" s="1932" t="s">
        <v>1216</v>
      </c>
      <c r="Z98" s="1990" t="s">
        <v>1183</v>
      </c>
    </row>
    <row r="99" spans="1:26" s="1190" customFormat="1" ht="27.6">
      <c r="A99" s="5229">
        <f>A97+1</f>
        <v>25</v>
      </c>
      <c r="B99" s="5231" t="str">
        <f>'Actividades económicas TUR'!C6</f>
        <v xml:space="preserve">ALOJAMIENTO </v>
      </c>
      <c r="C99" s="1215">
        <f>'Actividades económicas TUR'!I6</f>
        <v>585</v>
      </c>
      <c r="D99" s="1239">
        <f>'Actividades económicas TUR'!J6</f>
        <v>642</v>
      </c>
      <c r="E99" s="1240">
        <f>'Actividades económicas TUR'!K6</f>
        <v>713</v>
      </c>
      <c r="F99" s="1241"/>
      <c r="G99" s="1242">
        <f>'Actividades económicas TUR'!M6</f>
        <v>653</v>
      </c>
      <c r="H99" s="1243">
        <f>'Actividades económicas TUR'!N6</f>
        <v>684</v>
      </c>
      <c r="I99" s="1639">
        <f>'Actividades económicas TUR'!O6</f>
        <v>736</v>
      </c>
      <c r="J99" s="2299">
        <f>'Actividades económicas TUR'!P6</f>
        <v>737</v>
      </c>
      <c r="K99" s="2643">
        <f>'Actividades económicas TUR'!Q6</f>
        <v>735</v>
      </c>
      <c r="L99" s="1870" t="s">
        <v>601</v>
      </c>
      <c r="N99" s="5128"/>
      <c r="O99" s="1890"/>
      <c r="P99" s="1890"/>
      <c r="Q99" s="1890"/>
      <c r="R99" s="1890"/>
      <c r="S99" s="1890"/>
      <c r="U99" s="1952" t="s">
        <v>1244</v>
      </c>
      <c r="V99" s="1990" t="s">
        <v>1249</v>
      </c>
      <c r="W99" s="1990" t="s">
        <v>601</v>
      </c>
      <c r="X99" s="1990" t="s">
        <v>1215</v>
      </c>
      <c r="Y99" s="1932" t="s">
        <v>1216</v>
      </c>
      <c r="Z99" s="1990" t="s">
        <v>1183</v>
      </c>
    </row>
    <row r="100" spans="1:26" s="1245" customFormat="1">
      <c r="A100" s="5230"/>
      <c r="B100" s="5232"/>
      <c r="C100" s="2648"/>
      <c r="D100" s="2649"/>
      <c r="E100" s="2649"/>
      <c r="F100" s="2650"/>
      <c r="G100" s="2650">
        <f>G99/G105</f>
        <v>0.12483272796788376</v>
      </c>
      <c r="H100" s="2650">
        <f>H99/H105</f>
        <v>0.15612873773111161</v>
      </c>
      <c r="I100" s="2651">
        <f>I99/I105</f>
        <v>0.15488215488215487</v>
      </c>
      <c r="J100" s="2652">
        <f>J99/J105</f>
        <v>0.15431323283082077</v>
      </c>
      <c r="K100" s="2653">
        <f>K99/K105</f>
        <v>0.15129682997118155</v>
      </c>
      <c r="L100" s="2654" t="s">
        <v>1036</v>
      </c>
      <c r="N100" s="5128"/>
      <c r="O100" s="1890"/>
      <c r="P100" s="1890"/>
      <c r="Q100" s="1890"/>
      <c r="R100" s="1890"/>
      <c r="S100" s="1890"/>
      <c r="U100" s="1952" t="s">
        <v>1253</v>
      </c>
      <c r="V100" s="1990" t="s">
        <v>1253</v>
      </c>
      <c r="W100" s="1990" t="s">
        <v>33</v>
      </c>
      <c r="X100" s="1990" t="s">
        <v>1215</v>
      </c>
      <c r="Y100" s="1932" t="s">
        <v>1216</v>
      </c>
      <c r="Z100" s="1990" t="s">
        <v>1183</v>
      </c>
    </row>
    <row r="101" spans="1:26" s="1190" customFormat="1" ht="27.6">
      <c r="A101" s="5275">
        <f>A99+1</f>
        <v>26</v>
      </c>
      <c r="B101" s="5231" t="str">
        <f>'Actividades económicas TUR'!C8</f>
        <v>RECREACIÓN DIVERSIÓN Y ESPARCIMIENTO</v>
      </c>
      <c r="C101" s="1215">
        <f>'Actividades económicas TUR'!I8</f>
        <v>151</v>
      </c>
      <c r="D101" s="1239">
        <f>'Actividades económicas TUR'!J8</f>
        <v>171</v>
      </c>
      <c r="E101" s="1240">
        <f>'Actividades económicas TUR'!K8</f>
        <v>189</v>
      </c>
      <c r="F101" s="1241"/>
      <c r="G101" s="1242">
        <f>'Actividades económicas TUR'!M8</f>
        <v>197</v>
      </c>
      <c r="H101" s="1243">
        <f>'Actividades económicas TUR'!N8</f>
        <v>174</v>
      </c>
      <c r="I101" s="1639">
        <f>'Actividades económicas TUR'!O8</f>
        <v>205</v>
      </c>
      <c r="J101" s="2299">
        <f>'Actividades económicas TUR'!P8</f>
        <v>212</v>
      </c>
      <c r="K101" s="2643">
        <f>'Actividades económicas TUR'!Q8</f>
        <v>61</v>
      </c>
      <c r="L101" s="1870" t="s">
        <v>601</v>
      </c>
      <c r="N101" s="5128"/>
      <c r="O101" s="1890"/>
      <c r="P101" s="1890"/>
      <c r="Q101" s="1890"/>
      <c r="R101" s="1890"/>
      <c r="S101" s="1890"/>
      <c r="U101" s="1952" t="s">
        <v>1245</v>
      </c>
      <c r="V101" s="1990" t="s">
        <v>1250</v>
      </c>
      <c r="W101" s="1990" t="s">
        <v>601</v>
      </c>
      <c r="X101" s="1990" t="s">
        <v>1215</v>
      </c>
      <c r="Y101" s="1932" t="s">
        <v>1216</v>
      </c>
      <c r="Z101" s="1990" t="s">
        <v>1183</v>
      </c>
    </row>
    <row r="102" spans="1:26" s="1245" customFormat="1">
      <c r="A102" s="5276"/>
      <c r="B102" s="5232"/>
      <c r="C102" s="2648"/>
      <c r="D102" s="2649"/>
      <c r="E102" s="2649"/>
      <c r="F102" s="2650"/>
      <c r="G102" s="2650">
        <f>G101/G105</f>
        <v>3.7660103230739823E-2</v>
      </c>
      <c r="H102" s="2650">
        <f>H101/H105</f>
        <v>3.9716959598265239E-2</v>
      </c>
      <c r="I102" s="2651">
        <f>I101/I105</f>
        <v>4.3139730639730638E-2</v>
      </c>
      <c r="J102" s="2652">
        <f>J101/J105</f>
        <v>4.4388609715242881E-2</v>
      </c>
      <c r="K102" s="2653">
        <f>K101/K105</f>
        <v>1.2556607657472211E-2</v>
      </c>
      <c r="L102" s="2654" t="s">
        <v>1036</v>
      </c>
      <c r="N102" s="5128"/>
      <c r="O102" s="1890"/>
      <c r="P102" s="1890"/>
      <c r="Q102" s="1890"/>
      <c r="R102" s="1890"/>
      <c r="S102" s="1890"/>
      <c r="U102" s="1952" t="s">
        <v>1253</v>
      </c>
      <c r="V102" s="1990" t="s">
        <v>1253</v>
      </c>
      <c r="W102" s="1990" t="s">
        <v>33</v>
      </c>
      <c r="X102" s="1990" t="s">
        <v>1215</v>
      </c>
      <c r="Y102" s="1932" t="s">
        <v>1216</v>
      </c>
      <c r="Z102" s="1990" t="s">
        <v>1183</v>
      </c>
    </row>
    <row r="103" spans="1:26" s="1190" customFormat="1" ht="27.6">
      <c r="A103" s="5229">
        <f>A101+1</f>
        <v>27</v>
      </c>
      <c r="B103" s="5231" t="str">
        <f>'Actividades económicas TUR'!C9</f>
        <v>TRANSPORTE TURISTICO</v>
      </c>
      <c r="C103" s="1215">
        <f>'Actividades económicas TUR'!I9</f>
        <v>100</v>
      </c>
      <c r="D103" s="1239">
        <f>'Actividades económicas TUR'!J9</f>
        <v>101</v>
      </c>
      <c r="E103" s="1240">
        <f>'Actividades económicas TUR'!K9</f>
        <v>52</v>
      </c>
      <c r="F103" s="1241"/>
      <c r="G103" s="1242">
        <f>'Actividades económicas TUR'!M9</f>
        <v>125</v>
      </c>
      <c r="H103" s="1243">
        <f>'Actividades económicas TUR'!N9</f>
        <v>93</v>
      </c>
      <c r="I103" s="1639">
        <f>'Actividades económicas TUR'!O9</f>
        <v>103</v>
      </c>
      <c r="J103" s="2299">
        <f>'Actividades económicas TUR'!P9</f>
        <v>103</v>
      </c>
      <c r="K103" s="2643">
        <f>'Actividades económicas TUR'!Q9</f>
        <v>106</v>
      </c>
      <c r="L103" s="1870" t="s">
        <v>601</v>
      </c>
      <c r="N103" s="5128"/>
      <c r="O103" s="1890"/>
      <c r="P103" s="1890"/>
      <c r="Q103" s="1890"/>
      <c r="R103" s="1890"/>
      <c r="S103" s="1890"/>
      <c r="U103" s="1952" t="s">
        <v>1246</v>
      </c>
      <c r="V103" s="1990" t="s">
        <v>1251</v>
      </c>
      <c r="W103" s="1990" t="s">
        <v>601</v>
      </c>
      <c r="X103" s="1990" t="s">
        <v>1215</v>
      </c>
      <c r="Y103" s="1932" t="s">
        <v>1216</v>
      </c>
      <c r="Z103" s="1990" t="s">
        <v>1183</v>
      </c>
    </row>
    <row r="104" spans="1:26" s="1245" customFormat="1">
      <c r="A104" s="5230"/>
      <c r="B104" s="5232"/>
      <c r="C104" s="2648"/>
      <c r="D104" s="2649"/>
      <c r="E104" s="2649"/>
      <c r="F104" s="2650"/>
      <c r="G104" s="2650">
        <f>G103/G105</f>
        <v>2.3896004588032881E-2</v>
      </c>
      <c r="H104" s="2650">
        <f>H103/H105</f>
        <v>2.1228030130107281E-2</v>
      </c>
      <c r="I104" s="2651">
        <f>I103/I105</f>
        <v>2.1675084175084174E-2</v>
      </c>
      <c r="J104" s="2652">
        <f>J103/J105</f>
        <v>2.1566164154103853E-2</v>
      </c>
      <c r="K104" s="2653">
        <f>K103/K105</f>
        <v>2.1819678880197611E-2</v>
      </c>
      <c r="L104" s="2654" t="s">
        <v>1036</v>
      </c>
      <c r="N104" s="5128"/>
      <c r="O104" s="1890"/>
      <c r="P104" s="1890"/>
      <c r="Q104" s="1890"/>
      <c r="R104" s="1890"/>
      <c r="S104" s="1890"/>
      <c r="U104" s="1952" t="s">
        <v>1253</v>
      </c>
      <c r="V104" s="1990" t="s">
        <v>1253</v>
      </c>
      <c r="W104" s="1990" t="s">
        <v>33</v>
      </c>
      <c r="X104" s="1990" t="s">
        <v>1215</v>
      </c>
      <c r="Y104" s="1932" t="s">
        <v>1216</v>
      </c>
      <c r="Z104" s="1990" t="s">
        <v>1183</v>
      </c>
    </row>
    <row r="105" spans="1:26" s="1190" customFormat="1" ht="57.6">
      <c r="A105" s="1253"/>
      <c r="B105" s="1891" t="s">
        <v>1037</v>
      </c>
      <c r="C105" s="1641">
        <f>'Actividades económicas TUR'!I11</f>
        <v>4488</v>
      </c>
      <c r="D105" s="1239">
        <f>'Actividades económicas TUR'!J11</f>
        <v>4909</v>
      </c>
      <c r="E105" s="1240">
        <f>'Actividades económicas TUR'!K11</f>
        <v>5162</v>
      </c>
      <c r="F105" s="1241"/>
      <c r="G105" s="1242">
        <f>'Actividades económicas TUR'!M11</f>
        <v>5231</v>
      </c>
      <c r="H105" s="1892">
        <f>'Actividades económicas TUR'!N11</f>
        <v>4381</v>
      </c>
      <c r="I105" s="2111">
        <f>'Actividades económicas TUR'!O11</f>
        <v>4752</v>
      </c>
      <c r="J105" s="2310">
        <f>'Actividades económicas TUR'!P11</f>
        <v>4776</v>
      </c>
      <c r="K105" s="2644">
        <f>'Actividades económicas TUR'!Q11</f>
        <v>4858</v>
      </c>
      <c r="L105" s="1907" t="s">
        <v>1137</v>
      </c>
      <c r="N105" s="5128"/>
      <c r="O105" s="1890"/>
      <c r="P105" s="1890"/>
      <c r="Q105" s="1890"/>
      <c r="R105" s="1890"/>
      <c r="S105" s="1890"/>
      <c r="U105" s="1952" t="s">
        <v>1037</v>
      </c>
      <c r="V105" s="1991" t="s">
        <v>1252</v>
      </c>
      <c r="W105" s="1991" t="s">
        <v>601</v>
      </c>
      <c r="X105" s="1991" t="s">
        <v>1215</v>
      </c>
      <c r="Y105" s="1932" t="s">
        <v>1216</v>
      </c>
      <c r="Z105" s="1991" t="s">
        <v>1183</v>
      </c>
    </row>
    <row r="106" spans="1:26" s="1190" customFormat="1">
      <c r="A106" s="1252"/>
      <c r="B106" s="1210"/>
      <c r="C106" s="1221"/>
      <c r="D106" s="1247"/>
      <c r="E106" s="1248"/>
      <c r="F106" s="1265"/>
      <c r="G106" s="1265"/>
      <c r="H106" s="1212"/>
      <c r="I106" s="1212"/>
      <c r="J106" s="1212"/>
      <c r="K106" s="1212"/>
      <c r="L106" s="1894"/>
      <c r="N106" s="4332"/>
      <c r="U106" s="1949"/>
      <c r="V106" s="1920"/>
      <c r="W106" s="1619"/>
      <c r="X106" s="1619"/>
      <c r="Y106" s="1619"/>
      <c r="Z106" s="1619"/>
    </row>
    <row r="107" spans="1:26" ht="15" thickBot="1">
      <c r="A107" s="1255"/>
      <c r="B107" s="1213"/>
      <c r="C107" s="1212"/>
      <c r="D107" s="1212"/>
      <c r="E107" s="1212"/>
      <c r="F107" s="1212"/>
      <c r="G107" s="1212"/>
      <c r="H107" s="1263"/>
      <c r="I107" s="1212"/>
      <c r="J107" s="1212"/>
      <c r="K107" s="1212"/>
      <c r="L107" s="1264"/>
      <c r="U107" s="1619"/>
      <c r="V107" s="1920"/>
      <c r="W107" s="1619"/>
      <c r="X107" s="1619"/>
      <c r="Y107" s="1619"/>
      <c r="Z107" s="1619"/>
    </row>
    <row r="108" spans="1:26" ht="20.399999999999999" customHeight="1">
      <c r="A108" s="1269"/>
      <c r="B108" s="2314" t="s">
        <v>1038</v>
      </c>
      <c r="C108" s="1271">
        <v>2013</v>
      </c>
      <c r="D108" s="1272">
        <v>2014</v>
      </c>
      <c r="E108" s="1273">
        <v>2015</v>
      </c>
      <c r="F108" s="1274">
        <v>2016</v>
      </c>
      <c r="G108" s="1275" t="s">
        <v>581</v>
      </c>
      <c r="H108" s="1276">
        <v>2018</v>
      </c>
      <c r="I108" s="2155" t="s">
        <v>875</v>
      </c>
      <c r="J108" s="2308" t="s">
        <v>1404</v>
      </c>
      <c r="K108" s="2626" t="s">
        <v>1441</v>
      </c>
      <c r="L108" s="1277" t="s">
        <v>585</v>
      </c>
      <c r="U108" s="1959" t="s">
        <v>1038</v>
      </c>
      <c r="V108" s="1971"/>
      <c r="W108" s="1959"/>
      <c r="X108" s="1959"/>
      <c r="Y108" s="1959"/>
      <c r="Z108" s="1959"/>
    </row>
    <row r="109" spans="1:26" s="1648" customFormat="1" ht="27.6">
      <c r="A109" s="1644">
        <f>A103+1</f>
        <v>28</v>
      </c>
      <c r="B109" s="2655" t="s">
        <v>1039</v>
      </c>
      <c r="C109" s="1645"/>
      <c r="D109" s="1645"/>
      <c r="E109" s="1645"/>
      <c r="F109" s="1241"/>
      <c r="G109" s="1242">
        <f>'[4]Aloj-Hab-Plazas'!D13</f>
        <v>653</v>
      </c>
      <c r="H109" s="1646">
        <f>'[4]Aloj-Hab-Plazas'!D14</f>
        <v>684</v>
      </c>
      <c r="I109" s="1646">
        <f>'[4]Aloj-Hab-Plazas'!D15</f>
        <v>732</v>
      </c>
      <c r="J109" s="2311">
        <f>'Actividades económicas TUR'!P6</f>
        <v>737</v>
      </c>
      <c r="K109" s="2645">
        <f>'Actividades económicas TUR'!Q6</f>
        <v>735</v>
      </c>
      <c r="L109" s="1647" t="s">
        <v>601</v>
      </c>
      <c r="N109" s="5105" t="s">
        <v>1496</v>
      </c>
      <c r="O109" s="5105"/>
      <c r="P109" s="5105"/>
      <c r="Q109" s="5105"/>
      <c r="R109" s="5105"/>
      <c r="S109" s="5105"/>
      <c r="U109" s="1954" t="s">
        <v>1039</v>
      </c>
      <c r="V109" s="1954" t="s">
        <v>1039</v>
      </c>
      <c r="W109" s="1939" t="s">
        <v>601</v>
      </c>
      <c r="X109" s="1939" t="s">
        <v>1215</v>
      </c>
      <c r="Y109" s="1939" t="s">
        <v>1216</v>
      </c>
      <c r="Z109" s="1939" t="s">
        <v>1183</v>
      </c>
    </row>
    <row r="110" spans="1:26">
      <c r="A110" s="2985">
        <f>A109+1</f>
        <v>29</v>
      </c>
      <c r="B110" s="2656" t="s">
        <v>1041</v>
      </c>
      <c r="C110" s="1642">
        <f>'[4]Aloj-Hab-Plazas'!E9</f>
        <v>11794</v>
      </c>
      <c r="D110" s="1642">
        <f>'[4]Aloj-Hab-Plazas'!E10</f>
        <v>12956</v>
      </c>
      <c r="E110" s="1642">
        <f>'[4]Aloj-Hab-Plazas'!E11</f>
        <v>14286</v>
      </c>
      <c r="F110" s="1241">
        <f>'[4]Aloj-Hab-Plazas'!E12</f>
        <v>14739</v>
      </c>
      <c r="G110" s="1242">
        <f>'[4]Aloj-Hab-Plazas'!E13</f>
        <v>13357</v>
      </c>
      <c r="H110" s="2533">
        <f>'[4]Aloj-Hab-Plazas'!E14</f>
        <v>13776</v>
      </c>
      <c r="I110" s="1639">
        <f>'[4]Aloj-Hab-Plazas'!E15</f>
        <v>14569</v>
      </c>
      <c r="J110" s="2299">
        <f>'Aloj x sectores'!D19</f>
        <v>15671</v>
      </c>
      <c r="K110" s="2643">
        <f>'Aloj x sectores'!D19</f>
        <v>15671</v>
      </c>
      <c r="L110" s="2534" t="s">
        <v>601</v>
      </c>
      <c r="N110" s="5106"/>
      <c r="O110" s="5106"/>
      <c r="P110" s="5106"/>
      <c r="Q110" s="5106"/>
      <c r="R110" s="5106"/>
      <c r="S110" s="5106"/>
      <c r="U110" s="1952" t="s">
        <v>1041</v>
      </c>
      <c r="V110" s="1952" t="s">
        <v>1254</v>
      </c>
      <c r="W110" s="1990" t="s">
        <v>601</v>
      </c>
      <c r="X110" s="1990" t="s">
        <v>1215</v>
      </c>
      <c r="Y110" s="1932" t="s">
        <v>1216</v>
      </c>
      <c r="Z110" s="1990" t="s">
        <v>1183</v>
      </c>
    </row>
    <row r="111" spans="1:26" ht="15" thickBot="1">
      <c r="A111" s="5260">
        <f>A110+1</f>
        <v>30</v>
      </c>
      <c r="B111" s="2657" t="s">
        <v>1040</v>
      </c>
      <c r="C111" s="1643">
        <f>'[4]Aloj-Hab-Plazas'!F9</f>
        <v>23588</v>
      </c>
      <c r="D111" s="1643">
        <f>'[4]Aloj-Hab-Plazas'!F10</f>
        <v>25912</v>
      </c>
      <c r="E111" s="1643">
        <f>'[4]Aloj-Hab-Plazas'!F11</f>
        <v>28572</v>
      </c>
      <c r="F111" s="1903">
        <f>'[4]Aloj-Hab-Plazas'!F12</f>
        <v>29478</v>
      </c>
      <c r="G111" s="1904">
        <f>'[4]Aloj-Hab-Plazas'!F13</f>
        <v>26851</v>
      </c>
      <c r="H111" s="1266">
        <f>'[4]Aloj-Hab-Plazas'!F14</f>
        <v>28458</v>
      </c>
      <c r="I111" s="1640">
        <f>'[4]Aloj-Hab-Plazas'!F15</f>
        <v>30757</v>
      </c>
      <c r="J111" s="2312">
        <f>'Aloj x sectores'!C19</f>
        <v>28675</v>
      </c>
      <c r="K111" s="2646">
        <f>'Aloj x sectores'!C19</f>
        <v>28675</v>
      </c>
      <c r="L111" s="1267" t="s">
        <v>601</v>
      </c>
      <c r="N111" s="5106"/>
      <c r="O111" s="5106"/>
      <c r="P111" s="5106"/>
      <c r="Q111" s="5106"/>
      <c r="R111" s="5106"/>
      <c r="S111" s="5106"/>
      <c r="U111" s="1955" t="s">
        <v>1040</v>
      </c>
      <c r="V111" s="1955" t="s">
        <v>1255</v>
      </c>
      <c r="W111" s="1940" t="s">
        <v>601</v>
      </c>
      <c r="X111" s="1940" t="s">
        <v>1215</v>
      </c>
      <c r="Y111" s="1940" t="s">
        <v>1216</v>
      </c>
      <c r="Z111" s="1940" t="s">
        <v>1183</v>
      </c>
    </row>
    <row r="112" spans="1:26">
      <c r="A112" s="5261"/>
      <c r="B112" s="2658" t="s">
        <v>1144</v>
      </c>
      <c r="C112" s="1913"/>
      <c r="D112" s="1913"/>
      <c r="E112" s="1913"/>
      <c r="F112" s="1914"/>
      <c r="G112" s="1915"/>
      <c r="H112" s="1917">
        <f>H109/G109-1</f>
        <v>4.7473200612557331E-2</v>
      </c>
      <c r="I112" s="1918">
        <f>I109/H109-1</f>
        <v>7.0175438596491224E-2</v>
      </c>
      <c r="J112" s="2313">
        <f>J109/I109-1</f>
        <v>6.830601092896238E-3</v>
      </c>
      <c r="K112" s="2647">
        <f>K109/J109-1</f>
        <v>-2.7137042062415073E-3</v>
      </c>
      <c r="L112" s="1916" t="s">
        <v>1754</v>
      </c>
      <c r="N112" s="5106"/>
      <c r="O112" s="5106"/>
      <c r="P112" s="5106"/>
      <c r="Q112" s="5106"/>
      <c r="R112" s="5106"/>
      <c r="S112" s="5106"/>
      <c r="U112" s="1949" t="s">
        <v>1144</v>
      </c>
      <c r="V112" s="1976"/>
      <c r="W112" s="1941"/>
      <c r="X112" s="1941"/>
      <c r="Y112" s="1941"/>
      <c r="Z112" s="1941"/>
    </row>
    <row r="113" spans="1:26">
      <c r="A113" s="5261"/>
      <c r="B113" s="2658" t="s">
        <v>1145</v>
      </c>
      <c r="C113" s="1913"/>
      <c r="D113" s="1913"/>
      <c r="E113" s="1913"/>
      <c r="F113" s="1914"/>
      <c r="G113" s="1915"/>
      <c r="H113" s="1917">
        <f t="shared" ref="H113:H114" si="3">H110/G110-1</f>
        <v>3.1369319457962064E-2</v>
      </c>
      <c r="I113" s="1918">
        <f t="shared" ref="I113:K113" si="4">I110/H110-1</f>
        <v>5.7563879210220659E-2</v>
      </c>
      <c r="J113" s="2313">
        <f t="shared" si="4"/>
        <v>7.5640057656668258E-2</v>
      </c>
      <c r="K113" s="2647">
        <f t="shared" si="4"/>
        <v>0</v>
      </c>
      <c r="L113" s="1916" t="s">
        <v>1754</v>
      </c>
      <c r="N113" s="5106"/>
      <c r="O113" s="5106"/>
      <c r="P113" s="5106"/>
      <c r="Q113" s="5106"/>
      <c r="R113" s="5106"/>
      <c r="S113" s="5106"/>
      <c r="U113" s="1949" t="s">
        <v>1145</v>
      </c>
      <c r="V113" s="1976"/>
      <c r="W113" s="1941"/>
      <c r="X113" s="1941"/>
      <c r="Y113" s="1941"/>
      <c r="Z113" s="1941"/>
    </row>
    <row r="114" spans="1:26">
      <c r="A114" s="5261"/>
      <c r="B114" s="2658" t="s">
        <v>1146</v>
      </c>
      <c r="C114" s="1913"/>
      <c r="D114" s="1913"/>
      <c r="E114" s="1913"/>
      <c r="F114" s="1914"/>
      <c r="G114" s="1915"/>
      <c r="H114" s="1917">
        <f t="shared" si="3"/>
        <v>5.9848795203158112E-2</v>
      </c>
      <c r="I114" s="1918">
        <f t="shared" ref="I114:K114" si="5">I111/H111-1</f>
        <v>8.0785719305643378E-2</v>
      </c>
      <c r="J114" s="2313">
        <f t="shared" si="5"/>
        <v>-6.76919075332445E-2</v>
      </c>
      <c r="K114" s="2647">
        <f t="shared" si="5"/>
        <v>0</v>
      </c>
      <c r="L114" s="1916" t="s">
        <v>1754</v>
      </c>
      <c r="N114" s="5106"/>
      <c r="O114" s="5106"/>
      <c r="P114" s="5106"/>
      <c r="Q114" s="5106"/>
      <c r="R114" s="5106"/>
      <c r="S114" s="5106"/>
      <c r="U114" s="1949" t="s">
        <v>1146</v>
      </c>
      <c r="V114" s="1976"/>
      <c r="W114" s="1941"/>
      <c r="X114" s="1941"/>
      <c r="Y114" s="1941"/>
      <c r="Z114" s="1941"/>
    </row>
    <row r="115" spans="1:26">
      <c r="A115" s="5261"/>
      <c r="B115" s="2659"/>
      <c r="C115" s="1212"/>
      <c r="D115" s="1212"/>
      <c r="E115" s="1212"/>
      <c r="F115" s="1212"/>
      <c r="G115" s="1212"/>
      <c r="H115" s="1263"/>
      <c r="I115" s="1212"/>
      <c r="J115" s="1212"/>
      <c r="K115" s="1212"/>
      <c r="L115" s="1264"/>
      <c r="U115" s="1619"/>
      <c r="V115" s="1920"/>
      <c r="W115" s="1619"/>
      <c r="X115" s="1619"/>
      <c r="Y115" s="1619"/>
      <c r="Z115" s="1619"/>
    </row>
    <row r="116" spans="1:26" ht="15" thickBot="1">
      <c r="A116" s="5261"/>
      <c r="B116" s="2660"/>
      <c r="C116" s="2661"/>
      <c r="D116" s="2661"/>
      <c r="E116" s="2661"/>
      <c r="F116" s="2661"/>
      <c r="G116" s="2661"/>
      <c r="H116" s="2662"/>
      <c r="I116" s="2661"/>
      <c r="J116" s="2661"/>
      <c r="K116" s="2661"/>
      <c r="L116" s="1893"/>
      <c r="U116" s="1619"/>
      <c r="V116" s="1920"/>
      <c r="W116" s="1619"/>
      <c r="X116" s="1619"/>
      <c r="Y116" s="1619"/>
      <c r="Z116" s="1619"/>
    </row>
    <row r="118" spans="1:26" ht="15" thickBot="1"/>
    <row r="119" spans="1:26" ht="20.399999999999999" customHeight="1">
      <c r="A119" s="1269"/>
      <c r="B119" s="2314" t="s">
        <v>1750</v>
      </c>
      <c r="C119" s="1271">
        <v>2013</v>
      </c>
      <c r="D119" s="1272">
        <v>2014</v>
      </c>
      <c r="E119" s="1273">
        <v>2015</v>
      </c>
      <c r="F119" s="1274">
        <v>2016</v>
      </c>
      <c r="G119" s="1275">
        <v>2017</v>
      </c>
      <c r="H119" s="1276">
        <v>2018</v>
      </c>
      <c r="I119" s="1631">
        <v>2019</v>
      </c>
      <c r="J119" s="2301">
        <v>2020</v>
      </c>
      <c r="K119" s="2626" t="s">
        <v>1441</v>
      </c>
      <c r="L119" s="1277" t="s">
        <v>585</v>
      </c>
      <c r="U119" s="1959"/>
      <c r="V119" s="1971"/>
      <c r="W119" s="1959"/>
      <c r="X119" s="1959"/>
      <c r="Y119" s="1959"/>
      <c r="Z119" s="1959"/>
    </row>
    <row r="120" spans="1:26" s="1648" customFormat="1" ht="27.6">
      <c r="A120" s="4313">
        <f>A111+1</f>
        <v>31</v>
      </c>
      <c r="B120" s="2655" t="s">
        <v>1745</v>
      </c>
      <c r="C120" s="1645"/>
      <c r="D120" s="1645"/>
      <c r="E120" s="1645"/>
      <c r="F120" s="1241"/>
      <c r="G120" s="1242"/>
      <c r="H120" s="1646"/>
      <c r="I120" s="1646">
        <f>'Ventas locales tur uio'!J2</f>
        <v>2272.3585533299997</v>
      </c>
      <c r="J120" s="2311">
        <f>'Ventas locales tur uio'!J3</f>
        <v>1108.9689002</v>
      </c>
      <c r="K120" s="2645">
        <f>'Ventas locales tur uio'!J8</f>
        <v>1238.8932168487725</v>
      </c>
      <c r="L120" s="1647" t="s">
        <v>1747</v>
      </c>
      <c r="N120" s="1196" t="s">
        <v>1748</v>
      </c>
      <c r="O120" s="165"/>
      <c r="P120" s="165"/>
      <c r="Q120" s="165"/>
      <c r="R120" s="165"/>
      <c r="S120" s="165"/>
      <c r="U120" s="1954" t="str">
        <f>B120</f>
        <v>Valor de ventas locales por actividad turística en el DMQ</v>
      </c>
      <c r="V120" s="1954" t="s">
        <v>1761</v>
      </c>
      <c r="W120" s="1939" t="s">
        <v>1747</v>
      </c>
      <c r="X120" s="1939" t="s">
        <v>1762</v>
      </c>
      <c r="Y120" s="1939" t="s">
        <v>1763</v>
      </c>
      <c r="Z120" s="1939" t="s">
        <v>1764</v>
      </c>
    </row>
    <row r="121" spans="1:26" ht="28.8">
      <c r="A121" s="4314">
        <f>A120+1</f>
        <v>32</v>
      </c>
      <c r="B121" s="2656" t="s">
        <v>1746</v>
      </c>
      <c r="C121" s="1642"/>
      <c r="D121" s="1642"/>
      <c r="E121" s="1642"/>
      <c r="F121" s="1241"/>
      <c r="G121" s="1242"/>
      <c r="H121" s="4049"/>
      <c r="I121" s="1639"/>
      <c r="J121" s="4312">
        <f>J120/I120-1</f>
        <v>-0.51197450834734015</v>
      </c>
      <c r="K121" s="4311">
        <f>K120/J120-1</f>
        <v>0.11715776396014421</v>
      </c>
      <c r="L121" s="2534" t="s">
        <v>1754</v>
      </c>
      <c r="N121" s="1196" t="s">
        <v>1749</v>
      </c>
      <c r="U121" s="1952" t="str">
        <f t="shared" ref="U121:U141" si="6">B121</f>
        <v>Variación porcentual interanual de veltas locales turísticas en el DMQ</v>
      </c>
      <c r="V121" s="1952"/>
      <c r="W121" s="1990" t="s">
        <v>1754</v>
      </c>
      <c r="X121" s="1990" t="s">
        <v>1762</v>
      </c>
      <c r="Y121" s="1932"/>
      <c r="Z121" s="1990"/>
    </row>
    <row r="123" spans="1:26" ht="15" thickBot="1"/>
    <row r="124" spans="1:26" ht="20.399999999999999" customHeight="1">
      <c r="A124" s="1269"/>
      <c r="B124" s="2314" t="s">
        <v>1751</v>
      </c>
      <c r="C124" s="1271">
        <v>2013</v>
      </c>
      <c r="D124" s="1272">
        <v>2014</v>
      </c>
      <c r="E124" s="1273">
        <v>2015</v>
      </c>
      <c r="F124" s="1274">
        <v>2016</v>
      </c>
      <c r="G124" s="1275">
        <v>2017</v>
      </c>
      <c r="H124" s="1276">
        <v>2018</v>
      </c>
      <c r="I124" s="1631">
        <v>2019</v>
      </c>
      <c r="J124" s="2301">
        <v>2020</v>
      </c>
      <c r="K124" s="2626" t="s">
        <v>1769</v>
      </c>
      <c r="L124" s="1277" t="s">
        <v>585</v>
      </c>
      <c r="U124" s="1959" t="str">
        <f t="shared" si="6"/>
        <v>Visitantes en Puntos de Información Turística del DMQ</v>
      </c>
      <c r="V124" s="1971" t="s">
        <v>1765</v>
      </c>
      <c r="W124" s="1959" t="s">
        <v>601</v>
      </c>
      <c r="X124" s="1959" t="s">
        <v>1197</v>
      </c>
      <c r="Y124" s="1959" t="s">
        <v>1766</v>
      </c>
      <c r="Z124" s="1959" t="s">
        <v>1189</v>
      </c>
    </row>
    <row r="125" spans="1:26" s="1648" customFormat="1">
      <c r="A125" s="4313">
        <f>A121+1</f>
        <v>33</v>
      </c>
      <c r="B125" s="2655" t="s">
        <v>1539</v>
      </c>
      <c r="C125" s="1645"/>
      <c r="D125" s="1645"/>
      <c r="E125" s="1645"/>
      <c r="F125" s="1241"/>
      <c r="G125" s="1242">
        <f>Puntos_información_QT!C8</f>
        <v>36753</v>
      </c>
      <c r="H125" s="1646">
        <f>Puntos_información_QT!C9</f>
        <v>41156</v>
      </c>
      <c r="I125" s="4330">
        <f>Puntos_información_QT!C10</f>
        <v>44477</v>
      </c>
      <c r="J125" s="2311">
        <f>Puntos_información_QT!C11</f>
        <v>7673</v>
      </c>
      <c r="K125" s="2645">
        <f>Puntos_información_QT!C12</f>
        <v>0</v>
      </c>
      <c r="L125" s="1647" t="s">
        <v>1753</v>
      </c>
      <c r="N125" s="1196" t="s">
        <v>1759</v>
      </c>
      <c r="O125" s="165"/>
      <c r="P125" s="165"/>
      <c r="Q125" s="165"/>
      <c r="R125" s="165"/>
      <c r="S125" s="165"/>
      <c r="U125" s="1954" t="str">
        <f t="shared" si="6"/>
        <v>AEROPUERTO INTERNACIONAL</v>
      </c>
      <c r="V125" s="1954"/>
      <c r="W125" s="1939" t="s">
        <v>601</v>
      </c>
      <c r="X125" s="1939" t="s">
        <v>1197</v>
      </c>
      <c r="Y125" s="1939" t="s">
        <v>1766</v>
      </c>
      <c r="Z125" s="1939" t="s">
        <v>1189</v>
      </c>
    </row>
    <row r="126" spans="1:26">
      <c r="A126" s="4314">
        <f>A125+1</f>
        <v>34</v>
      </c>
      <c r="B126" s="2656" t="s">
        <v>1540</v>
      </c>
      <c r="C126" s="1642"/>
      <c r="D126" s="1642"/>
      <c r="E126" s="1642"/>
      <c r="F126" s="1241"/>
      <c r="G126" s="1242">
        <f>Puntos_información_QT!D8</f>
        <v>16969</v>
      </c>
      <c r="H126" s="4049">
        <f>Puntos_información_QT!D9</f>
        <v>31570</v>
      </c>
      <c r="I126" s="1639">
        <f>Puntos_información_QT!D10</f>
        <v>12421</v>
      </c>
      <c r="J126" s="2299">
        <f>Puntos_información_QT!D11</f>
        <v>2923</v>
      </c>
      <c r="K126" s="2643">
        <f>Puntos_información_QT!D12</f>
        <v>1797</v>
      </c>
      <c r="L126" s="2534" t="s">
        <v>1753</v>
      </c>
      <c r="N126" s="1196" t="s">
        <v>1759</v>
      </c>
      <c r="U126" s="1952" t="str">
        <f t="shared" si="6"/>
        <v>MARISCAL / OPC</v>
      </c>
      <c r="V126" s="1952"/>
      <c r="W126" s="1990" t="s">
        <v>601</v>
      </c>
      <c r="X126" s="1990" t="s">
        <v>1197</v>
      </c>
      <c r="Y126" s="1932" t="s">
        <v>1766</v>
      </c>
      <c r="Z126" s="1990" t="s">
        <v>1189</v>
      </c>
    </row>
    <row r="127" spans="1:26" s="1648" customFormat="1">
      <c r="A127" s="4313">
        <f t="shared" ref="A127:A128" si="7">A126+1</f>
        <v>35</v>
      </c>
      <c r="B127" s="2655" t="s">
        <v>1756</v>
      </c>
      <c r="C127" s="1645"/>
      <c r="D127" s="1645"/>
      <c r="E127" s="1645"/>
      <c r="F127" s="1241"/>
      <c r="G127" s="1242">
        <f>Puntos_información_QT!E8</f>
        <v>38301</v>
      </c>
      <c r="H127" s="1646">
        <f>Puntos_información_QT!E9</f>
        <v>31570</v>
      </c>
      <c r="I127" s="4330">
        <f>Puntos_información_QT!E10</f>
        <v>27018</v>
      </c>
      <c r="J127" s="2311">
        <f>Puntos_información_QT!E11</f>
        <v>5893</v>
      </c>
      <c r="K127" s="2645">
        <f>Puntos_información_QT!E12</f>
        <v>4799</v>
      </c>
      <c r="L127" s="1647" t="s">
        <v>1753</v>
      </c>
      <c r="N127" s="1196" t="s">
        <v>1759</v>
      </c>
      <c r="O127" s="165"/>
      <c r="P127" s="165"/>
      <c r="Q127" s="165"/>
      <c r="R127" s="165"/>
      <c r="S127" s="165"/>
      <c r="U127" s="1954" t="str">
        <f t="shared" si="6"/>
        <v>EL QUINDE</v>
      </c>
      <c r="V127" s="1954"/>
      <c r="W127" s="1939" t="s">
        <v>601</v>
      </c>
      <c r="X127" s="1939" t="s">
        <v>1197</v>
      </c>
      <c r="Y127" s="1939" t="s">
        <v>1766</v>
      </c>
      <c r="Z127" s="1939" t="s">
        <v>1189</v>
      </c>
    </row>
    <row r="128" spans="1:26">
      <c r="A128" s="4314">
        <f t="shared" si="7"/>
        <v>36</v>
      </c>
      <c r="B128" s="2656" t="s">
        <v>1542</v>
      </c>
      <c r="C128" s="1642"/>
      <c r="D128" s="1642"/>
      <c r="E128" s="1642"/>
      <c r="F128" s="1241"/>
      <c r="G128" s="1242">
        <f>Puntos_información_QT!F8</f>
        <v>38939</v>
      </c>
      <c r="H128" s="4049">
        <f>Puntos_información_QT!F9</f>
        <v>30270</v>
      </c>
      <c r="I128" s="1639">
        <f>Puntos_información_QT!F10</f>
        <v>24607</v>
      </c>
      <c r="J128" s="2299">
        <f>Puntos_información_QT!F11</f>
        <v>5184</v>
      </c>
      <c r="K128" s="2643">
        <f>Puntos_información_QT!F12</f>
        <v>6391</v>
      </c>
      <c r="L128" s="2534" t="s">
        <v>1753</v>
      </c>
      <c r="N128" s="1196" t="s">
        <v>1759</v>
      </c>
      <c r="U128" s="1952" t="str">
        <f t="shared" si="6"/>
        <v>QUITUMBE</v>
      </c>
      <c r="V128" s="1952"/>
      <c r="W128" s="1990" t="s">
        <v>601</v>
      </c>
      <c r="X128" s="1990" t="s">
        <v>1197</v>
      </c>
      <c r="Y128" s="1932" t="s">
        <v>1766</v>
      </c>
      <c r="Z128" s="1990" t="s">
        <v>1189</v>
      </c>
    </row>
    <row r="129" spans="1:26" s="4326" customFormat="1">
      <c r="A129" s="4315"/>
      <c r="B129" s="4325" t="s">
        <v>1755</v>
      </c>
      <c r="C129" s="4316"/>
      <c r="D129" s="4316"/>
      <c r="E129" s="4316"/>
      <c r="F129" s="4317"/>
      <c r="G129" s="4318">
        <f>SUM(G125:G128)</f>
        <v>130962</v>
      </c>
      <c r="H129" s="4319">
        <f t="shared" ref="H129:K129" si="8">SUM(H125:H128)</f>
        <v>134566</v>
      </c>
      <c r="I129" s="4331">
        <f t="shared" si="8"/>
        <v>108523</v>
      </c>
      <c r="J129" s="4320">
        <f t="shared" si="8"/>
        <v>21673</v>
      </c>
      <c r="K129" s="4321">
        <f t="shared" si="8"/>
        <v>12987</v>
      </c>
      <c r="L129" s="4322" t="s">
        <v>1753</v>
      </c>
      <c r="N129" s="4334"/>
      <c r="O129" s="4327"/>
      <c r="P129" s="4327"/>
      <c r="Q129" s="4327"/>
      <c r="R129" s="4327"/>
      <c r="S129" s="4327"/>
      <c r="U129" s="4323" t="str">
        <f t="shared" si="6"/>
        <v>TOTAL VISITANTES en puntos información DMQ</v>
      </c>
      <c r="V129" s="4323"/>
      <c r="W129" s="4324" t="s">
        <v>601</v>
      </c>
      <c r="X129" s="4324" t="s">
        <v>1197</v>
      </c>
      <c r="Y129" s="4324" t="s">
        <v>1766</v>
      </c>
      <c r="Z129" s="4324" t="s">
        <v>1189</v>
      </c>
    </row>
    <row r="130" spans="1:26" ht="28.8">
      <c r="A130" s="4314">
        <f>A128+1</f>
        <v>37</v>
      </c>
      <c r="B130" s="2656" t="s">
        <v>1752</v>
      </c>
      <c r="C130" s="1642"/>
      <c r="D130" s="1642"/>
      <c r="E130" s="1642"/>
      <c r="F130" s="1241"/>
      <c r="G130" s="1242"/>
      <c r="H130" s="4328">
        <f t="shared" ref="H130:I130" si="9">H129/G129-1</f>
        <v>2.7519433118003755E-2</v>
      </c>
      <c r="I130" s="4329">
        <f t="shared" si="9"/>
        <v>-0.19353328478218867</v>
      </c>
      <c r="J130" s="4309">
        <f>J129/I129-1</f>
        <v>-0.80029118251430575</v>
      </c>
      <c r="K130" s="4310">
        <f>K129/J129-1</f>
        <v>-0.40077515803072949</v>
      </c>
      <c r="L130" s="2534" t="s">
        <v>1754</v>
      </c>
      <c r="U130" s="1952" t="str">
        <f t="shared" si="6"/>
        <v>Variación porcentual interanual visitantes a Puntos de información</v>
      </c>
      <c r="V130" s="1952"/>
      <c r="W130" s="1990" t="s">
        <v>1036</v>
      </c>
      <c r="X130" s="1990" t="s">
        <v>1197</v>
      </c>
      <c r="Y130" s="1932"/>
      <c r="Z130" s="1990"/>
    </row>
    <row r="131" spans="1:26">
      <c r="U131" s="1946">
        <f t="shared" si="6"/>
        <v>0</v>
      </c>
    </row>
    <row r="132" spans="1:26" ht="15" thickBot="1">
      <c r="U132" s="1946">
        <f t="shared" si="6"/>
        <v>0</v>
      </c>
    </row>
    <row r="133" spans="1:26" ht="20.399999999999999" customHeight="1">
      <c r="A133" s="1269"/>
      <c r="B133" s="2314" t="s">
        <v>1757</v>
      </c>
      <c r="C133" s="1271">
        <v>2013</v>
      </c>
      <c r="D133" s="1272">
        <v>2014</v>
      </c>
      <c r="E133" s="1273">
        <v>2015</v>
      </c>
      <c r="F133" s="1274">
        <v>2016</v>
      </c>
      <c r="G133" s="1275">
        <v>2017</v>
      </c>
      <c r="H133" s="1276">
        <v>2018</v>
      </c>
      <c r="I133" s="1631">
        <v>2019</v>
      </c>
      <c r="J133" s="2301">
        <v>2020</v>
      </c>
      <c r="K133" s="2626" t="s">
        <v>1769</v>
      </c>
      <c r="L133" s="1277" t="s">
        <v>585</v>
      </c>
      <c r="U133" s="1959" t="str">
        <f t="shared" si="6"/>
        <v>Visitantes a MUSEOS del DMQ</v>
      </c>
      <c r="V133" s="1971" t="s">
        <v>1767</v>
      </c>
      <c r="W133" s="1959" t="s">
        <v>601</v>
      </c>
      <c r="X133" s="1959" t="s">
        <v>1197</v>
      </c>
      <c r="Y133" s="1959" t="s">
        <v>1766</v>
      </c>
      <c r="Z133" s="1959" t="s">
        <v>1189</v>
      </c>
    </row>
    <row r="134" spans="1:26" s="1648" customFormat="1">
      <c r="A134" s="4313">
        <f>A130+1</f>
        <v>38</v>
      </c>
      <c r="B134" s="2655" t="s">
        <v>1555</v>
      </c>
      <c r="C134" s="1645"/>
      <c r="D134" s="1645"/>
      <c r="E134" s="1645"/>
      <c r="F134" s="1241"/>
      <c r="G134" s="1242"/>
      <c r="H134" s="1646"/>
      <c r="I134" s="4330">
        <f>'Museos UIO'!B82</f>
        <v>134348</v>
      </c>
      <c r="J134" s="2311">
        <f>'Museos UIO'!B57</f>
        <v>39122</v>
      </c>
      <c r="K134" s="2645">
        <f>'Museos UIO'!B26</f>
        <v>6904</v>
      </c>
      <c r="L134" s="1647" t="s">
        <v>1753</v>
      </c>
      <c r="N134" s="1196" t="s">
        <v>1760</v>
      </c>
      <c r="O134" s="165"/>
      <c r="P134" s="165"/>
      <c r="Q134" s="165"/>
      <c r="R134" s="165"/>
      <c r="S134" s="165"/>
      <c r="U134" s="1954" t="str">
        <f t="shared" si="6"/>
        <v>MUSEO DE LA CIUDAD</v>
      </c>
      <c r="V134" s="1954"/>
      <c r="W134" s="1939" t="s">
        <v>601</v>
      </c>
      <c r="X134" s="1939" t="s">
        <v>1197</v>
      </c>
      <c r="Y134" s="1939" t="s">
        <v>1766</v>
      </c>
      <c r="Z134" s="1939" t="s">
        <v>1189</v>
      </c>
    </row>
    <row r="135" spans="1:26">
      <c r="A135" s="4314">
        <f>A134+1</f>
        <v>39</v>
      </c>
      <c r="B135" s="2656" t="s">
        <v>1556</v>
      </c>
      <c r="C135" s="1642"/>
      <c r="D135" s="1642"/>
      <c r="E135" s="1642"/>
      <c r="F135" s="1241"/>
      <c r="G135" s="1242"/>
      <c r="H135" s="4049"/>
      <c r="I135" s="1639">
        <f>'Museos UIO'!D82</f>
        <v>117136</v>
      </c>
      <c r="J135" s="2299">
        <f>'Museos UIO'!D57</f>
        <v>67719</v>
      </c>
      <c r="K135" s="2643">
        <f>'Museos UIO'!D26</f>
        <v>23363</v>
      </c>
      <c r="L135" s="2534" t="s">
        <v>1753</v>
      </c>
      <c r="N135" s="1196" t="s">
        <v>1760</v>
      </c>
      <c r="U135" s="1952" t="str">
        <f t="shared" si="6"/>
        <v>MUSEO DEL AGUA</v>
      </c>
      <c r="V135" s="1952"/>
      <c r="W135" s="1990" t="s">
        <v>601</v>
      </c>
      <c r="X135" s="1990" t="s">
        <v>1197</v>
      </c>
      <c r="Y135" s="1932" t="s">
        <v>1766</v>
      </c>
      <c r="Z135" s="1990" t="s">
        <v>1189</v>
      </c>
    </row>
    <row r="136" spans="1:26" s="1648" customFormat="1">
      <c r="A136" s="4313">
        <f t="shared" ref="A136:A138" si="10">A135+1</f>
        <v>40</v>
      </c>
      <c r="B136" s="2655" t="s">
        <v>1557</v>
      </c>
      <c r="C136" s="1645"/>
      <c r="D136" s="1645"/>
      <c r="E136" s="1645"/>
      <c r="F136" s="1241"/>
      <c r="G136" s="1242"/>
      <c r="H136" s="1646"/>
      <c r="I136" s="4330">
        <f>'Museos UIO'!F82</f>
        <v>62793</v>
      </c>
      <c r="J136" s="2311">
        <f>'Museos UIO'!F57</f>
        <v>30202</v>
      </c>
      <c r="K136" s="2645">
        <f>'Museos UIO'!F26</f>
        <v>8827</v>
      </c>
      <c r="L136" s="1647" t="s">
        <v>1753</v>
      </c>
      <c r="N136" s="1196" t="s">
        <v>1760</v>
      </c>
      <c r="O136" s="165"/>
      <c r="P136" s="165"/>
      <c r="Q136" s="165"/>
      <c r="R136" s="165"/>
      <c r="S136" s="165"/>
      <c r="U136" s="1954" t="str">
        <f t="shared" si="6"/>
        <v>MUSEO INTERACTIVO DE CIENCIAS</v>
      </c>
      <c r="V136" s="1954"/>
      <c r="W136" s="1939" t="s">
        <v>601</v>
      </c>
      <c r="X136" s="1939" t="s">
        <v>1197</v>
      </c>
      <c r="Y136" s="1939" t="s">
        <v>1766</v>
      </c>
      <c r="Z136" s="1939" t="s">
        <v>1189</v>
      </c>
    </row>
    <row r="137" spans="1:26">
      <c r="A137" s="4314">
        <f t="shared" si="10"/>
        <v>41</v>
      </c>
      <c r="B137" s="2656" t="s">
        <v>1558</v>
      </c>
      <c r="C137" s="1642"/>
      <c r="D137" s="1642"/>
      <c r="E137" s="1642"/>
      <c r="F137" s="1241"/>
      <c r="G137" s="1242"/>
      <c r="H137" s="4049"/>
      <c r="I137" s="1639">
        <f>'Museos UIO'!H82</f>
        <v>25402</v>
      </c>
      <c r="J137" s="2299">
        <f>'Museos UIO'!H57</f>
        <v>21011</v>
      </c>
      <c r="K137" s="2643">
        <f>'Museos UIO'!H26</f>
        <v>5917</v>
      </c>
      <c r="L137" s="2534" t="s">
        <v>1753</v>
      </c>
      <c r="N137" s="1196" t="s">
        <v>1760</v>
      </c>
      <c r="U137" s="1952" t="str">
        <f t="shared" si="6"/>
        <v>MUSEO DEL CARMEN ALTO</v>
      </c>
      <c r="V137" s="1952"/>
      <c r="W137" s="1990" t="s">
        <v>601</v>
      </c>
      <c r="X137" s="1990" t="s">
        <v>1197</v>
      </c>
      <c r="Y137" s="1932" t="s">
        <v>1766</v>
      </c>
      <c r="Z137" s="1990" t="s">
        <v>1189</v>
      </c>
    </row>
    <row r="138" spans="1:26" s="1648" customFormat="1">
      <c r="A138" s="4313">
        <f t="shared" si="10"/>
        <v>42</v>
      </c>
      <c r="B138" s="2655" t="s">
        <v>1783</v>
      </c>
      <c r="C138" s="1645"/>
      <c r="D138" s="1645"/>
      <c r="E138" s="1645"/>
      <c r="F138" s="1241"/>
      <c r="G138" s="1242"/>
      <c r="H138" s="1646"/>
      <c r="I138" s="4330"/>
      <c r="J138" s="2311"/>
      <c r="K138" s="2645">
        <f>'Museos UIO'!J26</f>
        <v>36851</v>
      </c>
      <c r="L138" s="1647" t="s">
        <v>1753</v>
      </c>
      <c r="N138" s="1196" t="s">
        <v>1760</v>
      </c>
      <c r="O138" s="165"/>
      <c r="P138" s="165"/>
      <c r="Q138" s="165"/>
      <c r="R138" s="165"/>
      <c r="S138" s="165"/>
      <c r="U138" s="1954"/>
      <c r="V138" s="1954"/>
      <c r="W138" s="1939"/>
      <c r="X138" s="1939"/>
      <c r="Y138" s="1939"/>
      <c r="Z138" s="1939"/>
    </row>
    <row r="139" spans="1:26">
      <c r="A139" s="4314"/>
      <c r="B139" s="2656"/>
      <c r="C139" s="1913"/>
      <c r="D139" s="1913"/>
      <c r="E139" s="1913"/>
      <c r="F139" s="1241"/>
      <c r="G139" s="1242"/>
      <c r="H139" s="4398"/>
      <c r="I139" s="1639"/>
      <c r="J139" s="2299"/>
      <c r="K139" s="2643"/>
      <c r="L139" s="2534"/>
      <c r="U139" s="1952"/>
      <c r="V139" s="1952"/>
      <c r="W139" s="4404"/>
      <c r="X139" s="4404"/>
      <c r="Y139" s="1932"/>
      <c r="Z139" s="4404"/>
    </row>
    <row r="140" spans="1:26" s="4326" customFormat="1">
      <c r="A140" s="4315"/>
      <c r="B140" s="4325" t="s">
        <v>1782</v>
      </c>
      <c r="C140" s="4316"/>
      <c r="D140" s="4316"/>
      <c r="E140" s="4316"/>
      <c r="F140" s="4317"/>
      <c r="G140" s="4318"/>
      <c r="H140" s="4319"/>
      <c r="I140" s="4320">
        <f t="shared" ref="I140:J140" si="11">SUM(I134:I139)</f>
        <v>339679</v>
      </c>
      <c r="J140" s="4320">
        <f t="shared" si="11"/>
        <v>158054</v>
      </c>
      <c r="K140" s="4321">
        <f>SUM(K134:K139)</f>
        <v>81862</v>
      </c>
      <c r="L140" s="4322" t="s">
        <v>1753</v>
      </c>
      <c r="N140" s="4334"/>
      <c r="O140" s="4327"/>
      <c r="P140" s="4327"/>
      <c r="Q140" s="4327"/>
      <c r="R140" s="4327"/>
      <c r="S140" s="4327"/>
      <c r="U140" s="4323" t="str">
        <f t="shared" si="6"/>
        <v>TOTAL VISITANTES en museos descritos</v>
      </c>
      <c r="V140" s="4323"/>
      <c r="W140" s="4324" t="s">
        <v>601</v>
      </c>
      <c r="X140" s="4324" t="s">
        <v>1197</v>
      </c>
      <c r="Y140" s="4324" t="s">
        <v>1766</v>
      </c>
      <c r="Z140" s="4324" t="s">
        <v>1189</v>
      </c>
    </row>
    <row r="141" spans="1:26" ht="27.6">
      <c r="A141" s="4314">
        <v>43</v>
      </c>
      <c r="B141" s="2656" t="s">
        <v>1758</v>
      </c>
      <c r="C141" s="1642"/>
      <c r="D141" s="1642"/>
      <c r="E141" s="1642"/>
      <c r="F141" s="1241"/>
      <c r="G141" s="1242"/>
      <c r="H141" s="4328"/>
      <c r="I141" s="4329"/>
      <c r="J141" s="4309">
        <f>J140/I140-1</f>
        <v>-0.53469599239281784</v>
      </c>
      <c r="K141" s="4310">
        <f>IF(K140="","",(K140/J140-1))</f>
        <v>-0.48206309236083866</v>
      </c>
      <c r="L141" s="2534" t="s">
        <v>1754</v>
      </c>
      <c r="U141" s="1952" t="str">
        <f t="shared" si="6"/>
        <v>Variación porcentual interanual visitantes a MUSEOS</v>
      </c>
      <c r="V141" s="1952"/>
      <c r="W141" s="1990" t="s">
        <v>1036</v>
      </c>
      <c r="X141" s="1990" t="s">
        <v>1197</v>
      </c>
      <c r="Y141" s="1932"/>
      <c r="Z141" s="1990"/>
    </row>
    <row r="145" spans="2:2" ht="28.8">
      <c r="B145" s="1188" t="s">
        <v>1784</v>
      </c>
    </row>
  </sheetData>
  <mergeCells count="124">
    <mergeCell ref="A111:A116"/>
    <mergeCell ref="B101:B102"/>
    <mergeCell ref="B103:B104"/>
    <mergeCell ref="A95:A96"/>
    <mergeCell ref="I18:J18"/>
    <mergeCell ref="I19:J19"/>
    <mergeCell ref="I20:J20"/>
    <mergeCell ref="I21:J21"/>
    <mergeCell ref="I22:J22"/>
    <mergeCell ref="I23:J23"/>
    <mergeCell ref="I24:J24"/>
    <mergeCell ref="I31:J31"/>
    <mergeCell ref="I32:J32"/>
    <mergeCell ref="B42:G42"/>
    <mergeCell ref="B43:G43"/>
    <mergeCell ref="A94:B94"/>
    <mergeCell ref="C60:L60"/>
    <mergeCell ref="B44:L44"/>
    <mergeCell ref="A54:L54"/>
    <mergeCell ref="B95:B96"/>
    <mergeCell ref="G50:G51"/>
    <mergeCell ref="A97:A98"/>
    <mergeCell ref="A99:A100"/>
    <mergeCell ref="A101:A102"/>
    <mergeCell ref="A103:A104"/>
    <mergeCell ref="B97:B98"/>
    <mergeCell ref="B99:B100"/>
    <mergeCell ref="C68:L68"/>
    <mergeCell ref="C59:L59"/>
    <mergeCell ref="N55:N60"/>
    <mergeCell ref="C58:K58"/>
    <mergeCell ref="A6:A8"/>
    <mergeCell ref="H4:I4"/>
    <mergeCell ref="A47:A49"/>
    <mergeCell ref="B46:I46"/>
    <mergeCell ref="A42:A44"/>
    <mergeCell ref="A10:A24"/>
    <mergeCell ref="B10:G24"/>
    <mergeCell ref="A26:A27"/>
    <mergeCell ref="B31:B33"/>
    <mergeCell ref="B34:B36"/>
    <mergeCell ref="I33:J33"/>
    <mergeCell ref="H6:H8"/>
    <mergeCell ref="B39:L39"/>
    <mergeCell ref="B41:L41"/>
    <mergeCell ref="B40:G40"/>
    <mergeCell ref="B37:G38"/>
    <mergeCell ref="B28:G28"/>
    <mergeCell ref="I8:K8"/>
    <mergeCell ref="I9:K9"/>
    <mergeCell ref="I11:J11"/>
    <mergeCell ref="Z28:Z36"/>
    <mergeCell ref="X37:X38"/>
    <mergeCell ref="Y37:Y38"/>
    <mergeCell ref="Z37:Z38"/>
    <mergeCell ref="Z11:Z24"/>
    <mergeCell ref="X26:X27"/>
    <mergeCell ref="Y26:Y27"/>
    <mergeCell ref="Z26:Z27"/>
    <mergeCell ref="U6:U8"/>
    <mergeCell ref="U26:U27"/>
    <mergeCell ref="I10:J10"/>
    <mergeCell ref="U37:U38"/>
    <mergeCell ref="A1:L1"/>
    <mergeCell ref="A3:L3"/>
    <mergeCell ref="B30:G30"/>
    <mergeCell ref="P25:S25"/>
    <mergeCell ref="P27:S27"/>
    <mergeCell ref="N28:O28"/>
    <mergeCell ref="P37:S37"/>
    <mergeCell ref="N38:S38"/>
    <mergeCell ref="H29:H30"/>
    <mergeCell ref="A28:A36"/>
    <mergeCell ref="B26:G27"/>
    <mergeCell ref="A5:G5"/>
    <mergeCell ref="B6:G8"/>
    <mergeCell ref="B9:G9"/>
    <mergeCell ref="B25:G25"/>
    <mergeCell ref="A37:A40"/>
    <mergeCell ref="N6:S6"/>
    <mergeCell ref="N7:S7"/>
    <mergeCell ref="N9:S9"/>
    <mergeCell ref="L7:L8"/>
    <mergeCell ref="B29:G29"/>
    <mergeCell ref="I5:K5"/>
    <mergeCell ref="I6:K6"/>
    <mergeCell ref="I7:K7"/>
    <mergeCell ref="P40:S40"/>
    <mergeCell ref="L28:L36"/>
    <mergeCell ref="I12:J12"/>
    <mergeCell ref="I13:J13"/>
    <mergeCell ref="I14:J14"/>
    <mergeCell ref="I15:J15"/>
    <mergeCell ref="I16:J16"/>
    <mergeCell ref="I17:J17"/>
    <mergeCell ref="N29:S36"/>
    <mergeCell ref="L11:L24"/>
    <mergeCell ref="N11:N24"/>
    <mergeCell ref="O11:O24"/>
    <mergeCell ref="P11:S24"/>
    <mergeCell ref="N109:S114"/>
    <mergeCell ref="U28:U36"/>
    <mergeCell ref="U11:U24"/>
    <mergeCell ref="Y11:Y24"/>
    <mergeCell ref="X28:X36"/>
    <mergeCell ref="Y28:Y36"/>
    <mergeCell ref="O72:S78"/>
    <mergeCell ref="L72:L73"/>
    <mergeCell ref="L74:L75"/>
    <mergeCell ref="N63:N68"/>
    <mergeCell ref="L76:L77"/>
    <mergeCell ref="L78:L79"/>
    <mergeCell ref="N83:N90"/>
    <mergeCell ref="N95:N105"/>
    <mergeCell ref="N47:N50"/>
    <mergeCell ref="N72:N79"/>
    <mergeCell ref="J43:L43"/>
    <mergeCell ref="J42:L42"/>
    <mergeCell ref="N42:S44"/>
    <mergeCell ref="H40:J40"/>
    <mergeCell ref="K40:L40"/>
    <mergeCell ref="I34:J34"/>
    <mergeCell ref="I35:J35"/>
    <mergeCell ref="I36:J36"/>
  </mergeCells>
  <phoneticPr fontId="11" type="noConversion"/>
  <hyperlinks>
    <hyperlink ref="P25" r:id="rId1" xr:uid="{00000000-0004-0000-0100-000000000000}"/>
    <hyperlink ref="P28" r:id="rId2" xr:uid="{00000000-0004-0000-0100-000002000000}"/>
    <hyperlink ref="P37" r:id="rId3" xr:uid="{00000000-0004-0000-0100-000003000000}"/>
    <hyperlink ref="O72" r:id="rId4" display="http://servicios.turismo.gob.ec/index.php/turismo-cifras/2018-09-18-21-11-17/indicadores-de-alojamiento" xr:uid="{00000000-0004-0000-0100-000004000000}"/>
    <hyperlink ref="P11" r:id="rId5" xr:uid="{00000000-0004-0000-0100-000005000000}"/>
    <hyperlink ref="P40" r:id="rId6" xr:uid="{00000000-0004-0000-0100-000006000000}"/>
    <hyperlink ref="P27" r:id="rId7" xr:uid="{227D7ACA-B9B3-4998-A7D0-93A103DCE255}"/>
  </hyperlinks>
  <pageMargins left="0.39370078740157483" right="0.19685039370078741" top="0.39370078740157483" bottom="0.39370078740157483" header="0.31496062992125984" footer="0.31496062992125984"/>
  <pageSetup paperSize="9" scale="62" fitToWidth="2" fitToHeight="5" orientation="landscape" verticalDpi="597" r:id="rId8"/>
  <drawing r:id="rId9"/>
  <legacyDrawing r:id="rId1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249977111117893"/>
    <pageSetUpPr fitToPage="1"/>
  </sheetPr>
  <dimension ref="A1:CS72"/>
  <sheetViews>
    <sheetView showGridLines="0" zoomScale="115" zoomScaleNormal="115" workbookViewId="0">
      <pane xSplit="9" ySplit="3" topLeftCell="J4" activePane="bottomRight" state="frozen"/>
      <selection activeCell="AE38" sqref="AE38"/>
      <selection pane="topRight" activeCell="AE38" sqref="AE38"/>
      <selection pane="bottomLeft" activeCell="AE38" sqref="AE38"/>
      <selection pane="bottomRight" activeCell="J2" sqref="J1:L1048576"/>
    </sheetView>
  </sheetViews>
  <sheetFormatPr baseColWidth="10" defaultColWidth="11.44140625" defaultRowHeight="14.4"/>
  <cols>
    <col min="1" max="1" width="27.88671875" customWidth="1"/>
    <col min="2" max="8" width="18.109375" hidden="1" customWidth="1"/>
    <col min="9" max="9" width="16" hidden="1" customWidth="1"/>
    <col min="10" max="10" width="14.33203125" hidden="1" customWidth="1"/>
    <col min="11" max="11" width="15.77734375" hidden="1" customWidth="1"/>
    <col min="12" max="12" width="12.5546875" hidden="1" customWidth="1"/>
    <col min="13" max="14" width="14.21875" customWidth="1"/>
    <col min="15" max="15" width="16.33203125" bestFit="1" customWidth="1"/>
    <col min="16" max="16" width="14.21875" customWidth="1"/>
    <col min="17" max="17" width="11.33203125" customWidth="1"/>
    <col min="18" max="20" width="11.33203125" hidden="1" customWidth="1"/>
    <col min="21" max="21" width="8.109375" customWidth="1"/>
    <col min="22" max="22" width="12.88671875" hidden="1" customWidth="1"/>
    <col min="23" max="23" width="11.33203125" hidden="1" customWidth="1"/>
    <col min="24" max="24" width="10.33203125" hidden="1" customWidth="1"/>
    <col min="25" max="25" width="31.77734375" hidden="1" customWidth="1"/>
    <col min="26" max="26" width="13" hidden="1" customWidth="1"/>
    <col min="27" max="27" width="7" hidden="1" customWidth="1"/>
    <col min="28" max="28" width="5.33203125" hidden="1" customWidth="1"/>
    <col min="29" max="29" width="67.6640625" hidden="1" customWidth="1"/>
    <col min="30" max="30" width="10.21875" customWidth="1"/>
    <col min="31" max="32" width="9.88671875" customWidth="1"/>
    <col min="33" max="33" width="10.44140625" customWidth="1"/>
    <col min="34" max="36" width="9.88671875" hidden="1" customWidth="1"/>
    <col min="37" max="37" width="12.33203125" hidden="1" customWidth="1"/>
    <col min="38" max="38" width="18.33203125" bestFit="1" customWidth="1"/>
    <col min="39" max="40" width="11.6640625" hidden="1" customWidth="1"/>
    <col min="41" max="42" width="8.88671875" hidden="1" customWidth="1"/>
    <col min="43" max="43" width="9.21875" hidden="1" customWidth="1"/>
    <col min="44" max="44" width="9.6640625" hidden="1" customWidth="1"/>
    <col min="45" max="45" width="7.5546875" hidden="1" customWidth="1"/>
    <col min="46" max="46" width="9.109375" hidden="1" customWidth="1"/>
    <col min="47" max="47" width="12.21875" customWidth="1"/>
    <col min="48" max="52" width="11.44140625" customWidth="1"/>
    <col min="233" max="233" width="0" hidden="1" customWidth="1"/>
  </cols>
  <sheetData>
    <row r="1" spans="1:97" ht="32.25" customHeight="1">
      <c r="A1" s="5277" t="s">
        <v>597</v>
      </c>
      <c r="B1" s="5277"/>
      <c r="C1" s="5277"/>
      <c r="D1" s="5277"/>
      <c r="E1" s="5277"/>
      <c r="F1" s="5277"/>
      <c r="G1" s="5277"/>
      <c r="H1" s="5277"/>
      <c r="I1" s="5277"/>
      <c r="J1" s="5277"/>
      <c r="K1" s="5277"/>
      <c r="L1" s="5277"/>
      <c r="M1" s="693"/>
      <c r="N1" s="863"/>
      <c r="O1" s="863"/>
      <c r="P1" s="863"/>
      <c r="Q1" s="4045"/>
      <c r="R1" s="863"/>
      <c r="S1" s="863"/>
      <c r="T1" s="863"/>
      <c r="U1" s="1032"/>
      <c r="V1" s="597"/>
      <c r="W1" s="597"/>
      <c r="X1" s="2119"/>
      <c r="Y1" s="2119"/>
      <c r="Z1" s="2119"/>
      <c r="AA1" s="2119"/>
      <c r="AB1" s="2119"/>
      <c r="AC1" s="2119"/>
      <c r="AD1" s="2119"/>
      <c r="AE1" s="2119"/>
      <c r="AF1" s="1043"/>
      <c r="AG1" s="597"/>
      <c r="AH1" s="597"/>
      <c r="AI1" s="597"/>
      <c r="AJ1" s="597"/>
      <c r="AK1" s="597"/>
      <c r="AL1" s="597"/>
      <c r="AM1" s="602"/>
      <c r="AN1" s="602"/>
      <c r="AO1" s="602"/>
      <c r="AP1" s="602"/>
      <c r="AQ1" s="602"/>
      <c r="AR1" s="2185"/>
      <c r="AS1" s="2185"/>
      <c r="AT1" s="2185"/>
      <c r="AU1" s="2185"/>
      <c r="AV1" s="2185"/>
      <c r="AW1" s="2185"/>
      <c r="AX1" s="2185"/>
      <c r="AY1" s="2185"/>
      <c r="AZ1" s="2185"/>
      <c r="BA1" s="479"/>
      <c r="BB1" s="479"/>
      <c r="BC1" s="479"/>
      <c r="BD1" s="479"/>
      <c r="BE1" s="479"/>
      <c r="BF1" s="479"/>
      <c r="BG1" s="479"/>
      <c r="BH1" s="479"/>
      <c r="BI1" s="479"/>
      <c r="BJ1" s="479"/>
      <c r="BK1" s="479"/>
      <c r="BL1" s="479"/>
      <c r="BM1" s="479"/>
      <c r="BN1" s="479"/>
      <c r="BO1" s="479"/>
      <c r="BP1" s="479"/>
      <c r="BQ1" s="479"/>
      <c r="BR1" s="479"/>
      <c r="BS1" s="479"/>
      <c r="BT1" s="479"/>
      <c r="BU1" s="479"/>
      <c r="BV1" s="479"/>
      <c r="BW1" s="479"/>
      <c r="BX1" s="479"/>
      <c r="BY1" s="479"/>
      <c r="BZ1" s="479"/>
    </row>
    <row r="2" spans="1:97" ht="16.2" thickBot="1">
      <c r="A2" s="478"/>
      <c r="B2" s="478"/>
      <c r="C2" s="478"/>
      <c r="D2" s="478"/>
      <c r="E2" s="478"/>
      <c r="F2" s="478"/>
      <c r="G2" s="478"/>
      <c r="H2" s="478"/>
      <c r="I2" s="480"/>
      <c r="J2" s="481"/>
      <c r="K2" s="481"/>
      <c r="L2" s="481"/>
      <c r="M2" s="481"/>
      <c r="N2" s="479"/>
      <c r="O2" s="4014">
        <f>N16-O16</f>
        <v>493973</v>
      </c>
      <c r="P2" s="2527">
        <v>0.315</v>
      </c>
      <c r="Q2" s="2527">
        <v>0.4</v>
      </c>
      <c r="R2" s="2530">
        <f>Q2</f>
        <v>0.4</v>
      </c>
      <c r="S2" s="2530">
        <f>R2</f>
        <v>0.4</v>
      </c>
      <c r="T2" s="2530">
        <f>S2</f>
        <v>0.4</v>
      </c>
      <c r="U2" s="598"/>
      <c r="V2" s="598"/>
      <c r="W2" s="598"/>
      <c r="X2" s="598"/>
      <c r="Y2" s="598"/>
      <c r="Z2" s="598"/>
      <c r="AA2" s="598"/>
      <c r="AB2" s="598"/>
      <c r="AC2" s="598"/>
      <c r="AD2" s="598"/>
      <c r="AE2" s="598"/>
      <c r="AF2" s="599"/>
      <c r="AG2" s="598"/>
      <c r="AH2" s="598"/>
      <c r="AI2" s="598"/>
      <c r="AJ2" s="598"/>
      <c r="AK2" s="598"/>
      <c r="AL2" s="599"/>
      <c r="AM2" s="602"/>
      <c r="AN2" s="602"/>
      <c r="AO2" s="602"/>
      <c r="AP2" s="602"/>
      <c r="AQ2" s="602"/>
      <c r="AR2" s="2185"/>
      <c r="AS2" s="2185"/>
      <c r="AT2" s="2185"/>
      <c r="AU2" s="2185"/>
      <c r="AV2" s="2185"/>
      <c r="AW2" s="2185"/>
      <c r="AX2" s="2185"/>
      <c r="AY2" s="2185"/>
      <c r="AZ2" s="2185"/>
      <c r="BA2" s="479"/>
      <c r="BB2" s="479"/>
      <c r="BC2" s="479"/>
      <c r="BD2" s="479"/>
      <c r="BE2" s="479"/>
      <c r="BF2" s="479"/>
      <c r="BG2" s="479"/>
      <c r="BH2" s="479"/>
      <c r="BI2" s="479"/>
      <c r="BJ2" s="479"/>
      <c r="BK2" s="479"/>
      <c r="BL2" s="479"/>
      <c r="BM2" s="479"/>
      <c r="BN2" s="479"/>
      <c r="BO2" s="479"/>
      <c r="BP2" s="479"/>
      <c r="BQ2" s="479"/>
      <c r="BR2" s="479"/>
      <c r="BS2" s="479"/>
      <c r="BT2" s="479"/>
      <c r="BU2" s="479"/>
      <c r="BV2" s="479"/>
      <c r="BW2" s="479"/>
      <c r="BX2" s="479"/>
      <c r="BY2" s="479"/>
      <c r="BZ2" s="479"/>
    </row>
    <row r="3" spans="1:97" ht="29.4" thickBot="1">
      <c r="A3" s="482" t="s">
        <v>118</v>
      </c>
      <c r="B3" s="483">
        <v>2007</v>
      </c>
      <c r="C3" s="483">
        <v>2008</v>
      </c>
      <c r="D3" s="483">
        <v>2009</v>
      </c>
      <c r="E3" s="483">
        <v>2010</v>
      </c>
      <c r="F3" s="483">
        <v>2011</v>
      </c>
      <c r="G3" s="483">
        <v>2012</v>
      </c>
      <c r="H3" s="483">
        <v>2013</v>
      </c>
      <c r="I3" s="1341">
        <v>2014</v>
      </c>
      <c r="J3" s="1341">
        <v>2015</v>
      </c>
      <c r="K3" s="1341">
        <v>2016</v>
      </c>
      <c r="L3" s="1341">
        <v>2017</v>
      </c>
      <c r="M3" s="1341">
        <v>2018</v>
      </c>
      <c r="N3" s="671">
        <v>2019</v>
      </c>
      <c r="O3" s="483">
        <v>2020</v>
      </c>
      <c r="P3" s="1341">
        <v>2021</v>
      </c>
      <c r="Q3" s="4015" t="s">
        <v>842</v>
      </c>
      <c r="R3" s="581" t="s">
        <v>843</v>
      </c>
      <c r="S3" s="581" t="s">
        <v>844</v>
      </c>
      <c r="T3" s="581" t="s">
        <v>845</v>
      </c>
      <c r="U3" s="1033"/>
      <c r="V3" s="1048" t="s">
        <v>876</v>
      </c>
      <c r="W3" s="5278" t="s">
        <v>821</v>
      </c>
      <c r="X3" s="5278"/>
      <c r="Y3" s="1049" t="s">
        <v>877</v>
      </c>
      <c r="Z3" s="2166" t="s">
        <v>1383</v>
      </c>
      <c r="AA3" s="5279" t="s">
        <v>821</v>
      </c>
      <c r="AB3" s="5279"/>
      <c r="AC3" s="2167" t="s">
        <v>1382</v>
      </c>
      <c r="AD3" s="2509" t="s">
        <v>1466</v>
      </c>
      <c r="AE3" s="5280" t="s">
        <v>821</v>
      </c>
      <c r="AF3" s="5280"/>
      <c r="AG3" s="2510" t="s">
        <v>1467</v>
      </c>
      <c r="AH3" s="4018" t="s">
        <v>1620</v>
      </c>
      <c r="AI3" s="5283" t="s">
        <v>821</v>
      </c>
      <c r="AJ3" s="5283"/>
      <c r="AK3" s="4019" t="s">
        <v>1621</v>
      </c>
      <c r="AL3" s="1044"/>
      <c r="AM3" s="1044" t="s">
        <v>577</v>
      </c>
      <c r="AN3" s="1044" t="s">
        <v>794</v>
      </c>
      <c r="AO3" s="1044" t="s">
        <v>1469</v>
      </c>
      <c r="AP3" s="1044" t="s">
        <v>1470</v>
      </c>
      <c r="AQ3" s="2525" t="s">
        <v>1468</v>
      </c>
      <c r="AR3" s="2186" t="s">
        <v>1473</v>
      </c>
      <c r="AS3" s="2187" t="s">
        <v>1472</v>
      </c>
      <c r="AT3" s="2188" t="s">
        <v>1471</v>
      </c>
      <c r="AU3" s="2520" t="s">
        <v>1474</v>
      </c>
      <c r="AV3" s="2521" t="s">
        <v>1475</v>
      </c>
      <c r="AW3" s="2522" t="s">
        <v>1476</v>
      </c>
      <c r="AX3" s="4042" t="s">
        <v>1622</v>
      </c>
      <c r="AY3" s="4043" t="s">
        <v>1623</v>
      </c>
      <c r="AZ3" s="4044" t="s">
        <v>1624</v>
      </c>
      <c r="BA3" s="484"/>
      <c r="BB3" s="484"/>
      <c r="BC3" s="484"/>
      <c r="BD3" s="484"/>
      <c r="BE3" s="484"/>
      <c r="BF3" s="484"/>
      <c r="BG3" s="484"/>
      <c r="BH3" s="484"/>
      <c r="BI3" s="484"/>
      <c r="BJ3" s="484"/>
      <c r="BK3" s="484"/>
      <c r="BL3" s="484"/>
      <c r="BM3" s="484"/>
      <c r="BN3" s="484"/>
      <c r="BO3" s="484"/>
      <c r="BP3" s="484"/>
      <c r="BQ3" s="484"/>
      <c r="BR3" s="484"/>
      <c r="BS3" s="484"/>
      <c r="BT3" s="484"/>
      <c r="BU3" s="484"/>
      <c r="BV3" s="484"/>
      <c r="BW3" s="484"/>
      <c r="BX3" s="484"/>
      <c r="BY3" s="484"/>
      <c r="BZ3" s="484"/>
    </row>
    <row r="4" spans="1:97" ht="15" customHeight="1" thickBot="1">
      <c r="A4" s="485" t="s">
        <v>36</v>
      </c>
      <c r="B4" s="486">
        <v>29447</v>
      </c>
      <c r="C4" s="486">
        <v>34991</v>
      </c>
      <c r="D4" s="486">
        <v>35904</v>
      </c>
      <c r="E4" s="486">
        <v>38603</v>
      </c>
      <c r="F4" s="486">
        <v>37463</v>
      </c>
      <c r="G4" s="486">
        <v>37773</v>
      </c>
      <c r="H4" s="486">
        <v>46137</v>
      </c>
      <c r="I4" s="486">
        <v>51688</v>
      </c>
      <c r="J4" s="486">
        <v>58224</v>
      </c>
      <c r="K4" s="486">
        <v>52833</v>
      </c>
      <c r="L4" s="486">
        <v>50621</v>
      </c>
      <c r="M4" s="486">
        <v>53007</v>
      </c>
      <c r="N4" s="1342">
        <v>52978</v>
      </c>
      <c r="O4" s="2528">
        <v>57800</v>
      </c>
      <c r="P4" s="1034">
        <v>14237</v>
      </c>
      <c r="Q4" s="4016">
        <f>P4+4194</f>
        <v>18431</v>
      </c>
      <c r="R4" s="698">
        <f>(Q4*$R$2)+Q4</f>
        <v>25803.4</v>
      </c>
      <c r="S4" s="698">
        <f>(R4*$S$2)+R4</f>
        <v>36124.76</v>
      </c>
      <c r="T4" s="698">
        <f>(S4*$T$2)+S4</f>
        <v>50574.664000000004</v>
      </c>
      <c r="U4" s="1034"/>
      <c r="V4" s="1050">
        <v>2120.2799999999988</v>
      </c>
      <c r="W4" s="1051">
        <f t="shared" ref="W4:W15" si="0">N4-M4</f>
        <v>-29</v>
      </c>
      <c r="X4" s="1831">
        <f>IF(W4&lt;0,0,IF(W4=V4,0,W4))</f>
        <v>0</v>
      </c>
      <c r="Y4" s="2102" t="s">
        <v>1068</v>
      </c>
      <c r="Z4" s="2206">
        <v>500</v>
      </c>
      <c r="AA4" s="2207">
        <f t="shared" ref="AA4:AA15" si="1">O4-N4</f>
        <v>4822</v>
      </c>
      <c r="AB4" s="2211">
        <f>IF(AA4&lt;0,0,IF(AA4=Z4,0,AA4))</f>
        <v>4822</v>
      </c>
      <c r="AC4" s="2208" t="s">
        <v>1365</v>
      </c>
      <c r="AD4" s="2505">
        <v>0</v>
      </c>
      <c r="AE4" s="2524">
        <f>P4-O4</f>
        <v>-43563</v>
      </c>
      <c r="AF4" s="2506">
        <f>IF(AE4&lt;0,0,IF(AE4=AD4,0,AE4))</f>
        <v>0</v>
      </c>
      <c r="AG4" s="3867" t="s">
        <v>1484</v>
      </c>
      <c r="AH4" s="4025">
        <f>P4*$Q$2</f>
        <v>5694.8</v>
      </c>
      <c r="AI4" s="4034">
        <f>Q4-P4</f>
        <v>4194</v>
      </c>
      <c r="AJ4" s="4026">
        <f>IF(AI4&lt;0,0,IF(AI4=AH4,0,AI4))</f>
        <v>4194</v>
      </c>
      <c r="AK4" s="4032"/>
      <c r="AM4" s="1045">
        <f t="shared" ref="AM4:AM15" si="2">L4/$L$16</f>
        <v>7.7528865990433904E-2</v>
      </c>
      <c r="AN4" s="1045">
        <f t="shared" ref="AN4:AN15" si="3">M4/$M$16</f>
        <v>7.6545288609832313E-2</v>
      </c>
      <c r="AO4" s="1045">
        <f t="shared" ref="AO4:AO15" si="4">N4/$N$16</f>
        <v>7.7409079618346269E-2</v>
      </c>
      <c r="AP4" s="1045">
        <f t="shared" ref="AP4:AP15" si="5">O4/$O$16</f>
        <v>0.30354432639942863</v>
      </c>
      <c r="AQ4" s="1045">
        <f>P4/$P$16</f>
        <v>5.0666201654116075E-2</v>
      </c>
      <c r="AR4" s="2209">
        <f t="shared" ref="AR4:AR16" si="6">O4-N4</f>
        <v>4822</v>
      </c>
      <c r="AS4" s="2212">
        <f t="shared" ref="AS4:AS16" si="7">O4/N4-1</f>
        <v>9.1018913511268895E-2</v>
      </c>
      <c r="AT4" s="2210"/>
      <c r="AU4" s="2514">
        <f>P4-O4</f>
        <v>-43563</v>
      </c>
      <c r="AV4" s="2515">
        <f>P4/O4-1</f>
        <v>-0.75368512110726638</v>
      </c>
      <c r="AW4" s="2516"/>
      <c r="AX4" s="4040">
        <f>Q4-P4</f>
        <v>4194</v>
      </c>
      <c r="AY4" s="4041">
        <f>Q4/P4-1</f>
        <v>0.29458453325841116</v>
      </c>
      <c r="AZ4" s="4036"/>
      <c r="BA4" s="479"/>
      <c r="BB4" s="479"/>
      <c r="BC4" s="479"/>
      <c r="BD4" s="479"/>
      <c r="BE4" s="479"/>
      <c r="BF4" s="479"/>
      <c r="BG4" s="479"/>
      <c r="BH4" s="479"/>
      <c r="BI4" s="479"/>
      <c r="BJ4" s="479"/>
      <c r="BK4" s="479"/>
      <c r="BL4" s="479"/>
      <c r="BM4" s="479"/>
      <c r="BN4" s="479"/>
      <c r="BO4" s="479"/>
      <c r="BP4" s="479"/>
      <c r="BQ4" s="479"/>
      <c r="BR4" s="479"/>
      <c r="BS4" s="479"/>
      <c r="BT4" s="479"/>
      <c r="BU4" s="479"/>
      <c r="BV4" s="479"/>
      <c r="BW4" s="479"/>
      <c r="BX4" s="479"/>
      <c r="BY4" s="479"/>
      <c r="BZ4" s="479"/>
    </row>
    <row r="5" spans="1:97" ht="15" customHeight="1" thickBot="1">
      <c r="A5" s="485" t="s">
        <v>37</v>
      </c>
      <c r="B5" s="486">
        <v>29249</v>
      </c>
      <c r="C5" s="486">
        <v>46490</v>
      </c>
      <c r="D5" s="486">
        <v>32995</v>
      </c>
      <c r="E5" s="486">
        <v>39843</v>
      </c>
      <c r="F5" s="486">
        <v>35978</v>
      </c>
      <c r="G5" s="486">
        <v>35654</v>
      </c>
      <c r="H5" s="486">
        <v>43174</v>
      </c>
      <c r="I5" s="486">
        <v>53622</v>
      </c>
      <c r="J5" s="486">
        <v>53321</v>
      </c>
      <c r="K5" s="486">
        <v>51438</v>
      </c>
      <c r="L5" s="486">
        <v>47440</v>
      </c>
      <c r="M5" s="486">
        <v>52567</v>
      </c>
      <c r="N5" s="1342">
        <v>51944</v>
      </c>
      <c r="O5" s="2528">
        <v>54899</v>
      </c>
      <c r="P5" s="1034">
        <v>10895</v>
      </c>
      <c r="Q5" s="4016">
        <f>P5+3358</f>
        <v>14253</v>
      </c>
      <c r="R5" s="698">
        <f t="shared" ref="R5:R15" si="8">(Q5*$R$2)+Q5</f>
        <v>19954.2</v>
      </c>
      <c r="S5" s="698">
        <f t="shared" ref="S5:S15" si="9">(R5*$S$2)+R5</f>
        <v>27935.88</v>
      </c>
      <c r="T5" s="698">
        <f t="shared" ref="T5:T15" si="10">(S5*$T$2)+S5</f>
        <v>39110.232000000004</v>
      </c>
      <c r="U5" s="1034"/>
      <c r="V5" s="1050">
        <v>2102.6800000000003</v>
      </c>
      <c r="W5" s="1051">
        <f t="shared" si="0"/>
        <v>-623</v>
      </c>
      <c r="X5" s="1831">
        <f t="shared" ref="X5:X15" si="11">IF(W5&lt;0,0,IF(W5=V5,0,W5))</f>
        <v>0</v>
      </c>
      <c r="Y5" s="2102" t="s">
        <v>1096</v>
      </c>
      <c r="Z5" s="2206">
        <v>1000</v>
      </c>
      <c r="AA5" s="2207">
        <f t="shared" si="1"/>
        <v>2955</v>
      </c>
      <c r="AB5" s="2211">
        <f t="shared" ref="AB5:AB7" si="12">IF(AA5&lt;0,0,IF(AA5=Z5,0,AA5))</f>
        <v>2955</v>
      </c>
      <c r="AC5" s="2208" t="s">
        <v>1365</v>
      </c>
      <c r="AD5" s="2507">
        <v>1000</v>
      </c>
      <c r="AE5" s="3030">
        <f t="shared" ref="AE5:AE15" si="13">P5-O5</f>
        <v>-44004</v>
      </c>
      <c r="AF5" s="2508">
        <f t="shared" ref="AF5:AF7" si="14">IF(AE5&lt;0,0,IF(AE5=AD5,0,AE5))</f>
        <v>0</v>
      </c>
      <c r="AG5" s="3868" t="s">
        <v>1484</v>
      </c>
      <c r="AH5" s="4027">
        <f t="shared" ref="AH5:AH12" si="15">P5*$Q$2</f>
        <v>4358</v>
      </c>
      <c r="AI5" s="4035">
        <f t="shared" ref="AI5:AI17" si="16">Q5-P5</f>
        <v>3358</v>
      </c>
      <c r="AJ5" s="4028">
        <f t="shared" ref="AJ5:AJ7" si="17">IF(AI5&lt;0,0,IF(AI5=AH5,0,AI5))</f>
        <v>3358</v>
      </c>
      <c r="AK5" s="4033"/>
      <c r="AM5" s="1045">
        <f t="shared" si="2"/>
        <v>7.2656988257564739E-2</v>
      </c>
      <c r="AN5" s="1045">
        <f t="shared" si="3"/>
        <v>7.5909902208256552E-2</v>
      </c>
      <c r="AO5" s="1045">
        <f t="shared" si="4"/>
        <v>7.5898245152617658E-2</v>
      </c>
      <c r="AP5" s="1045">
        <f t="shared" si="5"/>
        <v>0.2883093421280663</v>
      </c>
      <c r="AQ5" s="1045">
        <f t="shared" ref="AQ5:AQ15" si="18">P5/$P$16</f>
        <v>3.8772793918774646E-2</v>
      </c>
      <c r="AR5" s="2209">
        <f t="shared" si="6"/>
        <v>2955</v>
      </c>
      <c r="AS5" s="2212">
        <f t="shared" si="7"/>
        <v>5.6888187278607782E-2</v>
      </c>
      <c r="AT5" s="2210">
        <f>(SUM(O4:O5)/(SUM(N4:N5)))-1</f>
        <v>7.4121728522140273E-2</v>
      </c>
      <c r="AU5" s="2514">
        <f t="shared" ref="AU5:AU16" si="19">P5-O5</f>
        <v>-44004</v>
      </c>
      <c r="AV5" s="2515">
        <f t="shared" ref="AV5:AV16" si="20">P5/O5-1</f>
        <v>-0.80154465472959435</v>
      </c>
      <c r="AW5" s="2516">
        <f>(SUM(P4:P5)/(SUM(O4:O5)))-1</f>
        <v>-0.77699890859723686</v>
      </c>
      <c r="AX5" s="4040">
        <f t="shared" ref="AX5:AX15" si="21">Q5-P5</f>
        <v>3358</v>
      </c>
      <c r="AY5" s="4041">
        <f t="shared" ref="AY5:AY15" si="22">Q5/P5-1</f>
        <v>0.30821477742083525</v>
      </c>
      <c r="AZ5" s="4036">
        <f>(SUM(Q4:Q5)/(SUM(P4:P5)))-1</f>
        <v>0.30049339487505966</v>
      </c>
      <c r="BA5" s="479"/>
      <c r="BB5" s="479"/>
      <c r="BC5" s="479"/>
      <c r="BD5" s="479"/>
      <c r="BE5" s="479"/>
      <c r="BF5" s="479"/>
      <c r="BG5" s="479"/>
      <c r="BH5" s="479"/>
      <c r="BI5" s="479"/>
      <c r="BJ5" s="479"/>
      <c r="BK5" s="479"/>
      <c r="BL5" s="479"/>
      <c r="BM5" s="479"/>
      <c r="BN5" s="479"/>
      <c r="BO5" s="479"/>
      <c r="BP5" s="479"/>
      <c r="BQ5" s="479"/>
      <c r="BR5" s="479"/>
      <c r="BS5" s="479"/>
      <c r="BT5" s="479"/>
      <c r="BU5" s="479"/>
      <c r="BV5" s="479"/>
      <c r="BW5" s="479"/>
      <c r="BX5" s="479"/>
      <c r="BY5" s="479"/>
      <c r="BZ5" s="479"/>
    </row>
    <row r="6" spans="1:97" ht="15" customHeight="1" thickBot="1">
      <c r="A6" s="485" t="s">
        <v>38</v>
      </c>
      <c r="B6" s="486">
        <v>32536</v>
      </c>
      <c r="C6" s="486">
        <v>36805</v>
      </c>
      <c r="D6" s="486">
        <v>34242</v>
      </c>
      <c r="E6" s="486">
        <v>38029</v>
      </c>
      <c r="F6" s="486">
        <v>39415</v>
      </c>
      <c r="G6" s="486">
        <v>40663</v>
      </c>
      <c r="H6" s="486">
        <v>49027</v>
      </c>
      <c r="I6" s="486">
        <v>51748</v>
      </c>
      <c r="J6" s="486">
        <v>59393</v>
      </c>
      <c r="K6" s="486">
        <v>54420</v>
      </c>
      <c r="L6" s="486">
        <v>53030</v>
      </c>
      <c r="M6" s="486">
        <v>58154</v>
      </c>
      <c r="N6" s="1342">
        <v>54670</v>
      </c>
      <c r="O6" s="2528">
        <v>22206</v>
      </c>
      <c r="P6" s="1034">
        <v>13935</v>
      </c>
      <c r="Q6" s="4016">
        <f>P6+5574</f>
        <v>19509</v>
      </c>
      <c r="R6" s="698">
        <f t="shared" si="8"/>
        <v>27312.6</v>
      </c>
      <c r="S6" s="698">
        <f t="shared" si="9"/>
        <v>38237.64</v>
      </c>
      <c r="T6" s="698">
        <f t="shared" si="10"/>
        <v>53532.695999999996</v>
      </c>
      <c r="U6" s="1034"/>
      <c r="V6" s="1050">
        <v>2326.1600000000035</v>
      </c>
      <c r="W6" s="1051">
        <f t="shared" si="0"/>
        <v>-3484</v>
      </c>
      <c r="X6" s="1831">
        <f t="shared" si="11"/>
        <v>0</v>
      </c>
      <c r="Y6" s="2102" t="s">
        <v>1131</v>
      </c>
      <c r="Z6" s="2206">
        <v>1000</v>
      </c>
      <c r="AA6" s="2207">
        <f t="shared" si="1"/>
        <v>-32464</v>
      </c>
      <c r="AB6" s="2211">
        <f t="shared" si="12"/>
        <v>0</v>
      </c>
      <c r="AC6" s="2208" t="s">
        <v>1365</v>
      </c>
      <c r="AD6" s="2507">
        <v>1000</v>
      </c>
      <c r="AE6" s="3030">
        <f t="shared" si="13"/>
        <v>-8271</v>
      </c>
      <c r="AF6" s="2508">
        <f t="shared" si="14"/>
        <v>0</v>
      </c>
      <c r="AG6" s="3868" t="s">
        <v>1484</v>
      </c>
      <c r="AH6" s="4027">
        <f t="shared" si="15"/>
        <v>5574</v>
      </c>
      <c r="AI6" s="4035">
        <f t="shared" si="16"/>
        <v>5574</v>
      </c>
      <c r="AJ6" s="4028">
        <f t="shared" si="17"/>
        <v>0</v>
      </c>
      <c r="AK6" s="4033"/>
      <c r="AM6" s="1045">
        <f t="shared" si="2"/>
        <v>8.1218382953175752E-2</v>
      </c>
      <c r="AN6" s="1045">
        <f t="shared" si="3"/>
        <v>8.3977865448265104E-2</v>
      </c>
      <c r="AO6" s="1045">
        <f t="shared" si="4"/>
        <v>7.9881354198629434E-2</v>
      </c>
      <c r="AP6" s="1045">
        <f t="shared" si="5"/>
        <v>0.11661773896238256</v>
      </c>
      <c r="AQ6" s="1045">
        <f t="shared" si="18"/>
        <v>4.9591453259121128E-2</v>
      </c>
      <c r="AR6" s="2209">
        <f t="shared" si="6"/>
        <v>-32464</v>
      </c>
      <c r="AS6" s="2212">
        <f t="shared" si="7"/>
        <v>-0.59381745015547827</v>
      </c>
      <c r="AT6" s="2210">
        <f>(SUM(O4:O6)/(SUM(N4:N6)))-1</f>
        <v>-0.15468820492255253</v>
      </c>
      <c r="AU6" s="2514">
        <f t="shared" si="19"/>
        <v>-8271</v>
      </c>
      <c r="AV6" s="2515">
        <f t="shared" si="20"/>
        <v>-0.37246690083761147</v>
      </c>
      <c r="AW6" s="2516">
        <f>(SUM(P4:P6)/(SUM(O4:O6)))-1</f>
        <v>-0.71041102998406291</v>
      </c>
      <c r="AX6" s="4040">
        <f t="shared" si="21"/>
        <v>5574</v>
      </c>
      <c r="AY6" s="4041">
        <f t="shared" si="22"/>
        <v>0.39999999999999991</v>
      </c>
      <c r="AZ6" s="4036">
        <f>(SUM(Q4:Q6)/(SUM(P4:P6)))-1</f>
        <v>0.33598689430977546</v>
      </c>
      <c r="BA6" s="479"/>
      <c r="BB6" s="479"/>
      <c r="BC6" s="479"/>
      <c r="BD6" s="479"/>
      <c r="BE6" s="479"/>
      <c r="BF6" s="479"/>
      <c r="BG6" s="479"/>
      <c r="BH6" s="479"/>
      <c r="BI6" s="479"/>
      <c r="BJ6" s="479"/>
      <c r="BK6" s="479"/>
      <c r="BL6" s="479"/>
      <c r="BM6" s="479"/>
      <c r="BN6" s="479"/>
      <c r="BO6" s="479"/>
      <c r="BP6" s="479"/>
      <c r="BQ6" s="479"/>
      <c r="BR6" s="479"/>
      <c r="BS6" s="479"/>
      <c r="BT6" s="479"/>
      <c r="BU6" s="479"/>
      <c r="BV6" s="479"/>
      <c r="BW6" s="479"/>
      <c r="BX6" s="479"/>
      <c r="BY6" s="479"/>
      <c r="BZ6" s="479"/>
      <c r="CS6" t="e">
        <v>#DIV/0!</v>
      </c>
    </row>
    <row r="7" spans="1:97" ht="15" customHeight="1" thickBot="1">
      <c r="A7" s="485" t="s">
        <v>39</v>
      </c>
      <c r="B7" s="486">
        <v>26929</v>
      </c>
      <c r="C7" s="486">
        <v>31105</v>
      </c>
      <c r="D7" s="486">
        <v>33161</v>
      </c>
      <c r="E7" s="486">
        <v>31598</v>
      </c>
      <c r="F7" s="486">
        <v>35949</v>
      </c>
      <c r="G7" s="486">
        <v>36524</v>
      </c>
      <c r="H7" s="486">
        <v>41634</v>
      </c>
      <c r="I7" s="486">
        <v>49570</v>
      </c>
      <c r="J7" s="486">
        <v>53854</v>
      </c>
      <c r="K7" s="486">
        <v>40983</v>
      </c>
      <c r="L7" s="486">
        <v>50212</v>
      </c>
      <c r="M7" s="486">
        <v>47644</v>
      </c>
      <c r="N7" s="1342">
        <v>53311</v>
      </c>
      <c r="O7" s="2528">
        <v>379</v>
      </c>
      <c r="P7" s="1034">
        <v>13232</v>
      </c>
      <c r="Q7" s="4016">
        <f>P7+5293</f>
        <v>18525</v>
      </c>
      <c r="R7" s="698">
        <f t="shared" si="8"/>
        <v>25935</v>
      </c>
      <c r="S7" s="698">
        <f t="shared" si="9"/>
        <v>36309</v>
      </c>
      <c r="T7" s="698">
        <f t="shared" si="10"/>
        <v>50832.6</v>
      </c>
      <c r="U7" s="1034"/>
      <c r="V7" s="1050">
        <v>567</v>
      </c>
      <c r="W7" s="1051">
        <f t="shared" si="0"/>
        <v>5667</v>
      </c>
      <c r="X7" s="1831">
        <f t="shared" si="11"/>
        <v>5667</v>
      </c>
      <c r="Y7" s="2102" t="s">
        <v>1141</v>
      </c>
      <c r="Z7" s="2206">
        <v>1000</v>
      </c>
      <c r="AA7" s="2207">
        <f t="shared" si="1"/>
        <v>-52932</v>
      </c>
      <c r="AB7" s="2211">
        <f t="shared" si="12"/>
        <v>0</v>
      </c>
      <c r="AC7" s="2208" t="s">
        <v>1411</v>
      </c>
      <c r="AD7" s="2507">
        <v>1583</v>
      </c>
      <c r="AE7" s="3030">
        <f t="shared" si="13"/>
        <v>12853</v>
      </c>
      <c r="AF7" s="2508">
        <f t="shared" si="14"/>
        <v>12853</v>
      </c>
      <c r="AG7" s="3868" t="s">
        <v>1365</v>
      </c>
      <c r="AH7" s="4027">
        <f t="shared" si="15"/>
        <v>5292.8</v>
      </c>
      <c r="AI7" s="4035">
        <f t="shared" si="16"/>
        <v>5293</v>
      </c>
      <c r="AJ7" s="4028">
        <f t="shared" si="17"/>
        <v>5293</v>
      </c>
      <c r="AK7" s="4033"/>
      <c r="AM7" s="1045">
        <f t="shared" si="2"/>
        <v>7.6902459831130698E-2</v>
      </c>
      <c r="AN7" s="1045">
        <f t="shared" si="3"/>
        <v>6.8800794810625968E-2</v>
      </c>
      <c r="AO7" s="1045">
        <f t="shared" si="4"/>
        <v>7.7895644296380726E-2</v>
      </c>
      <c r="AP7" s="1045">
        <f t="shared" si="5"/>
        <v>1.9903685070135546E-3</v>
      </c>
      <c r="AQ7" s="1045">
        <f t="shared" si="18"/>
        <v>4.7089638286666E-2</v>
      </c>
      <c r="AR7" s="2209">
        <f t="shared" si="6"/>
        <v>-52932</v>
      </c>
      <c r="AS7" s="2212">
        <f t="shared" si="7"/>
        <v>-0.99289077301119844</v>
      </c>
      <c r="AT7" s="2210">
        <f>(SUM(O4:O7)/(SUM(N4:N7)))-1</f>
        <v>-0.36457447757899142</v>
      </c>
      <c r="AU7" s="2514">
        <f t="shared" si="19"/>
        <v>12853</v>
      </c>
      <c r="AV7" s="3044">
        <f t="shared" si="20"/>
        <v>33.912928759894456</v>
      </c>
      <c r="AW7" s="2516">
        <f>(SUM(P4:P7)/(SUM(O4:O7)))-1</f>
        <v>-0.61341326394843443</v>
      </c>
      <c r="AX7" s="4040">
        <f t="shared" si="21"/>
        <v>5293</v>
      </c>
      <c r="AY7" s="4041">
        <f t="shared" si="22"/>
        <v>0.40001511487303509</v>
      </c>
      <c r="AZ7" s="4036">
        <f>(SUM(Q4:Q7)/(SUM(P4:P7)))-1</f>
        <v>0.35218646628042594</v>
      </c>
      <c r="BA7" s="479"/>
      <c r="BB7" s="479"/>
      <c r="BC7" s="479"/>
      <c r="BD7" s="479"/>
      <c r="BE7" s="479"/>
      <c r="BF7" s="479"/>
      <c r="BG7" s="479"/>
      <c r="BH7" s="479"/>
      <c r="BI7" s="479"/>
      <c r="BJ7" s="479"/>
      <c r="BK7" s="479"/>
      <c r="BL7" s="479"/>
      <c r="BM7" s="479"/>
      <c r="BN7" s="479"/>
      <c r="BO7" s="479"/>
      <c r="BP7" s="479"/>
      <c r="BQ7" s="479"/>
      <c r="BR7" s="479"/>
      <c r="BS7" s="479"/>
      <c r="BT7" s="479"/>
      <c r="BU7" s="479"/>
      <c r="BV7" s="479"/>
      <c r="BW7" s="479"/>
      <c r="BX7" s="479"/>
      <c r="BY7" s="479"/>
      <c r="BZ7" s="479"/>
      <c r="CS7" t="e">
        <v>#DIV/0!</v>
      </c>
    </row>
    <row r="8" spans="1:97" ht="15" customHeight="1" thickBot="1">
      <c r="A8" s="485" t="s">
        <v>40</v>
      </c>
      <c r="B8" s="486">
        <v>28526</v>
      </c>
      <c r="C8" s="486">
        <v>35598</v>
      </c>
      <c r="D8" s="486">
        <v>32773</v>
      </c>
      <c r="E8" s="486">
        <v>37116</v>
      </c>
      <c r="F8" s="486">
        <v>38023</v>
      </c>
      <c r="G8" s="486">
        <v>40720</v>
      </c>
      <c r="H8" s="486">
        <v>48103</v>
      </c>
      <c r="I8" s="486">
        <v>52174</v>
      </c>
      <c r="J8" s="486">
        <v>56638</v>
      </c>
      <c r="K8" s="486">
        <v>46162</v>
      </c>
      <c r="L8" s="486">
        <v>47035</v>
      </c>
      <c r="M8" s="486">
        <v>53921</v>
      </c>
      <c r="N8" s="1342">
        <v>53992</v>
      </c>
      <c r="O8" s="2528">
        <v>650</v>
      </c>
      <c r="P8" s="1034">
        <v>15295</v>
      </c>
      <c r="Q8" s="4016">
        <f>P8+5118</f>
        <v>20413</v>
      </c>
      <c r="R8" s="698">
        <f t="shared" si="8"/>
        <v>28578.2</v>
      </c>
      <c r="S8" s="698">
        <f t="shared" si="9"/>
        <v>40009.480000000003</v>
      </c>
      <c r="T8" s="698">
        <f t="shared" si="10"/>
        <v>56013.272000000004</v>
      </c>
      <c r="U8" s="1034"/>
      <c r="V8" s="1050">
        <v>2156.8399999999965</v>
      </c>
      <c r="W8" s="1051">
        <f t="shared" si="0"/>
        <v>71</v>
      </c>
      <c r="X8" s="1831">
        <f>IF(W8&lt;0,0,IF(W8=V8,0,W8))</f>
        <v>71</v>
      </c>
      <c r="Y8" s="2102" t="s">
        <v>1354</v>
      </c>
      <c r="Z8" s="2206">
        <v>500</v>
      </c>
      <c r="AA8" s="2207">
        <f t="shared" si="1"/>
        <v>-53342</v>
      </c>
      <c r="AB8" s="2211">
        <f>IF(AA8&lt;0,0,IF(AA8=Z8,0,AA8))</f>
        <v>0</v>
      </c>
      <c r="AC8" s="2208" t="s">
        <v>1411</v>
      </c>
      <c r="AD8" s="2507">
        <v>7000</v>
      </c>
      <c r="AE8" s="3030">
        <f t="shared" si="13"/>
        <v>14645</v>
      </c>
      <c r="AF8" s="2508">
        <f>IF(AE8&lt;0,0,IF(AE8=AD8,0,AE8))</f>
        <v>14645</v>
      </c>
      <c r="AG8" s="3868" t="s">
        <v>1484</v>
      </c>
      <c r="AH8" s="4027">
        <f t="shared" si="15"/>
        <v>6118</v>
      </c>
      <c r="AI8" s="4035">
        <f t="shared" si="16"/>
        <v>5118</v>
      </c>
      <c r="AJ8" s="4028">
        <f>IF(AI8&lt;0,0,IF(AI8=AH8,0,AI8))</f>
        <v>5118</v>
      </c>
      <c r="AK8" s="4033"/>
      <c r="AM8" s="1045">
        <f t="shared" si="2"/>
        <v>7.2036708319868414E-2</v>
      </c>
      <c r="AN8" s="1045">
        <f t="shared" si="3"/>
        <v>7.7865159453105598E-2</v>
      </c>
      <c r="AO8" s="1045">
        <f t="shared" si="4"/>
        <v>7.8890690980289016E-2</v>
      </c>
      <c r="AP8" s="1045">
        <f t="shared" si="5"/>
        <v>3.4135607640074154E-3</v>
      </c>
      <c r="AQ8" s="1045">
        <f t="shared" si="18"/>
        <v>5.4431379806118237E-2</v>
      </c>
      <c r="AR8" s="2209">
        <f t="shared" si="6"/>
        <v>-53342</v>
      </c>
      <c r="AS8" s="2212">
        <f t="shared" si="7"/>
        <v>-0.9879611794339902</v>
      </c>
      <c r="AT8" s="2210">
        <f>(SUM(O4:O8)/(SUM(N4:N8)))-1</f>
        <v>-0.49068360216564566</v>
      </c>
      <c r="AU8" s="2514">
        <f t="shared" si="19"/>
        <v>14645</v>
      </c>
      <c r="AV8" s="3044">
        <f t="shared" si="20"/>
        <v>22.530769230769231</v>
      </c>
      <c r="AW8" s="2516">
        <f>(SUM(P4:P8)/(SUM(O4:O8)))-1</f>
        <v>-0.50274397869554344</v>
      </c>
      <c r="AX8" s="4040">
        <f t="shared" si="21"/>
        <v>5118</v>
      </c>
      <c r="AY8" s="4041">
        <f t="shared" si="22"/>
        <v>0.33461915658711994</v>
      </c>
      <c r="AZ8" s="4036">
        <f>(SUM(Q4:Q8)/(SUM(P4:P8)))-1</f>
        <v>0.34821137970825822</v>
      </c>
      <c r="BA8" s="479"/>
      <c r="BB8" s="479"/>
      <c r="BC8" s="479"/>
      <c r="BD8" s="479"/>
      <c r="BE8" s="479"/>
      <c r="BF8" s="479"/>
      <c r="BG8" s="479"/>
      <c r="BH8" s="479"/>
      <c r="BI8" s="479"/>
      <c r="BJ8" s="479"/>
      <c r="BK8" s="479"/>
      <c r="BL8" s="479"/>
      <c r="BM8" s="479"/>
      <c r="BN8" s="479"/>
      <c r="BO8" s="479"/>
      <c r="BP8" s="479"/>
      <c r="BQ8" s="479"/>
      <c r="BR8" s="479"/>
      <c r="BS8" s="479"/>
      <c r="BT8" s="479"/>
      <c r="BU8" s="479"/>
      <c r="BV8" s="479"/>
      <c r="BW8" s="479"/>
      <c r="BX8" s="479"/>
      <c r="BY8" s="479"/>
      <c r="BZ8" s="479"/>
      <c r="CS8" t="e">
        <v>#DIV/0!</v>
      </c>
    </row>
    <row r="9" spans="1:97" ht="15" customHeight="1" thickBot="1">
      <c r="A9" s="485" t="s">
        <v>41</v>
      </c>
      <c r="B9" s="486">
        <v>41105</v>
      </c>
      <c r="C9" s="486">
        <v>45584</v>
      </c>
      <c r="D9" s="486">
        <v>46796</v>
      </c>
      <c r="E9" s="486">
        <v>46093</v>
      </c>
      <c r="F9" s="486">
        <v>47844</v>
      </c>
      <c r="G9" s="486">
        <v>54166</v>
      </c>
      <c r="H9" s="486">
        <v>61054</v>
      </c>
      <c r="I9" s="486">
        <v>58795</v>
      </c>
      <c r="J9" s="486">
        <v>67138</v>
      </c>
      <c r="K9" s="486">
        <v>61277</v>
      </c>
      <c r="L9" s="486">
        <v>65878</v>
      </c>
      <c r="M9" s="486">
        <v>70620</v>
      </c>
      <c r="N9" s="1342">
        <v>70733</v>
      </c>
      <c r="O9" s="2528">
        <v>1431</v>
      </c>
      <c r="P9" s="1034">
        <v>22654</v>
      </c>
      <c r="Q9" s="4016">
        <f>P9+9062</f>
        <v>31716</v>
      </c>
      <c r="R9" s="698">
        <f t="shared" si="8"/>
        <v>44402.400000000001</v>
      </c>
      <c r="S9" s="698">
        <f t="shared" si="9"/>
        <v>62163.360000000001</v>
      </c>
      <c r="T9" s="698">
        <f t="shared" si="10"/>
        <v>87028.703999999998</v>
      </c>
      <c r="U9" s="1034"/>
      <c r="V9" s="1050">
        <v>120</v>
      </c>
      <c r="W9" s="1051">
        <f t="shared" si="0"/>
        <v>113</v>
      </c>
      <c r="X9" s="1831">
        <f t="shared" si="11"/>
        <v>113</v>
      </c>
      <c r="Y9" s="2102" t="s">
        <v>1354</v>
      </c>
      <c r="Z9" s="2206">
        <v>1000</v>
      </c>
      <c r="AA9" s="2207">
        <f t="shared" si="1"/>
        <v>-69302</v>
      </c>
      <c r="AB9" s="2211">
        <f t="shared" ref="AB9:AB15" si="23">IF(AA9&lt;0,0,IF(AA9=Z9,0,AA9))</f>
        <v>0</v>
      </c>
      <c r="AC9" s="2208" t="s">
        <v>1365</v>
      </c>
      <c r="AD9" s="2507">
        <v>7000</v>
      </c>
      <c r="AE9" s="3030">
        <f t="shared" si="13"/>
        <v>21223</v>
      </c>
      <c r="AF9" s="2508">
        <f t="shared" ref="AF9:AF15" si="24">IF(AE9&lt;0,0,IF(AE9=AD9,0,AE9))</f>
        <v>21223</v>
      </c>
      <c r="AG9" s="3868" t="s">
        <v>1587</v>
      </c>
      <c r="AH9" s="4027">
        <f t="shared" si="15"/>
        <v>9061.6</v>
      </c>
      <c r="AI9" s="4035">
        <f t="shared" si="16"/>
        <v>9062</v>
      </c>
      <c r="AJ9" s="4028">
        <f t="shared" ref="AJ9:AJ15" si="25">IF(AI9&lt;0,0,IF(AI9=AH9,0,AI9))</f>
        <v>9062</v>
      </c>
      <c r="AK9" s="4033"/>
      <c r="AM9" s="1045">
        <f t="shared" si="2"/>
        <v>0.10089580675446563</v>
      </c>
      <c r="AN9" s="1045">
        <f t="shared" si="3"/>
        <v>0.1019795174529092</v>
      </c>
      <c r="AO9" s="1045">
        <f t="shared" si="4"/>
        <v>0.10335189000423735</v>
      </c>
      <c r="AP9" s="1045">
        <f t="shared" si="5"/>
        <v>7.5150853127609408E-3</v>
      </c>
      <c r="AQ9" s="1045">
        <f t="shared" si="18"/>
        <v>8.0620364702700398E-2</v>
      </c>
      <c r="AR9" s="2209">
        <f t="shared" si="6"/>
        <v>-69302</v>
      </c>
      <c r="AS9" s="2212">
        <f t="shared" si="7"/>
        <v>-0.97976899042879562</v>
      </c>
      <c r="AT9" s="2210">
        <f>(SUM(O4:O9)/(SUM(N4:N9)))-1</f>
        <v>-0.59314689539967058</v>
      </c>
      <c r="AU9" s="2514">
        <f t="shared" si="19"/>
        <v>21223</v>
      </c>
      <c r="AV9" s="3044">
        <f t="shared" si="20"/>
        <v>14.83088749126485</v>
      </c>
      <c r="AW9" s="2516">
        <f>(SUM(P4:P9)/(SUM(O4:O9)))-1</f>
        <v>-0.34300586029920288</v>
      </c>
      <c r="AX9" s="4040">
        <f t="shared" si="21"/>
        <v>9062</v>
      </c>
      <c r="AY9" s="4041">
        <f t="shared" si="22"/>
        <v>0.40001765692592928</v>
      </c>
      <c r="AZ9" s="4036">
        <f>(SUM(Q4:Q9)/(SUM(P4:P9)))-1</f>
        <v>0.36121576101409447</v>
      </c>
      <c r="BA9" s="479"/>
      <c r="BB9" s="479"/>
      <c r="BC9" s="479"/>
      <c r="BD9" s="479"/>
      <c r="BE9" s="479"/>
      <c r="BF9" s="479"/>
      <c r="BG9" s="479"/>
      <c r="BH9" s="479"/>
      <c r="BI9" s="479"/>
      <c r="BJ9" s="479"/>
      <c r="BK9" s="479"/>
      <c r="BL9" s="479"/>
      <c r="BM9" s="479"/>
      <c r="BN9" s="479"/>
      <c r="BO9" s="479"/>
      <c r="BP9" s="479"/>
      <c r="BQ9" s="479"/>
      <c r="BR9" s="479"/>
      <c r="BS9" s="479"/>
      <c r="BT9" s="479"/>
      <c r="BU9" s="479"/>
      <c r="BV9" s="479"/>
      <c r="BW9" s="479"/>
      <c r="BX9" s="479"/>
      <c r="BY9" s="479"/>
      <c r="BZ9" s="479"/>
      <c r="CS9" t="e">
        <v>#DIV/0!</v>
      </c>
    </row>
    <row r="10" spans="1:97" ht="15" customHeight="1" thickBot="1">
      <c r="A10" s="485" t="s">
        <v>42</v>
      </c>
      <c r="B10" s="486">
        <v>49933</v>
      </c>
      <c r="C10" s="486">
        <v>50484</v>
      </c>
      <c r="D10" s="486">
        <v>50069</v>
      </c>
      <c r="E10" s="486">
        <v>49766</v>
      </c>
      <c r="F10" s="486">
        <v>51152</v>
      </c>
      <c r="G10" s="486">
        <v>56168</v>
      </c>
      <c r="H10" s="486">
        <v>64119</v>
      </c>
      <c r="I10" s="486">
        <v>71099</v>
      </c>
      <c r="J10" s="486">
        <v>73006</v>
      </c>
      <c r="K10" s="486">
        <v>66352</v>
      </c>
      <c r="L10" s="486">
        <v>70150</v>
      </c>
      <c r="M10" s="486">
        <v>72893</v>
      </c>
      <c r="N10" s="1342">
        <v>76918</v>
      </c>
      <c r="O10" s="2528">
        <v>3655</v>
      </c>
      <c r="P10" s="1034">
        <v>30018</v>
      </c>
      <c r="Q10" s="4016">
        <f>P10+12007</f>
        <v>42025</v>
      </c>
      <c r="R10" s="698">
        <f t="shared" si="8"/>
        <v>58835</v>
      </c>
      <c r="S10" s="698">
        <f t="shared" si="9"/>
        <v>82369</v>
      </c>
      <c r="T10" s="698">
        <f t="shared" si="10"/>
        <v>115316.6</v>
      </c>
      <c r="U10" s="1034"/>
      <c r="V10" s="1050">
        <v>700</v>
      </c>
      <c r="W10" s="1051">
        <f t="shared" si="0"/>
        <v>4025</v>
      </c>
      <c r="X10" s="1831">
        <f t="shared" si="11"/>
        <v>4025</v>
      </c>
      <c r="Y10" s="2102" t="s">
        <v>1354</v>
      </c>
      <c r="Z10" s="2206">
        <v>1000</v>
      </c>
      <c r="AA10" s="2207">
        <f t="shared" si="1"/>
        <v>-73263</v>
      </c>
      <c r="AB10" s="2211">
        <f t="shared" si="23"/>
        <v>0</v>
      </c>
      <c r="AC10" s="2208" t="s">
        <v>1365</v>
      </c>
      <c r="AD10" s="2507">
        <v>7000</v>
      </c>
      <c r="AE10" s="3030">
        <f t="shared" si="13"/>
        <v>26363</v>
      </c>
      <c r="AF10" s="2508">
        <f t="shared" si="24"/>
        <v>26363</v>
      </c>
      <c r="AG10" s="3868" t="s">
        <v>1365</v>
      </c>
      <c r="AH10" s="4027">
        <f t="shared" si="15"/>
        <v>12007.2</v>
      </c>
      <c r="AI10" s="4035">
        <f t="shared" si="16"/>
        <v>12007</v>
      </c>
      <c r="AJ10" s="4028">
        <f t="shared" si="25"/>
        <v>12007</v>
      </c>
      <c r="AK10" s="4033"/>
      <c r="AM10" s="1045">
        <f t="shared" si="2"/>
        <v>0.10743861143061058</v>
      </c>
      <c r="AN10" s="1045">
        <f t="shared" si="3"/>
        <v>0.10526186584104942</v>
      </c>
      <c r="AO10" s="1045">
        <f t="shared" si="4"/>
        <v>0.11238913485001242</v>
      </c>
      <c r="AP10" s="1045">
        <f t="shared" si="5"/>
        <v>1.9194714757610927E-2</v>
      </c>
      <c r="AQ10" s="1045">
        <f t="shared" si="18"/>
        <v>0.10682714344688181</v>
      </c>
      <c r="AR10" s="2209">
        <f t="shared" si="6"/>
        <v>-73263</v>
      </c>
      <c r="AS10" s="2212">
        <f t="shared" si="7"/>
        <v>-0.95248186380301103</v>
      </c>
      <c r="AT10" s="2210">
        <f>(SUM(O4:O10)/(SUM(N4:N10)))-1</f>
        <v>-0.6598206230430399</v>
      </c>
      <c r="AU10" s="2514">
        <f t="shared" si="19"/>
        <v>26363</v>
      </c>
      <c r="AV10" s="3044">
        <f t="shared" si="20"/>
        <v>7.2128590971272235</v>
      </c>
      <c r="AW10" s="2516">
        <f>(SUM(P4:P10)/(SUM(O4:O10)))-1</f>
        <v>-0.14717061409729115</v>
      </c>
      <c r="AX10" s="4040">
        <f t="shared" si="21"/>
        <v>12007</v>
      </c>
      <c r="AY10" s="4041">
        <f t="shared" si="22"/>
        <v>0.39999333733093478</v>
      </c>
      <c r="AZ10" s="4036">
        <f>(SUM(Q4:Q10)/(SUM(P4:P10)))-1</f>
        <v>0.37089451715364286</v>
      </c>
      <c r="BA10" s="479"/>
      <c r="BB10" s="479"/>
      <c r="BC10" s="479"/>
      <c r="BD10" s="479"/>
      <c r="BE10" s="479"/>
      <c r="BF10" s="479"/>
      <c r="BG10" s="479"/>
      <c r="BH10" s="479"/>
      <c r="BI10" s="479"/>
      <c r="BJ10" s="479"/>
      <c r="BK10" s="479"/>
      <c r="BL10" s="479"/>
      <c r="BM10" s="479"/>
      <c r="BN10" s="479"/>
      <c r="BO10" s="479"/>
      <c r="BP10" s="479"/>
      <c r="BQ10" s="479"/>
      <c r="BR10" s="479"/>
      <c r="BS10" s="479"/>
      <c r="BT10" s="479"/>
      <c r="BU10" s="479"/>
      <c r="BV10" s="479"/>
      <c r="BW10" s="479"/>
      <c r="BX10" s="479"/>
      <c r="BY10" s="479"/>
      <c r="BZ10" s="479"/>
      <c r="CS10" t="e">
        <v>#DIV/0!</v>
      </c>
    </row>
    <row r="11" spans="1:97" ht="15" customHeight="1" thickBot="1">
      <c r="A11" s="485" t="s">
        <v>43</v>
      </c>
      <c r="B11" s="486">
        <v>42244</v>
      </c>
      <c r="C11" s="486">
        <v>43576</v>
      </c>
      <c r="D11" s="486">
        <v>44378</v>
      </c>
      <c r="E11" s="486">
        <v>42481</v>
      </c>
      <c r="F11" s="486">
        <v>43036</v>
      </c>
      <c r="G11" s="486">
        <v>46212</v>
      </c>
      <c r="H11" s="486">
        <v>52709</v>
      </c>
      <c r="I11" s="486">
        <v>57790</v>
      </c>
      <c r="J11" s="486">
        <v>52994</v>
      </c>
      <c r="K11" s="486">
        <v>47805</v>
      </c>
      <c r="L11" s="486">
        <v>51198</v>
      </c>
      <c r="M11" s="486">
        <v>54375</v>
      </c>
      <c r="N11" s="1342">
        <v>57411</v>
      </c>
      <c r="O11" s="2528">
        <v>4553</v>
      </c>
      <c r="P11" s="1034">
        <v>27480</v>
      </c>
      <c r="Q11" s="4016">
        <f>P11+10992</f>
        <v>38472</v>
      </c>
      <c r="R11" s="698">
        <f t="shared" si="8"/>
        <v>53860.800000000003</v>
      </c>
      <c r="S11" s="698">
        <f t="shared" si="9"/>
        <v>75405.12000000001</v>
      </c>
      <c r="T11" s="698">
        <f t="shared" si="10"/>
        <v>105567.16800000002</v>
      </c>
      <c r="U11" s="1034"/>
      <c r="V11" s="1050">
        <v>700</v>
      </c>
      <c r="W11" s="1051">
        <f t="shared" si="0"/>
        <v>3036</v>
      </c>
      <c r="X11" s="1831">
        <f t="shared" si="11"/>
        <v>3036</v>
      </c>
      <c r="Y11" s="2102" t="s">
        <v>1365</v>
      </c>
      <c r="Z11" s="2206">
        <v>1000</v>
      </c>
      <c r="AA11" s="2207">
        <f t="shared" si="1"/>
        <v>-52858</v>
      </c>
      <c r="AB11" s="2211">
        <f t="shared" si="23"/>
        <v>0</v>
      </c>
      <c r="AC11" s="2208" t="s">
        <v>1365</v>
      </c>
      <c r="AD11" s="2507">
        <v>7000</v>
      </c>
      <c r="AE11" s="3030">
        <f t="shared" si="13"/>
        <v>22927</v>
      </c>
      <c r="AF11" s="2508">
        <f t="shared" si="24"/>
        <v>22927</v>
      </c>
      <c r="AG11" s="3868" t="s">
        <v>1618</v>
      </c>
      <c r="AH11" s="4027">
        <f t="shared" si="15"/>
        <v>10992</v>
      </c>
      <c r="AI11" s="4035">
        <f t="shared" si="16"/>
        <v>10992</v>
      </c>
      <c r="AJ11" s="4028">
        <f t="shared" si="25"/>
        <v>0</v>
      </c>
      <c r="AK11" s="4033"/>
      <c r="AM11" s="1045">
        <f t="shared" si="2"/>
        <v>7.8412573457225951E-2</v>
      </c>
      <c r="AN11" s="1045">
        <f t="shared" si="3"/>
        <v>7.8520762694731489E-2</v>
      </c>
      <c r="AO11" s="1045">
        <f t="shared" si="4"/>
        <v>8.3886380572480601E-2</v>
      </c>
      <c r="AP11" s="1045">
        <f t="shared" si="5"/>
        <v>2.3910680243885787E-2</v>
      </c>
      <c r="AQ11" s="1045">
        <f t="shared" si="18"/>
        <v>9.7794986405500439E-2</v>
      </c>
      <c r="AR11" s="2209">
        <f t="shared" si="6"/>
        <v>-52858</v>
      </c>
      <c r="AS11" s="2212">
        <f t="shared" si="7"/>
        <v>-0.92069464039992333</v>
      </c>
      <c r="AT11" s="2210">
        <f>(SUM(O4:O11)/(SUM(N4:N11)))-1</f>
        <v>-0.69155452721328425</v>
      </c>
      <c r="AU11" s="2514">
        <f t="shared" si="19"/>
        <v>22927</v>
      </c>
      <c r="AV11" s="3044">
        <f t="shared" si="20"/>
        <v>5.0355809356468262</v>
      </c>
      <c r="AW11" s="2516">
        <f>(SUM(P4:P11)/(SUM(O4:O11)))-1</f>
        <v>1.4927218646314966E-2</v>
      </c>
      <c r="AX11" s="4040">
        <f t="shared" si="21"/>
        <v>10992</v>
      </c>
      <c r="AY11" s="4041">
        <f t="shared" si="22"/>
        <v>0.39999999999999991</v>
      </c>
      <c r="AZ11" s="4036">
        <f>(SUM(Q4:Q11)/(SUM(P4:P11)))-1</f>
        <v>0.37630798803351695</v>
      </c>
      <c r="BA11" s="479"/>
      <c r="BB11" s="479"/>
      <c r="BC11" s="479"/>
      <c r="BD11" s="479"/>
      <c r="BE11" s="479"/>
      <c r="BF11" s="479"/>
      <c r="BG11" s="479"/>
      <c r="BH11" s="479"/>
      <c r="BI11" s="479"/>
      <c r="BJ11" s="479"/>
      <c r="BK11" s="479"/>
      <c r="BL11" s="479"/>
      <c r="BM11" s="479"/>
      <c r="BN11" s="479"/>
      <c r="BO11" s="479"/>
      <c r="BP11" s="479"/>
      <c r="BQ11" s="479"/>
      <c r="BR11" s="479"/>
      <c r="BS11" s="479"/>
      <c r="BT11" s="479"/>
      <c r="BU11" s="479"/>
      <c r="BV11" s="479"/>
      <c r="BW11" s="479"/>
      <c r="BX11" s="479"/>
      <c r="BY11" s="479"/>
      <c r="BZ11" s="479"/>
      <c r="CS11" t="e">
        <v>#DIV/0!</v>
      </c>
    </row>
    <row r="12" spans="1:97" ht="15" customHeight="1" thickBot="1">
      <c r="A12" s="485" t="s">
        <v>44</v>
      </c>
      <c r="B12" s="486">
        <v>31407</v>
      </c>
      <c r="C12" s="486">
        <v>34318</v>
      </c>
      <c r="D12" s="486">
        <v>33494</v>
      </c>
      <c r="E12" s="486">
        <v>33003</v>
      </c>
      <c r="F12" s="486">
        <v>34628</v>
      </c>
      <c r="G12" s="486">
        <v>39747</v>
      </c>
      <c r="H12" s="486">
        <v>49386</v>
      </c>
      <c r="I12" s="486">
        <v>55854</v>
      </c>
      <c r="J12" s="486">
        <v>51643</v>
      </c>
      <c r="K12" s="486">
        <v>40169</v>
      </c>
      <c r="L12" s="486">
        <f>45351+6</f>
        <v>45357</v>
      </c>
      <c r="M12" s="486">
        <v>50018</v>
      </c>
      <c r="N12" s="1342">
        <v>52806</v>
      </c>
      <c r="O12" s="2528">
        <v>5708</v>
      </c>
      <c r="P12" s="1034">
        <v>25275</v>
      </c>
      <c r="Q12" s="4016">
        <f>P12+10110</f>
        <v>35385</v>
      </c>
      <c r="R12" s="698">
        <f t="shared" si="8"/>
        <v>49539</v>
      </c>
      <c r="S12" s="698">
        <f t="shared" si="9"/>
        <v>69354.600000000006</v>
      </c>
      <c r="T12" s="698">
        <f t="shared" si="10"/>
        <v>97096.44</v>
      </c>
      <c r="U12" s="1034"/>
      <c r="V12" s="1050">
        <v>500</v>
      </c>
      <c r="W12" s="1051">
        <f t="shared" si="0"/>
        <v>2788</v>
      </c>
      <c r="X12" s="1831">
        <f t="shared" si="11"/>
        <v>2788</v>
      </c>
      <c r="Y12" s="2102" t="s">
        <v>1365</v>
      </c>
      <c r="Z12" s="2206">
        <v>500</v>
      </c>
      <c r="AA12" s="2207">
        <f t="shared" si="1"/>
        <v>-47098</v>
      </c>
      <c r="AB12" s="2211">
        <f t="shared" si="23"/>
        <v>0</v>
      </c>
      <c r="AC12" s="2208" t="s">
        <v>1365</v>
      </c>
      <c r="AD12" s="2507">
        <v>7000</v>
      </c>
      <c r="AE12" s="3030">
        <f t="shared" si="13"/>
        <v>19567</v>
      </c>
      <c r="AF12" s="2508">
        <f t="shared" si="24"/>
        <v>19567</v>
      </c>
      <c r="AG12" s="3868" t="s">
        <v>1618</v>
      </c>
      <c r="AH12" s="4027">
        <f t="shared" si="15"/>
        <v>10110</v>
      </c>
      <c r="AI12" s="4035">
        <f t="shared" si="16"/>
        <v>10110</v>
      </c>
      <c r="AJ12" s="4028">
        <f t="shared" si="25"/>
        <v>0</v>
      </c>
      <c r="AK12" s="4033"/>
      <c r="AM12" s="1045">
        <f t="shared" si="2"/>
        <v>6.9466758355783378E-2</v>
      </c>
      <c r="AN12" s="1045">
        <f t="shared" si="3"/>
        <v>7.2228993259127905E-2</v>
      </c>
      <c r="AO12" s="1045">
        <f t="shared" si="4"/>
        <v>7.7157760925787924E-2</v>
      </c>
      <c r="AP12" s="1045">
        <f t="shared" si="5"/>
        <v>2.9976315139929734E-2</v>
      </c>
      <c r="AQ12" s="1045">
        <f t="shared" si="18"/>
        <v>8.9947899614229387E-2</v>
      </c>
      <c r="AR12" s="2209">
        <f t="shared" si="6"/>
        <v>-47098</v>
      </c>
      <c r="AS12" s="2212">
        <f t="shared" si="7"/>
        <v>-0.8919062227777147</v>
      </c>
      <c r="AT12" s="2210">
        <f>(SUM(O4:O12)/(SUM(N4:N12)))-1</f>
        <v>-0.71171557445932732</v>
      </c>
      <c r="AU12" s="2514">
        <f t="shared" si="19"/>
        <v>19567</v>
      </c>
      <c r="AV12" s="3044">
        <f t="shared" si="20"/>
        <v>3.4279957953749127</v>
      </c>
      <c r="AW12" s="2516">
        <f>(SUM(P4:P12)/(SUM(O4:O12)))-1</f>
        <v>0.14370608338125734</v>
      </c>
      <c r="AX12" s="4040">
        <f t="shared" si="21"/>
        <v>10110</v>
      </c>
      <c r="AY12" s="4041">
        <f t="shared" si="22"/>
        <v>0.39999999999999991</v>
      </c>
      <c r="AZ12" s="4036">
        <f>(SUM(Q4:Q12)/(SUM(P4:P12)))-1</f>
        <v>0.37976892978308996</v>
      </c>
      <c r="BA12" s="479"/>
      <c r="BB12" s="479"/>
      <c r="BC12" s="479"/>
      <c r="BD12" s="479"/>
      <c r="BE12" s="479"/>
      <c r="BF12" s="479"/>
      <c r="BG12" s="479"/>
      <c r="BH12" s="479"/>
      <c r="BI12" s="479"/>
      <c r="BJ12" s="479"/>
      <c r="BK12" s="479"/>
      <c r="BL12" s="479"/>
      <c r="BM12" s="479"/>
      <c r="BN12" s="479"/>
      <c r="BO12" s="479"/>
      <c r="BP12" s="479"/>
      <c r="BQ12" s="479"/>
      <c r="BR12" s="479"/>
      <c r="BS12" s="479"/>
      <c r="BT12" s="479"/>
      <c r="BU12" s="479"/>
      <c r="BV12" s="479"/>
      <c r="BW12" s="479"/>
      <c r="BX12" s="479"/>
      <c r="BY12" s="479"/>
      <c r="BZ12" s="479"/>
      <c r="CS12" t="e">
        <v>#DIV/0!</v>
      </c>
    </row>
    <row r="13" spans="1:97" ht="15" customHeight="1" thickBot="1">
      <c r="A13" s="485" t="s">
        <v>45</v>
      </c>
      <c r="B13" s="486">
        <v>33891</v>
      </c>
      <c r="C13" s="486">
        <v>36977</v>
      </c>
      <c r="D13" s="486">
        <v>35959</v>
      </c>
      <c r="E13" s="486">
        <v>38298</v>
      </c>
      <c r="F13" s="486">
        <v>38582</v>
      </c>
      <c r="G13" s="486">
        <v>44864</v>
      </c>
      <c r="H13" s="486">
        <v>52967</v>
      </c>
      <c r="I13" s="486">
        <v>59469</v>
      </c>
      <c r="J13" s="486">
        <v>56449</v>
      </c>
      <c r="K13" s="486">
        <v>53831</v>
      </c>
      <c r="L13" s="486">
        <f>49732+1</f>
        <v>49733</v>
      </c>
      <c r="M13" s="486">
        <v>53057</v>
      </c>
      <c r="N13" s="1342">
        <v>42426</v>
      </c>
      <c r="O13" s="2528">
        <v>9063</v>
      </c>
      <c r="P13" s="1034">
        <v>29775</v>
      </c>
      <c r="Q13" s="4016">
        <f>P13+11458</f>
        <v>41233</v>
      </c>
      <c r="R13" s="698">
        <f t="shared" si="8"/>
        <v>57726.2</v>
      </c>
      <c r="S13" s="698">
        <f t="shared" si="9"/>
        <v>80816.679999999993</v>
      </c>
      <c r="T13" s="698">
        <f t="shared" si="10"/>
        <v>113143.35199999998</v>
      </c>
      <c r="U13" s="1034"/>
      <c r="V13" s="1050">
        <v>400</v>
      </c>
      <c r="W13" s="1051">
        <f t="shared" si="0"/>
        <v>-10631</v>
      </c>
      <c r="X13" s="1831">
        <f t="shared" si="11"/>
        <v>0</v>
      </c>
      <c r="Y13" s="2102" t="s">
        <v>1365</v>
      </c>
      <c r="Z13" s="2206">
        <v>500</v>
      </c>
      <c r="AA13" s="2207">
        <f t="shared" si="1"/>
        <v>-33363</v>
      </c>
      <c r="AB13" s="2211">
        <f t="shared" si="23"/>
        <v>0</v>
      </c>
      <c r="AC13" s="2208" t="s">
        <v>1365</v>
      </c>
      <c r="AD13" s="2507">
        <v>7000</v>
      </c>
      <c r="AE13" s="3030">
        <f t="shared" si="13"/>
        <v>20712</v>
      </c>
      <c r="AF13" s="2508">
        <f t="shared" si="24"/>
        <v>20712</v>
      </c>
      <c r="AG13" s="3868" t="s">
        <v>1618</v>
      </c>
      <c r="AH13" s="4027">
        <v>9100</v>
      </c>
      <c r="AI13" s="4035">
        <f t="shared" si="16"/>
        <v>11458</v>
      </c>
      <c r="AJ13" s="4028">
        <f t="shared" si="25"/>
        <v>11458</v>
      </c>
      <c r="AK13" s="4033"/>
      <c r="AM13" s="1045">
        <f t="shared" si="2"/>
        <v>7.6168844793707141E-2</v>
      </c>
      <c r="AN13" s="1045">
        <f t="shared" si="3"/>
        <v>7.6617491610011385E-2</v>
      </c>
      <c r="AO13" s="1045">
        <f t="shared" si="4"/>
        <v>6.199097006093017E-2</v>
      </c>
      <c r="AP13" s="1045">
        <f t="shared" si="5"/>
        <v>4.7595540314152626E-2</v>
      </c>
      <c r="AQ13" s="1045">
        <f t="shared" si="18"/>
        <v>0.10596236245355806</v>
      </c>
      <c r="AR13" s="2209">
        <f t="shared" si="6"/>
        <v>-33363</v>
      </c>
      <c r="AS13" s="2212">
        <f t="shared" si="7"/>
        <v>-0.78638099278744167</v>
      </c>
      <c r="AT13" s="2210">
        <f>(SUM(O4:O13)/(SUM(N4:N13)))-1</f>
        <v>-0.71730058234556737</v>
      </c>
      <c r="AU13" s="2514">
        <f t="shared" si="19"/>
        <v>20712</v>
      </c>
      <c r="AV13" s="3044">
        <f t="shared" si="20"/>
        <v>2.2853359814630916</v>
      </c>
      <c r="AW13" s="2516">
        <f>(SUM(P4:P13)/(SUM(O4:O13)))-1</f>
        <v>0.26475577508357029</v>
      </c>
      <c r="AX13" s="4040">
        <f t="shared" si="21"/>
        <v>11458</v>
      </c>
      <c r="AY13" s="4041">
        <f t="shared" si="22"/>
        <v>0.38481947942905115</v>
      </c>
      <c r="AZ13" s="4036">
        <f>(SUM(Q4:Q13)/(SUM(P4:P13)))-1</f>
        <v>0.38051046371723318</v>
      </c>
      <c r="BA13" s="479"/>
      <c r="BB13" s="479"/>
      <c r="BC13" s="479"/>
      <c r="BD13" s="479"/>
      <c r="BE13" s="479"/>
      <c r="BF13" s="479"/>
      <c r="BG13" s="479"/>
      <c r="BH13" s="479"/>
      <c r="BI13" s="479"/>
      <c r="BJ13" s="479"/>
      <c r="BK13" s="479"/>
      <c r="BL13" s="479"/>
      <c r="BM13" s="479"/>
      <c r="BN13" s="479"/>
      <c r="BO13" s="479"/>
      <c r="BP13" s="479"/>
      <c r="BQ13" s="479"/>
      <c r="BR13" s="479"/>
      <c r="BS13" s="479"/>
      <c r="BT13" s="479"/>
      <c r="BU13" s="479"/>
      <c r="BV13" s="479"/>
      <c r="BW13" s="479"/>
      <c r="BX13" s="479"/>
      <c r="BY13" s="479"/>
      <c r="BZ13" s="479"/>
      <c r="CS13" t="e">
        <v>#DIV/0!</v>
      </c>
    </row>
    <row r="14" spans="1:97" ht="15" customHeight="1" thickBot="1">
      <c r="A14" s="485" t="s">
        <v>46</v>
      </c>
      <c r="B14" s="486">
        <v>35806</v>
      </c>
      <c r="C14" s="486">
        <v>38290</v>
      </c>
      <c r="D14" s="486">
        <v>38401</v>
      </c>
      <c r="E14" s="486">
        <v>38171</v>
      </c>
      <c r="F14" s="486">
        <v>41073</v>
      </c>
      <c r="G14" s="486">
        <v>46422</v>
      </c>
      <c r="H14" s="486">
        <v>56278</v>
      </c>
      <c r="I14" s="486">
        <v>63281</v>
      </c>
      <c r="J14" s="486">
        <v>61342</v>
      </c>
      <c r="K14" s="486">
        <v>48311</v>
      </c>
      <c r="L14" s="486">
        <v>52215</v>
      </c>
      <c r="M14" s="486">
        <v>54720</v>
      </c>
      <c r="N14" s="1342">
        <v>52993</v>
      </c>
      <c r="O14" s="2528">
        <v>11553</v>
      </c>
      <c r="P14" s="1034">
        <v>35230</v>
      </c>
      <c r="Q14" s="4016">
        <f>P14+13092</f>
        <v>48322</v>
      </c>
      <c r="R14" s="698">
        <f t="shared" si="8"/>
        <v>67650.8</v>
      </c>
      <c r="S14" s="698">
        <f t="shared" si="9"/>
        <v>94711.12000000001</v>
      </c>
      <c r="T14" s="698">
        <f t="shared" si="10"/>
        <v>132595.56800000003</v>
      </c>
      <c r="U14" s="1034"/>
      <c r="V14" s="1050">
        <v>400</v>
      </c>
      <c r="W14" s="1051">
        <f t="shared" si="0"/>
        <v>-1727</v>
      </c>
      <c r="X14" s="1831">
        <f t="shared" si="11"/>
        <v>0</v>
      </c>
      <c r="Y14" s="2102" t="s">
        <v>1365</v>
      </c>
      <c r="Z14" s="2206">
        <v>1000</v>
      </c>
      <c r="AA14" s="2207">
        <f t="shared" si="1"/>
        <v>-41440</v>
      </c>
      <c r="AB14" s="2211">
        <f t="shared" si="23"/>
        <v>0</v>
      </c>
      <c r="AC14" s="2208" t="s">
        <v>1411</v>
      </c>
      <c r="AD14" s="2507">
        <v>7000</v>
      </c>
      <c r="AE14" s="3030">
        <f t="shared" si="13"/>
        <v>23677</v>
      </c>
      <c r="AF14" s="2508">
        <f t="shared" si="24"/>
        <v>23677</v>
      </c>
      <c r="AG14" s="3868" t="s">
        <v>1618</v>
      </c>
      <c r="AH14" s="4027">
        <v>9200</v>
      </c>
      <c r="AI14" s="4035">
        <f t="shared" si="16"/>
        <v>13092</v>
      </c>
      <c r="AJ14" s="4028">
        <f t="shared" si="25"/>
        <v>13092</v>
      </c>
      <c r="AK14" s="4033"/>
      <c r="AM14" s="1045">
        <f t="shared" si="2"/>
        <v>7.9970165300774512E-2</v>
      </c>
      <c r="AN14" s="1045">
        <f t="shared" si="3"/>
        <v>7.9018963395967035E-2</v>
      </c>
      <c r="AO14" s="1045">
        <f t="shared" si="4"/>
        <v>7.743099694618566E-2</v>
      </c>
      <c r="AP14" s="1045">
        <f t="shared" si="5"/>
        <v>6.0672103856273335E-2</v>
      </c>
      <c r="AQ14" s="1045">
        <f t="shared" si="18"/>
        <v>0.12537545018434426</v>
      </c>
      <c r="AR14" s="2209">
        <f t="shared" si="6"/>
        <v>-41440</v>
      </c>
      <c r="AS14" s="2212">
        <f t="shared" si="7"/>
        <v>-0.78199007416073818</v>
      </c>
      <c r="AT14" s="2210">
        <f>(SUM(O4:O14)/(SUM(N4:N14)))-1</f>
        <v>-0.72282813754672015</v>
      </c>
      <c r="AU14" s="2514">
        <f t="shared" si="19"/>
        <v>23677</v>
      </c>
      <c r="AV14" s="3044">
        <f t="shared" si="20"/>
        <v>2.0494243919328312</v>
      </c>
      <c r="AW14" s="2516">
        <f>(SUM(P4:P14)/(SUM(O4:O14)))-1</f>
        <v>0.38470130368767341</v>
      </c>
      <c r="AX14" s="4040">
        <f t="shared" si="21"/>
        <v>13092</v>
      </c>
      <c r="AY14" s="4041">
        <f t="shared" si="22"/>
        <v>0.37161510076639237</v>
      </c>
      <c r="AZ14" s="4036">
        <f>(SUM(Q4:Q14)/(SUM(P4:P14)))-1</f>
        <v>0.37919386957727297</v>
      </c>
      <c r="BA14" s="479"/>
      <c r="BB14" s="479"/>
      <c r="BC14" s="479"/>
      <c r="BD14" s="479"/>
      <c r="BE14" s="479"/>
      <c r="BF14" s="479"/>
      <c r="BG14" s="479"/>
      <c r="BH14" s="479"/>
      <c r="BI14" s="479"/>
      <c r="BJ14" s="479"/>
      <c r="BK14" s="479"/>
      <c r="BL14" s="479"/>
      <c r="BM14" s="479"/>
      <c r="BN14" s="479"/>
      <c r="BO14" s="479"/>
      <c r="BP14" s="479"/>
      <c r="BQ14" s="479"/>
      <c r="BR14" s="479"/>
      <c r="BS14" s="479"/>
      <c r="BT14" s="479"/>
      <c r="BU14" s="479"/>
      <c r="BV14" s="479"/>
      <c r="BW14" s="479"/>
      <c r="BX14" s="479"/>
      <c r="BY14" s="479"/>
      <c r="BZ14" s="479"/>
      <c r="CS14" t="e">
        <v>#DIV/0!</v>
      </c>
    </row>
    <row r="15" spans="1:97" ht="15" customHeight="1" thickBot="1">
      <c r="A15" s="485" t="s">
        <v>47</v>
      </c>
      <c r="B15" s="486">
        <v>36780</v>
      </c>
      <c r="C15" s="486">
        <v>37281</v>
      </c>
      <c r="D15" s="486">
        <v>43693</v>
      </c>
      <c r="E15" s="486">
        <v>41220</v>
      </c>
      <c r="F15" s="486">
        <v>44235</v>
      </c>
      <c r="G15" s="486">
        <v>54545</v>
      </c>
      <c r="H15" s="486">
        <v>64370</v>
      </c>
      <c r="I15" s="486">
        <v>77956</v>
      </c>
      <c r="J15" s="486">
        <v>68875</v>
      </c>
      <c r="K15" s="486">
        <v>64045</v>
      </c>
      <c r="L15" s="486">
        <v>70062</v>
      </c>
      <c r="M15" s="486">
        <v>71516</v>
      </c>
      <c r="N15" s="1342">
        <v>64208</v>
      </c>
      <c r="O15" s="2528">
        <v>18520</v>
      </c>
      <c r="P15" s="1034">
        <v>42970</v>
      </c>
      <c r="Q15" s="4016">
        <f>P15+9742</f>
        <v>52712</v>
      </c>
      <c r="R15" s="698">
        <f t="shared" si="8"/>
        <v>73796.800000000003</v>
      </c>
      <c r="S15" s="698">
        <f t="shared" si="9"/>
        <v>103315.52</v>
      </c>
      <c r="T15" s="698">
        <f t="shared" si="10"/>
        <v>144641.728</v>
      </c>
      <c r="U15" s="1034"/>
      <c r="V15" s="1050">
        <v>415</v>
      </c>
      <c r="W15" s="1051">
        <f t="shared" si="0"/>
        <v>-7308</v>
      </c>
      <c r="X15" s="1831">
        <f t="shared" si="11"/>
        <v>0</v>
      </c>
      <c r="Y15" s="2102" t="s">
        <v>1365</v>
      </c>
      <c r="Z15" s="2206">
        <v>1000</v>
      </c>
      <c r="AA15" s="2207">
        <f t="shared" si="1"/>
        <v>-45688</v>
      </c>
      <c r="AB15" s="2211">
        <f t="shared" si="23"/>
        <v>0</v>
      </c>
      <c r="AC15" s="2208" t="s">
        <v>1365</v>
      </c>
      <c r="AD15" s="2507">
        <v>7000</v>
      </c>
      <c r="AE15" s="3030">
        <f t="shared" si="13"/>
        <v>24450</v>
      </c>
      <c r="AF15" s="2508">
        <f t="shared" si="24"/>
        <v>24450</v>
      </c>
      <c r="AG15" s="3868" t="s">
        <v>1618</v>
      </c>
      <c r="AH15" s="5074">
        <v>12492</v>
      </c>
      <c r="AI15" s="4035">
        <f t="shared" si="16"/>
        <v>9742</v>
      </c>
      <c r="AJ15" s="4028">
        <f t="shared" si="25"/>
        <v>9742</v>
      </c>
      <c r="AK15" s="4033"/>
      <c r="AM15" s="1045">
        <f t="shared" si="2"/>
        <v>0.10730383455525928</v>
      </c>
      <c r="AN15" s="1045">
        <f t="shared" si="3"/>
        <v>0.10327339521611802</v>
      </c>
      <c r="AO15" s="1045">
        <f t="shared" si="4"/>
        <v>9.3817852394102771E-2</v>
      </c>
      <c r="AP15" s="1045">
        <f t="shared" si="5"/>
        <v>9.7260223614488203E-2</v>
      </c>
      <c r="AQ15" s="1045">
        <f t="shared" si="18"/>
        <v>0.15292032626798957</v>
      </c>
      <c r="AR15" s="2209">
        <f t="shared" si="6"/>
        <v>-45688</v>
      </c>
      <c r="AS15" s="2212">
        <f t="shared" si="7"/>
        <v>-0.71156242212808374</v>
      </c>
      <c r="AT15" s="2210">
        <f>(SUM(O4:O15)/(SUM(N4:N15)))-1</f>
        <v>-0.72177121232046049</v>
      </c>
      <c r="AU15" s="2514">
        <f t="shared" si="19"/>
        <v>24450</v>
      </c>
      <c r="AV15" s="3044">
        <f t="shared" si="20"/>
        <v>1.3201943844492439</v>
      </c>
      <c r="AW15" s="2516">
        <f>(SUM(P4:P15)/(SUM(O4:O15)))-1</f>
        <v>0.47568756991235017</v>
      </c>
      <c r="AX15" s="4040">
        <f t="shared" si="21"/>
        <v>9742</v>
      </c>
      <c r="AY15" s="4041">
        <f t="shared" si="22"/>
        <v>0.22671631370723766</v>
      </c>
      <c r="AZ15" s="4036">
        <f>(SUM(Q4:Q15)/(SUM(P4:P15)))-1</f>
        <v>0.35587695198508174</v>
      </c>
      <c r="BA15" s="479"/>
      <c r="BB15" s="479"/>
      <c r="BC15" s="479"/>
      <c r="BD15" s="479"/>
      <c r="BE15" s="479"/>
      <c r="BF15" s="479"/>
      <c r="BG15" s="479"/>
      <c r="BH15" s="479"/>
      <c r="BI15" s="479"/>
      <c r="BJ15" s="479"/>
      <c r="BK15" s="479"/>
      <c r="BL15" s="479"/>
      <c r="BM15" s="479"/>
      <c r="BN15" s="479"/>
      <c r="BO15" s="479"/>
      <c r="BP15" s="479"/>
      <c r="BQ15" s="479"/>
      <c r="BR15" s="479"/>
      <c r="BS15" s="479"/>
      <c r="BT15" s="479"/>
      <c r="BU15" s="479"/>
      <c r="BV15" s="479"/>
      <c r="BW15" s="479"/>
      <c r="BX15" s="479"/>
      <c r="BY15" s="479"/>
      <c r="BZ15" s="479"/>
      <c r="CS15" t="e">
        <v>#DIV/0!</v>
      </c>
    </row>
    <row r="16" spans="1:97" ht="21.6" thickBot="1">
      <c r="A16" s="477" t="s">
        <v>588</v>
      </c>
      <c r="B16" s="593">
        <v>417853</v>
      </c>
      <c r="C16" s="593">
        <v>471499</v>
      </c>
      <c r="D16" s="593">
        <v>461865</v>
      </c>
      <c r="E16" s="593">
        <v>474221</v>
      </c>
      <c r="F16" s="593">
        <v>487378</v>
      </c>
      <c r="G16" s="593">
        <v>533458</v>
      </c>
      <c r="H16" s="593">
        <f>SUM(H4:H15)</f>
        <v>628958</v>
      </c>
      <c r="I16" s="593">
        <v>703015</v>
      </c>
      <c r="J16" s="593">
        <f t="shared" ref="J16:O16" si="26">SUM(J4:J15)</f>
        <v>712877</v>
      </c>
      <c r="K16" s="593">
        <f t="shared" si="26"/>
        <v>627626</v>
      </c>
      <c r="L16" s="593">
        <f t="shared" si="26"/>
        <v>652931</v>
      </c>
      <c r="M16" s="593">
        <f t="shared" si="26"/>
        <v>692492</v>
      </c>
      <c r="N16" s="2529">
        <f t="shared" si="26"/>
        <v>684390</v>
      </c>
      <c r="O16" s="593">
        <f t="shared" si="26"/>
        <v>190417</v>
      </c>
      <c r="P16" s="2529">
        <f>SUM(P4:P15)</f>
        <v>280996</v>
      </c>
      <c r="Q16" s="4017">
        <f>SUM(Q4:Q15)</f>
        <v>380996</v>
      </c>
      <c r="R16" s="595">
        <f t="shared" ref="R16:T16" si="27">(Q16*R2)+Q16</f>
        <v>533394.4</v>
      </c>
      <c r="S16" s="595">
        <f t="shared" si="27"/>
        <v>746752.16</v>
      </c>
      <c r="T16" s="595">
        <f t="shared" si="27"/>
        <v>1045453.024</v>
      </c>
      <c r="U16" s="1035"/>
      <c r="V16" s="1052">
        <f>SUM(V4:V15)</f>
        <v>12507.96</v>
      </c>
      <c r="W16" s="1053">
        <f>SUM(W4:W15)</f>
        <v>-8102</v>
      </c>
      <c r="X16" s="1057">
        <f>SUM(X4:X15)</f>
        <v>15700</v>
      </c>
      <c r="Y16" s="1054"/>
      <c r="Z16" s="2189">
        <f>SUM(Z4:Z15)</f>
        <v>10000</v>
      </c>
      <c r="AA16" s="2190">
        <f>SUM(AA4:AA15)</f>
        <v>-493973</v>
      </c>
      <c r="AB16" s="2191">
        <f>SUM(AB4:AB15)</f>
        <v>7777</v>
      </c>
      <c r="AC16" s="2192"/>
      <c r="AD16" s="4020">
        <f>SUM(AD4:AD15)</f>
        <v>59583</v>
      </c>
      <c r="AE16" s="4021">
        <f>SUM(AE4:AE15)</f>
        <v>90579</v>
      </c>
      <c r="AF16" s="3869">
        <f>SUM(AF4:AF15)</f>
        <v>186417</v>
      </c>
      <c r="AG16" s="4022"/>
      <c r="AH16" s="4029">
        <f>SUM(AH4:AH15)</f>
        <v>100000.4</v>
      </c>
      <c r="AI16" s="4030">
        <f>SUM(AI4:AI15)</f>
        <v>100000</v>
      </c>
      <c r="AJ16" s="4031">
        <f>SUM(AJ4:AJ15)</f>
        <v>73324</v>
      </c>
      <c r="AK16" s="4031"/>
      <c r="AL16" s="3870"/>
      <c r="AM16" s="2193"/>
      <c r="AN16" s="2194"/>
      <c r="AO16" s="2194"/>
      <c r="AP16" s="2194"/>
      <c r="AQ16" s="2194"/>
      <c r="AR16" s="2195">
        <f t="shared" si="6"/>
        <v>-493973</v>
      </c>
      <c r="AS16" s="2196">
        <f t="shared" si="7"/>
        <v>-0.72177121232046049</v>
      </c>
      <c r="AT16" s="2197">
        <f>(SUM(O4:O15)/(SUM(N4:N15)))-1</f>
        <v>-0.72177121232046049</v>
      </c>
      <c r="AU16" s="2517">
        <f t="shared" si="19"/>
        <v>90579</v>
      </c>
      <c r="AV16" s="2518">
        <f t="shared" si="20"/>
        <v>0.47568756991235017</v>
      </c>
      <c r="AW16" s="2519">
        <f>(SUM(P4:P15)/(SUM(O4:O15)))-1</f>
        <v>0.47568756991235017</v>
      </c>
      <c r="AX16" s="4037">
        <f>Q16-P16</f>
        <v>100000</v>
      </c>
      <c r="AY16" s="4038">
        <f>Q16/P16-1</f>
        <v>0.35587695198508174</v>
      </c>
      <c r="AZ16" s="4039">
        <f>(SUM(Q4:Q15)/(SUM(P4:P15)))-1</f>
        <v>0.35587695198508174</v>
      </c>
      <c r="BA16" s="594"/>
      <c r="BB16" s="594"/>
      <c r="BC16" s="594"/>
      <c r="BD16" s="594"/>
      <c r="BE16" s="594"/>
      <c r="BF16" s="594"/>
      <c r="BG16" s="594"/>
      <c r="BH16" s="594"/>
      <c r="BI16" s="594"/>
      <c r="BJ16" s="594"/>
      <c r="BK16" s="594"/>
      <c r="BL16" s="594"/>
      <c r="BM16" s="594"/>
      <c r="BN16" s="594"/>
      <c r="BO16" s="594"/>
      <c r="BP16" s="594"/>
      <c r="BQ16" s="594"/>
      <c r="BR16" s="594"/>
      <c r="BS16" s="594"/>
      <c r="BT16" s="594"/>
      <c r="BU16" s="594"/>
      <c r="BV16" s="594"/>
      <c r="BW16" s="594"/>
      <c r="BX16" s="594"/>
      <c r="BY16" s="594"/>
      <c r="BZ16" s="594"/>
      <c r="CS16" t="e">
        <v>#DIV/0!</v>
      </c>
    </row>
    <row r="17" spans="1:97" ht="24" thickBot="1">
      <c r="A17" s="659" t="s">
        <v>48</v>
      </c>
      <c r="B17" s="487">
        <f>SUM(B4:B15)</f>
        <v>417853</v>
      </c>
      <c r="C17" s="487">
        <f t="shared" ref="C17:Q17" si="28">SUM(C4:C15)</f>
        <v>471499</v>
      </c>
      <c r="D17" s="487">
        <f t="shared" si="28"/>
        <v>461865</v>
      </c>
      <c r="E17" s="487">
        <f t="shared" si="28"/>
        <v>474221</v>
      </c>
      <c r="F17" s="487">
        <f t="shared" si="28"/>
        <v>487378</v>
      </c>
      <c r="G17" s="487">
        <f t="shared" si="28"/>
        <v>533458</v>
      </c>
      <c r="H17" s="487">
        <f t="shared" si="28"/>
        <v>628958</v>
      </c>
      <c r="I17" s="487">
        <f t="shared" si="28"/>
        <v>703046</v>
      </c>
      <c r="J17" s="487">
        <f t="shared" si="28"/>
        <v>712877</v>
      </c>
      <c r="K17" s="487">
        <f t="shared" si="28"/>
        <v>627626</v>
      </c>
      <c r="L17" s="487">
        <f t="shared" si="28"/>
        <v>652931</v>
      </c>
      <c r="M17" s="487">
        <f t="shared" si="28"/>
        <v>692492</v>
      </c>
      <c r="N17" s="487">
        <f t="shared" si="28"/>
        <v>684390</v>
      </c>
      <c r="O17" s="487">
        <f t="shared" si="28"/>
        <v>190417</v>
      </c>
      <c r="P17" s="487">
        <f t="shared" si="28"/>
        <v>280996</v>
      </c>
      <c r="Q17" s="487">
        <f t="shared" si="28"/>
        <v>380996</v>
      </c>
      <c r="R17" s="487">
        <f t="shared" ref="R17:T17" si="29">SUM(R4:R14)</f>
        <v>459597.60000000003</v>
      </c>
      <c r="S17" s="487">
        <f t="shared" si="29"/>
        <v>643436.64</v>
      </c>
      <c r="T17" s="487">
        <f t="shared" si="29"/>
        <v>900811.29600000009</v>
      </c>
      <c r="U17" s="1035"/>
      <c r="V17" s="2156">
        <v>705000</v>
      </c>
      <c r="W17" s="1055">
        <f>N16-V17</f>
        <v>-20610</v>
      </c>
      <c r="X17" s="1055">
        <f>X16-V16</f>
        <v>3192.0400000000009</v>
      </c>
      <c r="Y17" s="1056"/>
      <c r="Z17" s="2198"/>
      <c r="AA17" s="2199"/>
      <c r="AB17" s="2199"/>
      <c r="AC17" s="2200"/>
      <c r="AD17" s="2511">
        <f>O16+AD16</f>
        <v>250000</v>
      </c>
      <c r="AE17" s="2512">
        <f>AE16-AD16</f>
        <v>30996</v>
      </c>
      <c r="AF17" s="2512">
        <f>AF16-AD17</f>
        <v>-63583</v>
      </c>
      <c r="AG17" s="3053"/>
      <c r="AH17" s="4023">
        <f>P16+AH16</f>
        <v>380996.4</v>
      </c>
      <c r="AI17" s="4024">
        <f t="shared" si="16"/>
        <v>100000</v>
      </c>
      <c r="AJ17" s="4024">
        <f>AJ16-AH17</f>
        <v>-307672.40000000002</v>
      </c>
      <c r="AK17" s="4024"/>
      <c r="AL17" s="3871"/>
      <c r="AM17" s="2185"/>
      <c r="AN17" s="2185"/>
      <c r="AO17" s="2185"/>
      <c r="AP17" s="2185"/>
      <c r="AQ17" s="2185"/>
      <c r="AR17" s="2185"/>
      <c r="AS17" s="2185"/>
      <c r="AT17" s="2185"/>
      <c r="AU17" s="2185"/>
      <c r="AV17" s="2185"/>
      <c r="AW17" s="2185"/>
      <c r="AX17" s="2185"/>
      <c r="AY17" s="2185"/>
      <c r="AZ17" s="2185"/>
      <c r="BA17" s="479"/>
      <c r="BB17" s="479"/>
      <c r="BC17" s="479"/>
      <c r="BD17" s="479"/>
      <c r="BE17" s="479"/>
      <c r="BF17" s="479"/>
      <c r="BG17" s="479"/>
      <c r="BH17" s="479"/>
      <c r="BI17" s="479"/>
      <c r="BJ17" s="479"/>
      <c r="BK17" s="479"/>
      <c r="BL17" s="479"/>
      <c r="BM17" s="479"/>
      <c r="BN17" s="479"/>
      <c r="BO17" s="479"/>
      <c r="BP17" s="479"/>
      <c r="BQ17" s="479"/>
      <c r="BR17" s="479"/>
      <c r="BS17" s="479"/>
      <c r="BT17" s="479"/>
      <c r="BU17" s="479"/>
      <c r="BV17" s="479"/>
      <c r="BW17" s="479"/>
      <c r="BX17" s="479"/>
      <c r="BY17" s="479"/>
      <c r="BZ17" s="479"/>
      <c r="CS17" t="e">
        <v>#DIV/0!</v>
      </c>
    </row>
    <row r="18" spans="1:97" ht="39">
      <c r="A18" s="31"/>
      <c r="B18" s="30"/>
      <c r="C18" s="32"/>
      <c r="D18" s="32"/>
      <c r="E18" s="32"/>
      <c r="F18" s="32"/>
      <c r="G18" s="32"/>
      <c r="H18" s="54"/>
      <c r="I18" s="54"/>
      <c r="J18" s="469"/>
      <c r="K18" s="469"/>
      <c r="L18" s="469"/>
      <c r="M18" s="5284" t="s">
        <v>1397</v>
      </c>
      <c r="N18" s="5284"/>
      <c r="O18" s="5284"/>
      <c r="P18" s="4348" t="s">
        <v>1771</v>
      </c>
      <c r="R18" s="469"/>
      <c r="S18" s="469"/>
      <c r="T18" s="469"/>
      <c r="U18" s="1036"/>
      <c r="V18" s="2513" t="s">
        <v>1380</v>
      </c>
      <c r="W18" s="600"/>
      <c r="X18" s="600"/>
      <c r="Y18" s="600"/>
      <c r="Z18" s="2523"/>
      <c r="AA18" s="600"/>
      <c r="AB18" s="600"/>
      <c r="AC18" s="600"/>
      <c r="AD18" s="4394">
        <f>P16-AD17</f>
        <v>30996</v>
      </c>
      <c r="AE18" s="4395"/>
      <c r="AG18" s="600"/>
      <c r="AH18" s="5075" t="s">
        <v>1616</v>
      </c>
      <c r="AI18" s="5076">
        <f>350000-Q16</f>
        <v>-30996</v>
      </c>
      <c r="AJ18" s="600"/>
      <c r="AK18" s="600"/>
      <c r="AL18" s="600"/>
      <c r="AM18" s="602"/>
      <c r="AN18" s="602"/>
      <c r="AO18" s="602"/>
      <c r="AP18" s="602"/>
      <c r="AQ18" s="602"/>
      <c r="AR18" s="2185"/>
      <c r="AS18" s="2185"/>
      <c r="AT18" s="2185"/>
      <c r="AU18" s="2185"/>
      <c r="AV18" s="2185"/>
      <c r="AW18" s="2185"/>
      <c r="AX18" s="2185"/>
      <c r="AY18" s="2185"/>
      <c r="AZ18" s="2185"/>
      <c r="BA18" s="428"/>
      <c r="BB18" s="428"/>
      <c r="BC18" s="428"/>
      <c r="BD18" s="428"/>
      <c r="BE18" s="428"/>
      <c r="BF18" s="428"/>
      <c r="BG18" s="428"/>
      <c r="BH18" s="428"/>
      <c r="BI18" s="428"/>
      <c r="BJ18" s="428"/>
      <c r="BK18" s="428"/>
      <c r="BL18" s="428"/>
      <c r="BM18" s="428"/>
      <c r="BN18" s="428"/>
      <c r="BO18" s="428"/>
      <c r="BP18" s="428"/>
      <c r="BQ18" s="428"/>
      <c r="BR18" s="428"/>
      <c r="BS18" s="428"/>
      <c r="BT18" s="428"/>
      <c r="BU18" s="428"/>
      <c r="BV18" s="428"/>
      <c r="BW18" s="428"/>
      <c r="BX18" s="428"/>
      <c r="BY18" s="428"/>
      <c r="BZ18" s="428"/>
    </row>
    <row r="19" spans="1:97" ht="15" thickBot="1">
      <c r="A19" s="383" t="s">
        <v>119</v>
      </c>
      <c r="B19" s="33"/>
      <c r="C19" s="34"/>
      <c r="D19" s="34"/>
      <c r="E19" s="34"/>
      <c r="F19" s="34"/>
      <c r="G19" s="34"/>
      <c r="H19" s="32"/>
      <c r="I19" s="32"/>
      <c r="J19" s="32"/>
      <c r="K19" s="584" t="s">
        <v>1391</v>
      </c>
      <c r="L19" s="1025"/>
      <c r="M19" s="22"/>
      <c r="N19" s="22"/>
      <c r="O19" s="22"/>
      <c r="Q19" s="1835" t="s">
        <v>873</v>
      </c>
      <c r="R19" s="596"/>
      <c r="S19" s="596"/>
      <c r="T19" s="596"/>
      <c r="U19" s="1036"/>
      <c r="V19" s="602"/>
      <c r="W19" s="600"/>
      <c r="X19" s="600"/>
      <c r="Y19" s="600"/>
      <c r="Z19" s="2201"/>
      <c r="AA19" s="600"/>
      <c r="AB19" s="600"/>
      <c r="AC19" s="600"/>
      <c r="AD19" s="4396" t="s">
        <v>1780</v>
      </c>
      <c r="AE19" s="4397" t="s">
        <v>1781</v>
      </c>
      <c r="AF19" s="600"/>
      <c r="AG19" s="4578"/>
      <c r="AH19" s="5077">
        <f>Q17</f>
        <v>380996</v>
      </c>
      <c r="AI19" s="4991">
        <f>380996-AH19</f>
        <v>0</v>
      </c>
      <c r="AJ19" s="600"/>
      <c r="AK19" s="600"/>
      <c r="AL19" s="600"/>
      <c r="AM19" s="602"/>
      <c r="AN19" s="602"/>
      <c r="AO19" s="602"/>
      <c r="AP19" s="602"/>
      <c r="AQ19" s="602"/>
      <c r="AR19" s="2185"/>
      <c r="AS19" s="2185"/>
      <c r="AT19" s="2185"/>
      <c r="AU19" s="2185"/>
      <c r="AV19" s="2185"/>
      <c r="AW19" s="2185"/>
      <c r="AX19" s="2185"/>
      <c r="AY19" s="2185"/>
      <c r="AZ19" s="2185"/>
      <c r="BA19" s="428"/>
      <c r="BB19" s="428"/>
      <c r="BC19" s="428"/>
      <c r="BD19" s="428"/>
      <c r="BE19" s="428"/>
      <c r="BF19" s="428"/>
      <c r="BG19" s="428"/>
      <c r="BH19" s="428"/>
      <c r="BI19" s="428"/>
      <c r="BJ19" s="428"/>
      <c r="BK19" s="428"/>
      <c r="BL19" s="428"/>
      <c r="BM19" s="428"/>
      <c r="BN19" s="428"/>
      <c r="BO19" s="428"/>
      <c r="BP19" s="428"/>
      <c r="BQ19" s="428"/>
      <c r="BR19" s="428"/>
      <c r="BS19" s="428"/>
      <c r="BT19" s="428"/>
      <c r="BU19" s="428"/>
      <c r="BV19" s="428"/>
      <c r="BW19" s="428"/>
      <c r="BX19" s="428"/>
      <c r="BY19" s="428"/>
      <c r="BZ19" s="428"/>
    </row>
    <row r="20" spans="1:97" ht="15" thickBot="1">
      <c r="A20" s="166" t="str">
        <f>A16</f>
        <v>Total anual</v>
      </c>
      <c r="B20" s="244"/>
      <c r="C20" s="245">
        <f t="shared" ref="C20:G20" si="30">C16/B16-1</f>
        <v>0.12838486261915083</v>
      </c>
      <c r="D20" s="245">
        <f t="shared" si="30"/>
        <v>-2.0432705053457179E-2</v>
      </c>
      <c r="E20" s="245">
        <f t="shared" si="30"/>
        <v>2.6752406006083973E-2</v>
      </c>
      <c r="F20" s="245">
        <f t="shared" si="30"/>
        <v>2.7744448263573362E-2</v>
      </c>
      <c r="G20" s="245">
        <f t="shared" si="30"/>
        <v>9.4546737850292883E-2</v>
      </c>
      <c r="H20" s="245">
        <f t="shared" ref="H20:O21" si="31">H16/G16-1</f>
        <v>0.17902065392214572</v>
      </c>
      <c r="I20" s="245">
        <f t="shared" si="31"/>
        <v>0.11774554103771639</v>
      </c>
      <c r="J20" s="245">
        <f t="shared" si="31"/>
        <v>1.4028150181717214E-2</v>
      </c>
      <c r="K20" s="245">
        <f t="shared" si="31"/>
        <v>-0.11958724997439951</v>
      </c>
      <c r="L20" s="245">
        <f t="shared" si="31"/>
        <v>4.0318597381242993E-2</v>
      </c>
      <c r="M20" s="245">
        <f t="shared" si="31"/>
        <v>6.0589863247418219E-2</v>
      </c>
      <c r="N20" s="245">
        <f t="shared" si="31"/>
        <v>-1.1699774149015463E-2</v>
      </c>
      <c r="O20" s="245">
        <f t="shared" si="31"/>
        <v>-0.72177121232046049</v>
      </c>
      <c r="P20" s="245">
        <f>P16/O16-1</f>
        <v>0.47568756991235017</v>
      </c>
      <c r="Q20" s="245">
        <f>Q16/P16-1</f>
        <v>0.35587695198508174</v>
      </c>
      <c r="R20" s="743"/>
      <c r="S20" s="743"/>
      <c r="T20" s="743"/>
      <c r="U20" s="1037"/>
      <c r="V20" s="431"/>
      <c r="W20" s="1905"/>
      <c r="X20" s="613"/>
      <c r="Y20" s="613"/>
      <c r="Z20" s="613"/>
      <c r="AA20" s="613"/>
      <c r="AB20" s="613"/>
      <c r="AC20" s="613"/>
      <c r="AD20" s="613"/>
      <c r="AE20" s="613"/>
      <c r="AF20" s="613"/>
      <c r="AG20" s="2202"/>
      <c r="AH20" s="5080">
        <f>AI16</f>
        <v>100000</v>
      </c>
      <c r="AI20" s="4991">
        <f>100000-AH20</f>
        <v>0</v>
      </c>
      <c r="AJ20" s="2202"/>
      <c r="AK20" s="2202"/>
      <c r="AL20" s="2202"/>
      <c r="AM20" s="2203"/>
      <c r="AN20" s="2203"/>
      <c r="AO20" s="2203"/>
      <c r="AP20" s="2203"/>
      <c r="AQ20" s="2203"/>
      <c r="AR20" s="2204"/>
      <c r="AS20" s="2204"/>
      <c r="AT20" s="2185"/>
      <c r="AU20" s="2185"/>
      <c r="AV20" s="2185"/>
      <c r="AW20" s="2185"/>
      <c r="AX20" s="2185"/>
      <c r="AY20" s="2185"/>
      <c r="AZ20" s="2185"/>
      <c r="BA20" s="431"/>
      <c r="BB20" s="431"/>
      <c r="BC20" s="431"/>
      <c r="BD20" s="431"/>
      <c r="BE20" s="431"/>
      <c r="BF20" s="431"/>
      <c r="BG20" s="431"/>
      <c r="BH20" s="431"/>
      <c r="BI20" s="431"/>
      <c r="BJ20" s="431"/>
      <c r="BK20" s="431"/>
      <c r="BL20" s="431"/>
      <c r="BM20" s="431"/>
      <c r="BN20" s="431"/>
      <c r="BO20" s="431"/>
      <c r="BP20" s="431"/>
      <c r="BQ20" s="431"/>
      <c r="BR20" s="431"/>
      <c r="BS20" s="431"/>
      <c r="BT20" s="431"/>
      <c r="BU20" s="431"/>
      <c r="BV20" s="431"/>
      <c r="BW20" s="431"/>
      <c r="BX20" s="431"/>
      <c r="BY20" s="431"/>
      <c r="BZ20" s="431"/>
    </row>
    <row r="21" spans="1:97" ht="16.8" thickTop="1" thickBot="1">
      <c r="A21" s="331" t="str">
        <f>A17</f>
        <v>ene-dic</v>
      </c>
      <c r="B21" s="246"/>
      <c r="C21" s="332">
        <f>C17/B17-1</f>
        <v>0.12838486261915083</v>
      </c>
      <c r="D21" s="332">
        <f>D17/C17-1</f>
        <v>-2.0432705053457179E-2</v>
      </c>
      <c r="E21" s="332">
        <f>E17/D17-1</f>
        <v>2.6752406006083973E-2</v>
      </c>
      <c r="F21" s="332">
        <f>F17/E17-1</f>
        <v>2.7744448263573362E-2</v>
      </c>
      <c r="G21" s="332">
        <f>G17/F17-1</f>
        <v>9.4546737850292883E-2</v>
      </c>
      <c r="H21" s="332">
        <f t="shared" si="31"/>
        <v>0.17902065392214572</v>
      </c>
      <c r="I21" s="332">
        <f t="shared" si="31"/>
        <v>0.1177948289074946</v>
      </c>
      <c r="J21" s="332">
        <f t="shared" si="31"/>
        <v>1.398343778358746E-2</v>
      </c>
      <c r="K21" s="332">
        <f t="shared" si="31"/>
        <v>-0.11958724997439951</v>
      </c>
      <c r="L21" s="332">
        <f t="shared" si="31"/>
        <v>4.0318597381242993E-2</v>
      </c>
      <c r="M21" s="332">
        <f t="shared" si="31"/>
        <v>6.0589863247418219E-2</v>
      </c>
      <c r="N21" s="2165">
        <f t="shared" si="31"/>
        <v>-1.1699774149015463E-2</v>
      </c>
      <c r="O21" s="2165">
        <f t="shared" si="31"/>
        <v>-0.72177121232046049</v>
      </c>
      <c r="P21" s="2165">
        <f>P17/O17-1</f>
        <v>0.47568756991235017</v>
      </c>
      <c r="Q21" s="2165">
        <f>Q17/P17-1</f>
        <v>0.35587695198508174</v>
      </c>
      <c r="R21" s="350"/>
      <c r="S21" s="350"/>
      <c r="T21" s="350"/>
      <c r="U21" s="1038"/>
      <c r="V21" s="600"/>
      <c r="W21" s="600"/>
      <c r="X21" s="600"/>
      <c r="Y21" s="600"/>
      <c r="Z21" s="600"/>
      <c r="AA21" s="2266"/>
      <c r="AB21" s="2266"/>
      <c r="AC21" s="2266"/>
      <c r="AD21" s="2266"/>
      <c r="AE21" s="2266"/>
      <c r="AF21" s="2266"/>
      <c r="AG21" s="2267"/>
      <c r="AH21" s="5078" t="s">
        <v>1780</v>
      </c>
      <c r="AI21" s="5079" t="s">
        <v>1781</v>
      </c>
      <c r="AJ21" s="2267"/>
      <c r="AK21" s="2267"/>
      <c r="AL21" s="2267"/>
      <c r="AM21" s="2268"/>
      <c r="AN21" s="2269"/>
      <c r="AO21" s="2269"/>
      <c r="AP21" s="2269"/>
      <c r="AQ21" s="2269"/>
      <c r="AR21" s="479"/>
      <c r="AS21" s="479"/>
      <c r="AT21" s="2185"/>
      <c r="AU21" s="2185"/>
      <c r="AV21" s="2185"/>
      <c r="AW21" s="2185"/>
      <c r="AX21" s="2185"/>
      <c r="AY21" s="2185"/>
      <c r="AZ21" s="2185"/>
      <c r="BA21" s="430"/>
      <c r="BB21" s="430"/>
      <c r="BC21" s="430"/>
      <c r="BD21" s="430"/>
      <c r="BE21" s="430"/>
      <c r="BF21" s="430"/>
      <c r="BG21" s="430"/>
      <c r="BH21" s="430"/>
      <c r="BI21" s="430"/>
      <c r="BJ21" s="430"/>
      <c r="BK21" s="430"/>
      <c r="BL21" s="430"/>
      <c r="BM21" s="430"/>
      <c r="BN21" s="430"/>
      <c r="BO21" s="430"/>
      <c r="BP21" s="430"/>
      <c r="BQ21" s="430"/>
      <c r="BR21" s="430"/>
      <c r="BS21" s="430"/>
      <c r="BT21" s="430"/>
      <c r="BU21" s="430"/>
      <c r="BV21" s="430"/>
      <c r="BW21" s="430"/>
      <c r="BX21" s="430"/>
      <c r="BY21" s="430"/>
      <c r="BZ21" s="430"/>
    </row>
    <row r="22" spans="1:97" ht="15.6">
      <c r="A22" s="3936"/>
      <c r="B22" s="583"/>
      <c r="C22" s="584"/>
      <c r="D22" s="584"/>
      <c r="E22" s="584"/>
      <c r="F22" s="584"/>
      <c r="G22" s="584"/>
      <c r="H22" s="584"/>
      <c r="I22" s="584"/>
      <c r="J22" s="584"/>
      <c r="K22" s="584"/>
      <c r="L22" s="584"/>
      <c r="M22" s="584"/>
      <c r="N22" s="3937"/>
      <c r="O22" s="3938" t="s">
        <v>1601</v>
      </c>
      <c r="P22" s="3939">
        <f>P17/N17-1</f>
        <v>-0.58942123642952116</v>
      </c>
      <c r="Q22" s="3939">
        <f>Q17/N17-1</f>
        <v>-0.44330571750025571</v>
      </c>
      <c r="R22" s="350"/>
      <c r="S22" s="350"/>
      <c r="T22" s="350"/>
      <c r="U22" s="1038"/>
      <c r="V22" s="600"/>
      <c r="W22" s="600"/>
      <c r="X22" s="600"/>
      <c r="Y22" s="600"/>
      <c r="Z22" s="600"/>
      <c r="AA22" s="2266"/>
      <c r="AB22" s="2266"/>
      <c r="AC22" s="2266"/>
      <c r="AD22" s="2266"/>
      <c r="AE22" s="2266"/>
      <c r="AF22" s="2266"/>
      <c r="AG22" s="2267"/>
      <c r="AH22" s="2267"/>
      <c r="AI22" s="2267"/>
      <c r="AJ22" s="2267"/>
      <c r="AK22" s="2267"/>
      <c r="AL22" s="2267"/>
      <c r="AM22" s="2268"/>
      <c r="AN22" s="2269"/>
      <c r="AO22" s="2269"/>
      <c r="AP22" s="2269"/>
      <c r="AQ22" s="2269"/>
      <c r="AR22" s="479"/>
      <c r="AS22" s="479"/>
      <c r="AT22" s="2185"/>
      <c r="AU22" s="2185"/>
      <c r="AV22" s="2185"/>
      <c r="AW22" s="2185"/>
      <c r="AX22" s="2185"/>
      <c r="AY22" s="2185"/>
      <c r="AZ22" s="2185"/>
      <c r="BA22" s="430"/>
      <c r="BB22" s="430"/>
      <c r="BC22" s="430"/>
      <c r="BD22" s="430"/>
      <c r="BE22" s="430"/>
      <c r="BF22" s="430"/>
      <c r="BG22" s="430"/>
      <c r="BH22" s="430"/>
      <c r="BI22" s="430"/>
      <c r="BJ22" s="430"/>
      <c r="BK22" s="430"/>
      <c r="BL22" s="430"/>
      <c r="BM22" s="430"/>
      <c r="BN22" s="430"/>
      <c r="BO22" s="430"/>
      <c r="BP22" s="430"/>
      <c r="BQ22" s="430"/>
      <c r="BR22" s="430"/>
      <c r="BS22" s="430"/>
      <c r="BT22" s="430"/>
      <c r="BU22" s="430"/>
      <c r="BV22" s="430"/>
      <c r="BW22" s="430"/>
      <c r="BX22" s="430"/>
      <c r="BY22" s="430"/>
      <c r="BZ22" s="430"/>
    </row>
    <row r="23" spans="1:97" ht="13.5" customHeight="1">
      <c r="A23" s="865" t="s">
        <v>851</v>
      </c>
      <c r="B23" s="866" t="s">
        <v>847</v>
      </c>
      <c r="C23" s="867" t="s">
        <v>848</v>
      </c>
      <c r="D23" s="867"/>
      <c r="E23" s="868" t="s">
        <v>849</v>
      </c>
      <c r="F23" s="584"/>
      <c r="G23" s="584"/>
      <c r="H23" s="584"/>
      <c r="I23" s="430"/>
      <c r="J23" s="584"/>
      <c r="K23" s="585"/>
      <c r="L23" s="1046" t="s">
        <v>605</v>
      </c>
      <c r="M23" s="1046" t="s">
        <v>744</v>
      </c>
      <c r="N23" s="1046" t="s">
        <v>1381</v>
      </c>
      <c r="O23" s="1046" t="s">
        <v>1384</v>
      </c>
      <c r="P23" s="1046" t="s">
        <v>1602</v>
      </c>
      <c r="Q23" s="1046" t="s">
        <v>1619</v>
      </c>
      <c r="R23" s="657"/>
      <c r="S23" s="657"/>
      <c r="T23" s="657"/>
      <c r="U23" s="1039"/>
      <c r="V23" s="430"/>
      <c r="W23" s="430"/>
      <c r="X23" s="430"/>
      <c r="Y23" s="430"/>
      <c r="Z23" s="2185"/>
      <c r="AA23" s="479"/>
      <c r="AB23" s="479"/>
      <c r="AC23" s="2270"/>
      <c r="AD23" s="2270"/>
      <c r="AE23" s="2270"/>
      <c r="AF23" s="479"/>
      <c r="AG23" s="479"/>
      <c r="AH23" s="479"/>
      <c r="AI23" s="479"/>
      <c r="AJ23" s="479"/>
      <c r="AK23" s="479"/>
      <c r="AL23" s="479"/>
      <c r="AM23" s="2271"/>
      <c r="AN23" s="2271"/>
      <c r="AO23" s="2271"/>
      <c r="AP23" s="2271"/>
      <c r="AQ23" s="2271"/>
      <c r="AR23" s="2272"/>
      <c r="AS23" s="479"/>
      <c r="AT23" s="2185"/>
      <c r="AU23" s="2185"/>
      <c r="AV23" s="2185"/>
      <c r="AW23" s="2185"/>
      <c r="AX23" s="2185"/>
      <c r="AY23" s="2185"/>
      <c r="AZ23" s="2185"/>
      <c r="BA23" s="430"/>
      <c r="BB23" s="430"/>
      <c r="BC23" s="430"/>
      <c r="BD23" s="430"/>
      <c r="BE23" s="430"/>
      <c r="BF23" s="430"/>
      <c r="BG23" s="430"/>
      <c r="BH23" s="430"/>
      <c r="BI23" s="430"/>
      <c r="BJ23" s="430"/>
      <c r="BK23" s="430"/>
      <c r="BL23" s="430"/>
      <c r="BM23" s="430"/>
      <c r="BN23" s="430"/>
      <c r="BO23" s="430"/>
      <c r="BP23" s="430"/>
      <c r="BQ23" s="430"/>
      <c r="BR23" s="430"/>
      <c r="BS23" s="430"/>
      <c r="BT23" s="430"/>
      <c r="BU23" s="430"/>
      <c r="BV23" s="430"/>
      <c r="BW23" s="430"/>
      <c r="BX23" s="430"/>
      <c r="BY23" s="430"/>
      <c r="BZ23" s="430"/>
    </row>
    <row r="24" spans="1:97" ht="13.5" customHeight="1" thickBot="1">
      <c r="A24" s="1028"/>
      <c r="B24" s="1029"/>
      <c r="C24" s="1030"/>
      <c r="D24" s="1030"/>
      <c r="E24" s="1031"/>
      <c r="F24" s="584"/>
      <c r="G24" s="584"/>
      <c r="H24" s="584"/>
      <c r="I24" s="430"/>
      <c r="J24" s="584"/>
      <c r="K24" s="585"/>
      <c r="L24" s="657"/>
      <c r="M24" s="657"/>
      <c r="N24" s="657"/>
      <c r="O24" s="657"/>
      <c r="P24" s="657"/>
      <c r="Q24" s="657"/>
      <c r="R24" s="657"/>
      <c r="S24" s="657"/>
      <c r="T24" s="657"/>
      <c r="U24" s="1039"/>
      <c r="V24" s="430"/>
      <c r="W24" s="430"/>
      <c r="X24" s="430"/>
      <c r="Y24" s="430"/>
      <c r="Z24" s="2185"/>
      <c r="AA24" s="479"/>
      <c r="AB24" s="2273"/>
      <c r="AC24" s="2270"/>
      <c r="AD24" s="2270"/>
      <c r="AE24" s="2270"/>
      <c r="AF24" s="479"/>
      <c r="AG24" s="479"/>
      <c r="AH24" s="479"/>
      <c r="AI24" s="479"/>
      <c r="AJ24" s="479"/>
      <c r="AK24" s="479"/>
      <c r="AL24" s="479"/>
      <c r="AM24" s="2271"/>
      <c r="AN24" s="2271"/>
      <c r="AO24" s="2271"/>
      <c r="AP24" s="2271"/>
      <c r="AQ24" s="2271"/>
      <c r="AR24" s="2272"/>
      <c r="AS24" s="479"/>
      <c r="AT24" s="2185"/>
      <c r="AU24" s="2185"/>
      <c r="AV24" s="2185"/>
      <c r="AW24" s="2185"/>
      <c r="AX24" s="2185"/>
      <c r="AY24" s="2185"/>
      <c r="AZ24" s="2185"/>
      <c r="BA24" s="430"/>
      <c r="BB24" s="430"/>
      <c r="BC24" s="430"/>
      <c r="BD24" s="430"/>
      <c r="BE24" s="430"/>
      <c r="BF24" s="430"/>
      <c r="BG24" s="430"/>
      <c r="BH24" s="430"/>
      <c r="BI24" s="430"/>
      <c r="BJ24" s="430"/>
      <c r="BK24" s="430"/>
      <c r="BL24" s="430"/>
      <c r="BM24" s="430"/>
      <c r="BN24" s="430"/>
      <c r="BO24" s="430"/>
      <c r="BP24" s="430"/>
      <c r="BQ24" s="430"/>
      <c r="BR24" s="430"/>
      <c r="BS24" s="430"/>
      <c r="BT24" s="430"/>
      <c r="BU24" s="430"/>
      <c r="BV24" s="430"/>
      <c r="BW24" s="430"/>
      <c r="BX24" s="430"/>
      <c r="BY24" s="430"/>
      <c r="BZ24" s="430"/>
    </row>
    <row r="25" spans="1:97" ht="16.2" thickBot="1">
      <c r="A25" s="587" t="s">
        <v>166</v>
      </c>
      <c r="B25" s="583"/>
      <c r="C25" s="430"/>
      <c r="D25" s="430"/>
      <c r="E25" s="430"/>
      <c r="F25" s="584"/>
      <c r="G25" s="430"/>
      <c r="H25" s="584"/>
      <c r="I25" s="588" t="s">
        <v>206</v>
      </c>
      <c r="J25" s="588" t="s">
        <v>393</v>
      </c>
      <c r="K25" s="588" t="s">
        <v>530</v>
      </c>
      <c r="L25" s="588" t="s">
        <v>578</v>
      </c>
      <c r="M25" s="588" t="s">
        <v>846</v>
      </c>
      <c r="N25" s="588" t="s">
        <v>881</v>
      </c>
      <c r="O25" s="588" t="s">
        <v>882</v>
      </c>
      <c r="P25" s="588" t="s">
        <v>883</v>
      </c>
      <c r="Q25" s="588" t="s">
        <v>884</v>
      </c>
      <c r="R25" s="588" t="s">
        <v>885</v>
      </c>
      <c r="S25" s="588" t="s">
        <v>886</v>
      </c>
      <c r="T25" s="588" t="s">
        <v>887</v>
      </c>
      <c r="U25" s="1040"/>
      <c r="V25" s="600"/>
      <c r="W25" s="600"/>
      <c r="X25" s="600"/>
      <c r="Y25" s="600"/>
      <c r="Z25" s="600"/>
      <c r="AA25" s="2266"/>
      <c r="AB25" s="2266"/>
      <c r="AC25" s="2267"/>
      <c r="AD25" s="2267"/>
      <c r="AE25" s="2267"/>
      <c r="AF25" s="2266"/>
      <c r="AG25" s="2266"/>
      <c r="AH25" s="2266"/>
      <c r="AI25" s="2266"/>
      <c r="AJ25" s="2266"/>
      <c r="AK25" s="2266"/>
      <c r="AL25" s="2266"/>
      <c r="AM25" s="2269"/>
      <c r="AN25" s="2269"/>
      <c r="AO25" s="2269"/>
      <c r="AP25" s="2269"/>
      <c r="AQ25" s="2269"/>
      <c r="AR25" s="479"/>
      <c r="AS25" s="479"/>
      <c r="AT25" s="2185"/>
      <c r="AU25" s="2185"/>
      <c r="AV25" s="2185"/>
      <c r="AW25" s="2185"/>
      <c r="AX25" s="2185"/>
      <c r="AY25" s="2185"/>
      <c r="AZ25" s="2185"/>
      <c r="BA25" s="430"/>
      <c r="BB25" s="430"/>
      <c r="BC25" s="430"/>
      <c r="BD25" s="430"/>
      <c r="BE25" s="430"/>
      <c r="BF25" s="430"/>
      <c r="BG25" s="430"/>
      <c r="BH25" s="430"/>
      <c r="BI25" s="430"/>
      <c r="BJ25" s="430"/>
      <c r="BK25" s="430"/>
      <c r="BL25" s="430"/>
      <c r="BM25" s="430"/>
      <c r="BN25" s="430"/>
      <c r="BO25" s="430"/>
      <c r="BP25" s="430"/>
      <c r="BQ25" s="430"/>
      <c r="BR25" s="430"/>
      <c r="BS25" s="430"/>
      <c r="BT25" s="430"/>
      <c r="BU25" s="430"/>
      <c r="BV25" s="430"/>
      <c r="BW25" s="430"/>
      <c r="BX25" s="430"/>
      <c r="BY25" s="430"/>
      <c r="BZ25" s="430"/>
    </row>
    <row r="26" spans="1:97" ht="15" thickBot="1">
      <c r="A26" s="586" t="str">
        <f>A21</f>
        <v>ene-dic</v>
      </c>
      <c r="C26" s="35"/>
      <c r="D26" s="35"/>
      <c r="E26" s="35"/>
      <c r="F26" s="35"/>
      <c r="H26" s="247" t="s">
        <v>320</v>
      </c>
      <c r="I26" s="591">
        <f t="shared" ref="I26:P26" si="32">I17-H17</f>
        <v>74088</v>
      </c>
      <c r="J26" s="591">
        <f t="shared" si="32"/>
        <v>9831</v>
      </c>
      <c r="K26" s="591">
        <f t="shared" si="32"/>
        <v>-85251</v>
      </c>
      <c r="L26" s="591">
        <f t="shared" si="32"/>
        <v>25305</v>
      </c>
      <c r="M26" s="591">
        <f t="shared" si="32"/>
        <v>39561</v>
      </c>
      <c r="N26" s="592">
        <f t="shared" si="32"/>
        <v>-8102</v>
      </c>
      <c r="O26" s="592">
        <f t="shared" si="32"/>
        <v>-493973</v>
      </c>
      <c r="P26" s="592">
        <f t="shared" si="32"/>
        <v>90579</v>
      </c>
      <c r="Q26" s="696"/>
      <c r="R26" s="696"/>
      <c r="S26" s="696"/>
      <c r="T26" s="696"/>
      <c r="U26" s="1041"/>
      <c r="V26" s="601"/>
      <c r="W26" s="601"/>
      <c r="X26" s="601"/>
      <c r="Y26" s="601"/>
      <c r="Z26" s="601"/>
      <c r="AA26" s="601"/>
      <c r="AB26" s="601"/>
      <c r="AC26" s="601"/>
      <c r="AD26" s="601"/>
      <c r="AE26" s="601"/>
      <c r="AF26" s="601"/>
      <c r="AG26" s="601"/>
      <c r="AH26" s="601"/>
      <c r="AI26" s="601"/>
      <c r="AJ26" s="601"/>
      <c r="AK26" s="601"/>
      <c r="AL26" s="601"/>
      <c r="AM26" s="602"/>
      <c r="AN26" s="602"/>
      <c r="AO26" s="602"/>
      <c r="AP26" s="602"/>
      <c r="AQ26" s="602"/>
      <c r="AR26" s="2185"/>
      <c r="AS26" s="2185"/>
      <c r="AT26" s="2185"/>
      <c r="AU26" s="2185"/>
      <c r="AV26" s="2185"/>
      <c r="AW26" s="2185"/>
      <c r="AX26" s="2185"/>
      <c r="AY26" s="2185"/>
      <c r="AZ26" s="2185"/>
      <c r="BA26" s="428"/>
      <c r="BB26" s="428"/>
      <c r="BC26" s="428"/>
      <c r="BD26" s="428"/>
      <c r="BE26" s="428"/>
      <c r="BF26" s="428"/>
      <c r="BG26" s="428"/>
      <c r="BH26" s="428"/>
      <c r="BI26" s="428"/>
      <c r="BJ26" s="428"/>
      <c r="BK26" s="428"/>
      <c r="BL26" s="428"/>
      <c r="BM26" s="428"/>
      <c r="BN26" s="428"/>
      <c r="BO26" s="428"/>
      <c r="BP26" s="428"/>
      <c r="BQ26" s="428"/>
      <c r="BR26" s="428"/>
      <c r="BS26" s="428"/>
      <c r="BT26" s="428"/>
      <c r="BU26" s="428"/>
      <c r="BV26" s="428"/>
      <c r="BW26" s="428"/>
      <c r="BX26" s="428"/>
      <c r="BY26" s="428"/>
      <c r="BZ26" s="428"/>
    </row>
    <row r="27" spans="1:97" ht="21" thickBot="1">
      <c r="A27" s="361" t="s">
        <v>587</v>
      </c>
      <c r="C27" s="35"/>
      <c r="D27" s="35"/>
      <c r="E27" s="35"/>
      <c r="F27" s="35"/>
      <c r="H27" s="361" t="s">
        <v>502</v>
      </c>
      <c r="I27" s="589">
        <f t="shared" ref="I27:P27" si="33">I16-H16</f>
        <v>74057</v>
      </c>
      <c r="J27" s="589">
        <f t="shared" si="33"/>
        <v>9862</v>
      </c>
      <c r="K27" s="589">
        <f t="shared" si="33"/>
        <v>-85251</v>
      </c>
      <c r="L27" s="589">
        <f t="shared" si="33"/>
        <v>25305</v>
      </c>
      <c r="M27" s="589">
        <f t="shared" si="33"/>
        <v>39561</v>
      </c>
      <c r="N27" s="590">
        <f t="shared" si="33"/>
        <v>-8102</v>
      </c>
      <c r="O27" s="590">
        <f t="shared" si="33"/>
        <v>-493973</v>
      </c>
      <c r="P27" s="590">
        <f t="shared" si="33"/>
        <v>90579</v>
      </c>
      <c r="Q27" s="697"/>
      <c r="R27" s="697"/>
      <c r="S27" s="697"/>
      <c r="T27" s="697"/>
      <c r="U27" s="1041"/>
      <c r="V27" s="601"/>
      <c r="W27" s="601"/>
      <c r="X27" s="601"/>
      <c r="Y27" s="601"/>
      <c r="Z27" s="601"/>
      <c r="AA27" s="601"/>
      <c r="AB27" s="601"/>
      <c r="AC27" s="601"/>
      <c r="AD27" s="601"/>
      <c r="AE27" s="601"/>
      <c r="AF27" s="601"/>
      <c r="AG27" s="601"/>
      <c r="AH27" s="601"/>
      <c r="AI27" s="601"/>
      <c r="AJ27" s="601"/>
      <c r="AK27" s="601"/>
      <c r="AL27" s="601"/>
      <c r="AM27" s="602"/>
      <c r="AN27" s="602"/>
      <c r="AO27" s="602"/>
      <c r="AP27" s="602"/>
      <c r="AQ27" s="602"/>
      <c r="AR27" s="2185"/>
      <c r="AS27" s="2185"/>
      <c r="AT27" s="2185"/>
      <c r="AU27" s="2185"/>
      <c r="AV27" s="2185"/>
      <c r="AW27" s="2185"/>
      <c r="AX27" s="2185"/>
      <c r="AY27" s="2185"/>
      <c r="AZ27" s="2185"/>
      <c r="BA27" s="428"/>
      <c r="BB27" s="428"/>
      <c r="BC27" s="428"/>
      <c r="BD27" s="428"/>
      <c r="BE27" s="428"/>
      <c r="BF27" s="428"/>
      <c r="BG27" s="428"/>
      <c r="BH27" s="428"/>
      <c r="BI27" s="428"/>
      <c r="BJ27" s="428"/>
      <c r="BK27" s="428"/>
      <c r="BL27" s="428"/>
      <c r="BM27" s="428"/>
      <c r="BN27" s="428"/>
      <c r="BO27" s="428"/>
      <c r="BP27" s="428"/>
      <c r="BQ27" s="428"/>
      <c r="BR27" s="428"/>
      <c r="BS27" s="428"/>
      <c r="BT27" s="428"/>
      <c r="BU27" s="428"/>
      <c r="BV27" s="428"/>
      <c r="BW27" s="428"/>
      <c r="BX27" s="428"/>
      <c r="BY27" s="428"/>
      <c r="BZ27" s="428"/>
    </row>
    <row r="28" spans="1:97">
      <c r="A28" s="48"/>
      <c r="B28" s="48" t="s">
        <v>752</v>
      </c>
      <c r="C28" s="670"/>
      <c r="D28" s="430"/>
      <c r="E28" s="670"/>
      <c r="F28" s="670"/>
      <c r="G28" s="669"/>
      <c r="H28" s="669"/>
      <c r="I28" s="672"/>
      <c r="J28" s="672"/>
      <c r="K28" s="672"/>
      <c r="L28" s="673"/>
      <c r="M28" s="673"/>
      <c r="N28" s="673"/>
      <c r="O28" s="673"/>
      <c r="P28" s="673">
        <f>P17/N17</f>
        <v>0.41057876357047884</v>
      </c>
      <c r="Q28" s="673"/>
      <c r="R28" s="673"/>
      <c r="S28" s="673"/>
      <c r="T28" s="673"/>
      <c r="U28" s="1041"/>
      <c r="V28" s="601"/>
      <c r="W28" s="601"/>
      <c r="X28" s="601"/>
      <c r="Y28" s="601"/>
      <c r="Z28" s="601"/>
      <c r="AA28" s="601"/>
      <c r="AB28" s="601"/>
      <c r="AC28" s="601"/>
      <c r="AD28" s="601"/>
      <c r="AE28" s="601"/>
      <c r="AF28" s="601"/>
      <c r="AG28" s="601"/>
      <c r="AH28" s="601"/>
      <c r="AI28" s="601"/>
      <c r="AJ28" s="601"/>
      <c r="AK28" s="601"/>
      <c r="AL28" s="601"/>
      <c r="AM28" s="601"/>
      <c r="AN28" s="601"/>
      <c r="AO28" s="1047"/>
      <c r="AP28" s="1047"/>
      <c r="AQ28" s="1047"/>
      <c r="AR28" s="1047"/>
      <c r="AS28" s="1047"/>
      <c r="AT28" s="2185"/>
      <c r="AU28" s="2185"/>
      <c r="AV28" s="2185"/>
      <c r="AW28" s="2185"/>
      <c r="AX28" s="2185"/>
      <c r="AY28" s="2185"/>
      <c r="AZ28" s="2185"/>
      <c r="BA28" s="2185"/>
      <c r="BB28" s="2185"/>
      <c r="BC28" s="428"/>
      <c r="BD28" s="428"/>
      <c r="BE28" s="428"/>
      <c r="BF28" s="428"/>
      <c r="BG28" s="428"/>
      <c r="BH28" s="428"/>
      <c r="BI28" s="428"/>
      <c r="BJ28" s="428"/>
      <c r="BK28" s="428"/>
      <c r="BL28" s="428"/>
      <c r="BM28" s="428"/>
      <c r="BN28" s="428"/>
      <c r="BO28" s="428"/>
      <c r="BP28" s="428"/>
      <c r="BQ28" s="428"/>
      <c r="BR28" s="428"/>
      <c r="BS28" s="428"/>
      <c r="BT28" s="428"/>
      <c r="BU28" s="428"/>
      <c r="BV28" s="428"/>
      <c r="BW28" s="428"/>
      <c r="BX28" s="428"/>
      <c r="BY28" s="428"/>
      <c r="BZ28" s="428"/>
      <c r="CA28" s="428"/>
      <c r="CB28" s="428"/>
    </row>
    <row r="29" spans="1:97" ht="15" thickBot="1">
      <c r="A29" s="48"/>
      <c r="B29" s="48"/>
      <c r="C29" s="670"/>
      <c r="D29" s="430"/>
      <c r="E29" s="670"/>
      <c r="F29" s="670"/>
      <c r="G29" s="669"/>
      <c r="H29" s="669"/>
      <c r="I29" s="672"/>
      <c r="J29" s="672"/>
      <c r="K29" s="672"/>
      <c r="L29" s="673"/>
      <c r="M29" s="673"/>
      <c r="N29" s="673"/>
      <c r="O29" s="673"/>
      <c r="P29" s="673"/>
      <c r="Q29" s="673"/>
      <c r="R29" s="673"/>
      <c r="S29" s="673"/>
      <c r="T29" s="673"/>
      <c r="U29" s="1041"/>
      <c r="V29" s="601"/>
      <c r="W29" s="601"/>
      <c r="X29" s="601"/>
      <c r="Y29" s="601"/>
      <c r="Z29" s="601"/>
      <c r="AA29" s="601"/>
      <c r="AB29" s="601"/>
      <c r="AC29" s="601"/>
      <c r="AD29" s="601"/>
      <c r="AE29" s="601"/>
      <c r="AF29" s="601"/>
      <c r="AG29" s="601"/>
      <c r="AH29" s="601"/>
      <c r="AI29" s="601"/>
      <c r="AJ29" s="601"/>
      <c r="AK29" s="601"/>
      <c r="AL29" s="601"/>
      <c r="AM29" s="601"/>
      <c r="AN29" s="601"/>
      <c r="AO29" s="1047"/>
      <c r="AP29" s="1047"/>
      <c r="AQ29" s="1047"/>
      <c r="AR29" s="1047"/>
      <c r="AS29" s="1047"/>
      <c r="AT29" s="2185"/>
      <c r="AU29" s="2185"/>
      <c r="AV29" s="2185"/>
      <c r="AW29" s="2185"/>
      <c r="AX29" s="2185"/>
      <c r="AY29" s="2185"/>
      <c r="AZ29" s="2185"/>
      <c r="BA29" s="2185"/>
      <c r="BB29" s="2185"/>
      <c r="BC29" s="428"/>
      <c r="BD29" s="428"/>
      <c r="BE29" s="428"/>
      <c r="BF29" s="428"/>
      <c r="BG29" s="428"/>
      <c r="BH29" s="428"/>
      <c r="BI29" s="428"/>
      <c r="BJ29" s="428"/>
      <c r="BK29" s="428"/>
      <c r="BL29" s="428"/>
      <c r="BM29" s="428"/>
      <c r="BN29" s="428"/>
      <c r="BO29" s="428"/>
      <c r="BP29" s="428"/>
      <c r="BQ29" s="428"/>
      <c r="BR29" s="428"/>
      <c r="BS29" s="428"/>
      <c r="BT29" s="428"/>
      <c r="BU29" s="428"/>
      <c r="BV29" s="428"/>
      <c r="BW29" s="428"/>
      <c r="BX29" s="428"/>
      <c r="BY29" s="428"/>
      <c r="BZ29" s="428"/>
      <c r="CA29" s="428"/>
      <c r="CB29" s="428"/>
    </row>
    <row r="30" spans="1:97" ht="31.2" thickBot="1">
      <c r="A30" s="3059"/>
      <c r="B30" s="3060"/>
      <c r="C30" s="3055"/>
      <c r="D30" s="3061"/>
      <c r="E30" s="3055"/>
      <c r="F30" s="3055"/>
      <c r="G30" s="3045"/>
      <c r="H30" s="3045"/>
      <c r="I30" s="3046"/>
      <c r="J30" s="3046"/>
      <c r="K30" s="3046"/>
      <c r="L30" s="3047"/>
      <c r="M30" s="3054" t="s">
        <v>820</v>
      </c>
      <c r="N30" s="3054" t="s">
        <v>875</v>
      </c>
      <c r="O30" s="3054" t="s">
        <v>1404</v>
      </c>
      <c r="P30" s="3054" t="s">
        <v>1441</v>
      </c>
      <c r="Q30" s="4046" t="s">
        <v>1625</v>
      </c>
      <c r="R30" s="3047"/>
      <c r="S30" s="3047"/>
      <c r="T30" s="3047"/>
      <c r="U30" s="3048"/>
      <c r="V30" s="3055"/>
      <c r="W30" s="3055"/>
      <c r="X30" s="3055"/>
      <c r="Y30" s="3055"/>
      <c r="Z30" s="3055"/>
      <c r="AA30" s="3055"/>
      <c r="AB30" s="3055"/>
      <c r="AC30" s="3055"/>
      <c r="AD30" s="3056" t="s">
        <v>875</v>
      </c>
      <c r="AE30" s="3056" t="s">
        <v>1404</v>
      </c>
      <c r="AF30" s="3056" t="s">
        <v>1441</v>
      </c>
      <c r="AG30" s="3056" t="s">
        <v>1534</v>
      </c>
      <c r="AH30" s="601"/>
      <c r="AI30" s="601"/>
      <c r="AJ30" s="601"/>
      <c r="AK30" s="3057" t="s">
        <v>2027</v>
      </c>
      <c r="AL30" s="3058" t="s">
        <v>1533</v>
      </c>
      <c r="AM30" s="601"/>
      <c r="AN30" s="601"/>
      <c r="AO30" s="601"/>
      <c r="AP30" s="1047"/>
      <c r="AQ30" s="1047"/>
      <c r="AR30" s="1047"/>
      <c r="AS30" s="1047"/>
      <c r="AT30" s="1047"/>
      <c r="AU30" s="2185"/>
      <c r="AV30" s="2185"/>
      <c r="AW30" s="2185"/>
      <c r="AX30" s="2185"/>
      <c r="AY30" s="2185"/>
      <c r="AZ30" s="2185"/>
      <c r="BA30" s="2185"/>
      <c r="BB30" s="2185"/>
      <c r="BC30" s="2185"/>
      <c r="BD30" s="428"/>
      <c r="BE30" s="428"/>
      <c r="BF30" s="428"/>
      <c r="BG30" s="428"/>
      <c r="BH30" s="428"/>
      <c r="BI30" s="428"/>
      <c r="BJ30" s="428"/>
      <c r="BK30" s="428"/>
      <c r="BL30" s="428"/>
      <c r="BM30" s="428"/>
      <c r="BN30" s="428"/>
      <c r="BO30" s="428"/>
      <c r="BP30" s="428"/>
      <c r="BQ30" s="428"/>
      <c r="BR30" s="428"/>
      <c r="BS30" s="428"/>
      <c r="BT30" s="428"/>
      <c r="BU30" s="428"/>
      <c r="BV30" s="428"/>
      <c r="BW30" s="428"/>
      <c r="BX30" s="428"/>
      <c r="BY30" s="428"/>
      <c r="BZ30" s="428"/>
      <c r="CA30" s="428"/>
      <c r="CB30" s="428"/>
      <c r="CC30" s="428"/>
    </row>
    <row r="31" spans="1:97" ht="21" hidden="1" thickBot="1">
      <c r="A31" s="3062"/>
      <c r="B31" s="3063"/>
      <c r="C31" s="3054">
        <v>2008</v>
      </c>
      <c r="D31" s="3054">
        <v>2009</v>
      </c>
      <c r="E31" s="3054">
        <v>2010</v>
      </c>
      <c r="F31" s="3054">
        <v>2011</v>
      </c>
      <c r="G31" s="3054">
        <v>2012</v>
      </c>
      <c r="H31" s="3054">
        <v>2013</v>
      </c>
      <c r="I31" s="3054" t="s">
        <v>748</v>
      </c>
      <c r="J31" s="3054" t="s">
        <v>749</v>
      </c>
      <c r="K31" s="3054" t="s">
        <v>750</v>
      </c>
      <c r="L31" s="3054" t="s">
        <v>828</v>
      </c>
      <c r="N31" s="3063"/>
      <c r="O31" s="3063"/>
      <c r="P31" s="3063"/>
      <c r="Q31" s="3064"/>
      <c r="R31" s="3064"/>
      <c r="S31" s="3064"/>
      <c r="T31" s="3064"/>
      <c r="U31" s="3065"/>
      <c r="V31" s="3063"/>
      <c r="W31" s="3063"/>
      <c r="X31" s="3063"/>
      <c r="Y31" s="620"/>
      <c r="Z31" s="620"/>
      <c r="AA31" s="620"/>
      <c r="AB31" s="620"/>
      <c r="AC31" s="620"/>
      <c r="AD31" s="3066" t="str">
        <f>AE31</f>
        <v>ene-dic</v>
      </c>
      <c r="AE31" s="3066" t="str">
        <f>AF31</f>
        <v>ene-dic</v>
      </c>
      <c r="AF31" s="3066" t="str">
        <f>A17</f>
        <v>ene-dic</v>
      </c>
      <c r="AG31" s="3067" t="str">
        <f>AF31</f>
        <v>ene-dic</v>
      </c>
      <c r="AH31" s="601"/>
      <c r="AI31" s="601"/>
      <c r="AJ31" s="601"/>
      <c r="AK31" s="3051" t="s">
        <v>1485</v>
      </c>
      <c r="AL31" s="3052"/>
      <c r="AM31" s="602"/>
      <c r="AN31" s="602"/>
      <c r="AO31" s="602"/>
      <c r="AP31" s="602"/>
      <c r="AQ31" s="602"/>
      <c r="AR31" s="602"/>
      <c r="AS31" s="2205"/>
      <c r="AT31" s="2205"/>
      <c r="AU31" s="2205"/>
      <c r="AV31" s="2205"/>
      <c r="AW31" s="2205"/>
      <c r="AX31" s="2205"/>
      <c r="AY31" s="2205"/>
      <c r="AZ31" s="2205"/>
      <c r="BA31" s="2205"/>
      <c r="BB31" s="428"/>
      <c r="BC31" s="428"/>
      <c r="BD31" s="428"/>
      <c r="BE31" s="428"/>
      <c r="BF31" s="428"/>
      <c r="BG31" s="428"/>
      <c r="BH31" s="428"/>
      <c r="BI31" s="428"/>
      <c r="BJ31" s="428"/>
      <c r="BK31" s="428"/>
      <c r="BL31" s="428"/>
      <c r="BM31" s="428"/>
      <c r="BN31" s="428"/>
      <c r="BO31" s="428"/>
      <c r="BP31" s="428"/>
      <c r="BQ31" s="428"/>
      <c r="BR31" s="428"/>
      <c r="BS31" s="428"/>
      <c r="BT31" s="428"/>
      <c r="BU31" s="428"/>
      <c r="BV31" s="428"/>
      <c r="BW31" s="428"/>
      <c r="BX31" s="428"/>
      <c r="BY31" s="428"/>
      <c r="BZ31" s="428"/>
      <c r="CA31" s="428"/>
    </row>
    <row r="32" spans="1:97" ht="15" hidden="1" thickBot="1">
      <c r="A32" s="3068" t="s">
        <v>1527</v>
      </c>
      <c r="B32" s="3069" t="s">
        <v>746</v>
      </c>
      <c r="C32" s="3070"/>
      <c r="D32" s="3070"/>
      <c r="E32" s="3070"/>
      <c r="F32" s="3070"/>
      <c r="G32" s="3070"/>
      <c r="H32" s="3070"/>
      <c r="I32" s="3070">
        <v>0.53600000000000003</v>
      </c>
      <c r="J32" s="3070">
        <v>0.67200000000000004</v>
      </c>
      <c r="K32" s="3070">
        <v>0.67430000000000001</v>
      </c>
      <c r="L32" s="3071">
        <v>0.67430000000000001</v>
      </c>
      <c r="M32" s="3072">
        <v>0.67430000000000001</v>
      </c>
      <c r="N32" s="3072">
        <v>0.67430000000000001</v>
      </c>
      <c r="O32" s="3070">
        <v>0.67430000000000001</v>
      </c>
      <c r="P32" s="3073">
        <v>0.67</v>
      </c>
      <c r="Q32" s="3073">
        <v>0.67</v>
      </c>
      <c r="R32" s="3074">
        <v>0.67430000000000001</v>
      </c>
      <c r="S32" s="3074">
        <v>0.67430000000000001</v>
      </c>
      <c r="T32" s="3074">
        <v>0.67430000000000001</v>
      </c>
      <c r="U32" s="3075"/>
      <c r="V32" s="3063"/>
      <c r="W32" s="3063"/>
      <c r="X32" s="3063"/>
      <c r="Y32" s="620"/>
      <c r="Z32" s="620"/>
      <c r="AA32" s="620"/>
      <c r="AB32" s="620"/>
      <c r="AC32" s="620"/>
      <c r="AD32" s="3076">
        <f t="shared" ref="AD32:AF36" si="34">N32</f>
        <v>0.67430000000000001</v>
      </c>
      <c r="AE32" s="3076">
        <f t="shared" si="34"/>
        <v>0.67430000000000001</v>
      </c>
      <c r="AF32" s="3077">
        <f t="shared" si="34"/>
        <v>0.67</v>
      </c>
      <c r="AG32" s="3078"/>
      <c r="AH32" s="601"/>
      <c r="AI32" s="601"/>
      <c r="AJ32" s="601"/>
      <c r="AK32" s="3050"/>
      <c r="AL32" s="3052"/>
      <c r="AM32" s="602"/>
      <c r="AN32" s="602"/>
      <c r="AO32" s="602"/>
      <c r="AP32" s="602"/>
      <c r="AQ32" s="602"/>
      <c r="AR32" s="602"/>
      <c r="AS32" s="2205"/>
      <c r="AT32" s="2205"/>
      <c r="AU32" s="2205"/>
      <c r="AV32" s="2205"/>
      <c r="AW32" s="2205"/>
      <c r="AX32" s="2205"/>
      <c r="AY32" s="2205"/>
      <c r="AZ32" s="2205"/>
      <c r="BA32" s="2205"/>
      <c r="BB32" s="428"/>
      <c r="BC32" s="428"/>
      <c r="BD32" s="428"/>
      <c r="BE32" s="428"/>
      <c r="BF32" s="428"/>
      <c r="BG32" s="428"/>
      <c r="BH32" s="428"/>
      <c r="BI32" s="428"/>
      <c r="BJ32" s="428"/>
      <c r="BK32" s="428"/>
      <c r="BL32" s="428"/>
      <c r="BM32" s="428"/>
      <c r="BN32" s="428"/>
      <c r="BO32" s="428"/>
      <c r="BP32" s="428"/>
      <c r="BQ32" s="428"/>
      <c r="BR32" s="428"/>
      <c r="BS32" s="428"/>
      <c r="BT32" s="428"/>
      <c r="BU32" s="428"/>
      <c r="BV32" s="428"/>
      <c r="BW32" s="428"/>
      <c r="BX32" s="428"/>
      <c r="BY32" s="428"/>
      <c r="BZ32" s="428"/>
      <c r="CA32" s="428"/>
    </row>
    <row r="33" spans="1:79" ht="22.2" hidden="1" thickBot="1">
      <c r="A33" s="3079" t="s">
        <v>651</v>
      </c>
      <c r="B33" s="3080" t="s">
        <v>747</v>
      </c>
      <c r="C33" s="3081"/>
      <c r="D33" s="3081"/>
      <c r="E33" s="3081"/>
      <c r="F33" s="3081"/>
      <c r="G33" s="3081"/>
      <c r="H33" s="3081"/>
      <c r="I33" s="3081">
        <v>9.4E-2</v>
      </c>
      <c r="J33" s="3081">
        <v>0.10199999999999999</v>
      </c>
      <c r="K33" s="3081">
        <v>0.11609999999999999</v>
      </c>
      <c r="L33" s="3082">
        <v>0.11609999999999999</v>
      </c>
      <c r="M33" s="3083">
        <v>0.11609999999999999</v>
      </c>
      <c r="N33" s="3083">
        <v>0.11609999999999999</v>
      </c>
      <c r="O33" s="3084">
        <v>0.11609999999999999</v>
      </c>
      <c r="P33" s="3085">
        <v>7.0000000000000007E-2</v>
      </c>
      <c r="Q33" s="3085">
        <v>0.1</v>
      </c>
      <c r="R33" s="3086">
        <v>0.11609999999999999</v>
      </c>
      <c r="S33" s="3086">
        <v>0.11609999999999999</v>
      </c>
      <c r="T33" s="3086">
        <v>0.11609999999999999</v>
      </c>
      <c r="U33" s="3075"/>
      <c r="V33" s="3063"/>
      <c r="W33" s="3063"/>
      <c r="X33" s="3063"/>
      <c r="Y33" s="620"/>
      <c r="Z33" s="620"/>
      <c r="AA33" s="620"/>
      <c r="AB33" s="620"/>
      <c r="AC33" s="620"/>
      <c r="AD33" s="3076">
        <f t="shared" si="34"/>
        <v>0.11609999999999999</v>
      </c>
      <c r="AE33" s="3076">
        <f t="shared" si="34"/>
        <v>0.11609999999999999</v>
      </c>
      <c r="AF33" s="3077">
        <f t="shared" si="34"/>
        <v>7.0000000000000007E-2</v>
      </c>
      <c r="AG33" s="3087"/>
      <c r="AH33" s="601"/>
      <c r="AI33" s="601"/>
      <c r="AJ33" s="601"/>
      <c r="AK33" s="620"/>
      <c r="AL33" s="3052"/>
      <c r="AM33" s="602"/>
      <c r="AN33" s="602"/>
      <c r="AO33" s="602"/>
      <c r="AP33" s="602"/>
      <c r="AQ33" s="602"/>
      <c r="AR33" s="602"/>
      <c r="AS33" s="2205"/>
      <c r="AT33" s="2205"/>
      <c r="AU33" s="2205"/>
      <c r="AV33" s="2205"/>
      <c r="AW33" s="2205"/>
      <c r="AX33" s="2205"/>
      <c r="AY33" s="2205"/>
      <c r="AZ33" s="2205"/>
      <c r="BA33" s="2205"/>
      <c r="BB33" s="428"/>
      <c r="BC33" s="428"/>
      <c r="BD33" s="428"/>
      <c r="BE33" s="428"/>
      <c r="BF33" s="428"/>
      <c r="BG33" s="428"/>
      <c r="BH33" s="428"/>
      <c r="BI33" s="428"/>
      <c r="BJ33" s="428"/>
      <c r="BK33" s="428"/>
      <c r="BL33" s="428"/>
      <c r="BM33" s="428"/>
      <c r="BN33" s="428"/>
      <c r="BO33" s="428"/>
      <c r="BP33" s="428"/>
      <c r="BQ33" s="428"/>
      <c r="BR33" s="428"/>
      <c r="BS33" s="428"/>
      <c r="BT33" s="428"/>
      <c r="BU33" s="428"/>
      <c r="BV33" s="428"/>
      <c r="BW33" s="428"/>
      <c r="BX33" s="428"/>
      <c r="BY33" s="428"/>
      <c r="BZ33" s="428"/>
      <c r="CA33" s="428"/>
    </row>
    <row r="34" spans="1:79" ht="22.2" hidden="1" thickBot="1">
      <c r="A34" s="3088" t="s">
        <v>745</v>
      </c>
      <c r="B34" s="3089" t="s">
        <v>751</v>
      </c>
      <c r="C34" s="3090"/>
      <c r="D34" s="3090"/>
      <c r="E34" s="3090"/>
      <c r="F34" s="3091"/>
      <c r="G34" s="3090"/>
      <c r="H34" s="3090"/>
      <c r="I34" s="3090">
        <v>3.0000000000000001E-3</v>
      </c>
      <c r="J34" s="3090">
        <v>2E-3</v>
      </c>
      <c r="K34" s="3090">
        <v>3.0000000000000001E-3</v>
      </c>
      <c r="L34" s="3092">
        <v>3.0000000000000001E-3</v>
      </c>
      <c r="M34" s="3093">
        <v>3.0000000000000001E-3</v>
      </c>
      <c r="N34" s="3093">
        <v>3.0000000000000001E-3</v>
      </c>
      <c r="O34" s="3081">
        <v>3.0000000000000001E-3</v>
      </c>
      <c r="P34" s="3094">
        <v>0.15</v>
      </c>
      <c r="Q34" s="3094">
        <v>0.15</v>
      </c>
      <c r="R34" s="3095">
        <v>3.0000000000000001E-3</v>
      </c>
      <c r="S34" s="3095">
        <v>3.0000000000000001E-3</v>
      </c>
      <c r="T34" s="3095">
        <v>3.0000000000000001E-3</v>
      </c>
      <c r="U34" s="3075"/>
      <c r="V34" s="3063"/>
      <c r="W34" s="3063"/>
      <c r="X34" s="3063"/>
      <c r="Y34" s="620"/>
      <c r="Z34" s="620"/>
      <c r="AA34" s="620"/>
      <c r="AB34" s="620"/>
      <c r="AC34" s="620"/>
      <c r="AD34" s="3076">
        <f t="shared" si="34"/>
        <v>3.0000000000000001E-3</v>
      </c>
      <c r="AE34" s="3076">
        <f t="shared" si="34"/>
        <v>3.0000000000000001E-3</v>
      </c>
      <c r="AF34" s="3077">
        <f t="shared" si="34"/>
        <v>0.15</v>
      </c>
      <c r="AG34" s="3087"/>
      <c r="AH34" s="601"/>
      <c r="AI34" s="601"/>
      <c r="AJ34" s="601"/>
      <c r="AK34" s="620"/>
      <c r="AL34" s="3052"/>
      <c r="AM34" s="602"/>
      <c r="AN34" s="602"/>
      <c r="AO34" s="602"/>
      <c r="AP34" s="602"/>
      <c r="AQ34" s="602"/>
      <c r="AR34" s="602"/>
      <c r="AS34" s="2205"/>
      <c r="AT34" s="2205"/>
      <c r="AU34" s="2205"/>
      <c r="AV34" s="2205"/>
      <c r="AW34" s="2205"/>
      <c r="AX34" s="2205"/>
      <c r="AY34" s="2205"/>
      <c r="AZ34" s="2205"/>
      <c r="BA34" s="2205"/>
      <c r="BB34" s="428"/>
      <c r="BC34" s="428"/>
      <c r="BD34" s="428"/>
      <c r="BE34" s="428"/>
      <c r="BF34" s="428"/>
      <c r="BG34" s="428"/>
      <c r="BH34" s="428"/>
      <c r="BI34" s="428"/>
      <c r="BJ34" s="428"/>
      <c r="BK34" s="428"/>
      <c r="BL34" s="428"/>
      <c r="BM34" s="428"/>
      <c r="BN34" s="428"/>
      <c r="BO34" s="428"/>
      <c r="BP34" s="428"/>
      <c r="BQ34" s="428"/>
      <c r="BR34" s="428"/>
      <c r="BS34" s="428"/>
      <c r="BT34" s="428"/>
      <c r="BU34" s="428"/>
      <c r="BV34" s="428"/>
      <c r="BW34" s="428"/>
      <c r="BX34" s="428"/>
      <c r="BY34" s="428"/>
      <c r="BZ34" s="428"/>
      <c r="CA34" s="428"/>
    </row>
    <row r="35" spans="1:79" ht="22.2" hidden="1" thickBot="1">
      <c r="A35" s="3096" t="s">
        <v>401</v>
      </c>
      <c r="B35" s="3089" t="s">
        <v>823</v>
      </c>
      <c r="C35" s="3081"/>
      <c r="D35" s="3081"/>
      <c r="E35" s="3081"/>
      <c r="F35" s="3081"/>
      <c r="G35" s="3081"/>
      <c r="H35" s="3081"/>
      <c r="I35" s="3081"/>
      <c r="J35" s="3081"/>
      <c r="K35" s="3081">
        <v>0.860930066613669</v>
      </c>
      <c r="L35" s="3082">
        <v>0.860930066613669</v>
      </c>
      <c r="M35" s="3093">
        <v>0.86</v>
      </c>
      <c r="N35" s="3093">
        <v>0.86</v>
      </c>
      <c r="O35" s="3081">
        <v>0.86</v>
      </c>
      <c r="P35" s="3094">
        <v>0.8</v>
      </c>
      <c r="Q35" s="3094">
        <v>0.8</v>
      </c>
      <c r="R35" s="3097">
        <v>0.86</v>
      </c>
      <c r="S35" s="3097">
        <v>0.86</v>
      </c>
      <c r="T35" s="3097">
        <v>0.86</v>
      </c>
      <c r="U35" s="3075"/>
      <c r="V35" s="3063"/>
      <c r="W35" s="3063"/>
      <c r="X35" s="3063"/>
      <c r="Y35" s="620"/>
      <c r="Z35" s="3063"/>
      <c r="AA35" s="620"/>
      <c r="AB35" s="620"/>
      <c r="AC35" s="620"/>
      <c r="AD35" s="3076">
        <f t="shared" si="34"/>
        <v>0.86</v>
      </c>
      <c r="AE35" s="3076">
        <f t="shared" si="34"/>
        <v>0.86</v>
      </c>
      <c r="AF35" s="3077">
        <f t="shared" si="34"/>
        <v>0.8</v>
      </c>
      <c r="AG35" s="3087"/>
      <c r="AH35" s="601"/>
      <c r="AI35" s="601"/>
      <c r="AJ35" s="601"/>
      <c r="AK35" s="620"/>
      <c r="AL35" s="3052"/>
      <c r="AM35" s="602"/>
      <c r="AN35" s="602"/>
      <c r="AO35" s="602"/>
      <c r="AP35" s="602"/>
      <c r="AQ35" s="602"/>
      <c r="AR35" s="602"/>
      <c r="AS35" s="2205"/>
      <c r="AT35" s="2205"/>
      <c r="AU35" s="2205"/>
      <c r="AV35" s="2205"/>
      <c r="AW35" s="2205"/>
      <c r="AX35" s="2205"/>
      <c r="AY35" s="2205"/>
      <c r="AZ35" s="2205"/>
      <c r="BA35" s="2205"/>
      <c r="BB35" s="428"/>
      <c r="BC35" s="428"/>
      <c r="BD35" s="428"/>
      <c r="BE35" s="428"/>
      <c r="BF35" s="428"/>
      <c r="BG35" s="428"/>
      <c r="BH35" s="428"/>
      <c r="BI35" s="428"/>
      <c r="BJ35" s="428"/>
      <c r="BK35" s="428"/>
      <c r="BL35" s="428"/>
      <c r="BM35" s="428"/>
      <c r="BN35" s="428"/>
      <c r="BO35" s="428"/>
      <c r="BP35" s="428"/>
      <c r="BQ35" s="428"/>
      <c r="BR35" s="428"/>
      <c r="BS35" s="428"/>
      <c r="BT35" s="428"/>
      <c r="BU35" s="428"/>
      <c r="BV35" s="428"/>
      <c r="BW35" s="428"/>
      <c r="BX35" s="428"/>
      <c r="BY35" s="428"/>
      <c r="BZ35" s="428"/>
      <c r="CA35" s="428"/>
    </row>
    <row r="36" spans="1:79" ht="15" hidden="1" thickBot="1">
      <c r="A36" s="3208" t="s">
        <v>1408</v>
      </c>
      <c r="B36" s="3209" t="s">
        <v>1407</v>
      </c>
      <c r="C36" s="3084"/>
      <c r="D36" s="3084"/>
      <c r="E36" s="3084"/>
      <c r="F36" s="3084"/>
      <c r="G36" s="3084"/>
      <c r="H36" s="3084"/>
      <c r="I36" s="3084"/>
      <c r="J36" s="3084"/>
      <c r="K36" s="3084">
        <v>0.08</v>
      </c>
      <c r="L36" s="3210">
        <f t="shared" ref="L36:N37" si="35">K36</f>
        <v>0.08</v>
      </c>
      <c r="M36" s="3210">
        <f t="shared" si="35"/>
        <v>0.08</v>
      </c>
      <c r="N36" s="3210">
        <f t="shared" si="35"/>
        <v>0.08</v>
      </c>
      <c r="O36" s="3084">
        <v>0.08</v>
      </c>
      <c r="P36" s="3085">
        <v>0.2</v>
      </c>
      <c r="Q36" s="3085">
        <v>0.2</v>
      </c>
      <c r="R36" s="3211"/>
      <c r="S36" s="3211"/>
      <c r="T36" s="3211"/>
      <c r="U36" s="3212"/>
      <c r="V36" s="3213"/>
      <c r="W36" s="3213"/>
      <c r="X36" s="3213"/>
      <c r="Y36" s="3214"/>
      <c r="Z36" s="3213"/>
      <c r="AA36" s="3214"/>
      <c r="AB36" s="3214"/>
      <c r="AC36" s="3214"/>
      <c r="AD36" s="3076">
        <f t="shared" si="34"/>
        <v>0.08</v>
      </c>
      <c r="AE36" s="3076">
        <f t="shared" si="34"/>
        <v>0.08</v>
      </c>
      <c r="AF36" s="3077">
        <f t="shared" si="34"/>
        <v>0.2</v>
      </c>
      <c r="AG36" s="3215"/>
      <c r="AH36" s="601"/>
      <c r="AI36" s="601"/>
      <c r="AJ36" s="601"/>
      <c r="AK36" s="620"/>
      <c r="AL36" s="3052"/>
      <c r="AM36" s="602"/>
      <c r="AN36" s="602"/>
      <c r="AO36" s="602"/>
      <c r="AP36" s="602"/>
      <c r="AQ36" s="602"/>
      <c r="AR36" s="602"/>
      <c r="AS36" s="2205"/>
      <c r="AT36" s="2205"/>
      <c r="AU36" s="2205"/>
      <c r="AV36" s="2205"/>
      <c r="AW36" s="2205"/>
      <c r="AX36" s="2205"/>
      <c r="AY36" s="2205"/>
      <c r="AZ36" s="2205"/>
      <c r="BA36" s="2205"/>
      <c r="BB36" s="428"/>
      <c r="BC36" s="428"/>
      <c r="BD36" s="428"/>
      <c r="BE36" s="428"/>
      <c r="BF36" s="428"/>
      <c r="BG36" s="428"/>
      <c r="BH36" s="428"/>
      <c r="BI36" s="428"/>
      <c r="BJ36" s="428"/>
      <c r="BK36" s="428"/>
      <c r="BL36" s="428"/>
      <c r="BM36" s="428"/>
      <c r="BN36" s="428"/>
      <c r="BO36" s="428"/>
      <c r="BP36" s="428"/>
      <c r="BQ36" s="428"/>
      <c r="BR36" s="428"/>
      <c r="BS36" s="428"/>
      <c r="BT36" s="428"/>
      <c r="BU36" s="428"/>
      <c r="BV36" s="428"/>
      <c r="BW36" s="428"/>
      <c r="BX36" s="428"/>
      <c r="BY36" s="428"/>
      <c r="BZ36" s="428"/>
      <c r="CA36" s="428"/>
    </row>
    <row r="37" spans="1:79" ht="15" hidden="1" thickBot="1">
      <c r="A37" s="3196" t="s">
        <v>633</v>
      </c>
      <c r="B37" s="3197" t="s">
        <v>1549</v>
      </c>
      <c r="C37" s="3198"/>
      <c r="D37" s="3198"/>
      <c r="E37" s="3198"/>
      <c r="F37" s="3198"/>
      <c r="G37" s="3198"/>
      <c r="H37" s="3198"/>
      <c r="I37" s="3198"/>
      <c r="J37" s="3198"/>
      <c r="K37" s="3198">
        <f>'perfil-mas visitado'!Q13/100</f>
        <v>9.2166576532394892E-2</v>
      </c>
      <c r="L37" s="3199">
        <f t="shared" si="35"/>
        <v>9.2166576532394892E-2</v>
      </c>
      <c r="M37" s="3199">
        <f t="shared" si="35"/>
        <v>9.2166576532394892E-2</v>
      </c>
      <c r="N37" s="3199">
        <f t="shared" si="35"/>
        <v>9.2166576532394892E-2</v>
      </c>
      <c r="O37" s="3216">
        <v>7.0000000000000007E-2</v>
      </c>
      <c r="P37" s="3200">
        <v>7.0000000000000007E-2</v>
      </c>
      <c r="Q37" s="3200">
        <v>7.0000000000000007E-2</v>
      </c>
      <c r="R37" s="3201"/>
      <c r="S37" s="3201"/>
      <c r="T37" s="3201"/>
      <c r="U37" s="3202"/>
      <c r="V37" s="3203"/>
      <c r="W37" s="3203"/>
      <c r="X37" s="3203"/>
      <c r="Y37" s="3204"/>
      <c r="Z37" s="3203"/>
      <c r="AA37" s="3204"/>
      <c r="AB37" s="3204"/>
      <c r="AC37" s="3204"/>
      <c r="AD37" s="3207">
        <f>N37</f>
        <v>9.2166576532394892E-2</v>
      </c>
      <c r="AE37" s="3207">
        <f t="shared" ref="AE37" si="36">O37</f>
        <v>7.0000000000000007E-2</v>
      </c>
      <c r="AF37" s="3205">
        <f t="shared" ref="AF37" si="37">P37</f>
        <v>7.0000000000000007E-2</v>
      </c>
      <c r="AG37" s="3205"/>
      <c r="AH37" s="601"/>
      <c r="AI37" s="601"/>
      <c r="AJ37" s="601"/>
      <c r="AK37" s="3204"/>
      <c r="AL37" s="3206"/>
      <c r="AM37" s="602"/>
      <c r="AN37" s="602"/>
      <c r="AO37" s="602"/>
      <c r="AP37" s="602"/>
      <c r="AQ37" s="602"/>
      <c r="AR37" s="602"/>
      <c r="AS37" s="2205"/>
      <c r="AT37" s="2205"/>
      <c r="AU37" s="2205"/>
      <c r="AV37" s="2205"/>
      <c r="AW37" s="2205"/>
      <c r="AX37" s="2205"/>
      <c r="AY37" s="2205"/>
      <c r="AZ37" s="2205"/>
      <c r="BA37" s="2205"/>
      <c r="BB37" s="428"/>
      <c r="BC37" s="428"/>
      <c r="BD37" s="428"/>
      <c r="BE37" s="428"/>
      <c r="BF37" s="428"/>
      <c r="BG37" s="428"/>
      <c r="BH37" s="428"/>
      <c r="BI37" s="428"/>
      <c r="BJ37" s="428"/>
      <c r="BK37" s="428"/>
      <c r="BL37" s="428"/>
      <c r="BM37" s="428"/>
      <c r="BN37" s="428"/>
      <c r="BO37" s="428"/>
      <c r="BP37" s="428"/>
      <c r="BQ37" s="428"/>
      <c r="BR37" s="428"/>
      <c r="BS37" s="428"/>
      <c r="BT37" s="428"/>
      <c r="BU37" s="428"/>
      <c r="BV37" s="428"/>
      <c r="BW37" s="428"/>
      <c r="BX37" s="428"/>
      <c r="BY37" s="428"/>
      <c r="BZ37" s="428"/>
      <c r="CA37" s="428"/>
    </row>
    <row r="38" spans="1:79" ht="15" hidden="1" thickBot="1">
      <c r="A38" s="3942" t="s">
        <v>1603</v>
      </c>
      <c r="B38" s="3943"/>
      <c r="C38" s="3944"/>
      <c r="D38" s="3944"/>
      <c r="E38" s="3944"/>
      <c r="F38" s="3944"/>
      <c r="G38" s="3944"/>
      <c r="H38" s="3944"/>
      <c r="I38" s="3944"/>
      <c r="J38" s="3944"/>
      <c r="K38" s="3944"/>
      <c r="L38" s="3945"/>
      <c r="M38" s="3945">
        <v>0.04</v>
      </c>
      <c r="N38" s="3945">
        <v>0.04</v>
      </c>
      <c r="O38" s="3945">
        <v>0.04</v>
      </c>
      <c r="P38" s="3945">
        <v>0.04</v>
      </c>
      <c r="Q38" s="3945">
        <v>0.04</v>
      </c>
      <c r="R38" s="3946"/>
      <c r="S38" s="3946"/>
      <c r="T38" s="3946"/>
      <c r="U38" s="3947"/>
      <c r="V38" s="3948"/>
      <c r="W38" s="3948"/>
      <c r="X38" s="3948"/>
      <c r="Y38" s="3949"/>
      <c r="Z38" s="3948"/>
      <c r="AA38" s="3949"/>
      <c r="AB38" s="3949"/>
      <c r="AC38" s="3949"/>
      <c r="AD38" s="3950">
        <f>N38</f>
        <v>0.04</v>
      </c>
      <c r="AE38" s="3950">
        <f t="shared" ref="AE38" si="38">O38</f>
        <v>0.04</v>
      </c>
      <c r="AF38" s="3951">
        <f t="shared" ref="AF38" si="39">P38</f>
        <v>0.04</v>
      </c>
      <c r="AG38" s="3951"/>
      <c r="AH38" s="601"/>
      <c r="AI38" s="601"/>
      <c r="AJ38" s="601"/>
      <c r="AK38" s="3949"/>
      <c r="AL38" s="3952"/>
      <c r="AM38" s="602"/>
      <c r="AN38" s="602"/>
      <c r="AO38" s="602"/>
      <c r="AP38" s="602"/>
      <c r="AQ38" s="602"/>
      <c r="AR38" s="602"/>
      <c r="AS38" s="2205"/>
      <c r="AT38" s="2205"/>
      <c r="AU38" s="2205"/>
      <c r="AV38" s="2205"/>
      <c r="AW38" s="2205"/>
      <c r="AX38" s="2205"/>
      <c r="AY38" s="2205"/>
      <c r="AZ38" s="2205"/>
      <c r="BA38" s="2205"/>
      <c r="BB38" s="428"/>
      <c r="BC38" s="428"/>
      <c r="BD38" s="428"/>
      <c r="BE38" s="428"/>
      <c r="BF38" s="428"/>
      <c r="BG38" s="428"/>
      <c r="BH38" s="428"/>
      <c r="BI38" s="428"/>
      <c r="BJ38" s="428"/>
      <c r="BK38" s="428"/>
      <c r="BL38" s="428"/>
      <c r="BM38" s="428"/>
      <c r="BN38" s="428"/>
      <c r="BO38" s="428"/>
      <c r="BP38" s="428"/>
      <c r="BQ38" s="428"/>
      <c r="BR38" s="428"/>
      <c r="BS38" s="428"/>
      <c r="BT38" s="428"/>
      <c r="BU38" s="428"/>
      <c r="BV38" s="428"/>
      <c r="BW38" s="428"/>
      <c r="BX38" s="428"/>
      <c r="BY38" s="428"/>
      <c r="BZ38" s="428"/>
      <c r="CA38" s="428"/>
    </row>
    <row r="39" spans="1:79">
      <c r="A39" s="5281" t="s">
        <v>1532</v>
      </c>
      <c r="B39" s="3099" t="s">
        <v>743</v>
      </c>
      <c r="C39" s="3106">
        <f>$C$16*C32</f>
        <v>0</v>
      </c>
      <c r="D39" s="3106">
        <f>$D$16*D32</f>
        <v>0</v>
      </c>
      <c r="E39" s="3106">
        <f>$E$16*E32</f>
        <v>0</v>
      </c>
      <c r="F39" s="3106">
        <f>$F$16*F32</f>
        <v>0</v>
      </c>
      <c r="G39" s="3106">
        <f>$G$16*G32</f>
        <v>0</v>
      </c>
      <c r="H39" s="3106">
        <f>$H$16*H32</f>
        <v>0</v>
      </c>
      <c r="I39" s="3106">
        <f>$I$16*I32</f>
        <v>376816.04000000004</v>
      </c>
      <c r="J39" s="3107">
        <f>$J$16*J32</f>
        <v>479053.34400000004</v>
      </c>
      <c r="K39" s="3107">
        <f>$K$16*K32</f>
        <v>423208.21179999999</v>
      </c>
      <c r="L39" s="3107">
        <f>$L$16*L32</f>
        <v>440271.37330000004</v>
      </c>
      <c r="M39" s="3108">
        <f>$M$16*M32</f>
        <v>466947.35560000001</v>
      </c>
      <c r="N39" s="3108">
        <f>N16*$N$32</f>
        <v>461484.17700000003</v>
      </c>
      <c r="O39" s="3108">
        <f>O16*$O$32</f>
        <v>128398.18309999999</v>
      </c>
      <c r="P39" s="3108">
        <f>P16*$P$32</f>
        <v>188267.32</v>
      </c>
      <c r="Q39" s="3108">
        <f>Q16*$P$32</f>
        <v>255267.32</v>
      </c>
      <c r="R39" s="3109">
        <f t="shared" ref="R39:T39" si="40">R16*$M$32</f>
        <v>359667.84392000001</v>
      </c>
      <c r="S39" s="3109">
        <f t="shared" si="40"/>
        <v>503534.98148800002</v>
      </c>
      <c r="T39" s="3109">
        <f t="shared" si="40"/>
        <v>704948.97408319998</v>
      </c>
      <c r="U39" s="3098" t="s">
        <v>1418</v>
      </c>
      <c r="V39" s="3110"/>
      <c r="W39" s="3110"/>
      <c r="X39" s="3110"/>
      <c r="Y39" s="3111"/>
      <c r="Z39" s="3110"/>
      <c r="AA39" s="3112"/>
      <c r="AB39" s="3112"/>
      <c r="AC39" s="3112"/>
      <c r="AD39" s="5293">
        <f>N17*$AE$32</f>
        <v>461484.17700000003</v>
      </c>
      <c r="AE39" s="5293">
        <f>O17*$AE$32</f>
        <v>128398.18309999999</v>
      </c>
      <c r="AF39" s="5293">
        <f>P17*$AF$32</f>
        <v>188267.32</v>
      </c>
      <c r="AG39" s="5295">
        <f>AF39/AE39-1</f>
        <v>0.46627713457107345</v>
      </c>
      <c r="AH39" s="601"/>
      <c r="AI39" s="601"/>
      <c r="AJ39" s="601"/>
      <c r="AK39" s="3113">
        <f>P39/360</f>
        <v>522.96477777777784</v>
      </c>
      <c r="AL39" s="5281" t="s">
        <v>1532</v>
      </c>
      <c r="AM39" s="602"/>
      <c r="AN39" s="602"/>
      <c r="AO39" s="602"/>
      <c r="AP39" s="602"/>
      <c r="AQ39" s="602"/>
      <c r="AR39" s="602"/>
      <c r="AS39" s="2185"/>
      <c r="AT39" s="2185"/>
      <c r="AU39" s="2185"/>
      <c r="AV39" s="2185"/>
      <c r="AW39" s="2185"/>
      <c r="AX39" s="2185"/>
      <c r="AY39" s="2185"/>
      <c r="AZ39" s="2185"/>
      <c r="BA39" s="2185"/>
      <c r="BB39" s="428"/>
      <c r="BC39" s="428"/>
      <c r="BD39" s="428"/>
      <c r="BE39" s="428"/>
      <c r="BF39" s="428"/>
      <c r="BG39" s="428"/>
      <c r="BH39" s="428"/>
      <c r="BI39" s="428"/>
      <c r="BJ39" s="428"/>
      <c r="BK39" s="428"/>
      <c r="BL39" s="428"/>
      <c r="BM39" s="428"/>
      <c r="BN39" s="428"/>
      <c r="BO39" s="428"/>
      <c r="BP39" s="428"/>
      <c r="BQ39" s="428"/>
      <c r="BR39" s="428"/>
      <c r="BS39" s="428"/>
      <c r="BT39" s="428"/>
      <c r="BU39" s="428"/>
      <c r="BV39" s="428"/>
      <c r="BW39" s="428"/>
      <c r="BX39" s="428"/>
      <c r="BY39" s="428"/>
      <c r="BZ39" s="428"/>
      <c r="CA39" s="428"/>
    </row>
    <row r="40" spans="1:79" ht="15" thickBot="1">
      <c r="A40" s="5282"/>
      <c r="B40" s="3115" t="s">
        <v>478</v>
      </c>
      <c r="C40" s="3116"/>
      <c r="D40" s="3116"/>
      <c r="E40" s="3116"/>
      <c r="F40" s="3116"/>
      <c r="G40" s="3116"/>
      <c r="H40" s="3116"/>
      <c r="I40" s="3116"/>
      <c r="J40" s="3117">
        <f t="shared" ref="J40:Q40" si="41">J39/I39-1</f>
        <v>0.27131887485469042</v>
      </c>
      <c r="K40" s="3117">
        <f t="shared" si="41"/>
        <v>-0.11657393252639536</v>
      </c>
      <c r="L40" s="3117">
        <f t="shared" si="41"/>
        <v>4.0318597381242993E-2</v>
      </c>
      <c r="M40" s="3118">
        <f t="shared" si="41"/>
        <v>6.0589863247418219E-2</v>
      </c>
      <c r="N40" s="3118">
        <f t="shared" si="41"/>
        <v>-1.1699774149015352E-2</v>
      </c>
      <c r="O40" s="3118">
        <f t="shared" si="41"/>
        <v>-0.7217712123204606</v>
      </c>
      <c r="P40" s="3118">
        <f t="shared" si="41"/>
        <v>0.46627713457107345</v>
      </c>
      <c r="Q40" s="3118">
        <f t="shared" si="41"/>
        <v>0.35587695198508174</v>
      </c>
      <c r="R40" s="3119"/>
      <c r="S40" s="3119"/>
      <c r="T40" s="3119"/>
      <c r="U40" s="3114" t="s">
        <v>761</v>
      </c>
      <c r="V40" s="2981"/>
      <c r="W40" s="2981"/>
      <c r="X40" s="2981"/>
      <c r="Y40" s="3120"/>
      <c r="Z40" s="2981"/>
      <c r="AA40" s="2981"/>
      <c r="AB40" s="3049"/>
      <c r="AC40" s="3049"/>
      <c r="AD40" s="5294"/>
      <c r="AE40" s="5294"/>
      <c r="AF40" s="5294"/>
      <c r="AG40" s="5296"/>
      <c r="AH40" s="601"/>
      <c r="AI40" s="601"/>
      <c r="AJ40" s="601"/>
      <c r="AK40" s="3121"/>
      <c r="AL40" s="5282"/>
      <c r="AM40" s="602"/>
      <c r="AN40" s="602"/>
      <c r="AO40" s="602"/>
      <c r="AP40" s="602"/>
      <c r="AQ40" s="602"/>
      <c r="AR40" s="602"/>
      <c r="AS40" s="2185"/>
      <c r="AT40" s="2185"/>
      <c r="AU40" s="2185"/>
      <c r="AV40" s="2185"/>
      <c r="AW40" s="2185"/>
      <c r="AX40" s="2185"/>
      <c r="AY40" s="2185"/>
      <c r="AZ40" s="2185"/>
      <c r="BA40" s="2185"/>
      <c r="BB40" s="428"/>
      <c r="BC40" s="428"/>
      <c r="BD40" s="428"/>
      <c r="BE40" s="428"/>
      <c r="BF40" s="428"/>
      <c r="BG40" s="428"/>
      <c r="BH40" s="428"/>
      <c r="BI40" s="428"/>
      <c r="BJ40" s="428"/>
      <c r="BK40" s="428"/>
      <c r="BL40" s="428"/>
      <c r="BM40" s="428"/>
      <c r="BN40" s="428"/>
      <c r="BO40" s="428"/>
      <c r="BP40" s="428"/>
      <c r="BQ40" s="428"/>
      <c r="BR40" s="428"/>
      <c r="BS40" s="428"/>
      <c r="BT40" s="428"/>
      <c r="BU40" s="428"/>
      <c r="BV40" s="428"/>
      <c r="BW40" s="428"/>
      <c r="BX40" s="428"/>
      <c r="BY40" s="428"/>
      <c r="BZ40" s="428"/>
      <c r="CA40" s="428"/>
    </row>
    <row r="41" spans="1:79">
      <c r="A41" s="5285" t="s">
        <v>1528</v>
      </c>
      <c r="B41" s="3123" t="s">
        <v>651</v>
      </c>
      <c r="C41" s="3124">
        <f>$C$16*C33</f>
        <v>0</v>
      </c>
      <c r="D41" s="3124">
        <f>$D$16*D33</f>
        <v>0</v>
      </c>
      <c r="E41" s="3124">
        <f>$E$16*E33</f>
        <v>0</v>
      </c>
      <c r="F41" s="3124">
        <f>$F$16*F33</f>
        <v>0</v>
      </c>
      <c r="G41" s="3124">
        <f>$G$16*G33</f>
        <v>0</v>
      </c>
      <c r="H41" s="3124">
        <f>$H$16*H33</f>
        <v>0</v>
      </c>
      <c r="I41" s="3124">
        <f>$I$16*I33</f>
        <v>66083.41</v>
      </c>
      <c r="J41" s="3125">
        <f>$J$16*J33</f>
        <v>72713.453999999998</v>
      </c>
      <c r="K41" s="3125">
        <f>$K$16*K33</f>
        <v>72867.378599999996</v>
      </c>
      <c r="L41" s="3125">
        <f>$L$16*L33</f>
        <v>75805.289099999995</v>
      </c>
      <c r="M41" s="3126">
        <f>M16*M33</f>
        <v>80398.321199999991</v>
      </c>
      <c r="N41" s="3126">
        <f>N16*N33</f>
        <v>79457.679000000004</v>
      </c>
      <c r="O41" s="3126">
        <f>$O$16*O33</f>
        <v>22107.413699999997</v>
      </c>
      <c r="P41" s="3126">
        <f>$P$16*P33</f>
        <v>19669.72</v>
      </c>
      <c r="Q41" s="3126">
        <f>$P$16*Q33</f>
        <v>28099.600000000002</v>
      </c>
      <c r="R41" s="3125">
        <f t="shared" ref="R41:T41" si="42">$M$16*R33</f>
        <v>80398.321199999991</v>
      </c>
      <c r="S41" s="3125">
        <f t="shared" si="42"/>
        <v>80398.321199999991</v>
      </c>
      <c r="T41" s="3125">
        <f t="shared" si="42"/>
        <v>80398.321199999991</v>
      </c>
      <c r="U41" s="3122" t="s">
        <v>1418</v>
      </c>
      <c r="V41" s="3110"/>
      <c r="W41" s="3110"/>
      <c r="X41" s="3110"/>
      <c r="Y41" s="3112"/>
      <c r="Z41" s="3110"/>
      <c r="AA41" s="3110"/>
      <c r="AB41" s="3112"/>
      <c r="AC41" s="3112"/>
      <c r="AD41" s="5297">
        <f>N17*AD33</f>
        <v>79457.679000000004</v>
      </c>
      <c r="AE41" s="5297">
        <f>O17*AE33</f>
        <v>22107.413699999997</v>
      </c>
      <c r="AF41" s="5297">
        <f>P17*AF33</f>
        <v>19669.72</v>
      </c>
      <c r="AG41" s="5299">
        <f>AF41/AE41-1</f>
        <v>-0.11026589238704099</v>
      </c>
      <c r="AH41" s="601"/>
      <c r="AI41" s="601"/>
      <c r="AJ41" s="601"/>
      <c r="AK41" s="3127">
        <f>P41/360</f>
        <v>54.638111111111115</v>
      </c>
      <c r="AL41" s="5285" t="s">
        <v>1528</v>
      </c>
      <c r="AM41" s="602"/>
      <c r="AN41" s="602"/>
      <c r="AO41" s="602"/>
      <c r="AP41" s="602"/>
      <c r="AQ41" s="602"/>
      <c r="AR41" s="602"/>
      <c r="AS41" s="2185"/>
      <c r="AT41" s="2185"/>
      <c r="AU41" s="2185"/>
      <c r="AV41" s="2185"/>
      <c r="AW41" s="2185"/>
      <c r="AX41" s="2185"/>
      <c r="AY41" s="2185"/>
      <c r="AZ41" s="2185"/>
      <c r="BA41" s="2185"/>
      <c r="BB41" s="428"/>
      <c r="BC41" s="428"/>
      <c r="BD41" s="428"/>
      <c r="BE41" s="428"/>
      <c r="BF41" s="428"/>
      <c r="BG41" s="428"/>
      <c r="BH41" s="428"/>
      <c r="BI41" s="428"/>
      <c r="BJ41" s="428"/>
      <c r="BK41" s="428"/>
      <c r="BL41" s="428"/>
      <c r="BM41" s="428"/>
      <c r="BN41" s="428"/>
      <c r="BO41" s="428"/>
      <c r="BP41" s="428"/>
      <c r="BQ41" s="428"/>
      <c r="BR41" s="428"/>
      <c r="BS41" s="428"/>
      <c r="BT41" s="428"/>
      <c r="BU41" s="428"/>
      <c r="BV41" s="428"/>
      <c r="BW41" s="428"/>
      <c r="BX41" s="428"/>
      <c r="BY41" s="428"/>
      <c r="BZ41" s="428"/>
      <c r="CA41" s="428"/>
    </row>
    <row r="42" spans="1:79" ht="15" thickBot="1">
      <c r="A42" s="5286"/>
      <c r="B42" s="3129" t="s">
        <v>478</v>
      </c>
      <c r="C42" s="3130"/>
      <c r="D42" s="3130"/>
      <c r="E42" s="3130"/>
      <c r="F42" s="3130"/>
      <c r="G42" s="3130"/>
      <c r="H42" s="3130"/>
      <c r="I42" s="3130"/>
      <c r="J42" s="3131">
        <f>J41/I41-1</f>
        <v>0.100328418282289</v>
      </c>
      <c r="K42" s="3131">
        <f>K41/J41-1</f>
        <v>2.1168654703158651E-3</v>
      </c>
      <c r="L42" s="3131">
        <f>L41/K41-1</f>
        <v>4.0318597381242993E-2</v>
      </c>
      <c r="M42" s="3132">
        <f>M41/L41-1</f>
        <v>6.0589863247418219E-2</v>
      </c>
      <c r="N42" s="3132">
        <f t="shared" ref="N42:T42" si="43">N41/M41-1</f>
        <v>-1.1699774149015241E-2</v>
      </c>
      <c r="O42" s="3132">
        <f t="shared" si="43"/>
        <v>-0.7217712123204606</v>
      </c>
      <c r="P42" s="3132">
        <f>P41/O41-1</f>
        <v>-0.11026589238704099</v>
      </c>
      <c r="Q42" s="3132">
        <f>Q41/P41-1</f>
        <v>0.4285714285714286</v>
      </c>
      <c r="R42" s="3131">
        <f t="shared" si="43"/>
        <v>1.8611909493373564</v>
      </c>
      <c r="S42" s="3131">
        <f t="shared" si="43"/>
        <v>0</v>
      </c>
      <c r="T42" s="3131">
        <f t="shared" si="43"/>
        <v>0</v>
      </c>
      <c r="U42" s="3128" t="s">
        <v>761</v>
      </c>
      <c r="V42" s="2981"/>
      <c r="W42" s="2981"/>
      <c r="X42" s="2981"/>
      <c r="Y42" s="3049"/>
      <c r="Z42" s="2981"/>
      <c r="AA42" s="2981"/>
      <c r="AB42" s="3049"/>
      <c r="AC42" s="3049"/>
      <c r="AD42" s="5298"/>
      <c r="AE42" s="5298"/>
      <c r="AF42" s="5298"/>
      <c r="AG42" s="5300"/>
      <c r="AH42" s="601"/>
      <c r="AI42" s="601"/>
      <c r="AJ42" s="601"/>
      <c r="AK42" s="3133"/>
      <c r="AL42" s="5286"/>
      <c r="AM42" s="602"/>
      <c r="AN42" s="602"/>
      <c r="AO42" s="602"/>
      <c r="AP42" s="602"/>
      <c r="AQ42" s="602"/>
      <c r="AR42" s="602"/>
      <c r="AS42" s="2185"/>
      <c r="AT42" s="2185"/>
      <c r="AU42" s="2185"/>
      <c r="AV42" s="2185"/>
      <c r="AW42" s="2185"/>
      <c r="AX42" s="2185"/>
      <c r="AY42" s="2185"/>
      <c r="AZ42" s="2185"/>
      <c r="BA42" s="2185"/>
      <c r="BB42" s="428"/>
      <c r="BC42" s="428"/>
      <c r="BD42" s="428"/>
      <c r="BE42" s="428"/>
      <c r="BF42" s="428"/>
      <c r="BG42" s="428"/>
      <c r="BH42" s="428"/>
      <c r="BI42" s="428"/>
      <c r="BJ42" s="428"/>
      <c r="BK42" s="428"/>
      <c r="BL42" s="428"/>
      <c r="BM42" s="428"/>
      <c r="BN42" s="428"/>
      <c r="BO42" s="428"/>
      <c r="BP42" s="428"/>
      <c r="BQ42" s="428"/>
      <c r="BR42" s="428"/>
      <c r="BS42" s="428"/>
      <c r="BT42" s="428"/>
      <c r="BU42" s="428"/>
      <c r="BV42" s="428"/>
      <c r="BW42" s="428"/>
      <c r="BX42" s="428"/>
      <c r="BY42" s="428"/>
      <c r="BZ42" s="428"/>
      <c r="CA42" s="428"/>
    </row>
    <row r="43" spans="1:79" ht="15" thickBot="1">
      <c r="A43" s="5287" t="s">
        <v>1529</v>
      </c>
      <c r="B43" s="3135" t="s">
        <v>745</v>
      </c>
      <c r="C43" s="3136"/>
      <c r="D43" s="3136"/>
      <c r="E43" s="3136"/>
      <c r="F43" s="3136">
        <f>$F$16*F34</f>
        <v>0</v>
      </c>
      <c r="G43" s="3136">
        <f>$G$16*G34</f>
        <v>0</v>
      </c>
      <c r="H43" s="3136">
        <f>$H$16*H34</f>
        <v>0</v>
      </c>
      <c r="I43" s="3136">
        <f>$I$16*I34</f>
        <v>2109.0450000000001</v>
      </c>
      <c r="J43" s="3137">
        <f>$J$16*J34</f>
        <v>1425.7540000000001</v>
      </c>
      <c r="K43" s="3137">
        <f>$K$16*K34</f>
        <v>1882.8779999999999</v>
      </c>
      <c r="L43" s="3137">
        <f>$L$16*L34</f>
        <v>1958.7930000000001</v>
      </c>
      <c r="M43" s="3138">
        <f>$M$16*M34</f>
        <v>2077.4760000000001</v>
      </c>
      <c r="N43" s="3138">
        <f>$N$16*N34</f>
        <v>2053.17</v>
      </c>
      <c r="O43" s="3138">
        <f>$O$16*O34</f>
        <v>571.25099999999998</v>
      </c>
      <c r="P43" s="3138">
        <f>$P$16*P34</f>
        <v>42149.4</v>
      </c>
      <c r="Q43" s="3138">
        <f>$P$16*Q34</f>
        <v>42149.4</v>
      </c>
      <c r="R43" s="3137">
        <f t="shared" ref="R43:T43" si="44">$M$16*R34</f>
        <v>2077.4760000000001</v>
      </c>
      <c r="S43" s="3137">
        <f t="shared" si="44"/>
        <v>2077.4760000000001</v>
      </c>
      <c r="T43" s="3137">
        <f t="shared" si="44"/>
        <v>2077.4760000000001</v>
      </c>
      <c r="U43" s="3134" t="s">
        <v>1418</v>
      </c>
      <c r="V43" s="3110"/>
      <c r="W43" s="3110"/>
      <c r="X43" s="3110"/>
      <c r="Y43" s="3112"/>
      <c r="Z43" s="3110"/>
      <c r="AA43" s="3110"/>
      <c r="AB43" s="3112"/>
      <c r="AC43" s="3112"/>
      <c r="AD43" s="5301">
        <f>N17*AD34</f>
        <v>2053.17</v>
      </c>
      <c r="AE43" s="5301">
        <f>O17*AE34</f>
        <v>571.25099999999998</v>
      </c>
      <c r="AF43" s="5301">
        <f>P17*AF34</f>
        <v>42149.4</v>
      </c>
      <c r="AG43" s="5303">
        <f>AF43/AE43-1</f>
        <v>72.784378495617517</v>
      </c>
      <c r="AH43" s="601"/>
      <c r="AI43" s="601"/>
      <c r="AJ43" s="601"/>
      <c r="AK43" s="3139">
        <f>P43/360</f>
        <v>117.08166666666668</v>
      </c>
      <c r="AL43" s="5287" t="s">
        <v>1529</v>
      </c>
      <c r="AM43" s="602"/>
      <c r="AN43" s="602"/>
      <c r="AO43" s="602"/>
      <c r="AP43" s="602"/>
      <c r="AQ43" s="602"/>
      <c r="AR43" s="602"/>
      <c r="AS43" s="2185"/>
      <c r="AT43" s="2185"/>
      <c r="AU43" s="2185"/>
      <c r="AV43" s="2185"/>
      <c r="AW43" s="2185"/>
      <c r="AX43" s="2185"/>
      <c r="AY43" s="2185"/>
      <c r="AZ43" s="2185"/>
      <c r="BA43" s="2185"/>
      <c r="BB43" s="428"/>
      <c r="BC43" s="428"/>
      <c r="BD43" s="428"/>
      <c r="BE43" s="428"/>
      <c r="BF43" s="428"/>
      <c r="BG43" s="428"/>
      <c r="BH43" s="428"/>
      <c r="BI43" s="428"/>
      <c r="BJ43" s="428"/>
      <c r="BK43" s="428"/>
      <c r="BL43" s="428"/>
      <c r="BM43" s="428"/>
      <c r="BN43" s="428"/>
      <c r="BO43" s="428"/>
      <c r="BP43" s="428"/>
      <c r="BQ43" s="428"/>
      <c r="BR43" s="428"/>
      <c r="BS43" s="428"/>
      <c r="BT43" s="428"/>
      <c r="BU43" s="428"/>
      <c r="BV43" s="428"/>
      <c r="BW43" s="428"/>
      <c r="BX43" s="428"/>
      <c r="BY43" s="428"/>
      <c r="BZ43" s="428"/>
      <c r="CA43" s="428"/>
    </row>
    <row r="44" spans="1:79" ht="15" thickBot="1">
      <c r="A44" s="5288"/>
      <c r="B44" s="3101" t="s">
        <v>478</v>
      </c>
      <c r="C44" s="3100"/>
      <c r="D44" s="3100"/>
      <c r="E44" s="3100"/>
      <c r="F44" s="3100"/>
      <c r="G44" s="3100"/>
      <c r="H44" s="3100"/>
      <c r="I44" s="3100"/>
      <c r="J44" s="2531">
        <f>J43/I43-1</f>
        <v>-0.32398123321218841</v>
      </c>
      <c r="K44" s="2531">
        <f>K43/J43-1</f>
        <v>0.32061912503840051</v>
      </c>
      <c r="L44" s="2531">
        <f>L43/K43-1</f>
        <v>4.0318597381242993E-2</v>
      </c>
      <c r="M44" s="2532">
        <f>M43/L43-1</f>
        <v>6.0589863247418219E-2</v>
      </c>
      <c r="N44" s="2532">
        <f t="shared" ref="N44:T44" si="45">N43/M43-1</f>
        <v>-1.1699774149015463E-2</v>
      </c>
      <c r="O44" s="2532">
        <f t="shared" si="45"/>
        <v>-0.7217712123204606</v>
      </c>
      <c r="P44" s="2532">
        <f t="shared" si="45"/>
        <v>72.784378495617517</v>
      </c>
      <c r="Q44" s="2532">
        <f t="shared" si="45"/>
        <v>0</v>
      </c>
      <c r="R44" s="2531">
        <f t="shared" si="45"/>
        <v>-0.9507116115531894</v>
      </c>
      <c r="S44" s="2531">
        <f t="shared" si="45"/>
        <v>0</v>
      </c>
      <c r="T44" s="2531">
        <f t="shared" si="45"/>
        <v>0</v>
      </c>
      <c r="U44" s="3140" t="s">
        <v>761</v>
      </c>
      <c r="V44" s="2981"/>
      <c r="W44" s="2981"/>
      <c r="X44" s="2981"/>
      <c r="Y44" s="3049"/>
      <c r="Z44" s="2981"/>
      <c r="AA44" s="2981"/>
      <c r="AB44" s="3049"/>
      <c r="AC44" s="3049"/>
      <c r="AD44" s="5302"/>
      <c r="AE44" s="5302"/>
      <c r="AF44" s="5302"/>
      <c r="AG44" s="5304"/>
      <c r="AH44" s="601"/>
      <c r="AI44" s="601"/>
      <c r="AJ44" s="601"/>
      <c r="AK44" s="3141"/>
      <c r="AL44" s="5288"/>
      <c r="AM44" s="602"/>
      <c r="AN44" s="602"/>
      <c r="AO44" s="602"/>
      <c r="AP44" s="602"/>
      <c r="AQ44" s="602"/>
      <c r="AR44" s="602"/>
      <c r="AS44" s="2185"/>
      <c r="AT44" s="2185"/>
      <c r="AU44" s="2185"/>
      <c r="AV44" s="2185"/>
      <c r="AW44" s="2185"/>
      <c r="AX44" s="2185"/>
      <c r="AY44" s="2185"/>
      <c r="AZ44" s="2185"/>
      <c r="BA44" s="2185"/>
      <c r="BB44" s="428"/>
      <c r="BC44" s="428"/>
      <c r="BD44" s="428"/>
      <c r="BE44" s="428"/>
      <c r="BF44" s="428"/>
      <c r="BG44" s="428"/>
      <c r="BH44" s="428"/>
      <c r="BI44" s="428"/>
      <c r="BJ44" s="428"/>
      <c r="BK44" s="428"/>
      <c r="BL44" s="428"/>
      <c r="BM44" s="428"/>
      <c r="BN44" s="428"/>
      <c r="BO44" s="428"/>
      <c r="BP44" s="428"/>
      <c r="BQ44" s="428"/>
      <c r="BR44" s="428"/>
      <c r="BS44" s="428"/>
      <c r="BT44" s="428"/>
      <c r="BU44" s="428"/>
      <c r="BV44" s="428"/>
      <c r="BW44" s="428"/>
      <c r="BX44" s="428"/>
      <c r="BY44" s="428"/>
      <c r="BZ44" s="428"/>
      <c r="CA44" s="428"/>
    </row>
    <row r="45" spans="1:79" ht="15" thickBot="1">
      <c r="A45" s="5289" t="s">
        <v>1530</v>
      </c>
      <c r="B45" s="3166" t="s">
        <v>401</v>
      </c>
      <c r="C45" s="3167"/>
      <c r="D45" s="3167"/>
      <c r="E45" s="3167"/>
      <c r="F45" s="3167"/>
      <c r="G45" s="3167"/>
      <c r="H45" s="3167"/>
      <c r="I45" s="3167"/>
      <c r="J45" s="3168"/>
      <c r="K45" s="3167">
        <f>$K$16*K35</f>
        <v>540342.09398847062</v>
      </c>
      <c r="L45" s="3167">
        <f>$L$16*L35</f>
        <v>562127.92932412948</v>
      </c>
      <c r="M45" s="3169">
        <f>$M$16*M35</f>
        <v>595543.12</v>
      </c>
      <c r="N45" s="3169">
        <f>N16*N35</f>
        <v>588575.4</v>
      </c>
      <c r="O45" s="3169">
        <f>$O$16*O35</f>
        <v>163758.62</v>
      </c>
      <c r="P45" s="3169">
        <f>$P$16*P35</f>
        <v>224796.80000000002</v>
      </c>
      <c r="Q45" s="3169">
        <f>$P$16*Q35</f>
        <v>224796.80000000002</v>
      </c>
      <c r="R45" s="3167">
        <f t="shared" ref="R45:T45" si="46">$M$16*R35</f>
        <v>595543.12</v>
      </c>
      <c r="S45" s="3167">
        <f t="shared" si="46"/>
        <v>595543.12</v>
      </c>
      <c r="T45" s="3167">
        <f t="shared" si="46"/>
        <v>595543.12</v>
      </c>
      <c r="U45" s="3165" t="s">
        <v>1418</v>
      </c>
      <c r="V45" s="3170"/>
      <c r="W45" s="3170"/>
      <c r="X45" s="3170"/>
      <c r="Y45" s="3171"/>
      <c r="Z45" s="3170"/>
      <c r="AA45" s="3170"/>
      <c r="AB45" s="3171"/>
      <c r="AC45" s="3171"/>
      <c r="AD45" s="5309">
        <f>N17*AD35</f>
        <v>588575.4</v>
      </c>
      <c r="AE45" s="5309">
        <f>O17*AE35</f>
        <v>163758.62</v>
      </c>
      <c r="AF45" s="5309">
        <f>P17*AF35</f>
        <v>224796.80000000002</v>
      </c>
      <c r="AG45" s="5305">
        <f>AF45/AE45-1</f>
        <v>0.37273262317427935</v>
      </c>
      <c r="AH45" s="601"/>
      <c r="AI45" s="601"/>
      <c r="AJ45" s="601"/>
      <c r="AK45" s="3172">
        <f>P45/360</f>
        <v>624.43555555555565</v>
      </c>
      <c r="AL45" s="5289" t="s">
        <v>1530</v>
      </c>
      <c r="AM45" s="602"/>
      <c r="AN45" s="602"/>
      <c r="AO45" s="602"/>
      <c r="AP45" s="602"/>
      <c r="AQ45" s="602"/>
      <c r="AR45" s="602"/>
      <c r="AS45" s="2185"/>
      <c r="AT45" s="2185"/>
      <c r="AU45" s="2185"/>
      <c r="AV45" s="2185"/>
      <c r="AW45" s="2185"/>
      <c r="AX45" s="2185"/>
      <c r="AY45" s="2185"/>
      <c r="AZ45" s="2185"/>
      <c r="BA45" s="2185"/>
      <c r="BB45" s="428"/>
      <c r="BC45" s="428"/>
      <c r="BD45" s="428"/>
      <c r="BE45" s="428"/>
      <c r="BF45" s="428"/>
      <c r="BG45" s="428"/>
      <c r="BH45" s="428"/>
      <c r="BI45" s="428"/>
      <c r="BJ45" s="428"/>
      <c r="BK45" s="428"/>
      <c r="BL45" s="428"/>
      <c r="BM45" s="428"/>
      <c r="BN45" s="428"/>
      <c r="BO45" s="428"/>
      <c r="BP45" s="428"/>
      <c r="BQ45" s="428"/>
      <c r="BR45" s="428"/>
      <c r="BS45" s="428"/>
      <c r="BT45" s="428"/>
      <c r="BU45" s="428"/>
      <c r="BV45" s="428"/>
      <c r="BW45" s="428"/>
      <c r="BX45" s="428"/>
      <c r="BY45" s="428"/>
      <c r="BZ45" s="428"/>
      <c r="CA45" s="428"/>
    </row>
    <row r="46" spans="1:79" ht="15" thickBot="1">
      <c r="A46" s="5290"/>
      <c r="B46" s="3174" t="s">
        <v>822</v>
      </c>
      <c r="C46" s="3175"/>
      <c r="D46" s="3175"/>
      <c r="E46" s="3175"/>
      <c r="F46" s="3175"/>
      <c r="G46" s="3175"/>
      <c r="H46" s="3175"/>
      <c r="I46" s="3175"/>
      <c r="J46" s="3176"/>
      <c r="K46" s="3176"/>
      <c r="L46" s="3176">
        <f>L45/K45-1</f>
        <v>4.0318597381242993E-2</v>
      </c>
      <c r="M46" s="3177">
        <f>M45/L45-1</f>
        <v>5.9444103259638892E-2</v>
      </c>
      <c r="N46" s="3177">
        <f t="shared" ref="N46:T46" si="47">N45/M45-1</f>
        <v>-1.1699774149015352E-2</v>
      </c>
      <c r="O46" s="3177">
        <f t="shared" si="47"/>
        <v>-0.7217712123204606</v>
      </c>
      <c r="P46" s="3177">
        <f t="shared" si="47"/>
        <v>0.37273262317427935</v>
      </c>
      <c r="Q46" s="3177">
        <f t="shared" si="47"/>
        <v>0</v>
      </c>
      <c r="R46" s="3176">
        <f t="shared" si="47"/>
        <v>1.6492508790160714</v>
      </c>
      <c r="S46" s="3176">
        <f t="shared" si="47"/>
        <v>0</v>
      </c>
      <c r="T46" s="3176">
        <f t="shared" si="47"/>
        <v>0</v>
      </c>
      <c r="U46" s="3173" t="s">
        <v>761</v>
      </c>
      <c r="V46" s="3178"/>
      <c r="W46" s="3178"/>
      <c r="X46" s="3178"/>
      <c r="Y46" s="3179"/>
      <c r="Z46" s="3178"/>
      <c r="AA46" s="3178"/>
      <c r="AB46" s="3179"/>
      <c r="AC46" s="3179"/>
      <c r="AD46" s="5310"/>
      <c r="AE46" s="5310"/>
      <c r="AF46" s="5310"/>
      <c r="AG46" s="5306"/>
      <c r="AH46" s="601"/>
      <c r="AI46" s="601"/>
      <c r="AJ46" s="601"/>
      <c r="AK46" s="3180"/>
      <c r="AL46" s="5290"/>
      <c r="AM46" s="602"/>
      <c r="AN46" s="602"/>
      <c r="AO46" s="602"/>
      <c r="AP46" s="602"/>
      <c r="AQ46" s="602"/>
      <c r="AR46" s="602"/>
      <c r="AS46" s="2185"/>
      <c r="AT46" s="2185"/>
      <c r="AU46" s="2185"/>
      <c r="AV46" s="2185"/>
      <c r="AW46" s="2185"/>
      <c r="AX46" s="2185"/>
      <c r="AY46" s="2185"/>
      <c r="AZ46" s="2185"/>
      <c r="BA46" s="2185"/>
      <c r="BB46" s="428"/>
      <c r="BC46" s="428"/>
      <c r="BD46" s="428"/>
      <c r="BE46" s="428"/>
      <c r="BF46" s="428"/>
      <c r="BG46" s="428"/>
      <c r="BH46" s="428"/>
      <c r="BI46" s="428"/>
      <c r="BJ46" s="428"/>
      <c r="BK46" s="428"/>
      <c r="BL46" s="428"/>
      <c r="BM46" s="428"/>
      <c r="BN46" s="428"/>
      <c r="BO46" s="428"/>
      <c r="BP46" s="428"/>
      <c r="BQ46" s="428"/>
      <c r="BR46" s="428"/>
      <c r="BS46" s="428"/>
      <c r="BT46" s="428"/>
      <c r="BU46" s="428"/>
      <c r="BV46" s="428"/>
      <c r="BW46" s="428"/>
      <c r="BX46" s="428"/>
      <c r="BY46" s="428"/>
      <c r="BZ46" s="428"/>
      <c r="CA46" s="428"/>
    </row>
    <row r="47" spans="1:79" ht="15" thickBot="1">
      <c r="A47" s="5291" t="s">
        <v>1531</v>
      </c>
      <c r="B47" s="3144" t="s">
        <v>1408</v>
      </c>
      <c r="C47" s="3145"/>
      <c r="D47" s="3145"/>
      <c r="E47" s="3145"/>
      <c r="F47" s="3145"/>
      <c r="G47" s="3145"/>
      <c r="H47" s="3145"/>
      <c r="I47" s="3145"/>
      <c r="J47" s="3146"/>
      <c r="K47" s="3142">
        <f>$K$16*K36</f>
        <v>50210.080000000002</v>
      </c>
      <c r="L47" s="3142">
        <f>$L$16*L36</f>
        <v>52234.48</v>
      </c>
      <c r="M47" s="3147">
        <f>$M$16*M36</f>
        <v>55399.360000000001</v>
      </c>
      <c r="N47" s="3147">
        <f>$N$16*N36</f>
        <v>54751.200000000004</v>
      </c>
      <c r="O47" s="3147">
        <f>$O$16*O36</f>
        <v>15233.36</v>
      </c>
      <c r="P47" s="3147">
        <f>$P$16*P36</f>
        <v>56199.200000000004</v>
      </c>
      <c r="Q47" s="3147">
        <f>$P$16*Q36</f>
        <v>56199.200000000004</v>
      </c>
      <c r="R47" s="3145">
        <f t="shared" ref="R47:T47" si="48">$M$16*R40</f>
        <v>0</v>
      </c>
      <c r="S47" s="3145">
        <f t="shared" si="48"/>
        <v>0</v>
      </c>
      <c r="T47" s="3145">
        <f t="shared" si="48"/>
        <v>0</v>
      </c>
      <c r="U47" s="3143" t="s">
        <v>1418</v>
      </c>
      <c r="V47" s="3110"/>
      <c r="W47" s="3110"/>
      <c r="X47" s="3110"/>
      <c r="Y47" s="3112"/>
      <c r="Z47" s="3110"/>
      <c r="AA47" s="3110"/>
      <c r="AB47" s="3112"/>
      <c r="AC47" s="3112"/>
      <c r="AD47" s="5311">
        <f>N17*AD36</f>
        <v>54751.200000000004</v>
      </c>
      <c r="AE47" s="5311">
        <f>O17*AE36</f>
        <v>15233.36</v>
      </c>
      <c r="AF47" s="5311">
        <f>P17*AF36</f>
        <v>56199.200000000004</v>
      </c>
      <c r="AG47" s="5307">
        <f>AF47/AE47-1</f>
        <v>2.6892189247808758</v>
      </c>
      <c r="AH47" s="601"/>
      <c r="AI47" s="601"/>
      <c r="AJ47" s="601"/>
      <c r="AK47" s="3148">
        <f>P47/360</f>
        <v>156.10888888888891</v>
      </c>
      <c r="AL47" s="5291" t="s">
        <v>1531</v>
      </c>
      <c r="AM47" s="602"/>
      <c r="AN47" s="602"/>
      <c r="AO47" s="602"/>
      <c r="AP47" s="602"/>
      <c r="AQ47" s="602"/>
      <c r="AR47" s="602"/>
      <c r="AS47" s="2185"/>
      <c r="AT47" s="2185"/>
      <c r="AU47" s="2185"/>
      <c r="AV47" s="2185"/>
      <c r="AW47" s="2185"/>
      <c r="AX47" s="2185"/>
      <c r="AY47" s="2185"/>
      <c r="AZ47" s="2185"/>
      <c r="BA47" s="2185"/>
      <c r="BB47" s="428"/>
      <c r="BC47" s="428"/>
      <c r="BD47" s="428"/>
      <c r="BE47" s="428"/>
      <c r="BF47" s="428"/>
      <c r="BG47" s="428"/>
      <c r="BH47" s="428"/>
      <c r="BI47" s="428"/>
      <c r="BJ47" s="428"/>
      <c r="BK47" s="428"/>
      <c r="BL47" s="428"/>
      <c r="BM47" s="428"/>
      <c r="BN47" s="428"/>
      <c r="BO47" s="428"/>
      <c r="BP47" s="428"/>
      <c r="BQ47" s="428"/>
      <c r="BR47" s="428"/>
      <c r="BS47" s="428"/>
      <c r="BT47" s="428"/>
      <c r="BU47" s="428"/>
      <c r="BV47" s="428"/>
      <c r="BW47" s="428"/>
      <c r="BX47" s="428"/>
      <c r="BY47" s="428"/>
      <c r="BZ47" s="428"/>
      <c r="CA47" s="428"/>
    </row>
    <row r="48" spans="1:79" ht="15" thickBot="1">
      <c r="A48" s="5292"/>
      <c r="B48" s="3102" t="s">
        <v>822</v>
      </c>
      <c r="C48" s="3103"/>
      <c r="D48" s="3103"/>
      <c r="E48" s="3103"/>
      <c r="F48" s="3103"/>
      <c r="G48" s="3103"/>
      <c r="H48" s="3103"/>
      <c r="I48" s="3103"/>
      <c r="J48" s="729"/>
      <c r="K48" s="729"/>
      <c r="L48" s="729">
        <f>L47/K47-1</f>
        <v>4.0318597381242993E-2</v>
      </c>
      <c r="M48" s="2230">
        <f>M47/L47-1</f>
        <v>6.0589863247418219E-2</v>
      </c>
      <c r="N48" s="2230">
        <f t="shared" ref="N48" si="49">N47/M47-1</f>
        <v>-1.1699774149015352E-2</v>
      </c>
      <c r="O48" s="2230">
        <f t="shared" ref="O48" si="50">O47/N47-1</f>
        <v>-0.72177121232046049</v>
      </c>
      <c r="P48" s="2230">
        <f t="shared" ref="P48:Q48" si="51">P47/O47-1</f>
        <v>2.6892189247808758</v>
      </c>
      <c r="Q48" s="2230">
        <f t="shared" si="51"/>
        <v>0</v>
      </c>
      <c r="R48" s="2227">
        <f t="shared" ref="R48" si="52">R47/Q47-1</f>
        <v>-1</v>
      </c>
      <c r="S48" s="2227" t="e">
        <f t="shared" ref="S48" si="53">S47/R47-1</f>
        <v>#DIV/0!</v>
      </c>
      <c r="T48" s="2227" t="e">
        <f t="shared" ref="T48" si="54">T47/S47-1</f>
        <v>#DIV/0!</v>
      </c>
      <c r="U48" s="3104" t="s">
        <v>761</v>
      </c>
      <c r="V48" s="2981"/>
      <c r="W48" s="2981"/>
      <c r="X48" s="2981"/>
      <c r="Y48" s="3049"/>
      <c r="Z48" s="2981"/>
      <c r="AA48" s="2981"/>
      <c r="AB48" s="3049"/>
      <c r="AC48" s="3049"/>
      <c r="AD48" s="5312"/>
      <c r="AE48" s="5312"/>
      <c r="AF48" s="5312"/>
      <c r="AG48" s="5308"/>
      <c r="AH48" s="601"/>
      <c r="AI48" s="601"/>
      <c r="AJ48" s="601"/>
      <c r="AK48" s="3105"/>
      <c r="AL48" s="5292"/>
      <c r="AM48" s="602"/>
      <c r="AN48" s="602"/>
      <c r="AO48" s="602"/>
      <c r="AP48" s="602"/>
      <c r="AQ48" s="602"/>
      <c r="AR48" s="602"/>
      <c r="AS48" s="2185"/>
      <c r="AT48" s="2185"/>
      <c r="AU48" s="2185"/>
      <c r="AV48" s="2185"/>
      <c r="AW48" s="2185"/>
      <c r="AX48" s="2185"/>
      <c r="AY48" s="2185"/>
      <c r="AZ48" s="2185"/>
      <c r="BA48" s="2185"/>
      <c r="BB48" s="428"/>
      <c r="BC48" s="428"/>
      <c r="BD48" s="428"/>
      <c r="BE48" s="428"/>
      <c r="BF48" s="428"/>
      <c r="BG48" s="428"/>
      <c r="BH48" s="428"/>
      <c r="BI48" s="428"/>
      <c r="BJ48" s="428"/>
      <c r="BK48" s="428"/>
      <c r="BL48" s="428"/>
      <c r="BM48" s="428"/>
      <c r="BN48" s="428"/>
      <c r="BO48" s="428"/>
      <c r="BP48" s="428"/>
      <c r="BQ48" s="428"/>
      <c r="BR48" s="428"/>
      <c r="BS48" s="428"/>
      <c r="BT48" s="428"/>
      <c r="BU48" s="428"/>
      <c r="BV48" s="428"/>
      <c r="BW48" s="428"/>
      <c r="BX48" s="428"/>
      <c r="BY48" s="428"/>
      <c r="BZ48" s="428"/>
      <c r="CA48" s="428"/>
    </row>
    <row r="49" spans="1:79" ht="15" thickBot="1">
      <c r="A49" s="5317" t="s">
        <v>1548</v>
      </c>
      <c r="B49" s="3182" t="s">
        <v>633</v>
      </c>
      <c r="C49" s="3183"/>
      <c r="D49" s="3183"/>
      <c r="E49" s="3183"/>
      <c r="F49" s="3183"/>
      <c r="G49" s="3183"/>
      <c r="H49" s="3183"/>
      <c r="I49" s="3183"/>
      <c r="J49" s="3184"/>
      <c r="K49" s="3183">
        <f>$K$16*K37</f>
        <v>57846.139762720879</v>
      </c>
      <c r="L49" s="3183">
        <f t="shared" ref="L49:L51" si="55">$K$16*L37</f>
        <v>57846.139762720879</v>
      </c>
      <c r="M49" s="3183">
        <f>$M$16*M37</f>
        <v>63824.616916071202</v>
      </c>
      <c r="N49" s="3183">
        <f>$N$16*N37</f>
        <v>63077.883313005739</v>
      </c>
      <c r="O49" s="3183">
        <f>N49-(N49*-O20)</f>
        <v>17550.083003569045</v>
      </c>
      <c r="P49" s="3183">
        <f>$P$16*P37</f>
        <v>19669.72</v>
      </c>
      <c r="Q49" s="3183">
        <f>$P$16*Q37</f>
        <v>19669.72</v>
      </c>
      <c r="R49" s="3183">
        <f t="shared" ref="R49:T49" si="56">$M$16*R42</f>
        <v>1288859.8428885245</v>
      </c>
      <c r="S49" s="3183">
        <f t="shared" si="56"/>
        <v>0</v>
      </c>
      <c r="T49" s="3183">
        <f t="shared" si="56"/>
        <v>0</v>
      </c>
      <c r="U49" s="3181" t="s">
        <v>1418</v>
      </c>
      <c r="V49" s="3185"/>
      <c r="W49" s="3185"/>
      <c r="X49" s="3185"/>
      <c r="Y49" s="3186"/>
      <c r="Z49" s="3185"/>
      <c r="AA49" s="3185"/>
      <c r="AB49" s="3186"/>
      <c r="AC49" s="3186"/>
      <c r="AD49" s="5313">
        <f>N16*AD37</f>
        <v>63077.883313005739</v>
      </c>
      <c r="AE49" s="5313">
        <f>O16*AE37</f>
        <v>13329.19</v>
      </c>
      <c r="AF49" s="5313">
        <f>P17*AF37</f>
        <v>19669.72</v>
      </c>
      <c r="AG49" s="5315">
        <f>AF49/AE49-1</f>
        <v>0.47568756991235039</v>
      </c>
      <c r="AH49" s="601"/>
      <c r="AI49" s="601"/>
      <c r="AJ49" s="601"/>
      <c r="AK49" s="3187">
        <f>P49/360</f>
        <v>54.638111111111115</v>
      </c>
      <c r="AL49" s="5317" t="s">
        <v>1548</v>
      </c>
      <c r="AM49" s="602"/>
      <c r="AN49" s="602"/>
      <c r="AO49" s="602"/>
      <c r="AP49" s="602"/>
      <c r="AQ49" s="602"/>
      <c r="AR49" s="602"/>
      <c r="AS49" s="2185"/>
      <c r="AT49" s="2185"/>
      <c r="AU49" s="2185"/>
      <c r="AV49" s="2185"/>
      <c r="AW49" s="2185"/>
      <c r="AX49" s="2185"/>
      <c r="AY49" s="2185"/>
      <c r="AZ49" s="2185"/>
      <c r="BA49" s="2185"/>
      <c r="BB49" s="428"/>
      <c r="BC49" s="428"/>
      <c r="BD49" s="428"/>
      <c r="BE49" s="428"/>
      <c r="BF49" s="428"/>
      <c r="BG49" s="428"/>
      <c r="BH49" s="428"/>
      <c r="BI49" s="428"/>
      <c r="BJ49" s="428"/>
      <c r="BK49" s="428"/>
      <c r="BL49" s="428"/>
      <c r="BM49" s="428"/>
      <c r="BN49" s="428"/>
      <c r="BO49" s="428"/>
      <c r="BP49" s="428"/>
      <c r="BQ49" s="428"/>
      <c r="BR49" s="428"/>
      <c r="BS49" s="428"/>
      <c r="BT49" s="428"/>
      <c r="BU49" s="428"/>
      <c r="BV49" s="428"/>
      <c r="BW49" s="428"/>
      <c r="BX49" s="428"/>
      <c r="BY49" s="428"/>
      <c r="BZ49" s="428"/>
      <c r="CA49" s="428"/>
    </row>
    <row r="50" spans="1:79" ht="15" thickBot="1">
      <c r="A50" s="5318"/>
      <c r="B50" s="3189" t="s">
        <v>822</v>
      </c>
      <c r="C50" s="3190"/>
      <c r="D50" s="3190"/>
      <c r="E50" s="3190"/>
      <c r="F50" s="3190"/>
      <c r="G50" s="3190"/>
      <c r="H50" s="3190"/>
      <c r="I50" s="3190"/>
      <c r="J50" s="3191"/>
      <c r="K50" s="3191"/>
      <c r="L50" s="3191">
        <f>L49/K49-1</f>
        <v>0</v>
      </c>
      <c r="M50" s="3192">
        <f>M49/L49-1</f>
        <v>0.10335135893031833</v>
      </c>
      <c r="N50" s="3192">
        <f t="shared" ref="N50" si="57">N49/M49-1</f>
        <v>-1.1699774149015463E-2</v>
      </c>
      <c r="O50" s="3192">
        <f t="shared" ref="O50" si="58">O49/N49-1</f>
        <v>-0.72177121232046049</v>
      </c>
      <c r="P50" s="3192">
        <f t="shared" ref="P50:Q50" si="59">P49/O49-1</f>
        <v>0.12077646561557009</v>
      </c>
      <c r="Q50" s="3192">
        <f t="shared" si="59"/>
        <v>0</v>
      </c>
      <c r="R50" s="3191">
        <f t="shared" ref="R50" si="60">R49/Q49-1</f>
        <v>64.52507320330561</v>
      </c>
      <c r="S50" s="3191">
        <f t="shared" ref="S50" si="61">S49/R49-1</f>
        <v>-1</v>
      </c>
      <c r="T50" s="3191" t="e">
        <f t="shared" ref="T50" si="62">T49/S49-1</f>
        <v>#DIV/0!</v>
      </c>
      <c r="U50" s="3188" t="s">
        <v>761</v>
      </c>
      <c r="V50" s="3193"/>
      <c r="W50" s="3193"/>
      <c r="X50" s="3193"/>
      <c r="Y50" s="3194"/>
      <c r="Z50" s="3193"/>
      <c r="AA50" s="3193"/>
      <c r="AB50" s="3194"/>
      <c r="AC50" s="3194"/>
      <c r="AD50" s="5314"/>
      <c r="AE50" s="5314"/>
      <c r="AF50" s="5314"/>
      <c r="AG50" s="5316"/>
      <c r="AH50" s="601"/>
      <c r="AI50" s="601"/>
      <c r="AJ50" s="601"/>
      <c r="AK50" s="3195"/>
      <c r="AL50" s="5318"/>
      <c r="AM50" s="602"/>
      <c r="AN50" s="602"/>
      <c r="AO50" s="602"/>
      <c r="AP50" s="602"/>
      <c r="AQ50" s="602"/>
      <c r="AR50" s="602"/>
      <c r="AS50" s="2185"/>
      <c r="AT50" s="2185"/>
      <c r="AU50" s="2185"/>
      <c r="AV50" s="2185"/>
      <c r="AW50" s="2185"/>
      <c r="AX50" s="2185"/>
      <c r="AY50" s="2185"/>
      <c r="AZ50" s="2185"/>
      <c r="BA50" s="2185"/>
      <c r="BB50" s="428"/>
      <c r="BC50" s="428"/>
      <c r="BD50" s="428"/>
      <c r="BE50" s="428"/>
      <c r="BF50" s="428"/>
      <c r="BG50" s="428"/>
      <c r="BH50" s="428"/>
      <c r="BI50" s="428"/>
      <c r="BJ50" s="428"/>
      <c r="BK50" s="428"/>
      <c r="BL50" s="428"/>
      <c r="BM50" s="428"/>
      <c r="BN50" s="428"/>
      <c r="BO50" s="428"/>
      <c r="BP50" s="428"/>
      <c r="BQ50" s="428"/>
      <c r="BR50" s="428"/>
      <c r="BS50" s="428"/>
      <c r="BT50" s="428"/>
      <c r="BU50" s="428"/>
      <c r="BV50" s="428"/>
      <c r="BW50" s="428"/>
      <c r="BX50" s="428"/>
      <c r="BY50" s="428"/>
      <c r="BZ50" s="428"/>
      <c r="CA50" s="428"/>
    </row>
    <row r="51" spans="1:79" ht="15" thickBot="1">
      <c r="A51" s="5323" t="s">
        <v>1604</v>
      </c>
      <c r="B51" s="3954" t="s">
        <v>633</v>
      </c>
      <c r="C51" s="3955"/>
      <c r="D51" s="3955"/>
      <c r="E51" s="3955"/>
      <c r="F51" s="3955"/>
      <c r="G51" s="3955"/>
      <c r="H51" s="3955"/>
      <c r="I51" s="3955"/>
      <c r="J51" s="3956"/>
      <c r="K51" s="3955">
        <f>$K$16*K39</f>
        <v>265616477139.1868</v>
      </c>
      <c r="L51" s="3955">
        <f t="shared" si="55"/>
        <v>276325760938.78583</v>
      </c>
      <c r="M51" s="3955">
        <f>M16*M38</f>
        <v>27699.68</v>
      </c>
      <c r="N51" s="3955">
        <f t="shared" ref="N51:P51" si="63">N16*N38</f>
        <v>27375.600000000002</v>
      </c>
      <c r="O51" s="3955">
        <f t="shared" si="63"/>
        <v>7616.68</v>
      </c>
      <c r="P51" s="3955">
        <f t="shared" si="63"/>
        <v>11239.84</v>
      </c>
      <c r="Q51" s="3955">
        <f t="shared" ref="Q51" si="64">Q16*Q38</f>
        <v>15239.84</v>
      </c>
      <c r="R51" s="3955">
        <f t="shared" ref="R51:T51" si="65">$M$16*R44</f>
        <v>-658360.18530769122</v>
      </c>
      <c r="S51" s="3955">
        <f t="shared" si="65"/>
        <v>0</v>
      </c>
      <c r="T51" s="3955">
        <f t="shared" si="65"/>
        <v>0</v>
      </c>
      <c r="U51" s="3953" t="s">
        <v>1418</v>
      </c>
      <c r="V51" s="3957"/>
      <c r="W51" s="3957"/>
      <c r="X51" s="3957"/>
      <c r="Y51" s="3958"/>
      <c r="Z51" s="3957"/>
      <c r="AA51" s="3957"/>
      <c r="AB51" s="3958"/>
      <c r="AC51" s="3958"/>
      <c r="AD51" s="5319">
        <f>N17*AD38</f>
        <v>27375.600000000002</v>
      </c>
      <c r="AE51" s="5319">
        <f t="shared" ref="AE51:AF51" si="66">O17*AE38</f>
        <v>7616.68</v>
      </c>
      <c r="AF51" s="5319">
        <f t="shared" si="66"/>
        <v>11239.84</v>
      </c>
      <c r="AG51" s="5321">
        <f>AF51/AE51-1</f>
        <v>0.47568756991235017</v>
      </c>
      <c r="AH51" s="601"/>
      <c r="AI51" s="601"/>
      <c r="AJ51" s="601"/>
      <c r="AK51" s="3959">
        <f>P51/360</f>
        <v>31.221777777777778</v>
      </c>
      <c r="AL51" s="5323" t="s">
        <v>1604</v>
      </c>
      <c r="AM51" s="602"/>
      <c r="AN51" s="602"/>
      <c r="AO51" s="602"/>
      <c r="AP51" s="602"/>
      <c r="AQ51" s="602"/>
      <c r="AR51" s="602"/>
      <c r="AS51" s="2185"/>
      <c r="AT51" s="2185"/>
      <c r="AU51" s="2185"/>
      <c r="AV51" s="2185"/>
      <c r="AW51" s="2185"/>
      <c r="AX51" s="2185"/>
      <c r="AY51" s="2185"/>
      <c r="AZ51" s="2185"/>
      <c r="BA51" s="2185"/>
      <c r="BB51" s="428"/>
      <c r="BC51" s="428"/>
      <c r="BD51" s="428"/>
      <c r="BE51" s="428"/>
      <c r="BF51" s="428"/>
      <c r="BG51" s="428"/>
      <c r="BH51" s="428"/>
      <c r="BI51" s="428"/>
      <c r="BJ51" s="428"/>
      <c r="BK51" s="428"/>
      <c r="BL51" s="428"/>
      <c r="BM51" s="428"/>
      <c r="BN51" s="428"/>
      <c r="BO51" s="428"/>
      <c r="BP51" s="428"/>
      <c r="BQ51" s="428"/>
      <c r="BR51" s="428"/>
      <c r="BS51" s="428"/>
      <c r="BT51" s="428"/>
      <c r="BU51" s="428"/>
      <c r="BV51" s="428"/>
      <c r="BW51" s="428"/>
      <c r="BX51" s="428"/>
      <c r="BY51" s="428"/>
      <c r="BZ51" s="428"/>
      <c r="CA51" s="428"/>
    </row>
    <row r="52" spans="1:79" ht="15" thickBot="1">
      <c r="A52" s="5324"/>
      <c r="B52" s="3961" t="s">
        <v>822</v>
      </c>
      <c r="C52" s="3962"/>
      <c r="D52" s="3962"/>
      <c r="E52" s="3962"/>
      <c r="F52" s="3962"/>
      <c r="G52" s="3962"/>
      <c r="H52" s="3962"/>
      <c r="I52" s="3962"/>
      <c r="J52" s="3963"/>
      <c r="K52" s="3963"/>
      <c r="L52" s="3963">
        <f>L51/K51-1</f>
        <v>4.0318597381242993E-2</v>
      </c>
      <c r="M52" s="3964">
        <f>M51/L51-1</f>
        <v>-0.99999989975715653</v>
      </c>
      <c r="N52" s="3964">
        <f t="shared" ref="N52" si="67">N51/M51-1</f>
        <v>-1.1699774149015352E-2</v>
      </c>
      <c r="O52" s="3964">
        <f t="shared" ref="O52" si="68">O51/N51-1</f>
        <v>-0.72177121232046049</v>
      </c>
      <c r="P52" s="3964">
        <f t="shared" ref="P52:Q52" si="69">P51/O51-1</f>
        <v>0.47568756991235017</v>
      </c>
      <c r="Q52" s="3964">
        <f t="shared" si="69"/>
        <v>0.35587695198508174</v>
      </c>
      <c r="R52" s="3963">
        <f t="shared" ref="R52" si="70">R51/Q51-1</f>
        <v>-44.199940767599344</v>
      </c>
      <c r="S52" s="3963">
        <f t="shared" ref="S52" si="71">S51/R51-1</f>
        <v>-1</v>
      </c>
      <c r="T52" s="3963" t="e">
        <f t="shared" ref="T52" si="72">T51/S51-1</f>
        <v>#DIV/0!</v>
      </c>
      <c r="U52" s="3960" t="s">
        <v>761</v>
      </c>
      <c r="V52" s="3965"/>
      <c r="W52" s="3965"/>
      <c r="X52" s="3965"/>
      <c r="Y52" s="3966"/>
      <c r="Z52" s="3965"/>
      <c r="AA52" s="3965"/>
      <c r="AB52" s="3966"/>
      <c r="AC52" s="3966"/>
      <c r="AD52" s="5320"/>
      <c r="AE52" s="5320"/>
      <c r="AF52" s="5320"/>
      <c r="AG52" s="5322"/>
      <c r="AH52" s="601"/>
      <c r="AI52" s="601"/>
      <c r="AJ52" s="601"/>
      <c r="AK52" s="3967"/>
      <c r="AL52" s="5324"/>
      <c r="AM52" s="602"/>
      <c r="AN52" s="602"/>
      <c r="AO52" s="602"/>
      <c r="AP52" s="602"/>
      <c r="AQ52" s="602"/>
      <c r="AR52" s="602"/>
      <c r="AS52" s="2185"/>
      <c r="AT52" s="2185"/>
      <c r="AU52" s="2185"/>
      <c r="AV52" s="2185"/>
      <c r="AW52" s="2185"/>
      <c r="AX52" s="2185"/>
      <c r="AY52" s="2185"/>
      <c r="AZ52" s="2185"/>
      <c r="BA52" s="2185"/>
      <c r="BB52" s="428"/>
      <c r="BC52" s="428"/>
      <c r="BD52" s="428"/>
      <c r="BE52" s="428"/>
      <c r="BF52" s="428"/>
      <c r="BG52" s="428"/>
      <c r="BH52" s="428"/>
      <c r="BI52" s="428"/>
      <c r="BJ52" s="428"/>
      <c r="BK52" s="428"/>
      <c r="BL52" s="428"/>
      <c r="BM52" s="428"/>
      <c r="BN52" s="428"/>
      <c r="BO52" s="428"/>
      <c r="BP52" s="428"/>
      <c r="BQ52" s="428"/>
      <c r="BR52" s="428"/>
      <c r="BS52" s="428"/>
      <c r="BT52" s="428"/>
      <c r="BU52" s="428"/>
      <c r="BV52" s="428"/>
      <c r="BW52" s="428"/>
      <c r="BX52" s="428"/>
      <c r="BY52" s="428"/>
      <c r="BZ52" s="428"/>
      <c r="CA52" s="428"/>
    </row>
    <row r="53" spans="1:79">
      <c r="AH53" s="601"/>
      <c r="AI53" s="601"/>
      <c r="AJ53" s="601"/>
    </row>
    <row r="54" spans="1:79">
      <c r="AH54" s="601"/>
      <c r="AI54" s="601"/>
      <c r="AJ54" s="601"/>
    </row>
    <row r="56" spans="1:79">
      <c r="A56" s="55" t="s">
        <v>1486</v>
      </c>
      <c r="U56" s="43"/>
      <c r="V56" s="602"/>
      <c r="W56" s="602"/>
      <c r="X56" s="602"/>
      <c r="Y56" s="602"/>
      <c r="Z56" s="602"/>
      <c r="AA56" s="602"/>
      <c r="AB56" s="602"/>
      <c r="AC56" s="602"/>
      <c r="AD56" s="602"/>
      <c r="AE56" s="602"/>
      <c r="AF56" s="602"/>
      <c r="AG56" s="602"/>
      <c r="AH56" s="602"/>
      <c r="AI56" s="602"/>
      <c r="AJ56" s="602"/>
      <c r="AK56" s="602"/>
      <c r="AL56" s="1047"/>
      <c r="AM56" s="602"/>
      <c r="AN56" s="602"/>
      <c r="AO56" s="602"/>
      <c r="AP56" s="602"/>
      <c r="AQ56" s="602"/>
      <c r="AR56" s="602"/>
      <c r="AS56" s="2185"/>
      <c r="AT56" s="2185"/>
      <c r="AU56" s="2185"/>
      <c r="AV56" s="2185"/>
      <c r="AW56" s="2185"/>
      <c r="AX56" s="2185"/>
      <c r="AY56" s="2185"/>
      <c r="AZ56" s="2185"/>
      <c r="BA56" s="2185"/>
      <c r="BB56" s="428"/>
      <c r="BC56" s="428"/>
      <c r="BD56" s="428"/>
      <c r="BE56" s="428"/>
      <c r="BF56" s="428"/>
      <c r="BG56" s="428"/>
      <c r="BH56" s="428"/>
      <c r="BI56" s="428"/>
      <c r="BJ56" s="428"/>
      <c r="BK56" s="428"/>
      <c r="BL56" s="428"/>
      <c r="BM56" s="428"/>
      <c r="BN56" s="428"/>
      <c r="BO56" s="428"/>
      <c r="BP56" s="428"/>
      <c r="BQ56" s="428"/>
      <c r="BR56" s="428"/>
      <c r="BS56" s="428"/>
      <c r="BT56" s="428"/>
      <c r="BU56" s="428"/>
      <c r="BV56" s="428"/>
      <c r="BW56" s="428"/>
      <c r="BX56" s="428"/>
      <c r="BY56" s="428"/>
      <c r="BZ56" s="428"/>
      <c r="CA56" s="428"/>
    </row>
    <row r="57" spans="1:79">
      <c r="U57" s="43"/>
      <c r="V57" s="602"/>
      <c r="W57" s="602"/>
      <c r="X57" s="602"/>
      <c r="Y57" s="602"/>
      <c r="Z57" s="602"/>
      <c r="AA57" s="602"/>
      <c r="AB57" s="602"/>
      <c r="AC57" s="602"/>
      <c r="AD57" s="602"/>
      <c r="AE57" s="602"/>
      <c r="AF57" s="1047"/>
      <c r="AG57" s="602"/>
      <c r="AH57" s="602"/>
      <c r="AI57" s="602"/>
      <c r="AJ57" s="602"/>
      <c r="AK57" s="602"/>
      <c r="AL57" s="602"/>
      <c r="AM57" s="602"/>
      <c r="AN57" s="602"/>
      <c r="AO57" s="602"/>
      <c r="AP57" s="2185"/>
      <c r="AQ57" s="2185"/>
      <c r="AR57" s="2185"/>
      <c r="AS57" s="2185"/>
      <c r="AT57" s="2185"/>
      <c r="AU57" s="2185"/>
      <c r="AV57" s="428"/>
      <c r="AW57" s="428"/>
      <c r="AX57" s="428"/>
      <c r="AY57" s="428"/>
      <c r="AZ57" s="428"/>
      <c r="BA57" s="428"/>
      <c r="BB57" s="428"/>
      <c r="BC57" s="428"/>
      <c r="BD57" s="428"/>
      <c r="BE57" s="428"/>
      <c r="BF57" s="428"/>
      <c r="BG57" s="428"/>
      <c r="BH57" s="428"/>
      <c r="BI57" s="428"/>
      <c r="BJ57" s="428"/>
      <c r="BK57" s="428"/>
      <c r="BL57" s="428"/>
      <c r="BM57" s="428"/>
      <c r="BN57" s="428"/>
      <c r="BO57" s="428"/>
      <c r="BP57" s="428"/>
      <c r="BQ57" s="428"/>
      <c r="BR57" s="428"/>
      <c r="BS57" s="428"/>
      <c r="BT57" s="428"/>
      <c r="BU57" s="428"/>
      <c r="BV57" s="428"/>
      <c r="BW57" s="428"/>
      <c r="BX57" s="428"/>
    </row>
    <row r="58" spans="1:79">
      <c r="U58" s="43"/>
      <c r="V58" s="602"/>
      <c r="W58" s="602"/>
      <c r="X58" s="602"/>
      <c r="Y58" s="602"/>
      <c r="Z58" s="602"/>
      <c r="AA58" s="602"/>
      <c r="AB58" s="602"/>
      <c r="AC58" s="602"/>
      <c r="AD58" s="602"/>
      <c r="AE58" s="602"/>
      <c r="AF58" s="1047"/>
      <c r="AG58" s="602"/>
      <c r="AH58" s="602"/>
      <c r="AI58" s="602"/>
      <c r="AJ58" s="602"/>
      <c r="AK58" s="602"/>
      <c r="AL58" s="602"/>
      <c r="AM58" s="602"/>
      <c r="AN58" s="602"/>
      <c r="AO58" s="602"/>
      <c r="AP58" s="2185"/>
      <c r="AQ58" s="2185"/>
      <c r="AR58" s="2185"/>
      <c r="AS58" s="2185"/>
      <c r="AT58" s="2185"/>
      <c r="AU58" s="2185"/>
      <c r="AV58" s="428"/>
      <c r="AW58" s="428"/>
      <c r="AX58" s="428"/>
      <c r="AY58" s="428"/>
      <c r="AZ58" s="428"/>
      <c r="BA58" s="428"/>
      <c r="BB58" s="428"/>
      <c r="BC58" s="428"/>
      <c r="BD58" s="428"/>
      <c r="BE58" s="428"/>
      <c r="BF58" s="428"/>
      <c r="BG58" s="428"/>
      <c r="BH58" s="428"/>
      <c r="BI58" s="428"/>
      <c r="BJ58" s="428"/>
      <c r="BK58" s="428"/>
      <c r="BL58" s="428"/>
      <c r="BM58" s="428"/>
      <c r="BN58" s="428"/>
      <c r="BO58" s="428"/>
      <c r="BP58" s="428"/>
      <c r="BQ58" s="428"/>
      <c r="BR58" s="428"/>
      <c r="BS58" s="428"/>
      <c r="BT58" s="428"/>
      <c r="BU58" s="428"/>
      <c r="BV58" s="428"/>
      <c r="BW58" s="428"/>
      <c r="BX58" s="428"/>
    </row>
    <row r="59" spans="1:79">
      <c r="U59" s="43"/>
      <c r="V59" s="602"/>
      <c r="W59" s="602"/>
      <c r="X59" s="602"/>
      <c r="Y59" s="602"/>
      <c r="Z59" s="602"/>
      <c r="AA59" s="602"/>
      <c r="AB59" s="602"/>
      <c r="AC59" s="602"/>
      <c r="AD59" s="602"/>
      <c r="AE59" s="602"/>
      <c r="AF59" s="1047"/>
      <c r="AG59" s="602"/>
      <c r="AH59" s="602"/>
      <c r="AI59" s="602"/>
      <c r="AJ59" s="602"/>
      <c r="AK59" s="602"/>
      <c r="AL59" s="602"/>
      <c r="AM59" s="602"/>
      <c r="AN59" s="602"/>
      <c r="AO59" s="602"/>
      <c r="AP59" s="2185"/>
      <c r="AQ59" s="2185"/>
      <c r="AR59" s="2185"/>
      <c r="AS59" s="2185"/>
      <c r="AT59" s="2185"/>
      <c r="AU59" s="2185"/>
      <c r="AV59" s="428"/>
      <c r="AW59" s="428"/>
      <c r="AX59" s="428"/>
      <c r="AY59" s="428"/>
      <c r="AZ59" s="428"/>
      <c r="BA59" s="428"/>
      <c r="BB59" s="428"/>
      <c r="BC59" s="428"/>
      <c r="BD59" s="428"/>
      <c r="BE59" s="428"/>
      <c r="BF59" s="428"/>
      <c r="BG59" s="428"/>
      <c r="BH59" s="428"/>
      <c r="BI59" s="428"/>
      <c r="BJ59" s="428"/>
      <c r="BK59" s="428"/>
      <c r="BL59" s="428"/>
      <c r="BM59" s="428"/>
      <c r="BN59" s="428"/>
      <c r="BO59" s="428"/>
      <c r="BP59" s="428"/>
      <c r="BQ59" s="428"/>
      <c r="BR59" s="428"/>
      <c r="BS59" s="428"/>
      <c r="BT59" s="428"/>
      <c r="BU59" s="428"/>
      <c r="BV59" s="428"/>
      <c r="BW59" s="428"/>
      <c r="BX59" s="428"/>
    </row>
    <row r="60" spans="1:79">
      <c r="U60" s="43"/>
      <c r="V60" s="602"/>
      <c r="W60" s="602"/>
      <c r="X60" s="602"/>
      <c r="Y60" s="602"/>
      <c r="Z60" s="602"/>
      <c r="AA60" s="602"/>
      <c r="AB60" s="602"/>
      <c r="AC60" s="602"/>
      <c r="AD60" s="602"/>
      <c r="AE60" s="602"/>
      <c r="AF60" s="1047"/>
      <c r="AG60" s="602"/>
      <c r="AH60" s="602"/>
      <c r="AI60" s="602"/>
      <c r="AJ60" s="602"/>
      <c r="AK60" s="602"/>
      <c r="AL60" s="602"/>
      <c r="AM60" s="602"/>
      <c r="AN60" s="602"/>
      <c r="AO60" s="602"/>
      <c r="AP60" s="2185"/>
      <c r="AQ60" s="2185"/>
      <c r="AR60" s="2185"/>
      <c r="AS60" s="2185"/>
      <c r="AT60" s="2185"/>
      <c r="AU60" s="2185"/>
      <c r="AV60" s="428"/>
      <c r="AW60" s="428"/>
      <c r="AX60" s="428"/>
      <c r="AY60" s="428"/>
      <c r="AZ60" s="428"/>
      <c r="BA60" s="428"/>
      <c r="BB60" s="428"/>
      <c r="BC60" s="428"/>
      <c r="BD60" s="428"/>
      <c r="BE60" s="428"/>
      <c r="BF60" s="428"/>
      <c r="BG60" s="428"/>
      <c r="BH60" s="428"/>
      <c r="BI60" s="428"/>
      <c r="BJ60" s="428"/>
      <c r="BK60" s="428"/>
      <c r="BL60" s="428"/>
      <c r="BM60" s="428"/>
      <c r="BN60" s="428"/>
      <c r="BO60" s="428"/>
      <c r="BP60" s="428"/>
      <c r="BQ60" s="428"/>
      <c r="BR60" s="428"/>
      <c r="BS60" s="428"/>
      <c r="BT60" s="428"/>
      <c r="BU60" s="428"/>
      <c r="BV60" s="428"/>
      <c r="BW60" s="428"/>
      <c r="BX60" s="428"/>
    </row>
    <row r="61" spans="1:79">
      <c r="U61" s="43"/>
      <c r="V61" s="602"/>
      <c r="W61" s="602"/>
      <c r="X61" s="602"/>
      <c r="Y61" s="602"/>
      <c r="Z61" s="602"/>
      <c r="AA61" s="602"/>
      <c r="AB61" s="602"/>
      <c r="AC61" s="602"/>
      <c r="AD61" s="602"/>
      <c r="AE61" s="602"/>
      <c r="AF61" s="1047"/>
      <c r="AG61" s="602"/>
      <c r="AH61" s="602"/>
      <c r="AI61" s="602"/>
      <c r="AJ61" s="602"/>
      <c r="AK61" s="602"/>
      <c r="AL61" s="602"/>
      <c r="AM61" s="602"/>
      <c r="AN61" s="602"/>
      <c r="AO61" s="602"/>
      <c r="AP61" s="2185"/>
      <c r="AQ61" s="2185"/>
      <c r="AR61" s="2185"/>
      <c r="AS61" s="2185"/>
      <c r="AT61" s="2185"/>
      <c r="AU61" s="2185"/>
      <c r="AV61" s="428"/>
      <c r="AW61" s="428"/>
      <c r="AX61" s="428"/>
      <c r="AY61" s="428"/>
      <c r="AZ61" s="428"/>
      <c r="BA61" s="428"/>
      <c r="BB61" s="428"/>
      <c r="BC61" s="428"/>
      <c r="BD61" s="428"/>
      <c r="BE61" s="428"/>
      <c r="BF61" s="428"/>
      <c r="BG61" s="428"/>
      <c r="BH61" s="428"/>
      <c r="BI61" s="428"/>
      <c r="BJ61" s="428"/>
      <c r="BK61" s="428"/>
      <c r="BL61" s="428"/>
      <c r="BM61" s="428"/>
      <c r="BN61" s="428"/>
      <c r="BO61" s="428"/>
      <c r="BP61" s="428"/>
      <c r="BQ61" s="428"/>
      <c r="BR61" s="428"/>
      <c r="BS61" s="428"/>
      <c r="BT61" s="428"/>
      <c r="BU61" s="428"/>
      <c r="BV61" s="428"/>
      <c r="BW61" s="428"/>
      <c r="BX61" s="428"/>
    </row>
    <row r="62" spans="1:79">
      <c r="U62" s="43"/>
      <c r="V62" s="602"/>
      <c r="W62" s="602"/>
      <c r="X62" s="602"/>
      <c r="Y62" s="602"/>
      <c r="Z62" s="602"/>
      <c r="AA62" s="602"/>
      <c r="AB62" s="602"/>
      <c r="AC62" s="602"/>
      <c r="AD62" s="602"/>
      <c r="AE62" s="602"/>
      <c r="AF62" s="1047"/>
      <c r="AG62" s="602"/>
      <c r="AH62" s="602"/>
      <c r="AI62" s="602"/>
      <c r="AJ62" s="602"/>
      <c r="AK62" s="602"/>
      <c r="AL62" s="602"/>
      <c r="AM62" s="602"/>
      <c r="AN62" s="602"/>
      <c r="AO62" s="602"/>
      <c r="AP62" s="2185"/>
      <c r="AQ62" s="2185"/>
      <c r="AR62" s="2185"/>
      <c r="AS62" s="2185"/>
      <c r="AT62" s="2185"/>
      <c r="AU62" s="2185"/>
      <c r="AV62" s="428"/>
      <c r="AW62" s="428"/>
      <c r="AX62" s="428"/>
      <c r="AY62" s="428"/>
      <c r="AZ62" s="428"/>
      <c r="BA62" s="428"/>
      <c r="BB62" s="428"/>
      <c r="BC62" s="428"/>
      <c r="BD62" s="428"/>
      <c r="BE62" s="428"/>
      <c r="BF62" s="428"/>
      <c r="BG62" s="428"/>
      <c r="BH62" s="428"/>
      <c r="BI62" s="428"/>
      <c r="BJ62" s="428"/>
      <c r="BK62" s="428"/>
      <c r="BL62" s="428"/>
      <c r="BM62" s="428"/>
      <c r="BN62" s="428"/>
      <c r="BO62" s="428"/>
      <c r="BP62" s="428"/>
      <c r="BQ62" s="428"/>
      <c r="BR62" s="428"/>
      <c r="BS62" s="428"/>
      <c r="BT62" s="428"/>
      <c r="BU62" s="428"/>
      <c r="BV62" s="428"/>
      <c r="BW62" s="428"/>
      <c r="BX62" s="428"/>
    </row>
    <row r="63" spans="1:79">
      <c r="U63" s="43"/>
      <c r="V63" s="602"/>
      <c r="W63" s="602"/>
      <c r="X63" s="602"/>
      <c r="Y63" s="602"/>
      <c r="Z63" s="602"/>
      <c r="AA63" s="602"/>
      <c r="AB63" s="602"/>
      <c r="AC63" s="602"/>
      <c r="AD63" s="602"/>
      <c r="AE63" s="602"/>
      <c r="AF63" s="1047"/>
      <c r="AG63" s="602"/>
      <c r="AH63" s="602"/>
      <c r="AI63" s="602"/>
      <c r="AJ63" s="602"/>
      <c r="AK63" s="602"/>
      <c r="AL63" s="602"/>
      <c r="AM63" s="602"/>
      <c r="AN63" s="602"/>
      <c r="AO63" s="602"/>
      <c r="AP63" s="2185"/>
      <c r="AQ63" s="2185"/>
      <c r="AR63" s="2185"/>
      <c r="AS63" s="2185"/>
      <c r="AT63" s="2185"/>
      <c r="AU63" s="2185"/>
      <c r="AV63" s="428"/>
      <c r="AW63" s="428"/>
      <c r="AX63" s="428"/>
      <c r="AY63" s="428"/>
      <c r="AZ63" s="428"/>
      <c r="BA63" s="428"/>
      <c r="BB63" s="428"/>
      <c r="BC63" s="428"/>
      <c r="BD63" s="428"/>
      <c r="BE63" s="428"/>
      <c r="BF63" s="428"/>
      <c r="BG63" s="428"/>
      <c r="BH63" s="428"/>
      <c r="BI63" s="428"/>
      <c r="BJ63" s="428"/>
      <c r="BK63" s="428"/>
      <c r="BL63" s="428"/>
      <c r="BM63" s="428"/>
      <c r="BN63" s="428"/>
      <c r="BO63" s="428"/>
      <c r="BP63" s="428"/>
      <c r="BQ63" s="428"/>
      <c r="BR63" s="428"/>
      <c r="BS63" s="428"/>
      <c r="BT63" s="428"/>
      <c r="BU63" s="428"/>
      <c r="BV63" s="428"/>
      <c r="BW63" s="428"/>
      <c r="BX63" s="428"/>
    </row>
    <row r="64" spans="1:79">
      <c r="U64" s="43"/>
      <c r="V64" s="602"/>
      <c r="W64" s="602"/>
      <c r="X64" s="602"/>
      <c r="Y64" s="602"/>
      <c r="Z64" s="602"/>
      <c r="AA64" s="602"/>
      <c r="AB64" s="602"/>
      <c r="AC64" s="602"/>
      <c r="AD64" s="602"/>
      <c r="AE64" s="602"/>
      <c r="AF64" s="1047"/>
      <c r="AG64" s="602"/>
      <c r="AH64" s="602"/>
      <c r="AI64" s="602"/>
      <c r="AJ64" s="602"/>
      <c r="AK64" s="602"/>
      <c r="AL64" s="602"/>
      <c r="AM64" s="602"/>
      <c r="AN64" s="602"/>
      <c r="AO64" s="602"/>
      <c r="AP64" s="2185"/>
      <c r="AQ64" s="2185"/>
      <c r="AR64" s="2185"/>
      <c r="AS64" s="2185"/>
      <c r="AT64" s="2185"/>
      <c r="AU64" s="2185"/>
      <c r="AV64" s="428"/>
      <c r="AW64" s="428"/>
      <c r="AX64" s="428"/>
      <c r="AY64" s="428"/>
      <c r="AZ64" s="428"/>
      <c r="BA64" s="428"/>
      <c r="BB64" s="428"/>
      <c r="BC64" s="428"/>
      <c r="BD64" s="428"/>
      <c r="BE64" s="428"/>
      <c r="BF64" s="428"/>
      <c r="BG64" s="428"/>
      <c r="BH64" s="428"/>
      <c r="BI64" s="428"/>
      <c r="BJ64" s="428"/>
      <c r="BK64" s="428"/>
      <c r="BL64" s="428"/>
      <c r="BM64" s="428"/>
      <c r="BN64" s="428"/>
      <c r="BO64" s="428"/>
      <c r="BP64" s="428"/>
      <c r="BQ64" s="428"/>
      <c r="BR64" s="428"/>
      <c r="BS64" s="428"/>
      <c r="BT64" s="428"/>
      <c r="BU64" s="428"/>
      <c r="BV64" s="428"/>
      <c r="BW64" s="428"/>
      <c r="BX64" s="428"/>
    </row>
    <row r="65" spans="21:76">
      <c r="U65" s="43"/>
      <c r="V65" s="602"/>
      <c r="W65" s="602"/>
      <c r="X65" s="602"/>
      <c r="Y65" s="602"/>
      <c r="Z65" s="602"/>
      <c r="AA65" s="602"/>
      <c r="AB65" s="602"/>
      <c r="AC65" s="602"/>
      <c r="AD65" s="602"/>
      <c r="AE65" s="602"/>
      <c r="AF65" s="1047"/>
      <c r="AG65" s="602"/>
      <c r="AH65" s="602"/>
      <c r="AI65" s="602"/>
      <c r="AJ65" s="602"/>
      <c r="AK65" s="602"/>
      <c r="AL65" s="602"/>
      <c r="AM65" s="602"/>
      <c r="AN65" s="602"/>
      <c r="AO65" s="602"/>
      <c r="AP65" s="2185"/>
      <c r="AQ65" s="2185"/>
      <c r="AR65" s="2185"/>
      <c r="AS65" s="2185"/>
      <c r="AT65" s="2185"/>
      <c r="AU65" s="2185"/>
      <c r="AV65" s="428"/>
      <c r="AW65" s="428"/>
      <c r="AX65" s="428"/>
      <c r="AY65" s="428"/>
      <c r="AZ65" s="428"/>
      <c r="BA65" s="428"/>
      <c r="BB65" s="428"/>
      <c r="BC65" s="428"/>
      <c r="BD65" s="428"/>
      <c r="BE65" s="428"/>
      <c r="BF65" s="428"/>
      <c r="BG65" s="428"/>
      <c r="BH65" s="428"/>
      <c r="BI65" s="428"/>
      <c r="BJ65" s="428"/>
      <c r="BK65" s="428"/>
      <c r="BL65" s="428"/>
      <c r="BM65" s="428"/>
      <c r="BN65" s="428"/>
      <c r="BO65" s="428"/>
      <c r="BP65" s="428"/>
      <c r="BQ65" s="428"/>
      <c r="BR65" s="428"/>
      <c r="BS65" s="428"/>
      <c r="BT65" s="428"/>
      <c r="BU65" s="428"/>
      <c r="BV65" s="428"/>
      <c r="BW65" s="428"/>
      <c r="BX65" s="428"/>
    </row>
    <row r="66" spans="21:76">
      <c r="U66" s="43"/>
      <c r="V66" s="602"/>
      <c r="W66" s="602"/>
      <c r="X66" s="602"/>
      <c r="Y66" s="602"/>
      <c r="Z66" s="602"/>
      <c r="AA66" s="602"/>
      <c r="AB66" s="602"/>
      <c r="AC66" s="602"/>
      <c r="AD66" s="602"/>
      <c r="AE66" s="602"/>
      <c r="AF66" s="1047"/>
      <c r="AG66" s="602"/>
      <c r="AH66" s="602"/>
      <c r="AI66" s="602"/>
      <c r="AJ66" s="602"/>
      <c r="AK66" s="602"/>
      <c r="AL66" s="602"/>
      <c r="AM66" s="602"/>
      <c r="AN66" s="602"/>
      <c r="AO66" s="602"/>
      <c r="AP66" s="2185"/>
      <c r="AQ66" s="2185"/>
      <c r="AR66" s="2185"/>
      <c r="AS66" s="2185"/>
      <c r="AT66" s="2185"/>
      <c r="AU66" s="2185"/>
      <c r="AV66" s="428"/>
      <c r="AW66" s="428"/>
      <c r="AX66" s="428"/>
      <c r="AY66" s="428"/>
      <c r="AZ66" s="428"/>
      <c r="BA66" s="428"/>
      <c r="BB66" s="428"/>
      <c r="BC66" s="428"/>
      <c r="BD66" s="428"/>
      <c r="BE66" s="428"/>
      <c r="BF66" s="428"/>
      <c r="BG66" s="428"/>
      <c r="BH66" s="428"/>
      <c r="BI66" s="428"/>
      <c r="BJ66" s="428"/>
      <c r="BK66" s="428"/>
      <c r="BL66" s="428"/>
      <c r="BM66" s="428"/>
      <c r="BN66" s="428"/>
      <c r="BO66" s="428"/>
      <c r="BP66" s="428"/>
      <c r="BQ66" s="428"/>
      <c r="BR66" s="428"/>
      <c r="BS66" s="428"/>
      <c r="BT66" s="428"/>
      <c r="BU66" s="428"/>
      <c r="BV66" s="428"/>
      <c r="BW66" s="428"/>
      <c r="BX66" s="428"/>
    </row>
    <row r="67" spans="21:76">
      <c r="U67" s="43"/>
      <c r="V67" s="602"/>
      <c r="W67" s="602"/>
      <c r="X67" s="602"/>
      <c r="Y67" s="602"/>
      <c r="Z67" s="602"/>
      <c r="AA67" s="602"/>
      <c r="AB67" s="602"/>
      <c r="AC67" s="602"/>
      <c r="AD67" s="602"/>
      <c r="AE67" s="602"/>
      <c r="AF67" s="1047"/>
      <c r="AG67" s="602"/>
      <c r="AH67" s="602"/>
      <c r="AI67" s="602"/>
      <c r="AJ67" s="602"/>
      <c r="AK67" s="602"/>
      <c r="AL67" s="602"/>
      <c r="AM67" s="602"/>
      <c r="AN67" s="602"/>
      <c r="AO67" s="602"/>
      <c r="AP67" s="2185"/>
      <c r="AQ67" s="2185"/>
      <c r="AR67" s="2185"/>
      <c r="AS67" s="2185"/>
      <c r="AT67" s="2185"/>
      <c r="AU67" s="2185"/>
      <c r="AV67" s="428"/>
      <c r="AW67" s="428"/>
      <c r="AX67" s="428"/>
      <c r="AY67" s="428"/>
      <c r="AZ67" s="428"/>
      <c r="BA67" s="428"/>
      <c r="BB67" s="428"/>
      <c r="BC67" s="428"/>
      <c r="BD67" s="428"/>
      <c r="BE67" s="428"/>
      <c r="BF67" s="428"/>
      <c r="BG67" s="428"/>
      <c r="BH67" s="428"/>
      <c r="BI67" s="428"/>
      <c r="BJ67" s="428"/>
      <c r="BK67" s="428"/>
      <c r="BL67" s="428"/>
      <c r="BM67" s="428"/>
      <c r="BN67" s="428"/>
      <c r="BO67" s="428"/>
      <c r="BP67" s="428"/>
      <c r="BQ67" s="428"/>
      <c r="BR67" s="428"/>
      <c r="BS67" s="428"/>
      <c r="BT67" s="428"/>
      <c r="BU67" s="428"/>
      <c r="BV67" s="428"/>
      <c r="BW67" s="428"/>
      <c r="BX67" s="428"/>
    </row>
    <row r="68" spans="21:76">
      <c r="U68" s="43"/>
      <c r="V68" s="602"/>
      <c r="W68" s="602"/>
      <c r="X68" s="602"/>
      <c r="Y68" s="602"/>
      <c r="Z68" s="602"/>
      <c r="AA68" s="602"/>
      <c r="AB68" s="602"/>
      <c r="AC68" s="602"/>
      <c r="AD68" s="602"/>
      <c r="AE68" s="602"/>
      <c r="AF68" s="1047"/>
      <c r="AG68" s="602"/>
      <c r="AH68" s="602"/>
      <c r="AI68" s="602"/>
      <c r="AJ68" s="602"/>
      <c r="AK68" s="602"/>
      <c r="AL68" s="602"/>
      <c r="AM68" s="602"/>
      <c r="AN68" s="602"/>
      <c r="AO68" s="602"/>
      <c r="AP68" s="2185"/>
      <c r="AQ68" s="2185"/>
      <c r="AR68" s="2185"/>
      <c r="AS68" s="2185"/>
      <c r="AT68" s="2185"/>
      <c r="AU68" s="2185"/>
      <c r="AV68" s="428"/>
      <c r="AW68" s="428"/>
      <c r="AX68" s="428"/>
      <c r="AY68" s="428"/>
      <c r="AZ68" s="428"/>
      <c r="BA68" s="428"/>
      <c r="BB68" s="428"/>
      <c r="BC68" s="428"/>
      <c r="BD68" s="428"/>
      <c r="BE68" s="428"/>
      <c r="BF68" s="428"/>
      <c r="BG68" s="428"/>
      <c r="BH68" s="428"/>
      <c r="BI68" s="428"/>
      <c r="BJ68" s="428"/>
      <c r="BK68" s="428"/>
      <c r="BL68" s="428"/>
      <c r="BM68" s="428"/>
      <c r="BN68" s="428"/>
      <c r="BO68" s="428"/>
      <c r="BP68" s="428"/>
      <c r="BQ68" s="428"/>
      <c r="BR68" s="428"/>
      <c r="BS68" s="428"/>
      <c r="BT68" s="428"/>
      <c r="BU68" s="428"/>
      <c r="BV68" s="428"/>
      <c r="BW68" s="428"/>
      <c r="BX68" s="428"/>
    </row>
    <row r="69" spans="21:76">
      <c r="U69" s="43"/>
      <c r="V69" s="602"/>
      <c r="W69" s="602"/>
      <c r="X69" s="602"/>
      <c r="Y69" s="602"/>
      <c r="Z69" s="602"/>
      <c r="AA69" s="602"/>
      <c r="AB69" s="602"/>
      <c r="AC69" s="602"/>
      <c r="AD69" s="602"/>
      <c r="AE69" s="602"/>
      <c r="AF69" s="1047"/>
      <c r="AG69" s="602"/>
      <c r="AH69" s="602"/>
      <c r="AI69" s="602"/>
      <c r="AJ69" s="602"/>
      <c r="AK69" s="602"/>
      <c r="AL69" s="602"/>
      <c r="AM69" s="602"/>
      <c r="AN69" s="602"/>
      <c r="AO69" s="602"/>
      <c r="AP69" s="2185"/>
      <c r="AQ69" s="2185"/>
      <c r="AR69" s="2185"/>
      <c r="AS69" s="2185"/>
      <c r="AT69" s="2185"/>
      <c r="AU69" s="2185"/>
      <c r="AV69" s="428"/>
      <c r="AW69" s="428"/>
      <c r="AX69" s="428"/>
      <c r="AY69" s="428"/>
      <c r="AZ69" s="428"/>
      <c r="BA69" s="428"/>
      <c r="BB69" s="428"/>
      <c r="BC69" s="428"/>
      <c r="BD69" s="428"/>
      <c r="BE69" s="428"/>
      <c r="BF69" s="428"/>
      <c r="BG69" s="428"/>
      <c r="BH69" s="428"/>
      <c r="BI69" s="428"/>
      <c r="BJ69" s="428"/>
      <c r="BK69" s="428"/>
      <c r="BL69" s="428"/>
      <c r="BM69" s="428"/>
      <c r="BN69" s="428"/>
      <c r="BO69" s="428"/>
      <c r="BP69" s="428"/>
      <c r="BQ69" s="428"/>
      <c r="BR69" s="428"/>
      <c r="BS69" s="428"/>
      <c r="BT69" s="428"/>
      <c r="BU69" s="428"/>
      <c r="BV69" s="428"/>
      <c r="BW69" s="428"/>
      <c r="BX69" s="428"/>
    </row>
    <row r="70" spans="21:76">
      <c r="U70" s="43"/>
      <c r="V70" s="602"/>
      <c r="W70" s="602"/>
      <c r="X70" s="602"/>
      <c r="Y70" s="602"/>
      <c r="Z70" s="602"/>
      <c r="AA70" s="602"/>
      <c r="AB70" s="602"/>
      <c r="AC70" s="602"/>
      <c r="AD70" s="602"/>
      <c r="AE70" s="602"/>
      <c r="AF70" s="1047"/>
      <c r="AG70" s="602"/>
      <c r="AH70" s="602"/>
      <c r="AI70" s="602"/>
      <c r="AJ70" s="602"/>
      <c r="AK70" s="602"/>
      <c r="AL70" s="602"/>
      <c r="AM70" s="602"/>
      <c r="AN70" s="602"/>
      <c r="AO70" s="602"/>
      <c r="AP70" s="2185"/>
      <c r="AQ70" s="2185"/>
      <c r="AR70" s="2185"/>
      <c r="AS70" s="2185"/>
      <c r="AT70" s="2185"/>
      <c r="AU70" s="2185"/>
      <c r="AV70" s="428"/>
      <c r="AW70" s="428"/>
      <c r="AX70" s="428"/>
      <c r="AY70" s="428"/>
      <c r="AZ70" s="428"/>
      <c r="BA70" s="428"/>
      <c r="BB70" s="428"/>
      <c r="BC70" s="428"/>
      <c r="BD70" s="428"/>
      <c r="BE70" s="428"/>
      <c r="BF70" s="428"/>
      <c r="BG70" s="428"/>
      <c r="BH70" s="428"/>
      <c r="BI70" s="428"/>
      <c r="BJ70" s="428"/>
      <c r="BK70" s="428"/>
      <c r="BL70" s="428"/>
      <c r="BM70" s="428"/>
      <c r="BN70" s="428"/>
      <c r="BO70" s="428"/>
      <c r="BP70" s="428"/>
      <c r="BQ70" s="428"/>
      <c r="BR70" s="428"/>
      <c r="BS70" s="428"/>
      <c r="BT70" s="428"/>
      <c r="BU70" s="428"/>
      <c r="BV70" s="428"/>
      <c r="BW70" s="428"/>
      <c r="BX70" s="428"/>
    </row>
    <row r="71" spans="21:76">
      <c r="U71" s="43"/>
      <c r="V71" s="602"/>
      <c r="W71" s="602"/>
      <c r="X71" s="602"/>
      <c r="Y71" s="602"/>
      <c r="Z71" s="602"/>
      <c r="AA71" s="602"/>
      <c r="AB71" s="602"/>
      <c r="AC71" s="602"/>
      <c r="AD71" s="602"/>
      <c r="AE71" s="602"/>
      <c r="AF71" s="1047"/>
      <c r="AG71" s="602"/>
      <c r="AH71" s="602"/>
      <c r="AI71" s="602"/>
      <c r="AJ71" s="602"/>
      <c r="AK71" s="602"/>
      <c r="AL71" s="602"/>
      <c r="AM71" s="602"/>
      <c r="AN71" s="602"/>
      <c r="AO71" s="602"/>
      <c r="AP71" s="2185"/>
      <c r="AQ71" s="2185"/>
      <c r="AR71" s="2185"/>
      <c r="AS71" s="2185"/>
      <c r="AT71" s="2185"/>
      <c r="AU71" s="2185"/>
      <c r="AV71" s="428"/>
      <c r="AW71" s="428"/>
      <c r="AX71" s="428"/>
      <c r="AY71" s="428"/>
      <c r="AZ71" s="428"/>
      <c r="BA71" s="428"/>
      <c r="BB71" s="428"/>
      <c r="BC71" s="428"/>
      <c r="BD71" s="428"/>
      <c r="BE71" s="428"/>
      <c r="BF71" s="428"/>
      <c r="BG71" s="428"/>
      <c r="BH71" s="428"/>
      <c r="BI71" s="428"/>
      <c r="BJ71" s="428"/>
      <c r="BK71" s="428"/>
      <c r="BL71" s="428"/>
      <c r="BM71" s="428"/>
      <c r="BN71" s="428"/>
      <c r="BO71" s="428"/>
      <c r="BP71" s="428"/>
      <c r="BQ71" s="428"/>
      <c r="BR71" s="428"/>
      <c r="BS71" s="428"/>
      <c r="BT71" s="428"/>
      <c r="BU71" s="428"/>
      <c r="BV71" s="428"/>
      <c r="BW71" s="428"/>
      <c r="BX71" s="428"/>
    </row>
    <row r="72" spans="21:76">
      <c r="U72" s="43"/>
      <c r="V72" s="602"/>
      <c r="W72" s="602"/>
      <c r="X72" s="602"/>
      <c r="Y72" s="602"/>
      <c r="Z72" s="602"/>
      <c r="AA72" s="602"/>
      <c r="AB72" s="602"/>
      <c r="AC72" s="602"/>
      <c r="AD72" s="602"/>
      <c r="AE72" s="602"/>
      <c r="AF72" s="1047"/>
      <c r="AG72" s="602"/>
      <c r="AH72" s="602"/>
      <c r="AI72" s="602"/>
      <c r="AJ72" s="602"/>
      <c r="AK72" s="602"/>
      <c r="AL72" s="602"/>
      <c r="AM72" s="602"/>
      <c r="AN72" s="602"/>
      <c r="AO72" s="602"/>
      <c r="AP72" s="2185"/>
      <c r="AQ72" s="2185"/>
      <c r="AR72" s="2185"/>
      <c r="AS72" s="2185"/>
      <c r="AT72" s="2185"/>
      <c r="AU72" s="2185"/>
      <c r="AV72" s="428"/>
      <c r="AW72" s="428"/>
      <c r="AX72" s="428"/>
      <c r="AY72" s="428"/>
      <c r="AZ72" s="428"/>
      <c r="BA72" s="428"/>
      <c r="BB72" s="428"/>
      <c r="BC72" s="428"/>
      <c r="BD72" s="428"/>
      <c r="BE72" s="428"/>
      <c r="BF72" s="428"/>
      <c r="BG72" s="428"/>
      <c r="BH72" s="428"/>
      <c r="BI72" s="428"/>
      <c r="BJ72" s="428"/>
      <c r="BK72" s="428"/>
      <c r="BL72" s="428"/>
      <c r="BM72" s="428"/>
      <c r="BN72" s="428"/>
      <c r="BO72" s="428"/>
      <c r="BP72" s="428"/>
      <c r="BQ72" s="428"/>
      <c r="BR72" s="428"/>
      <c r="BS72" s="428"/>
      <c r="BT72" s="428"/>
      <c r="BU72" s="428"/>
      <c r="BV72" s="428"/>
      <c r="BW72" s="428"/>
      <c r="BX72" s="428"/>
    </row>
  </sheetData>
  <mergeCells count="48">
    <mergeCell ref="A51:A52"/>
    <mergeCell ref="A41:A42"/>
    <mergeCell ref="A43:A44"/>
    <mergeCell ref="A45:A46"/>
    <mergeCell ref="A47:A48"/>
    <mergeCell ref="A49:A50"/>
    <mergeCell ref="AD51:AD52"/>
    <mergeCell ref="AE51:AE52"/>
    <mergeCell ref="AF51:AF52"/>
    <mergeCell ref="AG51:AG52"/>
    <mergeCell ref="AL51:AL52"/>
    <mergeCell ref="AD49:AD50"/>
    <mergeCell ref="AE49:AE50"/>
    <mergeCell ref="AF49:AF50"/>
    <mergeCell ref="AG49:AG50"/>
    <mergeCell ref="AL49:AL50"/>
    <mergeCell ref="AG45:AG46"/>
    <mergeCell ref="AG47:AG48"/>
    <mergeCell ref="AD45:AD46"/>
    <mergeCell ref="AE45:AE46"/>
    <mergeCell ref="AF45:AF46"/>
    <mergeCell ref="AD47:AD48"/>
    <mergeCell ref="AE47:AE48"/>
    <mergeCell ref="AF47:AF48"/>
    <mergeCell ref="AL41:AL42"/>
    <mergeCell ref="AL43:AL44"/>
    <mergeCell ref="AL45:AL46"/>
    <mergeCell ref="AL47:AL48"/>
    <mergeCell ref="AD39:AD40"/>
    <mergeCell ref="AE39:AE40"/>
    <mergeCell ref="AF39:AF40"/>
    <mergeCell ref="AG39:AG40"/>
    <mergeCell ref="AD41:AD42"/>
    <mergeCell ref="AE41:AE42"/>
    <mergeCell ref="AF41:AF42"/>
    <mergeCell ref="AG41:AG42"/>
    <mergeCell ref="AD43:AD44"/>
    <mergeCell ref="AE43:AE44"/>
    <mergeCell ref="AF43:AF44"/>
    <mergeCell ref="AG43:AG44"/>
    <mergeCell ref="A1:L1"/>
    <mergeCell ref="W3:X3"/>
    <mergeCell ref="AA3:AB3"/>
    <mergeCell ref="AE3:AF3"/>
    <mergeCell ref="AL39:AL40"/>
    <mergeCell ref="AI3:AJ3"/>
    <mergeCell ref="M18:O18"/>
    <mergeCell ref="A39:A40"/>
  </mergeCells>
  <phoneticPr fontId="11" type="noConversion"/>
  <conditionalFormatting sqref="B23:B24">
    <cfRule type="top10" dxfId="49" priority="68" rank="10"/>
  </conditionalFormatting>
  <conditionalFormatting sqref="C23:C24">
    <cfRule type="top10" dxfId="48" priority="67" rank="10"/>
  </conditionalFormatting>
  <conditionalFormatting sqref="D23:D24">
    <cfRule type="top10" dxfId="47" priority="35" rank="10"/>
  </conditionalFormatting>
  <hyperlinks>
    <hyperlink ref="Y8" r:id="rId1" display="https://servicios.turismo.gob.ec/index.php/turismo-cifras/2018-09-19-17-01-51/movimientos-internacionales" xr:uid="{00000000-0004-0000-0400-000000000000}"/>
    <hyperlink ref="Y9" r:id="rId2" display="https://servicios.turismo.gob.ec/index.php/turismo-cifras/2018-09-19-17-01-51/movimientos-internacionales" xr:uid="{00000000-0004-0000-0400-000001000000}"/>
    <hyperlink ref="Y10" r:id="rId3" display="https://servicios.turismo.gob.ec/index.php/turismo-cifras/2018-09-19-17-01-51/movimientos-internacionales" xr:uid="{00000000-0004-0000-0400-000002000000}"/>
    <hyperlink ref="Y11" r:id="rId4" xr:uid="{00000000-0004-0000-0400-000003000000}"/>
    <hyperlink ref="Y12" r:id="rId5" xr:uid="{00000000-0004-0000-0400-000004000000}"/>
    <hyperlink ref="Y13" r:id="rId6" xr:uid="{00000000-0004-0000-0400-000005000000}"/>
    <hyperlink ref="Y14" r:id="rId7" xr:uid="{00000000-0004-0000-0400-000006000000}"/>
    <hyperlink ref="AC4" r:id="rId8" xr:uid="{00000000-0004-0000-0400-000007000000}"/>
    <hyperlink ref="AC5" r:id="rId9" xr:uid="{00000000-0004-0000-0400-000008000000}"/>
    <hyperlink ref="AC6" r:id="rId10" xr:uid="{00000000-0004-0000-0400-000009000000}"/>
    <hyperlink ref="AC7" r:id="rId11" xr:uid="{00000000-0004-0000-0400-00000A000000}"/>
    <hyperlink ref="AC8" r:id="rId12" xr:uid="{00000000-0004-0000-0400-00000B000000}"/>
    <hyperlink ref="AC10" r:id="rId13" xr:uid="{00000000-0004-0000-0400-00000C000000}"/>
    <hyperlink ref="AC13" r:id="rId14" xr:uid="{00000000-0004-0000-0400-00000D000000}"/>
    <hyperlink ref="AC14" r:id="rId15" xr:uid="{00000000-0004-0000-0400-00000E000000}"/>
    <hyperlink ref="AG4" r:id="rId16" xr:uid="{00000000-0004-0000-0400-00000F000000}"/>
    <hyperlink ref="AG5" r:id="rId17" xr:uid="{00000000-0004-0000-0400-000010000000}"/>
    <hyperlink ref="AG6" r:id="rId18" xr:uid="{3EB1AB54-B91B-46CA-BFED-77C33BEB0660}"/>
    <hyperlink ref="AG7" r:id="rId19" xr:uid="{28335105-2731-4683-A6BC-DD5A488F980D}"/>
    <hyperlink ref="AG8" r:id="rId20" xr:uid="{8EBD7239-5393-4BBB-9CF5-6DFFD9A44078}"/>
    <hyperlink ref="AG9" r:id="rId21" display="https://servicios.turismo.gob.ec/index.php/turismo-cifras/2018-09-19-17-01-51/movimientos-internacionales" xr:uid="{1E381BDC-16CA-49AD-95F6-E46CACD74764}"/>
    <hyperlink ref="AG10" r:id="rId22" xr:uid="{3490D86F-0D91-4DBD-A592-8536FB87AF73}"/>
    <hyperlink ref="AG12" r:id="rId23" xr:uid="{19ED0848-0561-45CB-9297-53A83A738578}"/>
    <hyperlink ref="AG14" r:id="rId24" xr:uid="{E379ED3D-530C-4574-AA1A-A8BDDCE1E859}"/>
    <hyperlink ref="AG13" r:id="rId25" xr:uid="{D192B53D-8E3C-450C-9549-45A482673A12}"/>
    <hyperlink ref="AG15" r:id="rId26" xr:uid="{A54092D4-0F05-4B13-8E48-735CB255E417}"/>
  </hyperlinks>
  <pageMargins left="0.31496062992125984" right="0.15748031496062992" top="0.74803149606299213" bottom="0.74803149606299213" header="0.31496062992125984" footer="0.31496062992125984"/>
  <pageSetup scale="24" orientation="landscape" verticalDpi="597" r:id="rId27"/>
  <drawing r:id="rId28"/>
  <legacyDrawing r:id="rId29"/>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9" tint="-0.249977111117893"/>
    <pageSetUpPr fitToPage="1"/>
  </sheetPr>
  <dimension ref="A1:LI46"/>
  <sheetViews>
    <sheetView showGridLines="0" tabSelected="1" zoomScale="70" zoomScaleNormal="70" zoomScaleSheetLayoutView="75" workbookViewId="0">
      <pane xSplit="147" ySplit="6" topLeftCell="JS7" activePane="bottomRight" state="frozen"/>
      <selection pane="topRight" activeCell="ER1" sqref="ER1"/>
      <selection pane="bottomLeft" activeCell="A7" sqref="A7"/>
      <selection pane="bottomRight" activeCell="KM29" sqref="KM29"/>
    </sheetView>
  </sheetViews>
  <sheetFormatPr baseColWidth="10" defaultColWidth="11.44140625" defaultRowHeight="14.4"/>
  <cols>
    <col min="1" max="1" width="2.109375" style="2682" customWidth="1"/>
    <col min="2" max="2" width="1.6640625" style="2682" customWidth="1"/>
    <col min="3" max="3" width="39" style="2682" customWidth="1"/>
    <col min="4" max="39" width="10.6640625" style="2682" hidden="1" customWidth="1"/>
    <col min="40" max="40" width="11.44140625" style="2682" hidden="1" customWidth="1"/>
    <col min="41" max="147" width="10.6640625" style="2682" hidden="1" customWidth="1"/>
    <col min="148" max="159" width="11" style="2682" customWidth="1"/>
    <col min="160" max="196" width="11" style="730" customWidth="1"/>
    <col min="197" max="244" width="11" style="730" hidden="1" customWidth="1"/>
    <col min="245" max="260" width="11" style="730" customWidth="1"/>
    <col min="261" max="261" width="7.6640625" style="730" customWidth="1"/>
    <col min="262" max="268" width="11.33203125" style="2682" hidden="1" customWidth="1"/>
    <col min="269" max="270" width="13.77734375" style="2682" hidden="1" customWidth="1"/>
    <col min="271" max="273" width="9.44140625" style="2682" hidden="1" customWidth="1"/>
    <col min="274" max="277" width="14.88671875" style="2682" customWidth="1"/>
    <col min="278" max="278" width="3" customWidth="1"/>
    <col min="279" max="279" width="12.21875" style="2682" bestFit="1" customWidth="1"/>
    <col min="280" max="280" width="12.77734375" style="2682" customWidth="1"/>
    <col min="281" max="281" width="3.33203125" style="2682" customWidth="1"/>
    <col min="282" max="282" width="16.33203125" style="2682" customWidth="1"/>
    <col min="283" max="286" width="13" style="2682" bestFit="1" customWidth="1"/>
    <col min="287" max="289" width="13" style="730" bestFit="1" customWidth="1"/>
    <col min="290" max="290" width="11.44140625" style="730" customWidth="1"/>
    <col min="291" max="292" width="12.88671875" style="730" hidden="1" customWidth="1"/>
    <col min="293" max="294" width="9.88671875" style="730" hidden="1" customWidth="1"/>
    <col min="295" max="295" width="12.21875" style="730" hidden="1" customWidth="1"/>
    <col min="296" max="296" width="10.6640625" style="730" hidden="1" customWidth="1"/>
    <col min="297" max="297" width="12.21875" style="730" hidden="1" customWidth="1"/>
    <col min="298" max="298" width="12.88671875" style="730" customWidth="1"/>
    <col min="299" max="16384" width="11.44140625" style="2682"/>
  </cols>
  <sheetData>
    <row r="1" spans="1:321" ht="9" customHeight="1" thickBot="1">
      <c r="A1" s="2723"/>
      <c r="B1" s="2723"/>
      <c r="C1" s="2723"/>
      <c r="D1" s="2723"/>
      <c r="E1" s="2723"/>
      <c r="F1" s="2723"/>
      <c r="G1" s="2723"/>
      <c r="H1" s="2723"/>
      <c r="I1" s="2723"/>
      <c r="J1" s="2723"/>
      <c r="K1" s="2723"/>
      <c r="L1" s="2723"/>
      <c r="M1" s="2723"/>
      <c r="N1" s="2723"/>
      <c r="O1" s="2723"/>
      <c r="P1" s="2723"/>
      <c r="Q1" s="2723"/>
      <c r="R1" s="2723"/>
      <c r="S1" s="2723"/>
      <c r="T1" s="2723"/>
      <c r="U1" s="2723"/>
      <c r="V1" s="2723"/>
      <c r="W1" s="2723"/>
      <c r="X1" s="2723"/>
      <c r="Y1" s="2723"/>
      <c r="Z1" s="2723"/>
      <c r="AA1" s="2723"/>
      <c r="AB1" s="2723"/>
      <c r="AC1" s="2723"/>
      <c r="AD1" s="2723"/>
      <c r="AE1" s="2723"/>
      <c r="AF1" s="2723"/>
      <c r="AG1" s="2723"/>
      <c r="AH1" s="2723"/>
      <c r="AI1" s="2723"/>
      <c r="AJ1" s="2723"/>
      <c r="AK1" s="2723"/>
      <c r="AL1" s="2723"/>
      <c r="AM1" s="2723"/>
      <c r="AN1" s="2723"/>
      <c r="AO1" s="2723"/>
      <c r="AP1" s="2723"/>
      <c r="AQ1" s="2723"/>
      <c r="AR1" s="2723"/>
      <c r="AS1" s="2723"/>
      <c r="AT1" s="2723"/>
      <c r="AU1" s="2723"/>
      <c r="AV1" s="2723"/>
      <c r="AW1" s="2723"/>
      <c r="AX1" s="2723"/>
      <c r="AY1" s="2723"/>
      <c r="AZ1" s="2723"/>
      <c r="BA1" s="2723"/>
      <c r="BB1" s="2723"/>
      <c r="BC1" s="2723"/>
      <c r="BD1" s="2723"/>
      <c r="BE1" s="2723"/>
      <c r="BF1" s="2723"/>
      <c r="BG1" s="2723"/>
      <c r="BH1" s="2723"/>
      <c r="BI1" s="2723"/>
      <c r="BJ1" s="2723"/>
      <c r="BK1" s="2723"/>
      <c r="BL1" s="2723"/>
      <c r="BM1" s="2723"/>
      <c r="BN1" s="2723"/>
      <c r="BO1" s="2723"/>
      <c r="BP1" s="2723"/>
      <c r="BQ1" s="2723"/>
      <c r="BR1" s="2723"/>
      <c r="BS1" s="2723"/>
      <c r="BT1" s="2723"/>
      <c r="BU1" s="2723"/>
      <c r="BV1" s="2723"/>
      <c r="BW1" s="2723"/>
      <c r="BX1" s="2723"/>
      <c r="BY1" s="2723"/>
      <c r="BZ1" s="2723"/>
      <c r="CA1" s="2723"/>
      <c r="CB1" s="2723"/>
      <c r="CC1" s="2723"/>
      <c r="CD1" s="2723"/>
      <c r="CE1" s="2723"/>
      <c r="CF1" s="2723"/>
      <c r="CG1" s="2723"/>
      <c r="CH1" s="2723"/>
      <c r="CI1" s="2723"/>
      <c r="CJ1" s="2723"/>
      <c r="CK1" s="2723"/>
      <c r="CL1" s="2723"/>
      <c r="CM1" s="2723"/>
      <c r="CN1" s="2723"/>
      <c r="CO1" s="2723"/>
      <c r="CP1" s="2723"/>
      <c r="CQ1" s="2723"/>
      <c r="CR1" s="2723"/>
      <c r="CS1" s="2723"/>
      <c r="CT1" s="2723"/>
      <c r="CU1" s="2723"/>
      <c r="CV1" s="2723"/>
      <c r="CW1" s="2723"/>
      <c r="CX1" s="2723"/>
      <c r="CY1" s="2723"/>
      <c r="CZ1" s="2723"/>
      <c r="DA1" s="2723"/>
      <c r="DB1" s="2723"/>
      <c r="DC1" s="2723"/>
      <c r="DD1" s="2723"/>
      <c r="DE1" s="2723"/>
      <c r="DF1" s="2723"/>
      <c r="DG1" s="2723"/>
      <c r="DH1" s="2723"/>
      <c r="DI1" s="2723"/>
      <c r="DJ1" s="2723"/>
      <c r="DK1" s="2723"/>
      <c r="DL1" s="2723"/>
      <c r="DM1" s="2723"/>
      <c r="DN1" s="2723"/>
      <c r="DO1" s="2723"/>
      <c r="DP1" s="2723"/>
      <c r="DQ1" s="2723"/>
      <c r="DR1" s="2723"/>
      <c r="DS1" s="2723"/>
      <c r="DT1" s="2723"/>
      <c r="DU1" s="2723"/>
      <c r="DV1" s="2723"/>
      <c r="DW1" s="2723"/>
      <c r="DX1" s="2723"/>
      <c r="DY1" s="2723"/>
      <c r="DZ1" s="2723"/>
      <c r="EA1" s="2723"/>
      <c r="EB1" s="2723"/>
      <c r="EC1" s="2723"/>
      <c r="ED1" s="2723"/>
      <c r="EE1" s="2723"/>
      <c r="EF1" s="2723"/>
      <c r="EG1" s="2723"/>
      <c r="EH1" s="2723"/>
      <c r="EI1" s="2723"/>
      <c r="EJ1" s="2723"/>
      <c r="EK1" s="2723"/>
      <c r="EL1" s="2723"/>
      <c r="EM1" s="2723"/>
      <c r="EN1" s="2723"/>
      <c r="EO1" s="2723"/>
      <c r="EP1" s="2723"/>
      <c r="EQ1" s="2723"/>
      <c r="ER1" s="2723"/>
      <c r="ES1" s="2723"/>
      <c r="ET1" s="2723"/>
      <c r="EU1" s="2723"/>
      <c r="EV1" s="2723"/>
      <c r="EW1" s="2723"/>
      <c r="EX1" s="2723"/>
      <c r="EY1" s="2723"/>
      <c r="EZ1" s="2723"/>
      <c r="FA1" s="2723"/>
      <c r="FB1" s="2723"/>
      <c r="FC1" s="2723"/>
      <c r="FD1" s="2723"/>
      <c r="FE1" s="2723"/>
      <c r="FF1" s="2723"/>
      <c r="FG1" s="2723"/>
      <c r="FH1" s="2723"/>
      <c r="FI1" s="2723"/>
      <c r="FJ1" s="2723"/>
      <c r="FK1" s="2723"/>
      <c r="FL1" s="2723"/>
      <c r="FM1" s="2723"/>
      <c r="FN1" s="2723"/>
      <c r="FO1" s="2723"/>
      <c r="FP1" s="2723"/>
      <c r="FQ1" s="2723"/>
      <c r="FR1" s="2723"/>
      <c r="FS1" s="2723"/>
      <c r="FT1" s="2723"/>
      <c r="FU1" s="2723"/>
      <c r="FV1" s="2723"/>
      <c r="FW1" s="2723"/>
      <c r="FX1" s="2723"/>
      <c r="FY1" s="2723"/>
      <c r="FZ1" s="2723"/>
      <c r="GA1" s="2723"/>
      <c r="GB1" s="2723"/>
      <c r="GC1" s="2723"/>
      <c r="GD1" s="2723"/>
      <c r="GE1" s="2723"/>
      <c r="GF1" s="2723"/>
      <c r="GG1" s="2723"/>
      <c r="GH1" s="2723"/>
      <c r="GI1" s="2723"/>
      <c r="GJ1" s="2723"/>
      <c r="GK1" s="2723"/>
      <c r="GL1" s="2723"/>
      <c r="GM1" s="2723"/>
      <c r="GN1" s="2723"/>
      <c r="GO1" s="2723"/>
      <c r="GP1" s="2723"/>
      <c r="GQ1" s="2723"/>
      <c r="GR1" s="2723"/>
      <c r="GS1" s="2723"/>
      <c r="GT1" s="2723"/>
      <c r="GU1" s="2723"/>
      <c r="GV1" s="2723"/>
      <c r="GW1" s="2723"/>
      <c r="GX1" s="2723"/>
      <c r="GY1" s="2723"/>
      <c r="GZ1" s="2723"/>
      <c r="HA1" s="2723"/>
      <c r="HB1" s="2723"/>
      <c r="HC1" s="2723"/>
      <c r="HD1" s="2723"/>
      <c r="HE1" s="2723"/>
      <c r="HF1" s="2723"/>
      <c r="HG1" s="2723"/>
      <c r="HH1" s="2723"/>
      <c r="HI1" s="2723"/>
      <c r="HJ1" s="2723"/>
      <c r="HK1" s="2723"/>
      <c r="HL1" s="2723"/>
      <c r="HM1" s="2723"/>
      <c r="HN1" s="2723"/>
      <c r="HO1" s="2723"/>
      <c r="HP1" s="2723"/>
      <c r="HQ1" s="2723"/>
      <c r="HR1" s="2723"/>
      <c r="HS1" s="2723"/>
      <c r="HT1" s="2723"/>
      <c r="HU1" s="2723"/>
      <c r="HV1" s="2723"/>
      <c r="HW1" s="2723"/>
      <c r="HX1" s="2723"/>
      <c r="HY1" s="2723"/>
      <c r="HZ1" s="2723"/>
      <c r="IA1" s="2723"/>
      <c r="IB1" s="2723"/>
      <c r="IC1" s="2723"/>
      <c r="ID1" s="2723"/>
      <c r="IE1" s="2723"/>
      <c r="IF1" s="2723"/>
      <c r="IG1" s="2723"/>
      <c r="IH1" s="2723"/>
      <c r="II1" s="2723"/>
      <c r="IJ1" s="2723"/>
      <c r="IK1" s="2723"/>
      <c r="IL1" s="2723"/>
      <c r="IM1" s="2723"/>
      <c r="IN1" s="2723"/>
      <c r="IO1" s="2723"/>
      <c r="IP1" s="2723"/>
      <c r="IQ1" s="2723"/>
      <c r="IR1" s="2723"/>
      <c r="IS1" s="2723"/>
      <c r="IT1" s="2723"/>
      <c r="IU1" s="2723"/>
      <c r="IV1" s="2723"/>
      <c r="IW1" s="2723"/>
      <c r="IX1" s="2723"/>
      <c r="IY1" s="2723"/>
      <c r="IZ1" s="2723"/>
      <c r="JA1" s="2723"/>
      <c r="JB1" s="2723"/>
      <c r="JC1" s="2723"/>
      <c r="JD1" s="2723"/>
      <c r="JE1" s="2723"/>
      <c r="JF1" s="2723"/>
      <c r="JG1" s="2723"/>
      <c r="JH1" s="2723"/>
      <c r="JI1" s="2723"/>
      <c r="JJ1" s="2723"/>
      <c r="JK1" s="2723"/>
      <c r="JL1" s="2723"/>
      <c r="JM1" s="2723"/>
      <c r="JN1" s="2723"/>
      <c r="JO1" s="2723"/>
      <c r="JP1" s="2723"/>
      <c r="JQ1" s="2723"/>
      <c r="JS1" s="2723"/>
      <c r="JT1" s="2723"/>
      <c r="JU1" s="2723"/>
      <c r="JV1" s="2723"/>
      <c r="JW1" s="2723"/>
      <c r="JX1" s="2723"/>
      <c r="JY1" s="2723"/>
      <c r="JZ1" s="2723"/>
      <c r="KA1" s="2723"/>
      <c r="KB1" s="2723"/>
      <c r="KC1" s="2723"/>
      <c r="KD1" s="2723"/>
      <c r="KE1" s="2723"/>
      <c r="KF1" s="2723"/>
      <c r="KG1" s="2723"/>
      <c r="KH1" s="2723"/>
      <c r="KI1" s="2723"/>
      <c r="KJ1" s="2723"/>
      <c r="KK1" s="2723"/>
      <c r="KL1" s="2723"/>
      <c r="KM1" s="2723"/>
      <c r="KN1" s="2723"/>
      <c r="KO1" s="2723"/>
      <c r="KP1" s="2723"/>
      <c r="KQ1" s="2723"/>
      <c r="KR1" s="2723"/>
      <c r="KS1" s="2723"/>
      <c r="KT1" s="2723"/>
      <c r="KU1" s="2723"/>
      <c r="KV1" s="2723"/>
      <c r="KW1" s="2723"/>
      <c r="KX1" s="2723"/>
      <c r="KY1" s="2723"/>
      <c r="KZ1" s="2723"/>
      <c r="LA1" s="2723"/>
      <c r="LB1" s="2723"/>
      <c r="LC1" s="2723"/>
      <c r="LD1" s="2723"/>
      <c r="LE1" s="2723"/>
      <c r="LF1" s="2723"/>
      <c r="LG1" s="2723"/>
      <c r="LH1" s="2723"/>
      <c r="LI1" s="2723"/>
    </row>
    <row r="2" spans="1:321" ht="41.4" customHeight="1" thickBot="1">
      <c r="A2" s="2723"/>
      <c r="B2" s="3480"/>
      <c r="C2" s="3844" t="s">
        <v>1517</v>
      </c>
      <c r="D2" s="5325">
        <v>2007</v>
      </c>
      <c r="E2" s="5325"/>
      <c r="F2" s="5325"/>
      <c r="G2" s="5325"/>
      <c r="H2" s="5325"/>
      <c r="I2" s="5325"/>
      <c r="J2" s="5325"/>
      <c r="K2" s="5325"/>
      <c r="L2" s="5325"/>
      <c r="M2" s="5325"/>
      <c r="N2" s="5325"/>
      <c r="O2" s="5326"/>
      <c r="P2" s="5327">
        <v>2008</v>
      </c>
      <c r="Q2" s="5328"/>
      <c r="R2" s="5328"/>
      <c r="S2" s="5328"/>
      <c r="T2" s="5328"/>
      <c r="U2" s="5328"/>
      <c r="V2" s="5328"/>
      <c r="W2" s="5328"/>
      <c r="X2" s="5328"/>
      <c r="Y2" s="5328"/>
      <c r="Z2" s="5328"/>
      <c r="AA2" s="5329"/>
      <c r="AB2" s="5330">
        <v>2009</v>
      </c>
      <c r="AC2" s="5331"/>
      <c r="AD2" s="5331"/>
      <c r="AE2" s="5331"/>
      <c r="AF2" s="5331"/>
      <c r="AG2" s="5331"/>
      <c r="AH2" s="5331"/>
      <c r="AI2" s="5331"/>
      <c r="AJ2" s="5331"/>
      <c r="AK2" s="5331"/>
      <c r="AL2" s="5331"/>
      <c r="AM2" s="5332"/>
      <c r="AN2" s="5344">
        <v>2010</v>
      </c>
      <c r="AO2" s="5345"/>
      <c r="AP2" s="5345"/>
      <c r="AQ2" s="5345"/>
      <c r="AR2" s="5345"/>
      <c r="AS2" s="5345"/>
      <c r="AT2" s="5345"/>
      <c r="AU2" s="5345"/>
      <c r="AV2" s="5345"/>
      <c r="AW2" s="5345"/>
      <c r="AX2" s="5345"/>
      <c r="AY2" s="5346"/>
      <c r="AZ2" s="5347">
        <v>2011</v>
      </c>
      <c r="BA2" s="5348"/>
      <c r="BB2" s="5348"/>
      <c r="BC2" s="5348"/>
      <c r="BD2" s="5348"/>
      <c r="BE2" s="5348"/>
      <c r="BF2" s="5348"/>
      <c r="BG2" s="5348"/>
      <c r="BH2" s="5348"/>
      <c r="BI2" s="5348"/>
      <c r="BJ2" s="5348"/>
      <c r="BK2" s="5349"/>
      <c r="BL2" s="5350">
        <v>2012</v>
      </c>
      <c r="BM2" s="5351"/>
      <c r="BN2" s="5351"/>
      <c r="BO2" s="5351"/>
      <c r="BP2" s="5351"/>
      <c r="BQ2" s="5351"/>
      <c r="BR2" s="5351"/>
      <c r="BS2" s="5351"/>
      <c r="BT2" s="5351"/>
      <c r="BU2" s="5351"/>
      <c r="BV2" s="5351"/>
      <c r="BW2" s="5352"/>
      <c r="BX2" s="5353">
        <v>2013</v>
      </c>
      <c r="BY2" s="5348"/>
      <c r="BZ2" s="5348"/>
      <c r="CA2" s="5348"/>
      <c r="CB2" s="5348"/>
      <c r="CC2" s="5348"/>
      <c r="CD2" s="5348"/>
      <c r="CE2" s="5348"/>
      <c r="CF2" s="5348"/>
      <c r="CG2" s="5348"/>
      <c r="CH2" s="5348"/>
      <c r="CI2" s="5354"/>
      <c r="CJ2" s="5355">
        <v>2014</v>
      </c>
      <c r="CK2" s="5356"/>
      <c r="CL2" s="5356"/>
      <c r="CM2" s="5356"/>
      <c r="CN2" s="5356"/>
      <c r="CO2" s="5356"/>
      <c r="CP2" s="5356"/>
      <c r="CQ2" s="5356"/>
      <c r="CR2" s="5356"/>
      <c r="CS2" s="5356"/>
      <c r="CT2" s="5356"/>
      <c r="CU2" s="5357"/>
      <c r="CV2" s="5338">
        <v>2015</v>
      </c>
      <c r="CW2" s="5339"/>
      <c r="CX2" s="5339"/>
      <c r="CY2" s="5339"/>
      <c r="CZ2" s="5339"/>
      <c r="DA2" s="5339"/>
      <c r="DB2" s="5339"/>
      <c r="DC2" s="5339"/>
      <c r="DD2" s="5339"/>
      <c r="DE2" s="5339"/>
      <c r="DF2" s="5339"/>
      <c r="DG2" s="5340"/>
      <c r="DH2" s="5341">
        <v>2016</v>
      </c>
      <c r="DI2" s="5342"/>
      <c r="DJ2" s="5342"/>
      <c r="DK2" s="5342"/>
      <c r="DL2" s="5342"/>
      <c r="DM2" s="5342"/>
      <c r="DN2" s="5342"/>
      <c r="DO2" s="5342"/>
      <c r="DP2" s="5342"/>
      <c r="DQ2" s="5342"/>
      <c r="DR2" s="5342"/>
      <c r="DS2" s="5343"/>
      <c r="DT2" s="5333">
        <v>2017</v>
      </c>
      <c r="DU2" s="5334"/>
      <c r="DV2" s="5334"/>
      <c r="DW2" s="5334"/>
      <c r="DX2" s="5334"/>
      <c r="DY2" s="5334"/>
      <c r="DZ2" s="5334"/>
      <c r="EA2" s="5334"/>
      <c r="EB2" s="5334"/>
      <c r="EC2" s="5334"/>
      <c r="ED2" s="5334"/>
      <c r="EE2" s="5335"/>
      <c r="EF2" s="5336">
        <v>2018</v>
      </c>
      <c r="EG2" s="5337"/>
      <c r="EH2" s="5337"/>
      <c r="EI2" s="5337"/>
      <c r="EJ2" s="5337"/>
      <c r="EK2" s="5337"/>
      <c r="EL2" s="5337"/>
      <c r="EM2" s="5337"/>
      <c r="EN2" s="5337"/>
      <c r="EO2" s="5337"/>
      <c r="EP2" s="5337"/>
      <c r="EQ2" s="5337"/>
      <c r="ER2" s="3481">
        <v>2019</v>
      </c>
      <c r="ES2" s="3482"/>
      <c r="ET2" s="3482"/>
      <c r="EU2" s="3482"/>
      <c r="EV2" s="3482"/>
      <c r="EW2" s="3482"/>
      <c r="EX2" s="3482"/>
      <c r="EY2" s="3482"/>
      <c r="EZ2" s="3482"/>
      <c r="FA2" s="3482"/>
      <c r="FB2" s="3482"/>
      <c r="FC2" s="3482"/>
      <c r="FD2" s="2876">
        <v>2020</v>
      </c>
      <c r="FE2" s="2877"/>
      <c r="FF2" s="2877"/>
      <c r="FG2" s="2877"/>
      <c r="FH2" s="2877"/>
      <c r="FI2" s="2877"/>
      <c r="FJ2" s="2877"/>
      <c r="FK2" s="2877"/>
      <c r="FL2" s="2877"/>
      <c r="FM2" s="2877"/>
      <c r="FN2" s="2877"/>
      <c r="FO2" s="2877"/>
      <c r="FP2" s="3218">
        <v>2021</v>
      </c>
      <c r="FQ2" s="3219"/>
      <c r="FR2" s="3219"/>
      <c r="FS2" s="3219"/>
      <c r="FT2" s="3219"/>
      <c r="FU2" s="3219"/>
      <c r="FV2" s="3219"/>
      <c r="FW2" s="3219"/>
      <c r="FX2" s="3219"/>
      <c r="FY2" s="3219"/>
      <c r="FZ2" s="3219"/>
      <c r="GA2" s="3219"/>
      <c r="GB2" s="4537">
        <v>2022</v>
      </c>
      <c r="GC2" s="4538"/>
      <c r="GD2" s="4538"/>
      <c r="GE2" s="4538"/>
      <c r="GF2" s="4538"/>
      <c r="GG2" s="4538"/>
      <c r="GH2" s="4538"/>
      <c r="GI2" s="4538"/>
      <c r="GJ2" s="4538"/>
      <c r="GK2" s="4538"/>
      <c r="GL2" s="4538"/>
      <c r="GM2" s="4547"/>
      <c r="GN2" s="1263"/>
      <c r="GO2" s="5363">
        <v>2007</v>
      </c>
      <c r="GP2" s="5364"/>
      <c r="GQ2" s="5364"/>
      <c r="GR2" s="5365"/>
      <c r="GS2" s="5366">
        <v>2008</v>
      </c>
      <c r="GT2" s="5367"/>
      <c r="GU2" s="5367"/>
      <c r="GV2" s="5368"/>
      <c r="GW2" s="5369">
        <v>2009</v>
      </c>
      <c r="GX2" s="5370"/>
      <c r="GY2" s="5370"/>
      <c r="GZ2" s="5371"/>
      <c r="HA2" s="5380">
        <v>2010</v>
      </c>
      <c r="HB2" s="5381"/>
      <c r="HC2" s="5381"/>
      <c r="HD2" s="5382"/>
      <c r="HE2" s="5384">
        <v>2011</v>
      </c>
      <c r="HF2" s="5385"/>
      <c r="HG2" s="5385"/>
      <c r="HH2" s="5386"/>
      <c r="HI2" s="5387">
        <v>2012</v>
      </c>
      <c r="HJ2" s="5379"/>
      <c r="HK2" s="5379"/>
      <c r="HL2" s="5379"/>
      <c r="HM2" s="5388">
        <v>2013</v>
      </c>
      <c r="HN2" s="5388"/>
      <c r="HO2" s="5388"/>
      <c r="HP2" s="5388"/>
      <c r="HQ2" s="5389">
        <v>2014</v>
      </c>
      <c r="HR2" s="5389"/>
      <c r="HS2" s="5389"/>
      <c r="HT2" s="5389"/>
      <c r="HU2" s="5390">
        <v>2015</v>
      </c>
      <c r="HV2" s="5390"/>
      <c r="HW2" s="5390"/>
      <c r="HX2" s="5390"/>
      <c r="HY2" s="5372">
        <v>2016</v>
      </c>
      <c r="HZ2" s="5372"/>
      <c r="IA2" s="5372"/>
      <c r="IB2" s="5372"/>
      <c r="IC2" s="5379">
        <v>2017</v>
      </c>
      <c r="ID2" s="5379"/>
      <c r="IE2" s="5379"/>
      <c r="IF2" s="5379"/>
      <c r="IG2" s="5359">
        <v>2018</v>
      </c>
      <c r="IH2" s="5360"/>
      <c r="II2" s="5360"/>
      <c r="IJ2" s="5360"/>
      <c r="IK2" s="5373">
        <v>2019</v>
      </c>
      <c r="IL2" s="5374"/>
      <c r="IM2" s="5374"/>
      <c r="IN2" s="5374"/>
      <c r="IO2" s="2876">
        <v>2020</v>
      </c>
      <c r="IP2" s="2877"/>
      <c r="IQ2" s="2877"/>
      <c r="IR2" s="2879"/>
      <c r="IS2" s="3218">
        <v>2021</v>
      </c>
      <c r="IT2" s="3219"/>
      <c r="IU2" s="3219"/>
      <c r="IV2" s="3219"/>
      <c r="IW2" s="4537">
        <v>2022</v>
      </c>
      <c r="IX2" s="4538"/>
      <c r="IY2" s="4538"/>
      <c r="IZ2" s="4547"/>
      <c r="JA2" s="4543"/>
      <c r="JB2" s="3483">
        <v>2007</v>
      </c>
      <c r="JC2" s="3484">
        <v>2008</v>
      </c>
      <c r="JD2" s="3484">
        <v>2009</v>
      </c>
      <c r="JE2" s="3484">
        <v>2010</v>
      </c>
      <c r="JF2" s="3484">
        <v>2011</v>
      </c>
      <c r="JG2" s="3484">
        <v>2012</v>
      </c>
      <c r="JH2" s="3484">
        <v>2013</v>
      </c>
      <c r="JI2" s="3484">
        <v>2014</v>
      </c>
      <c r="JJ2" s="3484">
        <v>2015</v>
      </c>
      <c r="JK2" s="3484">
        <v>2016</v>
      </c>
      <c r="JL2" s="3484">
        <v>2017</v>
      </c>
      <c r="JM2" s="3485">
        <v>2018</v>
      </c>
      <c r="JN2" s="3487">
        <v>2019</v>
      </c>
      <c r="JO2" s="3487">
        <v>2020</v>
      </c>
      <c r="JP2" s="3487">
        <v>2021</v>
      </c>
      <c r="JQ2" s="4570" t="s">
        <v>1625</v>
      </c>
      <c r="JS2" s="3768">
        <v>2021</v>
      </c>
      <c r="JT2" s="3768">
        <v>2022</v>
      </c>
      <c r="JV2" s="5391" t="s">
        <v>1510</v>
      </c>
      <c r="JW2" s="5383" t="s">
        <v>827</v>
      </c>
      <c r="JX2" s="5358" t="s">
        <v>592</v>
      </c>
      <c r="JY2" s="5358" t="s">
        <v>880</v>
      </c>
      <c r="JZ2" s="5358" t="s">
        <v>1502</v>
      </c>
      <c r="KA2" s="5358" t="s">
        <v>1504</v>
      </c>
      <c r="KB2" s="5358" t="s">
        <v>1503</v>
      </c>
      <c r="KC2" s="5377" t="s">
        <v>1800</v>
      </c>
      <c r="KD2" s="731"/>
      <c r="KE2" s="5362" t="s">
        <v>603</v>
      </c>
      <c r="KF2" s="5361" t="s">
        <v>874</v>
      </c>
      <c r="KG2" s="5361" t="s">
        <v>878</v>
      </c>
      <c r="KH2" s="5361" t="s">
        <v>879</v>
      </c>
      <c r="KI2" s="5361" t="s">
        <v>1505</v>
      </c>
      <c r="KJ2" s="5378" t="s">
        <v>1512</v>
      </c>
      <c r="KK2" s="5375" t="s">
        <v>1506</v>
      </c>
      <c r="KM2" s="3480"/>
      <c r="KN2" s="3480"/>
      <c r="KO2" s="3480"/>
      <c r="KP2" s="3480"/>
      <c r="KQ2" s="3480"/>
      <c r="KR2" s="3480"/>
      <c r="KS2" s="3480"/>
      <c r="KT2" s="3480"/>
      <c r="KU2" s="3480"/>
      <c r="KV2" s="3480"/>
      <c r="KW2" s="3480"/>
      <c r="KX2" s="3480"/>
      <c r="KY2" s="3480"/>
      <c r="KZ2" s="3480"/>
      <c r="LA2" s="3480"/>
      <c r="LB2" s="3480"/>
      <c r="LC2" s="3480"/>
      <c r="LD2" s="3480"/>
      <c r="LE2" s="3480"/>
      <c r="LF2" s="3480"/>
      <c r="LG2" s="3480"/>
      <c r="LH2" s="3480"/>
      <c r="LI2" s="3480"/>
    </row>
    <row r="3" spans="1:321" ht="4.5" customHeight="1">
      <c r="A3" s="2723"/>
      <c r="B3" s="3480"/>
      <c r="C3" s="3844"/>
      <c r="D3" s="3489"/>
      <c r="E3" s="3489"/>
      <c r="F3" s="3489"/>
      <c r="G3" s="3489"/>
      <c r="H3" s="3489"/>
      <c r="I3" s="3489"/>
      <c r="J3" s="3489"/>
      <c r="K3" s="3489"/>
      <c r="L3" s="3489"/>
      <c r="M3" s="3489"/>
      <c r="N3" s="3489"/>
      <c r="O3" s="3490"/>
      <c r="P3" s="3491"/>
      <c r="Q3" s="3489"/>
      <c r="R3" s="3489"/>
      <c r="S3" s="3489"/>
      <c r="T3" s="3489"/>
      <c r="U3" s="3489"/>
      <c r="V3" s="3489"/>
      <c r="W3" s="3489"/>
      <c r="X3" s="3489"/>
      <c r="Y3" s="3489"/>
      <c r="Z3" s="3489"/>
      <c r="AA3" s="3490"/>
      <c r="AB3" s="3491"/>
      <c r="AC3" s="3489"/>
      <c r="AD3" s="3489"/>
      <c r="AE3" s="3489"/>
      <c r="AF3" s="3489"/>
      <c r="AG3" s="3489"/>
      <c r="AH3" s="3489"/>
      <c r="AI3" s="3489"/>
      <c r="AJ3" s="3489"/>
      <c r="AK3" s="3489"/>
      <c r="AL3" s="3489"/>
      <c r="AM3" s="3490"/>
      <c r="AN3" s="3491"/>
      <c r="AO3" s="3489"/>
      <c r="AP3" s="3489"/>
      <c r="AQ3" s="3489"/>
      <c r="AR3" s="3489"/>
      <c r="AS3" s="3489"/>
      <c r="AT3" s="3489"/>
      <c r="AU3" s="3489"/>
      <c r="AV3" s="3489"/>
      <c r="AW3" s="3489"/>
      <c r="AX3" s="3489"/>
      <c r="AY3" s="3490"/>
      <c r="AZ3" s="3489"/>
      <c r="BA3" s="3489"/>
      <c r="BB3" s="3489"/>
      <c r="BC3" s="3489"/>
      <c r="BD3" s="3489"/>
      <c r="BE3" s="3489"/>
      <c r="BF3" s="3489"/>
      <c r="BG3" s="3489"/>
      <c r="BH3" s="3489"/>
      <c r="BI3" s="3489"/>
      <c r="BJ3" s="3489"/>
      <c r="BK3" s="3492"/>
      <c r="BL3" s="3493"/>
      <c r="BM3" s="3494"/>
      <c r="BN3" s="3494"/>
      <c r="BO3" s="3494"/>
      <c r="BP3" s="3494"/>
      <c r="BQ3" s="3494"/>
      <c r="BR3" s="3494"/>
      <c r="BS3" s="3494"/>
      <c r="BT3" s="3494"/>
      <c r="BU3" s="3494"/>
      <c r="BV3" s="3494"/>
      <c r="BW3" s="3495"/>
      <c r="BX3" s="3493"/>
      <c r="BY3" s="3494"/>
      <c r="BZ3" s="3494"/>
      <c r="CA3" s="3494"/>
      <c r="CB3" s="3494"/>
      <c r="CC3" s="3494"/>
      <c r="CD3" s="3494"/>
      <c r="CE3" s="3494"/>
      <c r="CF3" s="3494"/>
      <c r="CG3" s="3494"/>
      <c r="CH3" s="3494"/>
      <c r="CI3" s="3494"/>
      <c r="CJ3" s="3496"/>
      <c r="CK3" s="3497"/>
      <c r="CL3" s="3497"/>
      <c r="CM3" s="3497"/>
      <c r="CN3" s="3497"/>
      <c r="CO3" s="3497"/>
      <c r="CP3" s="3497"/>
      <c r="CQ3" s="3497"/>
      <c r="CR3" s="3497"/>
      <c r="CS3" s="3497"/>
      <c r="CT3" s="3497"/>
      <c r="CU3" s="3498"/>
      <c r="CV3" s="3499"/>
      <c r="CW3" s="3500"/>
      <c r="CX3" s="3500"/>
      <c r="CY3" s="3500"/>
      <c r="CZ3" s="3500"/>
      <c r="DA3" s="3500"/>
      <c r="DB3" s="3500"/>
      <c r="DC3" s="3500"/>
      <c r="DD3" s="3500"/>
      <c r="DE3" s="3500"/>
      <c r="DF3" s="3500"/>
      <c r="DG3" s="3501"/>
      <c r="DH3" s="3502"/>
      <c r="DI3" s="3503"/>
      <c r="DJ3" s="3503"/>
      <c r="DK3" s="3503"/>
      <c r="DL3" s="3503"/>
      <c r="DM3" s="3503"/>
      <c r="DN3" s="3503"/>
      <c r="DO3" s="3503"/>
      <c r="DP3" s="3503"/>
      <c r="DQ3" s="3503"/>
      <c r="DR3" s="3503"/>
      <c r="DS3" s="3504"/>
      <c r="DT3" s="3505"/>
      <c r="DU3" s="3506"/>
      <c r="DV3" s="3506"/>
      <c r="DW3" s="3506"/>
      <c r="DX3" s="3506"/>
      <c r="DY3" s="3506"/>
      <c r="DZ3" s="3506"/>
      <c r="EA3" s="3506"/>
      <c r="EB3" s="3506"/>
      <c r="EC3" s="3506"/>
      <c r="ED3" s="3506"/>
      <c r="EE3" s="3506"/>
      <c r="EF3" s="3507"/>
      <c r="EG3" s="3508"/>
      <c r="EH3" s="3508"/>
      <c r="EI3" s="3508"/>
      <c r="EJ3" s="3508"/>
      <c r="EK3" s="3508"/>
      <c r="EL3" s="3508"/>
      <c r="EM3" s="3508"/>
      <c r="EN3" s="3508"/>
      <c r="EO3" s="3494"/>
      <c r="EP3" s="3508"/>
      <c r="EQ3" s="3508"/>
      <c r="ER3" s="3507"/>
      <c r="ES3" s="3508"/>
      <c r="ET3" s="3508"/>
      <c r="EU3" s="3508"/>
      <c r="EV3" s="3508"/>
      <c r="EW3" s="3508"/>
      <c r="EX3" s="3508"/>
      <c r="EY3" s="3508"/>
      <c r="EZ3" s="3508"/>
      <c r="FA3" s="3508"/>
      <c r="FB3" s="3508"/>
      <c r="FC3" s="3508"/>
      <c r="FD3" s="2880"/>
      <c r="FE3" s="2881"/>
      <c r="FF3" s="2881"/>
      <c r="FG3" s="2881"/>
      <c r="FH3" s="2881"/>
      <c r="FI3" s="2881"/>
      <c r="FJ3" s="2881"/>
      <c r="FK3" s="2881"/>
      <c r="FL3" s="2881"/>
      <c r="FM3" s="2881"/>
      <c r="FN3" s="2881"/>
      <c r="FO3" s="2881"/>
      <c r="FP3" s="2882"/>
      <c r="FQ3" s="3217"/>
      <c r="FR3" s="3217"/>
      <c r="FS3" s="3217"/>
      <c r="FT3" s="3217"/>
      <c r="FU3" s="3217"/>
      <c r="FV3" s="3217"/>
      <c r="FW3" s="3217"/>
      <c r="FX3" s="3217"/>
      <c r="FY3" s="3217"/>
      <c r="FZ3" s="3217"/>
      <c r="GA3" s="3217"/>
      <c r="GB3" s="4539"/>
      <c r="GC3" s="4540"/>
      <c r="GD3" s="4540"/>
      <c r="GE3" s="4540"/>
      <c r="GF3" s="4540"/>
      <c r="GG3" s="4540"/>
      <c r="GH3" s="4540"/>
      <c r="GI3" s="4540"/>
      <c r="GJ3" s="4540"/>
      <c r="GK3" s="4540"/>
      <c r="GL3" s="4540"/>
      <c r="GM3" s="4548"/>
      <c r="GN3" s="1263"/>
      <c r="GO3" s="1212"/>
      <c r="GP3" s="1212"/>
      <c r="GQ3" s="1212"/>
      <c r="GR3" s="1212"/>
      <c r="GS3" s="1212"/>
      <c r="GT3" s="1212"/>
      <c r="GU3" s="1212"/>
      <c r="GV3" s="1212"/>
      <c r="GW3" s="1212"/>
      <c r="GX3" s="1212"/>
      <c r="GY3" s="1212"/>
      <c r="GZ3" s="1212"/>
      <c r="HA3" s="1212"/>
      <c r="HB3" s="1212"/>
      <c r="HC3" s="1212"/>
      <c r="HD3" s="1212"/>
      <c r="HE3" s="2883"/>
      <c r="HF3" s="2883"/>
      <c r="HG3" s="2883"/>
      <c r="HH3" s="2883"/>
      <c r="HI3" s="2884"/>
      <c r="HJ3" s="2884"/>
      <c r="HK3" s="2884"/>
      <c r="HL3" s="2884"/>
      <c r="HM3" s="2885"/>
      <c r="HN3" s="2885"/>
      <c r="HO3" s="2885"/>
      <c r="HP3" s="2885"/>
      <c r="HQ3" s="2886"/>
      <c r="HR3" s="2886"/>
      <c r="HS3" s="2886"/>
      <c r="HT3" s="2886"/>
      <c r="HU3" s="2887"/>
      <c r="HV3" s="2887"/>
      <c r="HW3" s="2887"/>
      <c r="HX3" s="2887"/>
      <c r="HY3" s="2888"/>
      <c r="HZ3" s="2888"/>
      <c r="IA3" s="2888"/>
      <c r="IB3" s="2888"/>
      <c r="IC3" s="2889"/>
      <c r="ID3" s="2889"/>
      <c r="IE3" s="2889"/>
      <c r="IF3" s="2889"/>
      <c r="IG3" s="2890"/>
      <c r="IH3" s="2885"/>
      <c r="II3" s="2885"/>
      <c r="IJ3" s="2885"/>
      <c r="IK3" s="2890"/>
      <c r="IL3" s="2885"/>
      <c r="IM3" s="2885"/>
      <c r="IN3" s="2885"/>
      <c r="IO3" s="2880"/>
      <c r="IP3" s="2881"/>
      <c r="IQ3" s="2881"/>
      <c r="IR3" s="2891"/>
      <c r="IS3" s="2882"/>
      <c r="IT3" s="3217"/>
      <c r="IU3" s="3217"/>
      <c r="IV3" s="3217"/>
      <c r="IW3" s="4539"/>
      <c r="IX3" s="4540"/>
      <c r="IY3" s="4540"/>
      <c r="IZ3" s="4548"/>
      <c r="JA3" s="4544"/>
      <c r="JB3" s="3509"/>
      <c r="JC3" s="3510"/>
      <c r="JD3" s="3510"/>
      <c r="JE3" s="3510"/>
      <c r="JF3" s="3510"/>
      <c r="JG3" s="3510"/>
      <c r="JH3" s="3510"/>
      <c r="JI3" s="3510"/>
      <c r="JJ3" s="3510"/>
      <c r="JK3" s="3510"/>
      <c r="JL3" s="3510"/>
      <c r="JM3" s="3510"/>
      <c r="JN3" s="3511"/>
      <c r="JO3" s="3511"/>
      <c r="JP3" s="3511"/>
      <c r="JQ3" s="4399"/>
      <c r="JS3" s="3764"/>
      <c r="JT3" s="3764"/>
      <c r="JV3" s="5392"/>
      <c r="JW3" s="5383"/>
      <c r="JX3" s="5358"/>
      <c r="JY3" s="5358"/>
      <c r="JZ3" s="5358"/>
      <c r="KA3" s="5358"/>
      <c r="KB3" s="5358"/>
      <c r="KC3" s="5377"/>
      <c r="KD3" s="731"/>
      <c r="KE3" s="5362"/>
      <c r="KF3" s="5361"/>
      <c r="KG3" s="5361"/>
      <c r="KH3" s="5361"/>
      <c r="KI3" s="5361"/>
      <c r="KJ3" s="5378"/>
      <c r="KK3" s="5375"/>
      <c r="KM3" s="3480"/>
      <c r="KN3" s="3480"/>
      <c r="KO3" s="3480"/>
      <c r="KP3" s="3480"/>
      <c r="KQ3" s="3480"/>
      <c r="KR3" s="3480"/>
      <c r="KS3" s="3480"/>
      <c r="KT3" s="3480"/>
      <c r="KU3" s="3480"/>
      <c r="KV3" s="3480"/>
      <c r="KW3" s="3480"/>
      <c r="KX3" s="3480"/>
      <c r="KY3" s="3480"/>
      <c r="KZ3" s="3480"/>
      <c r="LA3" s="3480"/>
      <c r="LB3" s="3480"/>
      <c r="LC3" s="3480"/>
      <c r="LD3" s="3480"/>
      <c r="LE3" s="3480"/>
      <c r="LF3" s="3480"/>
      <c r="LG3" s="3480"/>
      <c r="LH3" s="3480"/>
      <c r="LI3" s="3480"/>
    </row>
    <row r="4" spans="1:321" ht="15" thickBot="1">
      <c r="A4" s="2723"/>
      <c r="B4" s="3480"/>
      <c r="C4" s="3845" t="s">
        <v>1586</v>
      </c>
      <c r="D4" s="3513" t="s">
        <v>36</v>
      </c>
      <c r="E4" s="2691" t="s">
        <v>37</v>
      </c>
      <c r="F4" s="2691" t="s">
        <v>38</v>
      </c>
      <c r="G4" s="2691" t="s">
        <v>39</v>
      </c>
      <c r="H4" s="2691" t="s">
        <v>40</v>
      </c>
      <c r="I4" s="2691" t="s">
        <v>41</v>
      </c>
      <c r="J4" s="2691" t="s">
        <v>42</v>
      </c>
      <c r="K4" s="2691" t="s">
        <v>43</v>
      </c>
      <c r="L4" s="2691" t="s">
        <v>44</v>
      </c>
      <c r="M4" s="2691" t="s">
        <v>45</v>
      </c>
      <c r="N4" s="2691" t="s">
        <v>46</v>
      </c>
      <c r="O4" s="2692" t="s">
        <v>47</v>
      </c>
      <c r="P4" s="2690" t="s">
        <v>36</v>
      </c>
      <c r="Q4" s="2691" t="s">
        <v>37</v>
      </c>
      <c r="R4" s="2691" t="s">
        <v>38</v>
      </c>
      <c r="S4" s="2691" t="s">
        <v>39</v>
      </c>
      <c r="T4" s="2691" t="s">
        <v>40</v>
      </c>
      <c r="U4" s="2691" t="s">
        <v>41</v>
      </c>
      <c r="V4" s="2691" t="s">
        <v>42</v>
      </c>
      <c r="W4" s="2691" t="s">
        <v>43</v>
      </c>
      <c r="X4" s="2691" t="s">
        <v>44</v>
      </c>
      <c r="Y4" s="2691" t="s">
        <v>45</v>
      </c>
      <c r="Z4" s="2691" t="s">
        <v>46</v>
      </c>
      <c r="AA4" s="2692" t="s">
        <v>47</v>
      </c>
      <c r="AB4" s="2693" t="s">
        <v>36</v>
      </c>
      <c r="AC4" s="2694" t="s">
        <v>37</v>
      </c>
      <c r="AD4" s="2694" t="s">
        <v>38</v>
      </c>
      <c r="AE4" s="2694" t="s">
        <v>39</v>
      </c>
      <c r="AF4" s="2694" t="s">
        <v>40</v>
      </c>
      <c r="AG4" s="2694" t="s">
        <v>41</v>
      </c>
      <c r="AH4" s="2694" t="s">
        <v>42</v>
      </c>
      <c r="AI4" s="2694" t="s">
        <v>43</v>
      </c>
      <c r="AJ4" s="2694" t="s">
        <v>44</v>
      </c>
      <c r="AK4" s="2694" t="s">
        <v>45</v>
      </c>
      <c r="AL4" s="2694" t="s">
        <v>46</v>
      </c>
      <c r="AM4" s="2695" t="s">
        <v>47</v>
      </c>
      <c r="AN4" s="2693" t="s">
        <v>36</v>
      </c>
      <c r="AO4" s="2694" t="s">
        <v>37</v>
      </c>
      <c r="AP4" s="2694" t="s">
        <v>38</v>
      </c>
      <c r="AQ4" s="2694" t="s">
        <v>39</v>
      </c>
      <c r="AR4" s="2694" t="s">
        <v>40</v>
      </c>
      <c r="AS4" s="2694" t="s">
        <v>41</v>
      </c>
      <c r="AT4" s="2694" t="s">
        <v>42</v>
      </c>
      <c r="AU4" s="2694" t="s">
        <v>43</v>
      </c>
      <c r="AV4" s="2694" t="s">
        <v>44</v>
      </c>
      <c r="AW4" s="2694" t="s">
        <v>45</v>
      </c>
      <c r="AX4" s="2694" t="s">
        <v>46</v>
      </c>
      <c r="AY4" s="2695" t="s">
        <v>47</v>
      </c>
      <c r="AZ4" s="2696" t="s">
        <v>36</v>
      </c>
      <c r="BA4" s="2696" t="s">
        <v>37</v>
      </c>
      <c r="BB4" s="2696" t="s">
        <v>38</v>
      </c>
      <c r="BC4" s="2696" t="s">
        <v>39</v>
      </c>
      <c r="BD4" s="2696" t="s">
        <v>40</v>
      </c>
      <c r="BE4" s="2696" t="s">
        <v>41</v>
      </c>
      <c r="BF4" s="2696" t="s">
        <v>42</v>
      </c>
      <c r="BG4" s="2696" t="s">
        <v>43</v>
      </c>
      <c r="BH4" s="2696" t="s">
        <v>44</v>
      </c>
      <c r="BI4" s="2696" t="s">
        <v>45</v>
      </c>
      <c r="BJ4" s="2696" t="s">
        <v>46</v>
      </c>
      <c r="BK4" s="2697" t="s">
        <v>47</v>
      </c>
      <c r="BL4" s="2698" t="s">
        <v>36</v>
      </c>
      <c r="BM4" s="2699" t="s">
        <v>37</v>
      </c>
      <c r="BN4" s="2699" t="s">
        <v>38</v>
      </c>
      <c r="BO4" s="2699" t="s">
        <v>39</v>
      </c>
      <c r="BP4" s="2699" t="s">
        <v>40</v>
      </c>
      <c r="BQ4" s="2699" t="s">
        <v>41</v>
      </c>
      <c r="BR4" s="2699" t="s">
        <v>42</v>
      </c>
      <c r="BS4" s="2699" t="s">
        <v>43</v>
      </c>
      <c r="BT4" s="2700" t="s">
        <v>44</v>
      </c>
      <c r="BU4" s="2700" t="s">
        <v>45</v>
      </c>
      <c r="BV4" s="2700" t="s">
        <v>46</v>
      </c>
      <c r="BW4" s="2701" t="s">
        <v>47</v>
      </c>
      <c r="BX4" s="2702" t="s">
        <v>36</v>
      </c>
      <c r="BY4" s="2696" t="s">
        <v>37</v>
      </c>
      <c r="BZ4" s="2696" t="s">
        <v>38</v>
      </c>
      <c r="CA4" s="2696" t="s">
        <v>39</v>
      </c>
      <c r="CB4" s="2696" t="s">
        <v>40</v>
      </c>
      <c r="CC4" s="2696" t="s">
        <v>41</v>
      </c>
      <c r="CD4" s="2696" t="s">
        <v>42</v>
      </c>
      <c r="CE4" s="2696" t="s">
        <v>43</v>
      </c>
      <c r="CF4" s="2696" t="s">
        <v>44</v>
      </c>
      <c r="CG4" s="2696" t="s">
        <v>45</v>
      </c>
      <c r="CH4" s="2696" t="s">
        <v>46</v>
      </c>
      <c r="CI4" s="2696" t="s">
        <v>47</v>
      </c>
      <c r="CJ4" s="2693" t="s">
        <v>36</v>
      </c>
      <c r="CK4" s="2694" t="s">
        <v>37</v>
      </c>
      <c r="CL4" s="2694" t="s">
        <v>38</v>
      </c>
      <c r="CM4" s="2694" t="s">
        <v>39</v>
      </c>
      <c r="CN4" s="2694" t="s">
        <v>40</v>
      </c>
      <c r="CO4" s="2694" t="s">
        <v>41</v>
      </c>
      <c r="CP4" s="2694" t="s">
        <v>42</v>
      </c>
      <c r="CQ4" s="2694" t="s">
        <v>43</v>
      </c>
      <c r="CR4" s="2694" t="s">
        <v>44</v>
      </c>
      <c r="CS4" s="2694" t="s">
        <v>45</v>
      </c>
      <c r="CT4" s="2694" t="s">
        <v>46</v>
      </c>
      <c r="CU4" s="2695" t="s">
        <v>47</v>
      </c>
      <c r="CV4" s="2703" t="s">
        <v>36</v>
      </c>
      <c r="CW4" s="2696" t="s">
        <v>37</v>
      </c>
      <c r="CX4" s="2696" t="s">
        <v>38</v>
      </c>
      <c r="CY4" s="2696" t="s">
        <v>39</v>
      </c>
      <c r="CZ4" s="2696" t="s">
        <v>40</v>
      </c>
      <c r="DA4" s="2696" t="s">
        <v>41</v>
      </c>
      <c r="DB4" s="2696" t="s">
        <v>42</v>
      </c>
      <c r="DC4" s="2696" t="s">
        <v>43</v>
      </c>
      <c r="DD4" s="2696" t="s">
        <v>44</v>
      </c>
      <c r="DE4" s="2696" t="s">
        <v>45</v>
      </c>
      <c r="DF4" s="2696" t="e">
        <f>+#REF!</f>
        <v>#REF!</v>
      </c>
      <c r="DG4" s="2704" t="s">
        <v>47</v>
      </c>
      <c r="DH4" s="2703" t="s">
        <v>36</v>
      </c>
      <c r="DI4" s="2696" t="s">
        <v>37</v>
      </c>
      <c r="DJ4" s="2696" t="s">
        <v>38</v>
      </c>
      <c r="DK4" s="2696" t="s">
        <v>39</v>
      </c>
      <c r="DL4" s="2696" t="s">
        <v>40</v>
      </c>
      <c r="DM4" s="2696" t="s">
        <v>41</v>
      </c>
      <c r="DN4" s="2696" t="s">
        <v>42</v>
      </c>
      <c r="DO4" s="2696" t="s">
        <v>43</v>
      </c>
      <c r="DP4" s="2705" t="s">
        <v>183</v>
      </c>
      <c r="DQ4" s="2696" t="s">
        <v>45</v>
      </c>
      <c r="DR4" s="2696" t="s">
        <v>46</v>
      </c>
      <c r="DS4" s="2704" t="s">
        <v>47</v>
      </c>
      <c r="DT4" s="2703" t="s">
        <v>36</v>
      </c>
      <c r="DU4" s="2696" t="s">
        <v>37</v>
      </c>
      <c r="DV4" s="2696" t="s">
        <v>38</v>
      </c>
      <c r="DW4" s="2696" t="s">
        <v>39</v>
      </c>
      <c r="DX4" s="2696" t="s">
        <v>40</v>
      </c>
      <c r="DY4" s="2696" t="s">
        <v>41</v>
      </c>
      <c r="DZ4" s="2696" t="s">
        <v>42</v>
      </c>
      <c r="EA4" s="2696" t="s">
        <v>43</v>
      </c>
      <c r="EB4" s="2696" t="s">
        <v>183</v>
      </c>
      <c r="EC4" s="2696" t="s">
        <v>45</v>
      </c>
      <c r="ED4" s="2696" t="s">
        <v>46</v>
      </c>
      <c r="EE4" s="2696" t="s">
        <v>47</v>
      </c>
      <c r="EF4" s="2706" t="s">
        <v>36</v>
      </c>
      <c r="EG4" s="2696" t="s">
        <v>37</v>
      </c>
      <c r="EH4" s="2696" t="s">
        <v>38</v>
      </c>
      <c r="EI4" s="2696" t="s">
        <v>39</v>
      </c>
      <c r="EJ4" s="2696" t="s">
        <v>40</v>
      </c>
      <c r="EK4" s="2696" t="s">
        <v>41</v>
      </c>
      <c r="EL4" s="2696" t="s">
        <v>42</v>
      </c>
      <c r="EM4" s="2696" t="s">
        <v>43</v>
      </c>
      <c r="EN4" s="2696" t="s">
        <v>183</v>
      </c>
      <c r="EO4" s="2707" t="s">
        <v>45</v>
      </c>
      <c r="EP4" s="2707" t="s">
        <v>46</v>
      </c>
      <c r="EQ4" s="2696" t="s">
        <v>47</v>
      </c>
      <c r="ER4" s="2706" t="s">
        <v>36</v>
      </c>
      <c r="ES4" s="2696" t="s">
        <v>37</v>
      </c>
      <c r="ET4" s="2696" t="s">
        <v>38</v>
      </c>
      <c r="EU4" s="2696" t="s">
        <v>39</v>
      </c>
      <c r="EV4" s="2696" t="s">
        <v>40</v>
      </c>
      <c r="EW4" s="2696" t="s">
        <v>41</v>
      </c>
      <c r="EX4" s="2696" t="s">
        <v>42</v>
      </c>
      <c r="EY4" s="2696" t="s">
        <v>43</v>
      </c>
      <c r="EZ4" s="2696" t="s">
        <v>183</v>
      </c>
      <c r="FA4" s="2696" t="s">
        <v>45</v>
      </c>
      <c r="FB4" s="2707" t="s">
        <v>46</v>
      </c>
      <c r="FC4" s="2707" t="s">
        <v>47</v>
      </c>
      <c r="FD4" s="2893" t="s">
        <v>36</v>
      </c>
      <c r="FE4" s="2894" t="s">
        <v>37</v>
      </c>
      <c r="FF4" s="2894" t="s">
        <v>38</v>
      </c>
      <c r="FG4" s="2894" t="s">
        <v>39</v>
      </c>
      <c r="FH4" s="2894" t="s">
        <v>40</v>
      </c>
      <c r="FI4" s="2894" t="s">
        <v>41</v>
      </c>
      <c r="FJ4" s="2894" t="s">
        <v>42</v>
      </c>
      <c r="FK4" s="2894" t="s">
        <v>43</v>
      </c>
      <c r="FL4" s="2894" t="s">
        <v>183</v>
      </c>
      <c r="FM4" s="2894" t="s">
        <v>45</v>
      </c>
      <c r="FN4" s="2895" t="s">
        <v>46</v>
      </c>
      <c r="FO4" s="2895" t="s">
        <v>47</v>
      </c>
      <c r="FP4" s="2893" t="s">
        <v>36</v>
      </c>
      <c r="FQ4" s="2894" t="s">
        <v>37</v>
      </c>
      <c r="FR4" s="2894" t="s">
        <v>38</v>
      </c>
      <c r="FS4" s="2894" t="s">
        <v>39</v>
      </c>
      <c r="FT4" s="2894" t="s">
        <v>40</v>
      </c>
      <c r="FU4" s="2894" t="s">
        <v>41</v>
      </c>
      <c r="FV4" s="2894" t="s">
        <v>42</v>
      </c>
      <c r="FW4" s="2894" t="s">
        <v>43</v>
      </c>
      <c r="FX4" s="2894" t="s">
        <v>183</v>
      </c>
      <c r="FY4" s="2894" t="s">
        <v>45</v>
      </c>
      <c r="FZ4" s="2894" t="s">
        <v>46</v>
      </c>
      <c r="GA4" s="2894" t="s">
        <v>47</v>
      </c>
      <c r="GB4" s="4539" t="s">
        <v>36</v>
      </c>
      <c r="GC4" s="4540" t="s">
        <v>37</v>
      </c>
      <c r="GD4" s="4540" t="s">
        <v>38</v>
      </c>
      <c r="GE4" s="4540" t="s">
        <v>39</v>
      </c>
      <c r="GF4" s="4540" t="s">
        <v>40</v>
      </c>
      <c r="GG4" s="4540" t="s">
        <v>41</v>
      </c>
      <c r="GH4" s="4540" t="s">
        <v>42</v>
      </c>
      <c r="GI4" s="4540" t="s">
        <v>43</v>
      </c>
      <c r="GJ4" s="4540" t="s">
        <v>183</v>
      </c>
      <c r="GK4" s="4540" t="s">
        <v>45</v>
      </c>
      <c r="GL4" s="4540" t="s">
        <v>46</v>
      </c>
      <c r="GM4" s="4548" t="s">
        <v>47</v>
      </c>
      <c r="GN4" s="1263"/>
      <c r="GO4" s="2896" t="s">
        <v>167</v>
      </c>
      <c r="GP4" s="2897" t="s">
        <v>453</v>
      </c>
      <c r="GQ4" s="2897" t="s">
        <v>454</v>
      </c>
      <c r="GR4" s="2898" t="s">
        <v>455</v>
      </c>
      <c r="GS4" s="2896" t="s">
        <v>167</v>
      </c>
      <c r="GT4" s="2897" t="s">
        <v>453</v>
      </c>
      <c r="GU4" s="2897" t="s">
        <v>454</v>
      </c>
      <c r="GV4" s="2898" t="s">
        <v>455</v>
      </c>
      <c r="GW4" s="2899" t="s">
        <v>167</v>
      </c>
      <c r="GX4" s="2900" t="s">
        <v>453</v>
      </c>
      <c r="GY4" s="2900" t="s">
        <v>456</v>
      </c>
      <c r="GZ4" s="2900" t="s">
        <v>457</v>
      </c>
      <c r="HA4" s="2901" t="s">
        <v>167</v>
      </c>
      <c r="HB4" s="2902" t="s">
        <v>458</v>
      </c>
      <c r="HC4" s="2902" t="s">
        <v>459</v>
      </c>
      <c r="HD4" s="2903" t="s">
        <v>455</v>
      </c>
      <c r="HE4" s="2904" t="s">
        <v>167</v>
      </c>
      <c r="HF4" s="2905" t="s">
        <v>453</v>
      </c>
      <c r="HG4" s="2905" t="s">
        <v>456</v>
      </c>
      <c r="HH4" s="2906" t="s">
        <v>457</v>
      </c>
      <c r="HI4" s="2782" t="s">
        <v>167</v>
      </c>
      <c r="HJ4" s="2782" t="s">
        <v>453</v>
      </c>
      <c r="HK4" s="2782" t="s">
        <v>456</v>
      </c>
      <c r="HL4" s="2782" t="s">
        <v>457</v>
      </c>
      <c r="HM4" s="2782" t="s">
        <v>167</v>
      </c>
      <c r="HN4" s="2782" t="s">
        <v>453</v>
      </c>
      <c r="HO4" s="2782" t="s">
        <v>456</v>
      </c>
      <c r="HP4" s="2782" t="s">
        <v>457</v>
      </c>
      <c r="HQ4" s="2782" t="s">
        <v>167</v>
      </c>
      <c r="HR4" s="2782" t="s">
        <v>453</v>
      </c>
      <c r="HS4" s="2782" t="s">
        <v>456</v>
      </c>
      <c r="HT4" s="2782" t="s">
        <v>457</v>
      </c>
      <c r="HU4" s="2782" t="s">
        <v>167</v>
      </c>
      <c r="HV4" s="2782" t="s">
        <v>168</v>
      </c>
      <c r="HW4" s="2782" t="s">
        <v>456</v>
      </c>
      <c r="HX4" s="2782" t="s">
        <v>457</v>
      </c>
      <c r="HY4" s="2782" t="s">
        <v>167</v>
      </c>
      <c r="HZ4" s="2782" t="s">
        <v>453</v>
      </c>
      <c r="IA4" s="2782" t="s">
        <v>456</v>
      </c>
      <c r="IB4" s="2782" t="s">
        <v>457</v>
      </c>
      <c r="IC4" s="2782" t="s">
        <v>167</v>
      </c>
      <c r="ID4" s="2782" t="s">
        <v>453</v>
      </c>
      <c r="IE4" s="2782" t="s">
        <v>456</v>
      </c>
      <c r="IF4" s="2782" t="s">
        <v>457</v>
      </c>
      <c r="IG4" s="2907" t="s">
        <v>167</v>
      </c>
      <c r="IH4" s="2782" t="s">
        <v>453</v>
      </c>
      <c r="II4" s="2782" t="s">
        <v>456</v>
      </c>
      <c r="IJ4" s="2782" t="s">
        <v>457</v>
      </c>
      <c r="IK4" s="2907" t="s">
        <v>167</v>
      </c>
      <c r="IL4" s="2782" t="s">
        <v>453</v>
      </c>
      <c r="IM4" s="2782" t="s">
        <v>456</v>
      </c>
      <c r="IN4" s="2782" t="s">
        <v>457</v>
      </c>
      <c r="IO4" s="2908" t="s">
        <v>167</v>
      </c>
      <c r="IP4" s="2909" t="s">
        <v>453</v>
      </c>
      <c r="IQ4" s="2909" t="s">
        <v>456</v>
      </c>
      <c r="IR4" s="2910" t="s">
        <v>457</v>
      </c>
      <c r="IS4" s="2907" t="s">
        <v>167</v>
      </c>
      <c r="IT4" s="2782" t="s">
        <v>453</v>
      </c>
      <c r="IU4" s="2782" t="s">
        <v>456</v>
      </c>
      <c r="IV4" s="2782" t="s">
        <v>457</v>
      </c>
      <c r="IW4" s="4539" t="s">
        <v>167</v>
      </c>
      <c r="IX4" s="4540" t="s">
        <v>453</v>
      </c>
      <c r="IY4" s="4540" t="s">
        <v>456</v>
      </c>
      <c r="IZ4" s="4548" t="s">
        <v>457</v>
      </c>
      <c r="JA4" s="4543"/>
      <c r="JB4" s="2708" t="s">
        <v>48</v>
      </c>
      <c r="JC4" s="2708" t="s">
        <v>48</v>
      </c>
      <c r="JD4" s="2708" t="s">
        <v>48</v>
      </c>
      <c r="JE4" s="2708" t="s">
        <v>48</v>
      </c>
      <c r="JF4" s="2708" t="s">
        <v>48</v>
      </c>
      <c r="JG4" s="2708" t="s">
        <v>48</v>
      </c>
      <c r="JH4" s="2708" t="s">
        <v>48</v>
      </c>
      <c r="JI4" s="2708" t="s">
        <v>48</v>
      </c>
      <c r="JJ4" s="2708" t="s">
        <v>48</v>
      </c>
      <c r="JK4" s="2708" t="s">
        <v>48</v>
      </c>
      <c r="JL4" s="2708" t="s">
        <v>48</v>
      </c>
      <c r="JM4" s="2709" t="s">
        <v>48</v>
      </c>
      <c r="JN4" s="2711" t="s">
        <v>48</v>
      </c>
      <c r="JO4" s="2711" t="s">
        <v>1501</v>
      </c>
      <c r="JP4" s="2711" t="s">
        <v>1501</v>
      </c>
      <c r="JQ4" s="2712" t="s">
        <v>1799</v>
      </c>
      <c r="JS4" s="4347" t="s">
        <v>1772</v>
      </c>
      <c r="JT4" s="4347" t="s">
        <v>1772</v>
      </c>
      <c r="JV4" s="5393"/>
      <c r="JW4" s="5383"/>
      <c r="JX4" s="5358"/>
      <c r="JY4" s="5358"/>
      <c r="JZ4" s="5358"/>
      <c r="KA4" s="5358"/>
      <c r="KB4" s="5358"/>
      <c r="KC4" s="5377"/>
      <c r="KD4" s="731"/>
      <c r="KE4" s="5362"/>
      <c r="KF4" s="5361"/>
      <c r="KG4" s="5361"/>
      <c r="KH4" s="5361"/>
      <c r="KI4" s="5361"/>
      <c r="KJ4" s="5378"/>
      <c r="KK4" s="5375"/>
      <c r="KM4" s="3480"/>
      <c r="KN4" s="3480"/>
      <c r="KO4" s="3480"/>
      <c r="KP4" s="3480"/>
      <c r="KQ4" s="3480"/>
      <c r="KR4" s="3480"/>
      <c r="KS4" s="3480"/>
      <c r="KT4" s="3480"/>
      <c r="KU4" s="3480"/>
      <c r="KV4" s="3480"/>
      <c r="KW4" s="3480"/>
      <c r="KX4" s="3480"/>
      <c r="KY4" s="3480"/>
      <c r="KZ4" s="3480"/>
      <c r="LA4" s="3480"/>
      <c r="LB4" s="3480"/>
      <c r="LC4" s="3480"/>
      <c r="LD4" s="3480"/>
      <c r="LE4" s="3480"/>
      <c r="LF4" s="3480"/>
      <c r="LG4" s="3480"/>
      <c r="LH4" s="3480"/>
      <c r="LI4" s="3480"/>
    </row>
    <row r="5" spans="1:321" ht="15" thickBot="1">
      <c r="A5" s="2723"/>
      <c r="B5" s="3480"/>
      <c r="C5" s="3846"/>
      <c r="D5" s="3847"/>
      <c r="E5" s="3848"/>
      <c r="F5" s="3848"/>
      <c r="G5" s="3848"/>
      <c r="H5" s="3848"/>
      <c r="I5" s="3848"/>
      <c r="J5" s="3848"/>
      <c r="K5" s="3848"/>
      <c r="L5" s="3848"/>
      <c r="M5" s="3848"/>
      <c r="N5" s="3848"/>
      <c r="O5" s="3849"/>
      <c r="P5" s="3850"/>
      <c r="Q5" s="3848"/>
      <c r="R5" s="3848"/>
      <c r="S5" s="3848"/>
      <c r="T5" s="3848"/>
      <c r="U5" s="3848"/>
      <c r="V5" s="3848"/>
      <c r="W5" s="3848"/>
      <c r="X5" s="3848"/>
      <c r="Y5" s="3848"/>
      <c r="Z5" s="3848"/>
      <c r="AA5" s="3849"/>
      <c r="AB5" s="2693"/>
      <c r="AC5" s="2694"/>
      <c r="AD5" s="2694"/>
      <c r="AE5" s="2694"/>
      <c r="AF5" s="2694"/>
      <c r="AG5" s="2694"/>
      <c r="AH5" s="2694"/>
      <c r="AI5" s="2694"/>
      <c r="AJ5" s="2694"/>
      <c r="AK5" s="2694"/>
      <c r="AL5" s="2694"/>
      <c r="AM5" s="2695"/>
      <c r="AN5" s="2693"/>
      <c r="AO5" s="2694"/>
      <c r="AP5" s="2694"/>
      <c r="AQ5" s="2694"/>
      <c r="AR5" s="2694"/>
      <c r="AS5" s="2694"/>
      <c r="AT5" s="2694"/>
      <c r="AU5" s="2694"/>
      <c r="AV5" s="2694"/>
      <c r="AW5" s="2694"/>
      <c r="AX5" s="2694"/>
      <c r="AY5" s="2695"/>
      <c r="AZ5" s="2696"/>
      <c r="BA5" s="2696"/>
      <c r="BB5" s="2696"/>
      <c r="BC5" s="2696"/>
      <c r="BD5" s="2696"/>
      <c r="BE5" s="2696"/>
      <c r="BF5" s="2696"/>
      <c r="BG5" s="2696"/>
      <c r="BH5" s="2696"/>
      <c r="BI5" s="2696"/>
      <c r="BJ5" s="2696"/>
      <c r="BK5" s="2697"/>
      <c r="BL5" s="2702"/>
      <c r="BM5" s="2696"/>
      <c r="BN5" s="2696"/>
      <c r="BO5" s="2696"/>
      <c r="BP5" s="2696"/>
      <c r="BQ5" s="2696"/>
      <c r="BR5" s="2696"/>
      <c r="BS5" s="2696"/>
      <c r="BT5" s="3851"/>
      <c r="BU5" s="3851"/>
      <c r="BV5" s="3851"/>
      <c r="BW5" s="2697"/>
      <c r="BX5" s="2702"/>
      <c r="BY5" s="2696"/>
      <c r="BZ5" s="2696"/>
      <c r="CA5" s="2696"/>
      <c r="CB5" s="2696"/>
      <c r="CC5" s="2696"/>
      <c r="CD5" s="2696"/>
      <c r="CE5" s="2696"/>
      <c r="CF5" s="2696"/>
      <c r="CG5" s="2696"/>
      <c r="CH5" s="2696"/>
      <c r="CI5" s="2696"/>
      <c r="CJ5" s="2693"/>
      <c r="CK5" s="2694"/>
      <c r="CL5" s="2694"/>
      <c r="CM5" s="2694"/>
      <c r="CN5" s="2694"/>
      <c r="CO5" s="2694"/>
      <c r="CP5" s="2694"/>
      <c r="CQ5" s="2694"/>
      <c r="CR5" s="2694"/>
      <c r="CS5" s="2694"/>
      <c r="CT5" s="2694"/>
      <c r="CU5" s="2695"/>
      <c r="CV5" s="2703"/>
      <c r="CW5" s="2696"/>
      <c r="CX5" s="2696"/>
      <c r="CY5" s="2696"/>
      <c r="CZ5" s="2696"/>
      <c r="DA5" s="2696"/>
      <c r="DB5" s="2696"/>
      <c r="DC5" s="2696"/>
      <c r="DD5" s="2696"/>
      <c r="DE5" s="2696"/>
      <c r="DF5" s="2696"/>
      <c r="DG5" s="2704"/>
      <c r="DH5" s="2703"/>
      <c r="DI5" s="2696"/>
      <c r="DJ5" s="2696"/>
      <c r="DK5" s="2696"/>
      <c r="DL5" s="2696"/>
      <c r="DM5" s="2696"/>
      <c r="DN5" s="2696"/>
      <c r="DO5" s="2696"/>
      <c r="DP5" s="2705"/>
      <c r="DQ5" s="2696"/>
      <c r="DR5" s="2696"/>
      <c r="DS5" s="2704"/>
      <c r="DT5" s="2703"/>
      <c r="DU5" s="2696"/>
      <c r="DV5" s="2696"/>
      <c r="DW5" s="2696"/>
      <c r="DX5" s="2696"/>
      <c r="DY5" s="2696"/>
      <c r="DZ5" s="2696"/>
      <c r="EA5" s="2696"/>
      <c r="EB5" s="2696"/>
      <c r="EC5" s="2696"/>
      <c r="ED5" s="2696"/>
      <c r="EE5" s="2696"/>
      <c r="EF5" s="2706"/>
      <c r="EG5" s="2696"/>
      <c r="EH5" s="2696"/>
      <c r="EI5" s="2696"/>
      <c r="EJ5" s="2696"/>
      <c r="EK5" s="2696"/>
      <c r="EL5" s="2696"/>
      <c r="EM5" s="2696"/>
      <c r="EN5" s="2696"/>
      <c r="EO5" s="2707"/>
      <c r="EP5" s="2707"/>
      <c r="EQ5" s="2696"/>
      <c r="ER5" s="3866">
        <v>43466</v>
      </c>
      <c r="ES5" s="3866">
        <v>43497</v>
      </c>
      <c r="ET5" s="3866">
        <v>43525</v>
      </c>
      <c r="EU5" s="3866">
        <v>43556</v>
      </c>
      <c r="EV5" s="3866">
        <v>43586</v>
      </c>
      <c r="EW5" s="3866">
        <v>43617</v>
      </c>
      <c r="EX5" s="3866">
        <v>43647</v>
      </c>
      <c r="EY5" s="3866">
        <v>43678</v>
      </c>
      <c r="EZ5" s="3866">
        <v>43709</v>
      </c>
      <c r="FA5" s="3866">
        <v>43739</v>
      </c>
      <c r="FB5" s="3866">
        <v>43770</v>
      </c>
      <c r="FC5" s="3866">
        <v>43800</v>
      </c>
      <c r="FD5" s="3866">
        <v>43831</v>
      </c>
      <c r="FE5" s="3866">
        <v>43862</v>
      </c>
      <c r="FF5" s="3866">
        <v>43891</v>
      </c>
      <c r="FG5" s="3866">
        <v>43922</v>
      </c>
      <c r="FH5" s="3866">
        <v>43952</v>
      </c>
      <c r="FI5" s="3866">
        <v>43983</v>
      </c>
      <c r="FJ5" s="3866">
        <v>44013</v>
      </c>
      <c r="FK5" s="3866">
        <v>44044</v>
      </c>
      <c r="FL5" s="3866">
        <v>44075</v>
      </c>
      <c r="FM5" s="3866">
        <v>44105</v>
      </c>
      <c r="FN5" s="3866">
        <v>44136</v>
      </c>
      <c r="FO5" s="3866">
        <v>44166</v>
      </c>
      <c r="FP5" s="3866">
        <v>44197</v>
      </c>
      <c r="FQ5" s="3866">
        <v>44228</v>
      </c>
      <c r="FR5" s="3866">
        <v>44256</v>
      </c>
      <c r="FS5" s="3866">
        <v>44287</v>
      </c>
      <c r="FT5" s="3866">
        <v>44317</v>
      </c>
      <c r="FU5" s="3866">
        <v>44348</v>
      </c>
      <c r="FV5" s="3866">
        <v>44378</v>
      </c>
      <c r="FW5" s="3866">
        <v>44409</v>
      </c>
      <c r="FX5" s="3866">
        <v>44440</v>
      </c>
      <c r="FY5" s="3866">
        <v>44470</v>
      </c>
      <c r="FZ5" s="3866">
        <v>44501</v>
      </c>
      <c r="GA5" s="3866">
        <v>44531</v>
      </c>
      <c r="GB5" s="4565">
        <v>44562</v>
      </c>
      <c r="GC5" s="4565">
        <v>44593</v>
      </c>
      <c r="GD5" s="4565">
        <v>44621</v>
      </c>
      <c r="GE5" s="4565">
        <v>44652</v>
      </c>
      <c r="GF5" s="4565">
        <v>44682</v>
      </c>
      <c r="GG5" s="4565">
        <v>44713</v>
      </c>
      <c r="GH5" s="4565">
        <v>44743</v>
      </c>
      <c r="GI5" s="4565">
        <v>44774</v>
      </c>
      <c r="GJ5" s="4565">
        <v>44805</v>
      </c>
      <c r="GK5" s="4565">
        <v>44835</v>
      </c>
      <c r="GL5" s="4565">
        <v>44866</v>
      </c>
      <c r="GM5" s="4566">
        <v>44896</v>
      </c>
      <c r="GN5" s="1263"/>
      <c r="GO5" s="3852"/>
      <c r="GP5" s="3853"/>
      <c r="GQ5" s="3853"/>
      <c r="GR5" s="3854"/>
      <c r="GS5" s="3852"/>
      <c r="GT5" s="3853"/>
      <c r="GU5" s="3853"/>
      <c r="GV5" s="3854"/>
      <c r="GW5" s="3855"/>
      <c r="GX5" s="1263"/>
      <c r="GY5" s="1263"/>
      <c r="GZ5" s="1263"/>
      <c r="HA5" s="3856"/>
      <c r="HB5" s="1263"/>
      <c r="HC5" s="1263"/>
      <c r="HD5" s="3857"/>
      <c r="HE5" s="3858"/>
      <c r="HF5" s="2782"/>
      <c r="HG5" s="2782"/>
      <c r="HH5" s="3859"/>
      <c r="HI5" s="2782"/>
      <c r="HJ5" s="2782"/>
      <c r="HK5" s="2782"/>
      <c r="HL5" s="2782"/>
      <c r="HM5" s="2782"/>
      <c r="HN5" s="2782"/>
      <c r="HO5" s="2782"/>
      <c r="HP5" s="2782"/>
      <c r="HQ5" s="2782"/>
      <c r="HR5" s="2782"/>
      <c r="HS5" s="2782"/>
      <c r="HT5" s="2782"/>
      <c r="HU5" s="2782"/>
      <c r="HV5" s="2782"/>
      <c r="HW5" s="2782"/>
      <c r="HX5" s="2782"/>
      <c r="HY5" s="2782"/>
      <c r="HZ5" s="2782"/>
      <c r="IA5" s="2782"/>
      <c r="IB5" s="2782"/>
      <c r="IC5" s="2782"/>
      <c r="ID5" s="2782"/>
      <c r="IE5" s="2782"/>
      <c r="IF5" s="2782"/>
      <c r="IG5" s="2907"/>
      <c r="IH5" s="2782"/>
      <c r="II5" s="2782"/>
      <c r="IJ5" s="2782"/>
      <c r="IK5" s="2907"/>
      <c r="IL5" s="2782"/>
      <c r="IM5" s="2782"/>
      <c r="IN5" s="2782"/>
      <c r="IO5" s="2907"/>
      <c r="IP5" s="2782"/>
      <c r="IQ5" s="2782"/>
      <c r="IR5" s="3860"/>
      <c r="IS5" s="2907"/>
      <c r="IT5" s="2782"/>
      <c r="IU5" s="2782"/>
      <c r="IV5" s="2782"/>
      <c r="IW5" s="4539"/>
      <c r="IX5" s="4540"/>
      <c r="IY5" s="4540"/>
      <c r="IZ5" s="4548"/>
      <c r="JA5" s="4543"/>
      <c r="JB5" s="2708"/>
      <c r="JC5" s="3861"/>
      <c r="JD5" s="3861"/>
      <c r="JE5" s="3861"/>
      <c r="JF5" s="3861"/>
      <c r="JG5" s="3861"/>
      <c r="JH5" s="3862"/>
      <c r="JI5" s="3862"/>
      <c r="JJ5" s="3862"/>
      <c r="JK5" s="3862"/>
      <c r="JL5" s="3862"/>
      <c r="JM5" s="3862"/>
      <c r="JN5" s="3864"/>
      <c r="JO5" s="3864"/>
      <c r="JP5" s="3864"/>
      <c r="JQ5" s="4400"/>
      <c r="JS5" s="3764"/>
      <c r="JT5" s="3764"/>
      <c r="JV5" s="3836"/>
      <c r="JW5" s="3834"/>
      <c r="JX5" s="3831"/>
      <c r="JY5" s="3831"/>
      <c r="JZ5" s="3831"/>
      <c r="KA5" s="3831"/>
      <c r="KB5" s="5081"/>
      <c r="KC5" s="4573"/>
      <c r="KD5" s="731"/>
      <c r="KE5" s="3833"/>
      <c r="KF5" s="3832"/>
      <c r="KG5" s="3832"/>
      <c r="KH5" s="3832"/>
      <c r="KI5" s="3832"/>
      <c r="KJ5" s="3830"/>
      <c r="KK5" s="3829"/>
      <c r="KM5" s="3480"/>
      <c r="KN5" s="3480"/>
      <c r="KO5" s="3480"/>
      <c r="KP5" s="3480"/>
      <c r="KQ5" s="3480"/>
      <c r="KR5" s="3480"/>
      <c r="KS5" s="3480"/>
      <c r="KT5" s="3480"/>
      <c r="KU5" s="3480"/>
      <c r="KV5" s="3480"/>
      <c r="KW5" s="3480"/>
      <c r="KX5" s="3480"/>
      <c r="KY5" s="3480"/>
      <c r="KZ5" s="3480"/>
      <c r="LA5" s="3480"/>
      <c r="LB5" s="3480"/>
      <c r="LC5" s="3480"/>
      <c r="LD5" s="3480"/>
      <c r="LE5" s="3480"/>
      <c r="LF5" s="3480"/>
      <c r="LG5" s="3480"/>
      <c r="LH5" s="3480"/>
      <c r="LI5" s="3480"/>
    </row>
    <row r="6" spans="1:321" ht="15" hidden="1" customHeight="1" thickBot="1">
      <c r="A6" s="2723"/>
      <c r="B6" s="3514"/>
      <c r="C6" s="3515" t="s">
        <v>9</v>
      </c>
      <c r="D6" s="3516">
        <v>4125</v>
      </c>
      <c r="E6" s="3517">
        <v>5109</v>
      </c>
      <c r="F6" s="3517">
        <v>3995</v>
      </c>
      <c r="G6" s="3517">
        <v>3559</v>
      </c>
      <c r="H6" s="3517">
        <v>4084</v>
      </c>
      <c r="I6" s="3517">
        <v>7256</v>
      </c>
      <c r="J6" s="3517">
        <v>7516</v>
      </c>
      <c r="K6" s="3517">
        <v>5818</v>
      </c>
      <c r="L6" s="3517">
        <v>4173</v>
      </c>
      <c r="M6" s="3517">
        <v>3257</v>
      </c>
      <c r="N6" s="3517">
        <v>4570</v>
      </c>
      <c r="O6" s="3518">
        <v>5712</v>
      </c>
      <c r="P6" s="3519">
        <v>3653</v>
      </c>
      <c r="Q6" s="3520">
        <v>4175</v>
      </c>
      <c r="R6" s="3520">
        <v>2857</v>
      </c>
      <c r="S6" s="3520">
        <v>1942</v>
      </c>
      <c r="T6" s="3520">
        <v>2424</v>
      </c>
      <c r="U6" s="3520">
        <v>3478</v>
      </c>
      <c r="V6" s="3520">
        <v>2812</v>
      </c>
      <c r="W6" s="3520">
        <v>2074</v>
      </c>
      <c r="X6" s="3520">
        <v>1182</v>
      </c>
      <c r="Y6" s="3520">
        <v>1427</v>
      </c>
      <c r="Z6" s="3520">
        <v>1712</v>
      </c>
      <c r="AA6" s="3521">
        <v>2004</v>
      </c>
      <c r="AB6" s="3522">
        <v>1619</v>
      </c>
      <c r="AC6" s="3523">
        <v>2092</v>
      </c>
      <c r="AD6" s="3523">
        <v>1575</v>
      </c>
      <c r="AE6" s="3523">
        <v>1177</v>
      </c>
      <c r="AF6" s="3523">
        <v>2236.5</v>
      </c>
      <c r="AG6" s="3523">
        <v>3296</v>
      </c>
      <c r="AH6" s="3523">
        <v>3158</v>
      </c>
      <c r="AI6" s="3523">
        <v>4901</v>
      </c>
      <c r="AJ6" s="3523">
        <v>3664</v>
      </c>
      <c r="AK6" s="3523">
        <v>3532</v>
      </c>
      <c r="AL6" s="3523">
        <v>4094</v>
      </c>
      <c r="AM6" s="3524">
        <v>5688</v>
      </c>
      <c r="AN6" s="3525">
        <v>4126</v>
      </c>
      <c r="AO6" s="3526">
        <v>4096</v>
      </c>
      <c r="AP6" s="3526">
        <v>3069</v>
      </c>
      <c r="AQ6" s="3526">
        <v>2441</v>
      </c>
      <c r="AR6" s="3526">
        <v>3614</v>
      </c>
      <c r="AS6" s="3526">
        <v>4973</v>
      </c>
      <c r="AT6" s="3526">
        <v>4295</v>
      </c>
      <c r="AU6" s="3526">
        <v>3922</v>
      </c>
      <c r="AV6" s="3526">
        <v>3884</v>
      </c>
      <c r="AW6" s="3526">
        <v>4361</v>
      </c>
      <c r="AX6" s="3526">
        <v>3757</v>
      </c>
      <c r="AY6" s="3527">
        <v>4309</v>
      </c>
      <c r="AZ6" s="3528">
        <v>3744</v>
      </c>
      <c r="BA6" s="3528">
        <v>3244</v>
      </c>
      <c r="BB6" s="3528">
        <v>3052</v>
      </c>
      <c r="BC6" s="3528">
        <v>2818</v>
      </c>
      <c r="BD6" s="3528">
        <v>2629</v>
      </c>
      <c r="BE6" s="3528">
        <v>4974</v>
      </c>
      <c r="BF6" s="3528">
        <v>3543</v>
      </c>
      <c r="BG6" s="3528">
        <v>3098</v>
      </c>
      <c r="BH6" s="3528">
        <v>2495</v>
      </c>
      <c r="BI6" s="3528">
        <v>2223</v>
      </c>
      <c r="BJ6" s="3528">
        <v>2836</v>
      </c>
      <c r="BK6" s="3529">
        <v>3329</v>
      </c>
      <c r="BL6" s="3530">
        <v>5325</v>
      </c>
      <c r="BM6" s="3531">
        <v>3242</v>
      </c>
      <c r="BN6" s="3531">
        <v>2313</v>
      </c>
      <c r="BO6" s="3531">
        <v>1550</v>
      </c>
      <c r="BP6" s="3531">
        <v>1783</v>
      </c>
      <c r="BQ6" s="3531">
        <v>2956</v>
      </c>
      <c r="BR6" s="3531">
        <v>2188</v>
      </c>
      <c r="BS6" s="3531">
        <v>1977</v>
      </c>
      <c r="BT6" s="3532">
        <v>1675</v>
      </c>
      <c r="BU6" s="3532">
        <v>1300</v>
      </c>
      <c r="BV6" s="3532">
        <v>2993</v>
      </c>
      <c r="BW6" s="3533">
        <v>5640</v>
      </c>
      <c r="BX6" s="3534">
        <v>3618</v>
      </c>
      <c r="BY6" s="3459">
        <v>3340</v>
      </c>
      <c r="BZ6" s="3459">
        <v>2667</v>
      </c>
      <c r="CA6" s="3459">
        <v>2436</v>
      </c>
      <c r="CB6" s="3459">
        <v>3369</v>
      </c>
      <c r="CC6" s="3459">
        <v>5607</v>
      </c>
      <c r="CD6" s="3459">
        <v>3901</v>
      </c>
      <c r="CE6" s="3459">
        <v>3792</v>
      </c>
      <c r="CF6" s="3459">
        <v>3812</v>
      </c>
      <c r="CG6" s="3459">
        <v>3101</v>
      </c>
      <c r="CH6" s="3459">
        <v>3939</v>
      </c>
      <c r="CI6" s="3461">
        <v>7349</v>
      </c>
      <c r="CJ6" s="3535">
        <v>3947</v>
      </c>
      <c r="CK6" s="3536">
        <v>4481</v>
      </c>
      <c r="CL6" s="3536">
        <v>3791</v>
      </c>
      <c r="CM6" s="3536">
        <v>3116</v>
      </c>
      <c r="CN6" s="3536">
        <v>3597</v>
      </c>
      <c r="CO6" s="3536">
        <v>3912</v>
      </c>
      <c r="CP6" s="3536">
        <v>5548</v>
      </c>
      <c r="CQ6" s="3536">
        <v>3826</v>
      </c>
      <c r="CR6" s="3536">
        <v>3484</v>
      </c>
      <c r="CS6" s="3536">
        <v>4113</v>
      </c>
      <c r="CT6" s="3536">
        <v>4509</v>
      </c>
      <c r="CU6" s="3537">
        <v>9532</v>
      </c>
      <c r="CV6" s="3535">
        <v>4858</v>
      </c>
      <c r="CW6" s="3536">
        <v>5146</v>
      </c>
      <c r="CX6" s="3458">
        <v>4036</v>
      </c>
      <c r="CY6" s="3458">
        <v>3546</v>
      </c>
      <c r="CZ6" s="3458">
        <v>4120</v>
      </c>
      <c r="DA6" s="3458">
        <v>7490</v>
      </c>
      <c r="DB6" s="3458">
        <v>7418</v>
      </c>
      <c r="DC6" s="3458">
        <v>4723</v>
      </c>
      <c r="DD6" s="3458">
        <v>4463</v>
      </c>
      <c r="DE6" s="3458">
        <v>4758</v>
      </c>
      <c r="DF6" s="3458">
        <v>5286</v>
      </c>
      <c r="DG6" s="3537">
        <v>11022</v>
      </c>
      <c r="DH6" s="3538">
        <v>5764</v>
      </c>
      <c r="DI6" s="3539">
        <v>5469</v>
      </c>
      <c r="DJ6" s="3539">
        <v>4902</v>
      </c>
      <c r="DK6" s="3540">
        <v>3816</v>
      </c>
      <c r="DL6" s="3540">
        <v>4385</v>
      </c>
      <c r="DM6" s="3540">
        <v>7671</v>
      </c>
      <c r="DN6" s="3540">
        <v>7438</v>
      </c>
      <c r="DO6" s="3540">
        <v>5209</v>
      </c>
      <c r="DP6" s="2713">
        <v>4419</v>
      </c>
      <c r="DQ6" s="3540">
        <v>7124</v>
      </c>
      <c r="DR6" s="3540">
        <v>8072</v>
      </c>
      <c r="DS6" s="3541">
        <v>18166</v>
      </c>
      <c r="DT6" s="3542">
        <v>8337</v>
      </c>
      <c r="DU6" s="3429">
        <v>9615</v>
      </c>
      <c r="DV6" s="3429">
        <v>8824</v>
      </c>
      <c r="DW6" s="3350">
        <v>8982</v>
      </c>
      <c r="DX6" s="3350">
        <v>8939</v>
      </c>
      <c r="DY6" s="3350">
        <v>14373</v>
      </c>
      <c r="DZ6" s="3350">
        <v>14826</v>
      </c>
      <c r="EA6" s="3350">
        <v>10995</v>
      </c>
      <c r="EB6" s="3350">
        <v>9420</v>
      </c>
      <c r="EC6" s="3350">
        <v>9665</v>
      </c>
      <c r="ED6" s="3350">
        <v>10353</v>
      </c>
      <c r="EE6" s="3349">
        <v>22807</v>
      </c>
      <c r="EF6" s="2689">
        <v>10292</v>
      </c>
      <c r="EG6" s="2688">
        <v>11655</v>
      </c>
      <c r="EH6" s="2688">
        <v>10438</v>
      </c>
      <c r="EI6" s="2688">
        <v>8633</v>
      </c>
      <c r="EJ6" s="2688">
        <v>10488</v>
      </c>
      <c r="EK6" s="2688">
        <v>15641</v>
      </c>
      <c r="EL6" s="2688">
        <v>15616</v>
      </c>
      <c r="EM6" s="2714">
        <v>12823</v>
      </c>
      <c r="EN6" s="2714">
        <v>10573</v>
      </c>
      <c r="EO6" s="2715">
        <v>10536</v>
      </c>
      <c r="EP6" s="2715">
        <v>11647</v>
      </c>
      <c r="EQ6" s="2716">
        <v>23383</v>
      </c>
      <c r="ER6" s="1344">
        <v>10824</v>
      </c>
      <c r="ES6" s="3543">
        <v>11688</v>
      </c>
      <c r="ET6" s="3543">
        <v>9676</v>
      </c>
      <c r="EU6" s="2717">
        <v>8788</v>
      </c>
      <c r="EV6" s="2157">
        <v>8000</v>
      </c>
      <c r="EW6" s="2157"/>
      <c r="EX6" s="2157">
        <v>0</v>
      </c>
      <c r="EY6" s="2157">
        <v>0</v>
      </c>
      <c r="EZ6" s="2157">
        <v>0</v>
      </c>
      <c r="FA6" s="2337">
        <v>0</v>
      </c>
      <c r="FB6" s="2158"/>
      <c r="FC6" s="2158"/>
      <c r="FD6" s="2679"/>
      <c r="FE6" s="2341"/>
      <c r="FF6" s="2341"/>
      <c r="FG6" s="2341"/>
      <c r="FH6" s="2341"/>
      <c r="FI6" s="2341"/>
      <c r="FJ6" s="2341"/>
      <c r="FK6" s="2341"/>
      <c r="FL6" s="2341"/>
      <c r="FM6" s="2341"/>
      <c r="FN6" s="2341"/>
      <c r="FO6" s="2341"/>
      <c r="FP6" s="2681"/>
      <c r="FQ6" s="2680"/>
      <c r="FR6" s="2680"/>
      <c r="FS6" s="2680"/>
      <c r="FT6" s="2680"/>
      <c r="FU6" s="2680"/>
      <c r="FV6" s="2680"/>
      <c r="FW6" s="2680"/>
      <c r="FX6" s="2680"/>
      <c r="FY6" s="2680"/>
      <c r="FZ6" s="2680"/>
      <c r="GA6" s="2341"/>
      <c r="GB6" s="2679"/>
      <c r="GC6" s="2341"/>
      <c r="GD6" s="2341"/>
      <c r="GE6" s="2341"/>
      <c r="GF6" s="2341"/>
      <c r="GG6" s="2341"/>
      <c r="GH6" s="2341"/>
      <c r="GI6" s="2341"/>
      <c r="GJ6" s="2341"/>
      <c r="GK6" s="2341"/>
      <c r="GL6" s="2341"/>
      <c r="GM6" s="2680"/>
      <c r="GN6" s="2764"/>
      <c r="GO6" s="2911">
        <v>13229</v>
      </c>
      <c r="GP6" s="2912">
        <v>14899</v>
      </c>
      <c r="GQ6" s="2912">
        <v>17507</v>
      </c>
      <c r="GR6" s="2913">
        <v>13539</v>
      </c>
      <c r="GS6" s="2914">
        <v>10685</v>
      </c>
      <c r="GT6" s="2915">
        <v>7844</v>
      </c>
      <c r="GU6" s="2915">
        <v>6068</v>
      </c>
      <c r="GV6" s="2916">
        <v>5143</v>
      </c>
      <c r="GW6" s="2917">
        <v>5286</v>
      </c>
      <c r="GX6" s="2918">
        <v>6709.5</v>
      </c>
      <c r="GY6" s="2919">
        <v>11723</v>
      </c>
      <c r="GZ6" s="2919">
        <v>13314</v>
      </c>
      <c r="HA6" s="2920">
        <v>11291</v>
      </c>
      <c r="HB6" s="2921">
        <v>11028</v>
      </c>
      <c r="HC6" s="2921">
        <v>12101</v>
      </c>
      <c r="HD6" s="2922">
        <v>12427</v>
      </c>
      <c r="HE6" s="2923">
        <v>10040</v>
      </c>
      <c r="HF6" s="2924">
        <v>10421</v>
      </c>
      <c r="HG6" s="2924">
        <v>9136</v>
      </c>
      <c r="HH6" s="2925">
        <v>8388</v>
      </c>
      <c r="HI6" s="2921">
        <v>10880</v>
      </c>
      <c r="HJ6" s="2921">
        <v>6289</v>
      </c>
      <c r="HK6" s="2921">
        <v>5840</v>
      </c>
      <c r="HL6" s="2921">
        <v>9933</v>
      </c>
      <c r="HM6" s="2926">
        <v>9625</v>
      </c>
      <c r="HN6" s="2926">
        <v>11412</v>
      </c>
      <c r="HO6" s="2926">
        <v>11505</v>
      </c>
      <c r="HP6" s="2926">
        <v>14389</v>
      </c>
      <c r="HQ6" s="2927">
        <v>12219</v>
      </c>
      <c r="HR6" s="2927">
        <v>10625</v>
      </c>
      <c r="HS6" s="2927">
        <f t="shared" ref="HS6" si="0">+CP6+CQ6+CR6</f>
        <v>12858</v>
      </c>
      <c r="HT6" s="2927">
        <v>18154</v>
      </c>
      <c r="HU6" s="2928">
        <v>14040</v>
      </c>
      <c r="HV6" s="2928">
        <f t="shared" ref="HV6" si="1">+CY6+CZ6+DA6</f>
        <v>15156</v>
      </c>
      <c r="HW6" s="2928">
        <f t="shared" ref="HW6" si="2">+DB6+DC6+DD6</f>
        <v>16604</v>
      </c>
      <c r="HX6" s="2927">
        <f t="shared" ref="HX6" si="3">+DE6+DF6+DG6</f>
        <v>21066</v>
      </c>
      <c r="HY6" s="2846">
        <f t="shared" ref="HY6" si="4">+DH6+DI6+DJ6</f>
        <v>16135</v>
      </c>
      <c r="HZ6" s="2846">
        <f t="shared" ref="HZ6" si="5">+DM6+DL6+DK6</f>
        <v>15872</v>
      </c>
      <c r="IA6" s="2846">
        <f t="shared" ref="IA6" si="6">+DS6+DO6+DN6</f>
        <v>30813</v>
      </c>
      <c r="IB6" s="2846">
        <f t="shared" ref="IB6" si="7">+DQ6+DR6+DS6</f>
        <v>33362</v>
      </c>
      <c r="IC6" s="2921">
        <f t="shared" ref="IC6" si="8">+DT6+DU6+DV6</f>
        <v>26776</v>
      </c>
      <c r="ID6" s="2921">
        <f t="shared" ref="ID6" si="9">+DW6+DX6+DY6</f>
        <v>32294</v>
      </c>
      <c r="IE6" s="2921">
        <f t="shared" ref="IE6" si="10">+DZ6+EA6+EB6</f>
        <v>35241</v>
      </c>
      <c r="IF6" s="2921">
        <f t="shared" ref="IF6" si="11">+EC6+ED6+EE6</f>
        <v>42825</v>
      </c>
      <c r="IG6" s="2929">
        <f t="shared" ref="IG6" si="12">EF6+EG6+EH6</f>
        <v>32385</v>
      </c>
      <c r="IH6" s="2926">
        <f t="shared" ref="IH6" si="13">EI6+EJ6+EK6</f>
        <v>34762</v>
      </c>
      <c r="II6" s="2926">
        <f t="shared" ref="II6" si="14">EL6+EM6+EN6</f>
        <v>39012</v>
      </c>
      <c r="IJ6" s="2926">
        <f t="shared" ref="IJ6" si="15">EO6+EP6+EQ6</f>
        <v>45566</v>
      </c>
      <c r="IK6" s="2930">
        <f t="shared" ref="IK6:IK39" si="16">ER6+ES6+ET6</f>
        <v>32188</v>
      </c>
      <c r="IL6" s="2931">
        <f t="shared" ref="IL6:IL39" si="17">EU6+EV6+EW6</f>
        <v>16788</v>
      </c>
      <c r="IM6" s="2931">
        <f t="shared" ref="IM6:IM39" si="18">EX6+EY6+EZ6</f>
        <v>0</v>
      </c>
      <c r="IN6" s="2931">
        <f t="shared" ref="IN6:IN39" si="19">FA6+FB6+FC6</f>
        <v>0</v>
      </c>
      <c r="IO6" s="2932"/>
      <c r="IP6" s="2933"/>
      <c r="IQ6" s="2933"/>
      <c r="IR6" s="2934"/>
      <c r="IS6" s="2932"/>
      <c r="IT6" s="2933"/>
      <c r="IU6" s="2933"/>
      <c r="IV6" s="2933"/>
      <c r="IW6" s="2932"/>
      <c r="IX6" s="2933"/>
      <c r="IY6" s="2933"/>
      <c r="IZ6" s="2934"/>
      <c r="JA6" s="4545"/>
      <c r="JB6" s="3544">
        <v>59174</v>
      </c>
      <c r="JC6" s="3545">
        <v>29740</v>
      </c>
      <c r="JD6" s="3545">
        <v>37032.5</v>
      </c>
      <c r="JE6" s="3545">
        <v>46847</v>
      </c>
      <c r="JF6" s="3545">
        <v>37985</v>
      </c>
      <c r="JG6" s="3545">
        <v>32942</v>
      </c>
      <c r="JH6" s="3546">
        <v>46931</v>
      </c>
      <c r="JI6" s="3547">
        <v>53856</v>
      </c>
      <c r="JJ6" s="3547">
        <f t="shared" ref="JJ6:JJ38" si="20">SUM(CV6:DG6)</f>
        <v>66866</v>
      </c>
      <c r="JK6" s="3547">
        <f t="shared" ref="JK6:JK38" si="21">SUM(DH6:DS6)</f>
        <v>82435</v>
      </c>
      <c r="JL6" s="3547">
        <f t="shared" ref="JL6" si="22">SUM(DT6:EE6)</f>
        <v>137136</v>
      </c>
      <c r="JM6" s="3547">
        <f t="shared" ref="JM6:JM38" si="23">SUM(EF6:EQ6)</f>
        <v>151725</v>
      </c>
      <c r="JN6" s="3548">
        <f t="shared" ref="JN6:JN33" si="24">SUM(ER6:FC6)</f>
        <v>48976</v>
      </c>
      <c r="JO6" s="3549">
        <f t="shared" ref="JO6" si="25">SUM(FD6:FO6)</f>
        <v>0</v>
      </c>
      <c r="JP6" s="3550"/>
      <c r="JQ6" s="4401"/>
      <c r="JS6" s="3764"/>
      <c r="JT6" s="3764"/>
      <c r="JV6" s="3551" t="e">
        <f>AVERAGE(JI6,JJ6,JK6,JL6,JM6,JN6,#REF!)</f>
        <v>#REF!</v>
      </c>
      <c r="JW6" s="3552">
        <f t="shared" ref="JW6" si="26">JK6/$JK$39</f>
        <v>0.1313441444427095</v>
      </c>
      <c r="JX6" s="3552">
        <f t="shared" ref="JX6" si="27">JL6/$JL$39</f>
        <v>0.21003138157018122</v>
      </c>
      <c r="JY6" s="3552">
        <f>JM6/$JN$39</f>
        <v>0.22085152838427949</v>
      </c>
      <c r="JZ6" s="3552">
        <f>JN6/$JN$39</f>
        <v>7.1289665211062586E-2</v>
      </c>
      <c r="KA6" s="3552" t="e">
        <f>#REF!/#REF!</f>
        <v>#REF!</v>
      </c>
      <c r="KB6" s="3552" t="e">
        <f>#REF!/#REF!</f>
        <v>#REF!</v>
      </c>
      <c r="KC6" s="3553" t="e">
        <f>#REF!/#REF!</f>
        <v>#REF!</v>
      </c>
      <c r="KD6" s="3552"/>
      <c r="KE6" s="3554">
        <f t="shared" ref="KE6" si="28">JL6/JK6-1</f>
        <v>0.66356523321404737</v>
      </c>
      <c r="KF6" s="3555" t="e">
        <f t="shared" ref="KF6" si="29">JV6/JK6-1</f>
        <v>#REF!</v>
      </c>
      <c r="KG6" s="3555">
        <f t="shared" ref="KG6" si="30">JM6/JL6-1</f>
        <v>0.10638344417220869</v>
      </c>
      <c r="KH6" s="3555">
        <f t="shared" ref="KH6" si="31">JN6/JM6-1</f>
        <v>-0.67720547042346357</v>
      </c>
      <c r="KI6" s="3555" t="e">
        <f>#REF!/#REF!-1</f>
        <v>#REF!</v>
      </c>
      <c r="KJ6" s="3556" t="e">
        <f>#REF!/#REF!-1</f>
        <v>#REF!</v>
      </c>
      <c r="KK6" s="3557" t="e">
        <f>#REF!/#REF!-1</f>
        <v>#REF!</v>
      </c>
      <c r="KM6" s="3231"/>
      <c r="KN6" s="3231"/>
      <c r="KO6" s="3231"/>
      <c r="KP6" s="3231"/>
      <c r="KQ6" s="3231"/>
      <c r="KR6" s="3231"/>
      <c r="KS6" s="3231"/>
      <c r="KT6" s="3231"/>
      <c r="KU6" s="3231"/>
      <c r="KV6" s="3231"/>
      <c r="KW6" s="3231"/>
      <c r="KX6" s="3231"/>
      <c r="KY6" s="3231"/>
      <c r="KZ6" s="3231"/>
      <c r="LA6" s="3231"/>
      <c r="LB6" s="3231"/>
      <c r="LC6" s="3231"/>
      <c r="LD6" s="3231"/>
      <c r="LE6" s="3231"/>
      <c r="LF6" s="3231"/>
      <c r="LG6" s="3231"/>
      <c r="LH6" s="3231"/>
      <c r="LI6" s="3231"/>
    </row>
    <row r="7" spans="1:321" ht="21.9" customHeight="1">
      <c r="A7" s="3558"/>
      <c r="B7" s="3514"/>
      <c r="C7" s="3559" t="s">
        <v>5</v>
      </c>
      <c r="D7" s="3516">
        <v>7760</v>
      </c>
      <c r="E7" s="3517">
        <v>7608</v>
      </c>
      <c r="F7" s="3517">
        <v>9828</v>
      </c>
      <c r="G7" s="3517">
        <v>7137</v>
      </c>
      <c r="H7" s="3517">
        <v>8490</v>
      </c>
      <c r="I7" s="3517">
        <v>14706</v>
      </c>
      <c r="J7" s="3517">
        <v>16146</v>
      </c>
      <c r="K7" s="3517">
        <v>12359</v>
      </c>
      <c r="L7" s="3517">
        <v>6638</v>
      </c>
      <c r="M7" s="3517">
        <v>7413</v>
      </c>
      <c r="N7" s="3517">
        <v>8563</v>
      </c>
      <c r="O7" s="3518">
        <v>11317</v>
      </c>
      <c r="P7" s="3519">
        <v>10075</v>
      </c>
      <c r="Q7" s="3520">
        <v>13044</v>
      </c>
      <c r="R7" s="3520">
        <v>11621</v>
      </c>
      <c r="S7" s="3520">
        <v>8418</v>
      </c>
      <c r="T7" s="3520">
        <v>11294</v>
      </c>
      <c r="U7" s="3520">
        <v>18034</v>
      </c>
      <c r="V7" s="3520">
        <v>16699</v>
      </c>
      <c r="W7" s="3520">
        <v>12325</v>
      </c>
      <c r="X7" s="3520">
        <v>7659</v>
      </c>
      <c r="Y7" s="3520">
        <v>7702</v>
      </c>
      <c r="Z7" s="3520">
        <v>8570</v>
      </c>
      <c r="AA7" s="3521">
        <v>11704</v>
      </c>
      <c r="AB7" s="3522">
        <v>9962</v>
      </c>
      <c r="AC7" s="3523">
        <v>9139</v>
      </c>
      <c r="AD7" s="3523">
        <v>10302</v>
      </c>
      <c r="AE7" s="3523">
        <v>8924</v>
      </c>
      <c r="AF7" s="3523">
        <v>12993</v>
      </c>
      <c r="AG7" s="3523">
        <v>17062</v>
      </c>
      <c r="AH7" s="3523">
        <v>16655</v>
      </c>
      <c r="AI7" s="3523">
        <v>11416</v>
      </c>
      <c r="AJ7" s="3523">
        <v>6635</v>
      </c>
      <c r="AK7" s="3523">
        <v>7211</v>
      </c>
      <c r="AL7" s="3523">
        <v>7598</v>
      </c>
      <c r="AM7" s="3524">
        <v>11858</v>
      </c>
      <c r="AN7" s="3525">
        <v>9232</v>
      </c>
      <c r="AO7" s="3526">
        <v>8487</v>
      </c>
      <c r="AP7" s="3526">
        <v>10219</v>
      </c>
      <c r="AQ7" s="3526">
        <v>7810</v>
      </c>
      <c r="AR7" s="3526">
        <v>10758</v>
      </c>
      <c r="AS7" s="3526">
        <v>15930</v>
      </c>
      <c r="AT7" s="3526">
        <v>15799</v>
      </c>
      <c r="AU7" s="3526">
        <v>10584</v>
      </c>
      <c r="AV7" s="3526">
        <v>6327</v>
      </c>
      <c r="AW7" s="3526">
        <v>7725</v>
      </c>
      <c r="AX7" s="3526">
        <v>7556</v>
      </c>
      <c r="AY7" s="3527">
        <v>11437</v>
      </c>
      <c r="AZ7" s="3463">
        <v>9093</v>
      </c>
      <c r="BA7" s="3463">
        <v>9118</v>
      </c>
      <c r="BB7" s="3463">
        <v>11492</v>
      </c>
      <c r="BC7" s="3463">
        <v>9029</v>
      </c>
      <c r="BD7" s="3463">
        <v>11497</v>
      </c>
      <c r="BE7" s="3463">
        <v>16581</v>
      </c>
      <c r="BF7" s="3463">
        <v>16087</v>
      </c>
      <c r="BG7" s="3463">
        <v>10842</v>
      </c>
      <c r="BH7" s="3463">
        <v>6954</v>
      </c>
      <c r="BI7" s="3463">
        <v>7874</v>
      </c>
      <c r="BJ7" s="3463">
        <v>8957</v>
      </c>
      <c r="BK7" s="3560">
        <v>12798</v>
      </c>
      <c r="BL7" s="3530">
        <v>9054</v>
      </c>
      <c r="BM7" s="3531">
        <v>8325</v>
      </c>
      <c r="BN7" s="3531">
        <v>11925</v>
      </c>
      <c r="BO7" s="3531">
        <v>9068</v>
      </c>
      <c r="BP7" s="3531">
        <v>11902</v>
      </c>
      <c r="BQ7" s="3531">
        <v>18638</v>
      </c>
      <c r="BR7" s="3531">
        <v>18162</v>
      </c>
      <c r="BS7" s="3531">
        <v>12296</v>
      </c>
      <c r="BT7" s="3532">
        <v>8393</v>
      </c>
      <c r="BU7" s="3532">
        <v>9607</v>
      </c>
      <c r="BV7" s="3532">
        <v>9130</v>
      </c>
      <c r="BW7" s="3533">
        <v>14125</v>
      </c>
      <c r="BX7" s="3534">
        <v>11222</v>
      </c>
      <c r="BY7" s="3459">
        <v>10182</v>
      </c>
      <c r="BZ7" s="3459">
        <v>12798</v>
      </c>
      <c r="CA7" s="3459">
        <v>8722</v>
      </c>
      <c r="CB7" s="3459">
        <v>11830</v>
      </c>
      <c r="CC7" s="3459">
        <v>18551</v>
      </c>
      <c r="CD7" s="3459">
        <v>17188</v>
      </c>
      <c r="CE7" s="3459">
        <v>11501</v>
      </c>
      <c r="CF7" s="3459">
        <v>8067</v>
      </c>
      <c r="CG7" s="3459">
        <v>9168</v>
      </c>
      <c r="CH7" s="3459">
        <v>8606</v>
      </c>
      <c r="CI7" s="3461">
        <v>13760</v>
      </c>
      <c r="CJ7" s="3535">
        <v>10287</v>
      </c>
      <c r="CK7" s="3536">
        <v>10836</v>
      </c>
      <c r="CL7" s="3536">
        <v>12287</v>
      </c>
      <c r="CM7" s="3536">
        <v>9534</v>
      </c>
      <c r="CN7" s="3536">
        <v>12241</v>
      </c>
      <c r="CO7" s="3536">
        <v>19418</v>
      </c>
      <c r="CP7" s="3536">
        <v>18361</v>
      </c>
      <c r="CQ7" s="3536">
        <v>11442</v>
      </c>
      <c r="CR7" s="3536">
        <v>7926</v>
      </c>
      <c r="CS7" s="3536">
        <v>9349</v>
      </c>
      <c r="CT7" s="3536">
        <v>9325</v>
      </c>
      <c r="CU7" s="3537">
        <v>16124</v>
      </c>
      <c r="CV7" s="3535">
        <v>13066</v>
      </c>
      <c r="CW7" s="3536">
        <v>11670</v>
      </c>
      <c r="CX7" s="3458">
        <v>13778</v>
      </c>
      <c r="CY7" s="3458">
        <v>10311</v>
      </c>
      <c r="CZ7" s="3458">
        <v>13333</v>
      </c>
      <c r="DA7" s="3458">
        <v>20663</v>
      </c>
      <c r="DB7" s="3458">
        <v>21177</v>
      </c>
      <c r="DC7" s="3458">
        <v>12790</v>
      </c>
      <c r="DD7" s="3458">
        <v>8295</v>
      </c>
      <c r="DE7" s="3458">
        <v>10454</v>
      </c>
      <c r="DF7" s="3458">
        <v>10526</v>
      </c>
      <c r="DG7" s="3537">
        <v>17781</v>
      </c>
      <c r="DH7" s="3538">
        <v>13010</v>
      </c>
      <c r="DI7" s="3539">
        <v>12991</v>
      </c>
      <c r="DJ7" s="3539">
        <v>16523</v>
      </c>
      <c r="DK7" s="3540">
        <v>11438</v>
      </c>
      <c r="DL7" s="3540">
        <v>14743</v>
      </c>
      <c r="DM7" s="3540">
        <v>22278</v>
      </c>
      <c r="DN7" s="3540">
        <v>20718</v>
      </c>
      <c r="DO7" s="3540">
        <v>12747</v>
      </c>
      <c r="DP7" s="2713">
        <v>8085</v>
      </c>
      <c r="DQ7" s="3540">
        <v>8608</v>
      </c>
      <c r="DR7" s="3540">
        <v>8458</v>
      </c>
      <c r="DS7" s="3541">
        <v>14249</v>
      </c>
      <c r="DT7" s="3542">
        <v>10839</v>
      </c>
      <c r="DU7" s="3429">
        <v>9438</v>
      </c>
      <c r="DV7" s="3429">
        <v>12542</v>
      </c>
      <c r="DW7" s="3350">
        <v>10543</v>
      </c>
      <c r="DX7" s="3350">
        <v>11258</v>
      </c>
      <c r="DY7" s="3350">
        <v>20272</v>
      </c>
      <c r="DZ7" s="3350">
        <v>17940</v>
      </c>
      <c r="EA7" s="3350">
        <v>10624</v>
      </c>
      <c r="EB7" s="3350">
        <v>7285</v>
      </c>
      <c r="EC7" s="3350">
        <v>7872</v>
      </c>
      <c r="ED7" s="3350">
        <v>8957</v>
      </c>
      <c r="EE7" s="3349">
        <v>14636</v>
      </c>
      <c r="EF7" s="2689">
        <v>11180</v>
      </c>
      <c r="EG7" s="2688">
        <v>10692</v>
      </c>
      <c r="EH7" s="2688">
        <v>15555</v>
      </c>
      <c r="EI7" s="2688">
        <v>9707</v>
      </c>
      <c r="EJ7" s="2688">
        <v>13514</v>
      </c>
      <c r="EK7" s="2688">
        <v>21285</v>
      </c>
      <c r="EL7" s="2688">
        <v>17119</v>
      </c>
      <c r="EM7" s="2714">
        <v>10772</v>
      </c>
      <c r="EN7" s="2714">
        <v>7523</v>
      </c>
      <c r="EO7" s="2715">
        <v>8091</v>
      </c>
      <c r="EP7" s="2715">
        <v>8887</v>
      </c>
      <c r="EQ7" s="2716">
        <v>14417</v>
      </c>
      <c r="ER7" s="1345">
        <v>11535</v>
      </c>
      <c r="ES7" s="3543">
        <v>10029</v>
      </c>
      <c r="ET7" s="3543">
        <v>13852</v>
      </c>
      <c r="EU7" s="2717">
        <v>10247</v>
      </c>
      <c r="EV7" s="2159">
        <f>18194-EV6</f>
        <v>10194</v>
      </c>
      <c r="EW7" s="2159">
        <f>27252-EW6</f>
        <v>27252</v>
      </c>
      <c r="EX7" s="2159">
        <v>24033</v>
      </c>
      <c r="EY7" s="2159">
        <v>16389</v>
      </c>
      <c r="EZ7" s="2159">
        <v>12076</v>
      </c>
      <c r="FA7" s="2339">
        <v>10654</v>
      </c>
      <c r="FB7" s="2339">
        <v>13694</v>
      </c>
      <c r="FC7" s="2339">
        <v>20560</v>
      </c>
      <c r="FD7" s="2765">
        <v>15918</v>
      </c>
      <c r="FE7" s="2766">
        <v>16475</v>
      </c>
      <c r="FF7" s="2766">
        <v>6730</v>
      </c>
      <c r="FG7" s="2766">
        <v>88</v>
      </c>
      <c r="FH7" s="2766">
        <v>146</v>
      </c>
      <c r="FI7" s="2766">
        <v>570</v>
      </c>
      <c r="FJ7" s="2766">
        <v>1194</v>
      </c>
      <c r="FK7" s="2766">
        <v>1377</v>
      </c>
      <c r="FL7" s="2766">
        <v>1707</v>
      </c>
      <c r="FM7" s="2766">
        <v>2600</v>
      </c>
      <c r="FN7" s="2766">
        <v>3904</v>
      </c>
      <c r="FO7" s="2767">
        <v>7006</v>
      </c>
      <c r="FP7" s="2768">
        <v>4279</v>
      </c>
      <c r="FQ7" s="2769">
        <v>3826</v>
      </c>
      <c r="FR7" s="2769">
        <v>5327</v>
      </c>
      <c r="FS7" s="2769">
        <v>5477</v>
      </c>
      <c r="FT7" s="2769">
        <v>6558</v>
      </c>
      <c r="FU7" s="2769">
        <v>10538</v>
      </c>
      <c r="FV7" s="2769">
        <v>12691</v>
      </c>
      <c r="FW7" s="2769">
        <v>10698</v>
      </c>
      <c r="FX7" s="2769">
        <v>8927</v>
      </c>
      <c r="FY7" s="2769">
        <v>10571</v>
      </c>
      <c r="FZ7" s="2769">
        <v>12816</v>
      </c>
      <c r="GA7" s="4553">
        <v>19423</v>
      </c>
      <c r="GB7" s="4559"/>
      <c r="GC7" s="4556"/>
      <c r="GD7" s="4556"/>
      <c r="GE7" s="4556"/>
      <c r="GF7" s="4556"/>
      <c r="GG7" s="4556"/>
      <c r="GH7" s="4556"/>
      <c r="GI7" s="4556"/>
      <c r="GJ7" s="4556"/>
      <c r="GK7" s="4556"/>
      <c r="GL7" s="4556"/>
      <c r="GM7" s="4560"/>
      <c r="GN7" s="2764"/>
      <c r="GO7" s="2911">
        <v>25196</v>
      </c>
      <c r="GP7" s="2912">
        <v>30333</v>
      </c>
      <c r="GQ7" s="2912">
        <v>35143</v>
      </c>
      <c r="GR7" s="2913">
        <v>27293</v>
      </c>
      <c r="GS7" s="2914">
        <v>34740</v>
      </c>
      <c r="GT7" s="2915">
        <v>37746</v>
      </c>
      <c r="GU7" s="2915">
        <v>36683</v>
      </c>
      <c r="GV7" s="2916">
        <v>27976</v>
      </c>
      <c r="GW7" s="2917">
        <v>29403</v>
      </c>
      <c r="GX7" s="2918">
        <v>38979</v>
      </c>
      <c r="GY7" s="2919">
        <v>34706</v>
      </c>
      <c r="GZ7" s="2919">
        <v>26667</v>
      </c>
      <c r="HA7" s="2920">
        <v>27938</v>
      </c>
      <c r="HB7" s="2921">
        <v>34498</v>
      </c>
      <c r="HC7" s="2921">
        <v>32710</v>
      </c>
      <c r="HD7" s="2922">
        <v>26718</v>
      </c>
      <c r="HE7" s="2923">
        <v>29703</v>
      </c>
      <c r="HF7" s="2924">
        <v>37107</v>
      </c>
      <c r="HG7" s="2924">
        <v>33883</v>
      </c>
      <c r="HH7" s="2925">
        <v>29629</v>
      </c>
      <c r="HI7" s="2921">
        <v>29304</v>
      </c>
      <c r="HJ7" s="2921">
        <v>39608</v>
      </c>
      <c r="HK7" s="2921">
        <v>38851</v>
      </c>
      <c r="HL7" s="2921">
        <v>32862</v>
      </c>
      <c r="HM7" s="2926">
        <v>34202</v>
      </c>
      <c r="HN7" s="2926">
        <v>39103</v>
      </c>
      <c r="HO7" s="2926">
        <v>36756</v>
      </c>
      <c r="HP7" s="2926">
        <v>31534</v>
      </c>
      <c r="HQ7" s="2927">
        <v>33410</v>
      </c>
      <c r="HR7" s="2927">
        <v>41193</v>
      </c>
      <c r="HS7" s="2927">
        <f t="shared" ref="HS7:HS33" si="32">+CP7+CQ7+CR7</f>
        <v>37729</v>
      </c>
      <c r="HT7" s="2927">
        <v>34798</v>
      </c>
      <c r="HU7" s="2928">
        <v>38514</v>
      </c>
      <c r="HV7" s="2928">
        <f t="shared" ref="HV7:HV33" si="33">+CY7+CZ7+DA7</f>
        <v>44307</v>
      </c>
      <c r="HW7" s="2928">
        <f t="shared" ref="HW7:HW33" si="34">+DB7+DC7+DD7</f>
        <v>42262</v>
      </c>
      <c r="HX7" s="2927">
        <f t="shared" ref="HX7:HX33" si="35">+DE7+DF7+DG7</f>
        <v>38761</v>
      </c>
      <c r="HY7" s="2846">
        <f t="shared" ref="HY7:HY33" si="36">+DH7+DI7+DJ7</f>
        <v>42524</v>
      </c>
      <c r="HZ7" s="2846">
        <f t="shared" ref="HZ7:HZ33" si="37">+DM7+DL7+DK7</f>
        <v>48459</v>
      </c>
      <c r="IA7" s="2846">
        <f t="shared" ref="IA7:IA33" si="38">+DS7+DO7+DN7</f>
        <v>47714</v>
      </c>
      <c r="IB7" s="2846">
        <f t="shared" ref="IB7:IB33" si="39">+DQ7+DR7+DS7</f>
        <v>31315</v>
      </c>
      <c r="IC7" s="2921">
        <f t="shared" ref="IC7:IC33" si="40">+DT7+DU7+DV7</f>
        <v>32819</v>
      </c>
      <c r="ID7" s="2921">
        <f t="shared" ref="ID7:ID33" si="41">+DW7+DX7+DY7</f>
        <v>42073</v>
      </c>
      <c r="IE7" s="2921">
        <f t="shared" ref="IE7:IE33" si="42">+DZ7+EA7+EB7</f>
        <v>35849</v>
      </c>
      <c r="IF7" s="2921">
        <f t="shared" ref="IF7:IF33" si="43">+EC7+ED7+EE7</f>
        <v>31465</v>
      </c>
      <c r="IG7" s="2929">
        <f t="shared" ref="IG7:IG33" si="44">EF7+EG7+EH7</f>
        <v>37427</v>
      </c>
      <c r="IH7" s="2926">
        <f t="shared" ref="IH7:IH33" si="45">EI7+EJ7+EK7</f>
        <v>44506</v>
      </c>
      <c r="II7" s="2926">
        <f t="shared" ref="II7:II33" si="46">EL7+EM7+EN7</f>
        <v>35414</v>
      </c>
      <c r="IJ7" s="2926">
        <f t="shared" ref="IJ7:IJ33" si="47">EO7+EP7+EQ7</f>
        <v>31395</v>
      </c>
      <c r="IK7" s="2930">
        <f t="shared" ref="IK7:IK33" si="48">ER7+ES7+ET7</f>
        <v>35416</v>
      </c>
      <c r="IL7" s="2931">
        <f t="shared" ref="IL7:IL33" si="49">EU7+EV7+EW7</f>
        <v>47693</v>
      </c>
      <c r="IM7" s="2931">
        <f t="shared" ref="IM7:IM33" si="50">EX7+EY7+EZ7</f>
        <v>52498</v>
      </c>
      <c r="IN7" s="2931">
        <f t="shared" ref="IN7:IN33" si="51">FA7+FB7+FC7</f>
        <v>44908</v>
      </c>
      <c r="IO7" s="2932">
        <f t="shared" ref="IO7:IO33" si="52">FD7+FE7+FF7</f>
        <v>39123</v>
      </c>
      <c r="IP7" s="2933">
        <f t="shared" ref="IP7:IP33" si="53">FG7+FH7+FI7</f>
        <v>804</v>
      </c>
      <c r="IQ7" s="2933">
        <f t="shared" ref="IQ7:IQ14" si="54">EX7+EY7+EZ7</f>
        <v>52498</v>
      </c>
      <c r="IR7" s="2934">
        <f t="shared" ref="IR7:IR33" si="55">FM7+FN7+FO7</f>
        <v>13510</v>
      </c>
      <c r="IS7" s="2929">
        <f t="shared" ref="IS7:IS33" si="56">FP7+FQ7+FR7</f>
        <v>13432</v>
      </c>
      <c r="IT7" s="2926">
        <f t="shared" ref="IT7:IT33" si="57">FS7+FT7+FU7</f>
        <v>22573</v>
      </c>
      <c r="IU7" s="2926">
        <f t="shared" ref="IU7:IU33" si="58">FV7+FW7+FX7</f>
        <v>32316</v>
      </c>
      <c r="IV7" s="2926">
        <f t="shared" ref="IV7:IV34" si="59">FY7+FZ7+GA7</f>
        <v>42810</v>
      </c>
      <c r="IW7" s="4571">
        <f>GB7+GC7+GD7</f>
        <v>0</v>
      </c>
      <c r="IX7" s="2921">
        <f>GE7+GF7+GG7</f>
        <v>0</v>
      </c>
      <c r="IY7" s="2921">
        <f>GH7+GI7+GJ7</f>
        <v>0</v>
      </c>
      <c r="IZ7" s="4572">
        <f>GK7+GL7+GM7</f>
        <v>0</v>
      </c>
      <c r="JA7" s="4545"/>
      <c r="JB7" s="3544">
        <v>117965</v>
      </c>
      <c r="JC7" s="3545">
        <v>137145</v>
      </c>
      <c r="JD7" s="3545">
        <v>129755</v>
      </c>
      <c r="JE7" s="3545">
        <v>121864</v>
      </c>
      <c r="JF7" s="3545">
        <v>130322</v>
      </c>
      <c r="JG7" s="3545">
        <v>140625</v>
      </c>
      <c r="JH7" s="3546">
        <v>141595</v>
      </c>
      <c r="JI7" s="3547">
        <v>147130</v>
      </c>
      <c r="JJ7" s="3547">
        <f t="shared" ref="JJ7:JJ33" si="60">SUM(CV7:DG7)</f>
        <v>163844</v>
      </c>
      <c r="JK7" s="3547">
        <f t="shared" ref="JK7:JK33" si="61">SUM(DH7:DS7)</f>
        <v>163848</v>
      </c>
      <c r="JL7" s="3547">
        <f t="shared" ref="JL7:JL33" si="62">SUM(DT7:EE7)</f>
        <v>142206</v>
      </c>
      <c r="JM7" s="3561">
        <f t="shared" ref="JM7:JM33" si="63">SUM(EF7:EQ7)</f>
        <v>148742</v>
      </c>
      <c r="JN7" s="3562">
        <f t="shared" si="24"/>
        <v>180515</v>
      </c>
      <c r="JO7" s="3563">
        <f t="shared" ref="JO7:JO33" si="64">SUM(FD7:FO7)</f>
        <v>57715</v>
      </c>
      <c r="JP7" s="3564">
        <f>SUM(FP7:GA7)</f>
        <v>111131</v>
      </c>
      <c r="JQ7" s="3564">
        <f>SUM(FP7:GA7)</f>
        <v>111131</v>
      </c>
      <c r="JS7" s="3765">
        <f>SUM(FP7:GA7)</f>
        <v>111131</v>
      </c>
      <c r="JT7" s="3765">
        <f>SUM(FP7:GA7)</f>
        <v>111131</v>
      </c>
      <c r="JV7" s="3551">
        <f>AVERAGE(JO7:JQ7)</f>
        <v>93325.666666666672</v>
      </c>
      <c r="JW7" s="3552">
        <f t="shared" ref="JW7:JW33" si="65">JK7/$JK$39</f>
        <v>0.2610599305956095</v>
      </c>
      <c r="JX7" s="3552">
        <f t="shared" ref="JX7:JX33" si="66">JL7/$JL$39</f>
        <v>0.2177963674568982</v>
      </c>
      <c r="JY7" s="3552">
        <f>JM7/$JM$39</f>
        <v>0.2143092818559966</v>
      </c>
      <c r="JZ7" s="3552">
        <f t="shared" ref="JZ7:JZ33" si="67">JN7/$JN$39</f>
        <v>0.26275836972343525</v>
      </c>
      <c r="KA7" s="3552">
        <f t="shared" ref="KA7:KA33" si="68">JO7/$JO$39</f>
        <v>0.30153024706515436</v>
      </c>
      <c r="KB7" s="4575">
        <f t="shared" ref="KB7:KB37" si="69">JP7/$JP$39</f>
        <v>0.39548961551054107</v>
      </c>
      <c r="KC7" s="3565">
        <f>JQ7/$JQ$39</f>
        <v>0.39548961551054107</v>
      </c>
      <c r="KD7" s="3552"/>
      <c r="KE7" s="3554">
        <f t="shared" ref="KE7:KE33" si="70">JL7/JK7-1</f>
        <v>-0.13208583565255605</v>
      </c>
      <c r="KF7" s="3555">
        <f t="shared" ref="KF7:KF33" si="71">JV7/JK7-1</f>
        <v>-0.43041314714450785</v>
      </c>
      <c r="KG7" s="3555">
        <f t="shared" ref="KG7:KG33" si="72">JM7/JL7-1</f>
        <v>4.5961492482736288E-2</v>
      </c>
      <c r="KH7" s="3555">
        <f t="shared" ref="KH7:KH33" si="73">JN7/JM7-1</f>
        <v>0.21361148834895327</v>
      </c>
      <c r="KI7" s="3555">
        <f t="shared" ref="KI7:KI33" si="74">JO7/JN7-1</f>
        <v>-0.68027587735091266</v>
      </c>
      <c r="KJ7" s="3556">
        <f t="shared" ref="KJ7:KJ33" si="75">JP7/JN7-1</f>
        <v>-0.38436695011494892</v>
      </c>
      <c r="KK7" s="3557">
        <f>JP7/JO7-1</f>
        <v>0.9255132981027463</v>
      </c>
      <c r="KM7" s="3231"/>
      <c r="KN7" s="3231"/>
      <c r="KO7" s="3231"/>
      <c r="KP7" s="3231"/>
      <c r="KQ7" s="3231"/>
      <c r="KR7" s="3231"/>
      <c r="KS7" s="3231"/>
      <c r="KT7" s="3231"/>
      <c r="KU7" s="3231"/>
      <c r="KV7" s="3231"/>
      <c r="KW7" s="3231"/>
      <c r="KX7" s="3231"/>
      <c r="KY7" s="3231"/>
      <c r="KZ7" s="3231"/>
      <c r="LA7" s="3231"/>
      <c r="LB7" s="3231"/>
      <c r="LC7" s="3231"/>
      <c r="LD7" s="3231"/>
      <c r="LE7" s="3231"/>
      <c r="LF7" s="3231"/>
      <c r="LG7" s="3231"/>
      <c r="LH7" s="3231"/>
      <c r="LI7" s="3231"/>
    </row>
    <row r="8" spans="1:321" ht="21.9" customHeight="1">
      <c r="A8" s="3558"/>
      <c r="B8" s="3231"/>
      <c r="C8" s="3559" t="s">
        <v>7</v>
      </c>
      <c r="D8" s="3516">
        <v>1324</v>
      </c>
      <c r="E8" s="3517">
        <v>1555</v>
      </c>
      <c r="F8" s="3517">
        <v>1410</v>
      </c>
      <c r="G8" s="3517">
        <v>1429</v>
      </c>
      <c r="H8" s="3517">
        <v>1418</v>
      </c>
      <c r="I8" s="3517">
        <v>2607</v>
      </c>
      <c r="J8" s="3517">
        <v>2835</v>
      </c>
      <c r="K8" s="3517">
        <v>2685</v>
      </c>
      <c r="L8" s="3517">
        <v>2112</v>
      </c>
      <c r="M8" s="3517">
        <v>1839</v>
      </c>
      <c r="N8" s="3517">
        <v>2329</v>
      </c>
      <c r="O8" s="3518">
        <v>2088</v>
      </c>
      <c r="P8" s="3519">
        <v>1837</v>
      </c>
      <c r="Q8" s="3520">
        <v>2639</v>
      </c>
      <c r="R8" s="3520">
        <v>1865</v>
      </c>
      <c r="S8" s="3520">
        <v>1646</v>
      </c>
      <c r="T8" s="3520">
        <v>2039</v>
      </c>
      <c r="U8" s="3520">
        <v>3303</v>
      </c>
      <c r="V8" s="3520">
        <v>2996</v>
      </c>
      <c r="W8" s="3520">
        <v>3169</v>
      </c>
      <c r="X8" s="3520">
        <v>2100</v>
      </c>
      <c r="Y8" s="3520">
        <v>1903</v>
      </c>
      <c r="Z8" s="3520">
        <v>2662</v>
      </c>
      <c r="AA8" s="3521">
        <v>1902</v>
      </c>
      <c r="AB8" s="3522">
        <v>2189</v>
      </c>
      <c r="AC8" s="3523">
        <v>2306</v>
      </c>
      <c r="AD8" s="3523">
        <v>2100</v>
      </c>
      <c r="AE8" s="3523">
        <v>2003</v>
      </c>
      <c r="AF8" s="3523">
        <v>3328</v>
      </c>
      <c r="AG8" s="3523">
        <v>4653</v>
      </c>
      <c r="AH8" s="3523">
        <v>3137</v>
      </c>
      <c r="AI8" s="3523">
        <v>3497</v>
      </c>
      <c r="AJ8" s="3523">
        <v>2351</v>
      </c>
      <c r="AK8" s="3523">
        <v>2125</v>
      </c>
      <c r="AL8" s="3523">
        <v>2575</v>
      </c>
      <c r="AM8" s="3524">
        <v>2250</v>
      </c>
      <c r="AN8" s="3525">
        <v>2074</v>
      </c>
      <c r="AO8" s="3526">
        <v>2222</v>
      </c>
      <c r="AP8" s="3526">
        <v>2157</v>
      </c>
      <c r="AQ8" s="3526">
        <v>1650</v>
      </c>
      <c r="AR8" s="3526">
        <v>2169</v>
      </c>
      <c r="AS8" s="3526">
        <v>4211</v>
      </c>
      <c r="AT8" s="3526">
        <v>3416</v>
      </c>
      <c r="AU8" s="3526">
        <v>3730</v>
      </c>
      <c r="AV8" s="3526">
        <v>2638</v>
      </c>
      <c r="AW8" s="3526">
        <v>2451</v>
      </c>
      <c r="AX8" s="3526">
        <v>2709</v>
      </c>
      <c r="AY8" s="3527">
        <v>2407</v>
      </c>
      <c r="AZ8" s="3463">
        <v>2245</v>
      </c>
      <c r="BA8" s="3463">
        <v>2360</v>
      </c>
      <c r="BB8" s="3463">
        <v>1994</v>
      </c>
      <c r="BC8" s="3463">
        <v>2054</v>
      </c>
      <c r="BD8" s="3463">
        <v>1974</v>
      </c>
      <c r="BE8" s="3463">
        <v>4580</v>
      </c>
      <c r="BF8" s="3463">
        <v>3668</v>
      </c>
      <c r="BG8" s="3463">
        <v>3797</v>
      </c>
      <c r="BH8" s="3463">
        <v>2808</v>
      </c>
      <c r="BI8" s="3463">
        <v>2386</v>
      </c>
      <c r="BJ8" s="3463">
        <v>2699</v>
      </c>
      <c r="BK8" s="3560">
        <v>2363</v>
      </c>
      <c r="BL8" s="3530">
        <v>2062</v>
      </c>
      <c r="BM8" s="3531">
        <v>2453</v>
      </c>
      <c r="BN8" s="3531">
        <v>2219</v>
      </c>
      <c r="BO8" s="3531">
        <v>2379</v>
      </c>
      <c r="BP8" s="3531">
        <v>2483</v>
      </c>
      <c r="BQ8" s="3531">
        <v>4629</v>
      </c>
      <c r="BR8" s="3531">
        <v>3352</v>
      </c>
      <c r="BS8" s="3531">
        <v>3785</v>
      </c>
      <c r="BT8" s="3532">
        <v>3170</v>
      </c>
      <c r="BU8" s="3532">
        <v>2516</v>
      </c>
      <c r="BV8" s="3532">
        <v>2627</v>
      </c>
      <c r="BW8" s="3533">
        <v>2343</v>
      </c>
      <c r="BX8" s="3534">
        <v>2275</v>
      </c>
      <c r="BY8" s="3459">
        <v>2408</v>
      </c>
      <c r="BZ8" s="3459">
        <v>2259</v>
      </c>
      <c r="CA8" s="3459">
        <v>2051</v>
      </c>
      <c r="CB8" s="3459">
        <v>2962</v>
      </c>
      <c r="CC8" s="3459">
        <v>4633</v>
      </c>
      <c r="CD8" s="3459">
        <v>3650</v>
      </c>
      <c r="CE8" s="3459">
        <v>3942</v>
      </c>
      <c r="CF8" s="3459">
        <v>3578</v>
      </c>
      <c r="CG8" s="3459">
        <v>2866</v>
      </c>
      <c r="CH8" s="3459">
        <v>3622</v>
      </c>
      <c r="CI8" s="3461">
        <v>3262</v>
      </c>
      <c r="CJ8" s="3535">
        <v>4693</v>
      </c>
      <c r="CK8" s="3536">
        <v>3329</v>
      </c>
      <c r="CL8" s="3536">
        <v>3172</v>
      </c>
      <c r="CM8" s="3536">
        <v>2855</v>
      </c>
      <c r="CN8" s="3536">
        <v>3070</v>
      </c>
      <c r="CO8" s="3536">
        <v>1437</v>
      </c>
      <c r="CP8" s="3536">
        <v>4812</v>
      </c>
      <c r="CQ8" s="3536">
        <v>4547</v>
      </c>
      <c r="CR8" s="3536">
        <v>3616</v>
      </c>
      <c r="CS8" s="3536">
        <v>3498</v>
      </c>
      <c r="CT8" s="3536">
        <v>3618</v>
      </c>
      <c r="CU8" s="3537">
        <v>3484</v>
      </c>
      <c r="CV8" s="3535">
        <v>3113</v>
      </c>
      <c r="CW8" s="3536">
        <v>3325</v>
      </c>
      <c r="CX8" s="3458">
        <v>3195</v>
      </c>
      <c r="CY8" s="3458">
        <v>2623</v>
      </c>
      <c r="CZ8" s="3458">
        <v>3137</v>
      </c>
      <c r="DA8" s="3458">
        <v>5235</v>
      </c>
      <c r="DB8" s="3458">
        <v>4766</v>
      </c>
      <c r="DC8" s="3458">
        <v>4153</v>
      </c>
      <c r="DD8" s="3458">
        <v>3633</v>
      </c>
      <c r="DE8" s="3458">
        <v>3383</v>
      </c>
      <c r="DF8" s="3458">
        <v>3320</v>
      </c>
      <c r="DG8" s="3537">
        <v>3878</v>
      </c>
      <c r="DH8" s="3538">
        <v>2964</v>
      </c>
      <c r="DI8" s="3539">
        <v>3137</v>
      </c>
      <c r="DJ8" s="3539">
        <v>3077</v>
      </c>
      <c r="DK8" s="3540">
        <v>2577</v>
      </c>
      <c r="DL8" s="3540">
        <v>2847</v>
      </c>
      <c r="DM8" s="3540">
        <v>5765</v>
      </c>
      <c r="DN8" s="3540">
        <v>4826</v>
      </c>
      <c r="DO8" s="3540">
        <v>4045</v>
      </c>
      <c r="DP8" s="2713">
        <v>2741</v>
      </c>
      <c r="DQ8" s="3540">
        <v>2404</v>
      </c>
      <c r="DR8" s="3540">
        <v>2367</v>
      </c>
      <c r="DS8" s="3541">
        <v>2423</v>
      </c>
      <c r="DT8" s="3542">
        <v>1937</v>
      </c>
      <c r="DU8" s="3429">
        <v>1872</v>
      </c>
      <c r="DV8" s="3429">
        <v>1901</v>
      </c>
      <c r="DW8" s="3350">
        <v>2061</v>
      </c>
      <c r="DX8" s="3350">
        <v>1740</v>
      </c>
      <c r="DY8" s="3350">
        <v>3360</v>
      </c>
      <c r="DZ8" s="3350">
        <v>2960</v>
      </c>
      <c r="EA8" s="3350">
        <v>2392</v>
      </c>
      <c r="EB8" s="3350">
        <v>2217</v>
      </c>
      <c r="EC8" s="3350">
        <v>2173</v>
      </c>
      <c r="ED8" s="3350">
        <v>2397</v>
      </c>
      <c r="EE8" s="3349">
        <v>2655</v>
      </c>
      <c r="EF8" s="2689">
        <v>2327</v>
      </c>
      <c r="EG8" s="2688">
        <v>2245</v>
      </c>
      <c r="EH8" s="2688">
        <v>2500</v>
      </c>
      <c r="EI8" s="2688">
        <v>2062</v>
      </c>
      <c r="EJ8" s="2688">
        <v>2145</v>
      </c>
      <c r="EK8" s="2688">
        <v>3948</v>
      </c>
      <c r="EL8" s="2688">
        <v>3670</v>
      </c>
      <c r="EM8" s="2714">
        <v>3213</v>
      </c>
      <c r="EN8" s="2714">
        <v>2579</v>
      </c>
      <c r="EO8" s="2715">
        <v>2489</v>
      </c>
      <c r="EP8" s="2715">
        <v>2626</v>
      </c>
      <c r="EQ8" s="2716">
        <v>2981</v>
      </c>
      <c r="ER8" s="1345">
        <v>1985</v>
      </c>
      <c r="ES8" s="3543">
        <v>2280</v>
      </c>
      <c r="ET8" s="3543">
        <v>2141</v>
      </c>
      <c r="EU8" s="2717">
        <v>2248</v>
      </c>
      <c r="EV8" s="2159">
        <v>4117</v>
      </c>
      <c r="EW8" s="2159">
        <v>7279</v>
      </c>
      <c r="EX8" s="2159">
        <v>8646</v>
      </c>
      <c r="EY8" s="2159">
        <v>7778</v>
      </c>
      <c r="EZ8" s="2159">
        <v>6031</v>
      </c>
      <c r="FA8" s="2339">
        <v>4476</v>
      </c>
      <c r="FB8" s="2339">
        <v>5469</v>
      </c>
      <c r="FC8" s="2339">
        <v>7951</v>
      </c>
      <c r="FD8" s="2772">
        <v>4895</v>
      </c>
      <c r="FE8" s="2773">
        <v>5061</v>
      </c>
      <c r="FF8" s="2773">
        <v>1744</v>
      </c>
      <c r="FG8" s="2773">
        <v>42</v>
      </c>
      <c r="FH8" s="2773">
        <v>49</v>
      </c>
      <c r="FI8" s="2773">
        <v>94</v>
      </c>
      <c r="FJ8" s="2773">
        <v>976</v>
      </c>
      <c r="FK8" s="2773">
        <v>912</v>
      </c>
      <c r="FL8" s="2773">
        <v>1188</v>
      </c>
      <c r="FM8" s="2773">
        <v>1364</v>
      </c>
      <c r="FN8" s="2773">
        <v>1646</v>
      </c>
      <c r="FO8" s="2774">
        <v>2750</v>
      </c>
      <c r="FP8" s="2772">
        <v>1919</v>
      </c>
      <c r="FQ8" s="2773">
        <v>1570</v>
      </c>
      <c r="FR8" s="2773">
        <v>2021</v>
      </c>
      <c r="FS8" s="2773">
        <v>1576</v>
      </c>
      <c r="FT8" s="2773">
        <v>1611</v>
      </c>
      <c r="FU8" s="2773">
        <v>3149</v>
      </c>
      <c r="FV8" s="2773">
        <v>5451</v>
      </c>
      <c r="FW8" s="2773">
        <v>4538</v>
      </c>
      <c r="FX8" s="2773">
        <v>3430</v>
      </c>
      <c r="FY8" s="2773">
        <v>3922</v>
      </c>
      <c r="FZ8" s="2773">
        <v>4089</v>
      </c>
      <c r="GA8" s="2774">
        <v>5191</v>
      </c>
      <c r="GB8" s="4559"/>
      <c r="GC8" s="4556"/>
      <c r="GD8" s="4556"/>
      <c r="GE8" s="4556"/>
      <c r="GF8" s="4556"/>
      <c r="GG8" s="4556"/>
      <c r="GH8" s="4556"/>
      <c r="GI8" s="4556"/>
      <c r="GJ8" s="4556"/>
      <c r="GK8" s="4556"/>
      <c r="GL8" s="4556"/>
      <c r="GM8" s="4560"/>
      <c r="GN8" s="2764"/>
      <c r="GO8" s="2911">
        <v>4289</v>
      </c>
      <c r="GP8" s="2912">
        <v>5454</v>
      </c>
      <c r="GQ8" s="2912">
        <v>7632</v>
      </c>
      <c r="GR8" s="2913">
        <v>6256</v>
      </c>
      <c r="GS8" s="2914">
        <v>6341</v>
      </c>
      <c r="GT8" s="2915">
        <v>6988</v>
      </c>
      <c r="GU8" s="2915">
        <v>8265</v>
      </c>
      <c r="GV8" s="2916">
        <v>6467</v>
      </c>
      <c r="GW8" s="2917">
        <v>6595</v>
      </c>
      <c r="GX8" s="2918">
        <v>9984</v>
      </c>
      <c r="GY8" s="2919">
        <v>8985</v>
      </c>
      <c r="GZ8" s="2919">
        <v>6950</v>
      </c>
      <c r="HA8" s="2920">
        <v>6453</v>
      </c>
      <c r="HB8" s="2921">
        <v>8030</v>
      </c>
      <c r="HC8" s="2921">
        <v>9784</v>
      </c>
      <c r="HD8" s="2922">
        <v>7567</v>
      </c>
      <c r="HE8" s="2923">
        <v>6599</v>
      </c>
      <c r="HF8" s="2924">
        <v>8608</v>
      </c>
      <c r="HG8" s="2924">
        <v>10273</v>
      </c>
      <c r="HH8" s="2925">
        <v>7448</v>
      </c>
      <c r="HI8" s="2921">
        <v>6734</v>
      </c>
      <c r="HJ8" s="2921">
        <v>9491</v>
      </c>
      <c r="HK8" s="2921">
        <v>10307</v>
      </c>
      <c r="HL8" s="2921">
        <v>7486</v>
      </c>
      <c r="HM8" s="2926">
        <v>6942</v>
      </c>
      <c r="HN8" s="2926">
        <v>9646</v>
      </c>
      <c r="HO8" s="2926">
        <v>11170</v>
      </c>
      <c r="HP8" s="2926">
        <v>9750</v>
      </c>
      <c r="HQ8" s="2927">
        <v>11194</v>
      </c>
      <c r="HR8" s="2927">
        <v>7362</v>
      </c>
      <c r="HS8" s="2927">
        <f t="shared" si="32"/>
        <v>12975</v>
      </c>
      <c r="HT8" s="2927">
        <v>10600</v>
      </c>
      <c r="HU8" s="2928">
        <v>9633</v>
      </c>
      <c r="HV8" s="2928">
        <f t="shared" si="33"/>
        <v>10995</v>
      </c>
      <c r="HW8" s="2928">
        <f t="shared" si="34"/>
        <v>12552</v>
      </c>
      <c r="HX8" s="2927">
        <f t="shared" si="35"/>
        <v>10581</v>
      </c>
      <c r="HY8" s="2846">
        <f t="shared" si="36"/>
        <v>9178</v>
      </c>
      <c r="HZ8" s="2846">
        <f t="shared" si="37"/>
        <v>11189</v>
      </c>
      <c r="IA8" s="2846">
        <f t="shared" si="38"/>
        <v>11294</v>
      </c>
      <c r="IB8" s="2846">
        <f t="shared" si="39"/>
        <v>7194</v>
      </c>
      <c r="IC8" s="2921">
        <f t="shared" si="40"/>
        <v>5710</v>
      </c>
      <c r="ID8" s="2921">
        <f t="shared" si="41"/>
        <v>7161</v>
      </c>
      <c r="IE8" s="2921">
        <f t="shared" si="42"/>
        <v>7569</v>
      </c>
      <c r="IF8" s="2921">
        <f t="shared" si="43"/>
        <v>7225</v>
      </c>
      <c r="IG8" s="2929">
        <f t="shared" si="44"/>
        <v>7072</v>
      </c>
      <c r="IH8" s="2926">
        <f t="shared" si="45"/>
        <v>8155</v>
      </c>
      <c r="II8" s="2926">
        <f t="shared" si="46"/>
        <v>9462</v>
      </c>
      <c r="IJ8" s="2926">
        <f t="shared" si="47"/>
        <v>8096</v>
      </c>
      <c r="IK8" s="2930">
        <f t="shared" si="48"/>
        <v>6406</v>
      </c>
      <c r="IL8" s="2931">
        <f t="shared" si="49"/>
        <v>13644</v>
      </c>
      <c r="IM8" s="2931">
        <f t="shared" si="50"/>
        <v>22455</v>
      </c>
      <c r="IN8" s="2931">
        <f t="shared" si="51"/>
        <v>17896</v>
      </c>
      <c r="IO8" s="2932">
        <f t="shared" si="52"/>
        <v>11700</v>
      </c>
      <c r="IP8" s="2933">
        <f t="shared" si="53"/>
        <v>185</v>
      </c>
      <c r="IQ8" s="2933">
        <f t="shared" si="54"/>
        <v>22455</v>
      </c>
      <c r="IR8" s="2934">
        <f t="shared" si="55"/>
        <v>5760</v>
      </c>
      <c r="IS8" s="2929">
        <f t="shared" si="56"/>
        <v>5510</v>
      </c>
      <c r="IT8" s="2926">
        <f t="shared" si="57"/>
        <v>6336</v>
      </c>
      <c r="IU8" s="2926">
        <f t="shared" si="58"/>
        <v>13419</v>
      </c>
      <c r="IV8" s="2926">
        <f t="shared" si="59"/>
        <v>13202</v>
      </c>
      <c r="IW8" s="4571">
        <f t="shared" ref="IW8:IW38" si="76">GB8+GC8+GD8</f>
        <v>0</v>
      </c>
      <c r="IX8" s="2921">
        <f t="shared" ref="IX8:IX38" si="77">GE8+GF8+GG8</f>
        <v>0</v>
      </c>
      <c r="IY8" s="2921">
        <f t="shared" ref="IY8:IY38" si="78">GH8+GI8+GJ8</f>
        <v>0</v>
      </c>
      <c r="IZ8" s="4572">
        <f t="shared" ref="IZ8:IZ38" si="79">GK8+GL8+GM8</f>
        <v>0</v>
      </c>
      <c r="JA8" s="4545"/>
      <c r="JB8" s="3544">
        <v>23631</v>
      </c>
      <c r="JC8" s="3545">
        <v>28061</v>
      </c>
      <c r="JD8" s="3545">
        <v>32514</v>
      </c>
      <c r="JE8" s="3545">
        <v>31834</v>
      </c>
      <c r="JF8" s="3545">
        <v>32928</v>
      </c>
      <c r="JG8" s="3545">
        <v>34018</v>
      </c>
      <c r="JH8" s="3546">
        <v>37508</v>
      </c>
      <c r="JI8" s="3547">
        <v>42131</v>
      </c>
      <c r="JJ8" s="3547">
        <f t="shared" si="60"/>
        <v>43761</v>
      </c>
      <c r="JK8" s="3547">
        <f t="shared" si="61"/>
        <v>39173</v>
      </c>
      <c r="JL8" s="3547">
        <f t="shared" si="62"/>
        <v>27665</v>
      </c>
      <c r="JM8" s="3547">
        <f t="shared" si="63"/>
        <v>32785</v>
      </c>
      <c r="JN8" s="3548">
        <f t="shared" si="24"/>
        <v>60401</v>
      </c>
      <c r="JO8" s="3566">
        <f t="shared" si="64"/>
        <v>20721</v>
      </c>
      <c r="JP8" s="3564">
        <f t="shared" ref="JP8:JP38" si="80">SUM(FP8:GA8)</f>
        <v>38467</v>
      </c>
      <c r="JQ8" s="3564">
        <f t="shared" ref="JQ8:JQ38" si="81">SUM(FP8:GA8)</f>
        <v>38467</v>
      </c>
      <c r="JS8" s="3765">
        <f t="shared" ref="JS8:JS38" si="82">SUM(FP8:GA8)</f>
        <v>38467</v>
      </c>
      <c r="JT8" s="3765">
        <f t="shared" ref="JT8:JT38" si="83">SUM(FP8:GA8)</f>
        <v>38467</v>
      </c>
      <c r="JV8" s="3551">
        <f t="shared" ref="JV8:JV39" si="84">AVERAGE(JO8:JQ8)</f>
        <v>32551.666666666668</v>
      </c>
      <c r="JW8" s="3552">
        <f t="shared" si="65"/>
        <v>6.2414558988952019E-2</v>
      </c>
      <c r="JX8" s="3552">
        <f t="shared" si="66"/>
        <v>4.2370480188565103E-2</v>
      </c>
      <c r="JY8" s="3552">
        <f t="shared" ref="JY8:JY33" si="85">JM8/$JN$39</f>
        <v>4.772197962154294E-2</v>
      </c>
      <c r="JZ8" s="3552">
        <f t="shared" si="67"/>
        <v>8.7919941775836966E-2</v>
      </c>
      <c r="KA8" s="3552">
        <f t="shared" si="68"/>
        <v>0.10825622887355217</v>
      </c>
      <c r="KB8" s="4575">
        <f t="shared" si="69"/>
        <v>0.13689518712010135</v>
      </c>
      <c r="KC8" s="3565">
        <f t="shared" ref="KC8:KC38" si="86">JQ8/$JQ$39</f>
        <v>0.13689518712010135</v>
      </c>
      <c r="KD8" s="3552"/>
      <c r="KE8" s="3554">
        <f t="shared" si="70"/>
        <v>-0.29377377275164018</v>
      </c>
      <c r="KF8" s="3555">
        <f t="shared" si="71"/>
        <v>-0.16902798696381005</v>
      </c>
      <c r="KG8" s="3555">
        <f t="shared" si="72"/>
        <v>0.18507138984276161</v>
      </c>
      <c r="KH8" s="3555">
        <f t="shared" si="73"/>
        <v>0.84233643434497485</v>
      </c>
      <c r="KI8" s="3555">
        <f t="shared" si="74"/>
        <v>-0.65694276584824762</v>
      </c>
      <c r="KJ8" s="3556">
        <f t="shared" si="75"/>
        <v>-0.36313968311782918</v>
      </c>
      <c r="KK8" s="3557">
        <f t="shared" ref="KK8:KK38" si="87">IF(JO8="","",JP8/JO8-1)</f>
        <v>0.85642584817335066</v>
      </c>
      <c r="KM8" s="3231"/>
      <c r="KN8" s="3231"/>
      <c r="KO8" s="3231"/>
      <c r="KP8" s="3231"/>
      <c r="KQ8" s="3231"/>
      <c r="KR8" s="3231"/>
      <c r="KS8" s="3231"/>
      <c r="KT8" s="3231"/>
      <c r="KU8" s="3231"/>
      <c r="KV8" s="3231"/>
      <c r="KW8" s="3231"/>
      <c r="KX8" s="3231"/>
      <c r="KY8" s="3231"/>
      <c r="KZ8" s="3231"/>
      <c r="LA8" s="3231"/>
      <c r="LB8" s="3231"/>
      <c r="LC8" s="3231"/>
      <c r="LD8" s="3231"/>
      <c r="LE8" s="3231"/>
      <c r="LF8" s="3231"/>
      <c r="LG8" s="3231"/>
      <c r="LH8" s="3231"/>
      <c r="LI8" s="3231"/>
    </row>
    <row r="9" spans="1:321" ht="21.9" customHeight="1">
      <c r="A9" s="3558"/>
      <c r="B9" s="3231"/>
      <c r="C9" s="3559" t="s">
        <v>6</v>
      </c>
      <c r="D9" s="3516">
        <v>3612</v>
      </c>
      <c r="E9" s="3517">
        <v>3116</v>
      </c>
      <c r="F9" s="3517">
        <v>3978</v>
      </c>
      <c r="G9" s="3517">
        <v>3576</v>
      </c>
      <c r="H9" s="3517">
        <v>3473</v>
      </c>
      <c r="I9" s="3517">
        <v>4582</v>
      </c>
      <c r="J9" s="3517">
        <v>4498</v>
      </c>
      <c r="K9" s="3517">
        <v>4352</v>
      </c>
      <c r="L9" s="3517">
        <v>3527</v>
      </c>
      <c r="M9" s="3517">
        <v>4205</v>
      </c>
      <c r="N9" s="3517">
        <v>3971</v>
      </c>
      <c r="O9" s="3518">
        <v>4158</v>
      </c>
      <c r="P9" s="3519">
        <v>4338</v>
      </c>
      <c r="Q9" s="3520">
        <v>5058</v>
      </c>
      <c r="R9" s="3520">
        <v>3960</v>
      </c>
      <c r="S9" s="3520">
        <v>3703</v>
      </c>
      <c r="T9" s="3520">
        <v>3953</v>
      </c>
      <c r="U9" s="3520">
        <v>4572</v>
      </c>
      <c r="V9" s="3520">
        <v>4180</v>
      </c>
      <c r="W9" s="3520">
        <v>4336</v>
      </c>
      <c r="X9" s="3520">
        <v>4204</v>
      </c>
      <c r="Y9" s="3520">
        <v>4674</v>
      </c>
      <c r="Z9" s="3520">
        <v>4854</v>
      </c>
      <c r="AA9" s="3521">
        <v>4274</v>
      </c>
      <c r="AB9" s="3522">
        <v>4073</v>
      </c>
      <c r="AC9" s="3523">
        <v>2886</v>
      </c>
      <c r="AD9" s="3523">
        <v>3369</v>
      </c>
      <c r="AE9" s="3523">
        <v>3480</v>
      </c>
      <c r="AF9" s="3523">
        <v>3860</v>
      </c>
      <c r="AG9" s="3523">
        <v>4240</v>
      </c>
      <c r="AH9" s="3523">
        <v>3540</v>
      </c>
      <c r="AI9" s="3523">
        <v>3377</v>
      </c>
      <c r="AJ9" s="3523">
        <v>3115</v>
      </c>
      <c r="AK9" s="3523">
        <v>3286</v>
      </c>
      <c r="AL9" s="3523">
        <v>3811</v>
      </c>
      <c r="AM9" s="3524">
        <v>4393</v>
      </c>
      <c r="AN9" s="3525">
        <v>4213</v>
      </c>
      <c r="AO9" s="3526">
        <v>5082</v>
      </c>
      <c r="AP9" s="3526">
        <v>4528</v>
      </c>
      <c r="AQ9" s="3526">
        <v>3869</v>
      </c>
      <c r="AR9" s="3526">
        <v>4155</v>
      </c>
      <c r="AS9" s="3526">
        <v>4580</v>
      </c>
      <c r="AT9" s="3526">
        <v>3726</v>
      </c>
      <c r="AU9" s="3526">
        <v>4284</v>
      </c>
      <c r="AV9" s="3526">
        <v>4206</v>
      </c>
      <c r="AW9" s="3526">
        <v>3205</v>
      </c>
      <c r="AX9" s="3526">
        <v>4265</v>
      </c>
      <c r="AY9" s="3527">
        <v>5299</v>
      </c>
      <c r="AZ9" s="3463">
        <v>4599</v>
      </c>
      <c r="BA9" s="3463">
        <v>4035</v>
      </c>
      <c r="BB9" s="3463">
        <v>4283</v>
      </c>
      <c r="BC9" s="3463">
        <v>4324</v>
      </c>
      <c r="BD9" s="3463">
        <v>4000</v>
      </c>
      <c r="BE9" s="3463">
        <v>4403</v>
      </c>
      <c r="BF9" s="3463">
        <v>4279</v>
      </c>
      <c r="BG9" s="3463">
        <v>4167</v>
      </c>
      <c r="BH9" s="3463">
        <v>3958</v>
      </c>
      <c r="BI9" s="3463">
        <v>4138</v>
      </c>
      <c r="BJ9" s="3463">
        <v>4519</v>
      </c>
      <c r="BK9" s="3560">
        <v>5404</v>
      </c>
      <c r="BL9" s="3530">
        <v>4222</v>
      </c>
      <c r="BM9" s="3531">
        <v>3651</v>
      </c>
      <c r="BN9" s="3531">
        <v>5058</v>
      </c>
      <c r="BO9" s="3531">
        <v>5339</v>
      </c>
      <c r="BP9" s="3531">
        <v>5273</v>
      </c>
      <c r="BQ9" s="3531">
        <v>7476</v>
      </c>
      <c r="BR9" s="3531">
        <v>6425</v>
      </c>
      <c r="BS9" s="3531">
        <v>5246</v>
      </c>
      <c r="BT9" s="3532">
        <v>5162</v>
      </c>
      <c r="BU9" s="3532">
        <v>6180</v>
      </c>
      <c r="BV9" s="3532">
        <v>5649</v>
      </c>
      <c r="BW9" s="3533">
        <v>7785</v>
      </c>
      <c r="BX9" s="3534">
        <v>6627</v>
      </c>
      <c r="BY9" s="3459">
        <v>4735</v>
      </c>
      <c r="BZ9" s="3459">
        <v>6020</v>
      </c>
      <c r="CA9" s="3459">
        <v>4853</v>
      </c>
      <c r="CB9" s="3459">
        <v>5241</v>
      </c>
      <c r="CC9" s="3459">
        <v>6297</v>
      </c>
      <c r="CD9" s="3459">
        <v>6066</v>
      </c>
      <c r="CE9" s="3459">
        <v>4747</v>
      </c>
      <c r="CF9" s="3459">
        <v>5233</v>
      </c>
      <c r="CG9" s="3459">
        <v>5182</v>
      </c>
      <c r="CH9" s="3459">
        <v>5169</v>
      </c>
      <c r="CI9" s="3461">
        <v>7563</v>
      </c>
      <c r="CJ9" s="3535">
        <v>6453</v>
      </c>
      <c r="CK9" s="3536">
        <v>6126</v>
      </c>
      <c r="CL9" s="3536">
        <v>4727</v>
      </c>
      <c r="CM9" s="3536">
        <v>6021</v>
      </c>
      <c r="CN9" s="3536">
        <v>5531</v>
      </c>
      <c r="CO9" s="3536">
        <v>6575</v>
      </c>
      <c r="CP9" s="3536">
        <v>5999</v>
      </c>
      <c r="CQ9" s="3536">
        <v>4680</v>
      </c>
      <c r="CR9" s="3536">
        <v>5649</v>
      </c>
      <c r="CS9" s="3536">
        <v>5721</v>
      </c>
      <c r="CT9" s="3536">
        <v>5569</v>
      </c>
      <c r="CU9" s="3537">
        <v>8371</v>
      </c>
      <c r="CV9" s="3535">
        <v>6640</v>
      </c>
      <c r="CW9" s="3536">
        <v>4736</v>
      </c>
      <c r="CX9" s="3458">
        <v>5948</v>
      </c>
      <c r="CY9" s="3458">
        <v>4689</v>
      </c>
      <c r="CZ9" s="3458">
        <v>4319</v>
      </c>
      <c r="DA9" s="3458">
        <v>4879</v>
      </c>
      <c r="DB9" s="3458">
        <v>4752</v>
      </c>
      <c r="DC9" s="3458">
        <v>3500</v>
      </c>
      <c r="DD9" s="3458">
        <v>4127</v>
      </c>
      <c r="DE9" s="3458">
        <v>4183</v>
      </c>
      <c r="DF9" s="3458">
        <v>4285</v>
      </c>
      <c r="DG9" s="3537">
        <v>4830</v>
      </c>
      <c r="DH9" s="3538">
        <v>4076</v>
      </c>
      <c r="DI9" s="3539">
        <v>3914</v>
      </c>
      <c r="DJ9" s="3539">
        <v>4490</v>
      </c>
      <c r="DK9" s="3540">
        <v>3335</v>
      </c>
      <c r="DL9" s="3540">
        <v>3996</v>
      </c>
      <c r="DM9" s="3540">
        <v>4670</v>
      </c>
      <c r="DN9" s="3540">
        <v>5537</v>
      </c>
      <c r="DO9" s="3540">
        <v>4018</v>
      </c>
      <c r="DP9" s="2713">
        <v>4519</v>
      </c>
      <c r="DQ9" s="3540">
        <v>5595</v>
      </c>
      <c r="DR9" s="3540">
        <v>4741</v>
      </c>
      <c r="DS9" s="3541">
        <v>6269</v>
      </c>
      <c r="DT9" s="3542">
        <v>5134</v>
      </c>
      <c r="DU9" s="3429">
        <v>3872</v>
      </c>
      <c r="DV9" s="3429">
        <v>5370</v>
      </c>
      <c r="DW9" s="3350">
        <v>4990</v>
      </c>
      <c r="DX9" s="3350">
        <v>3983</v>
      </c>
      <c r="DY9" s="3350">
        <v>5374</v>
      </c>
      <c r="DZ9" s="3350">
        <v>4853</v>
      </c>
      <c r="EA9" s="3350">
        <v>3383</v>
      </c>
      <c r="EB9" s="3350">
        <v>3872</v>
      </c>
      <c r="EC9" s="3350">
        <v>4508</v>
      </c>
      <c r="ED9" s="3350">
        <v>4726</v>
      </c>
      <c r="EE9" s="3349">
        <v>5220</v>
      </c>
      <c r="EF9" s="2689">
        <v>4683</v>
      </c>
      <c r="EG9" s="2688">
        <v>3861</v>
      </c>
      <c r="EH9" s="2688">
        <v>4441</v>
      </c>
      <c r="EI9" s="2688">
        <v>4400</v>
      </c>
      <c r="EJ9" s="2688">
        <v>4233</v>
      </c>
      <c r="EK9" s="2688">
        <v>5316</v>
      </c>
      <c r="EL9" s="2688">
        <v>5022</v>
      </c>
      <c r="EM9" s="2714">
        <v>3702</v>
      </c>
      <c r="EN9" s="2714">
        <v>4846</v>
      </c>
      <c r="EO9" s="2715">
        <v>5051</v>
      </c>
      <c r="EP9" s="2715">
        <v>4639</v>
      </c>
      <c r="EQ9" s="2716">
        <v>5112</v>
      </c>
      <c r="ER9" s="1345">
        <v>4089</v>
      </c>
      <c r="ES9" s="3543">
        <v>3965</v>
      </c>
      <c r="ET9" s="3543">
        <v>4027</v>
      </c>
      <c r="EU9" s="2717">
        <v>4474</v>
      </c>
      <c r="EV9" s="2159">
        <v>5071</v>
      </c>
      <c r="EW9" s="2159">
        <v>5044</v>
      </c>
      <c r="EX9" s="2159">
        <v>5286</v>
      </c>
      <c r="EY9" s="2159">
        <v>4513</v>
      </c>
      <c r="EZ9" s="2159">
        <v>5430</v>
      </c>
      <c r="FA9" s="2339">
        <v>4227</v>
      </c>
      <c r="FB9" s="2339">
        <v>5428</v>
      </c>
      <c r="FC9" s="2339">
        <v>6113</v>
      </c>
      <c r="FD9" s="2765">
        <v>5961</v>
      </c>
      <c r="FE9" s="2766">
        <v>4733</v>
      </c>
      <c r="FF9" s="2766">
        <v>2174</v>
      </c>
      <c r="FG9" s="2766">
        <v>32</v>
      </c>
      <c r="FH9" s="2766">
        <v>56</v>
      </c>
      <c r="FI9" s="2766">
        <v>99</v>
      </c>
      <c r="FJ9" s="2766">
        <v>201</v>
      </c>
      <c r="FK9" s="2766">
        <v>218</v>
      </c>
      <c r="FL9" s="2766">
        <v>423</v>
      </c>
      <c r="FM9" s="2766">
        <v>1349</v>
      </c>
      <c r="FN9" s="2766">
        <v>1549</v>
      </c>
      <c r="FO9" s="2767">
        <v>1964</v>
      </c>
      <c r="FP9" s="2765">
        <v>1992</v>
      </c>
      <c r="FQ9" s="2766">
        <v>1420</v>
      </c>
      <c r="FR9" s="2766">
        <v>1870</v>
      </c>
      <c r="FS9" s="2766">
        <v>1490</v>
      </c>
      <c r="FT9" s="2766">
        <v>1777</v>
      </c>
      <c r="FU9" s="2766">
        <v>2396</v>
      </c>
      <c r="FV9" s="2766">
        <v>2533</v>
      </c>
      <c r="FW9" s="2766">
        <v>2862</v>
      </c>
      <c r="FX9" s="2766">
        <v>3007</v>
      </c>
      <c r="FY9" s="2766">
        <v>3362</v>
      </c>
      <c r="FZ9" s="2766">
        <v>4088</v>
      </c>
      <c r="GA9" s="2767">
        <v>3991</v>
      </c>
      <c r="GB9" s="4559"/>
      <c r="GC9" s="4556"/>
      <c r="GD9" s="4556"/>
      <c r="GE9" s="4556"/>
      <c r="GF9" s="4556"/>
      <c r="GG9" s="4556"/>
      <c r="GH9" s="4556"/>
      <c r="GI9" s="4556"/>
      <c r="GJ9" s="4556"/>
      <c r="GK9" s="4556"/>
      <c r="GL9" s="4556"/>
      <c r="GM9" s="4560"/>
      <c r="GN9" s="2764"/>
      <c r="GO9" s="2911">
        <v>10706</v>
      </c>
      <c r="GP9" s="2912">
        <v>11631</v>
      </c>
      <c r="GQ9" s="2912">
        <v>12377</v>
      </c>
      <c r="GR9" s="2913">
        <v>12334</v>
      </c>
      <c r="GS9" s="2914">
        <v>13356</v>
      </c>
      <c r="GT9" s="2915">
        <v>12228</v>
      </c>
      <c r="GU9" s="2915">
        <v>12720</v>
      </c>
      <c r="GV9" s="2916">
        <v>13802</v>
      </c>
      <c r="GW9" s="2917">
        <v>10328</v>
      </c>
      <c r="GX9" s="2918">
        <v>11580</v>
      </c>
      <c r="GY9" s="2919">
        <v>10032</v>
      </c>
      <c r="GZ9" s="2919">
        <v>11490</v>
      </c>
      <c r="HA9" s="2920">
        <v>13823</v>
      </c>
      <c r="HB9" s="2921">
        <v>12604</v>
      </c>
      <c r="HC9" s="2921">
        <v>12216</v>
      </c>
      <c r="HD9" s="2922">
        <v>12769</v>
      </c>
      <c r="HE9" s="2923">
        <v>12917</v>
      </c>
      <c r="HF9" s="2924">
        <v>12727</v>
      </c>
      <c r="HG9" s="2924">
        <v>12404</v>
      </c>
      <c r="HH9" s="2925">
        <v>14061</v>
      </c>
      <c r="HI9" s="2921">
        <v>12931</v>
      </c>
      <c r="HJ9" s="2921">
        <v>18088</v>
      </c>
      <c r="HK9" s="2921">
        <v>16833</v>
      </c>
      <c r="HL9" s="2921">
        <v>19614</v>
      </c>
      <c r="HM9" s="2926">
        <v>17382</v>
      </c>
      <c r="HN9" s="2926">
        <v>16391</v>
      </c>
      <c r="HO9" s="2926">
        <v>16046</v>
      </c>
      <c r="HP9" s="2926">
        <v>17914</v>
      </c>
      <c r="HQ9" s="2927">
        <v>17306</v>
      </c>
      <c r="HR9" s="2927">
        <v>18127</v>
      </c>
      <c r="HS9" s="2927">
        <f t="shared" si="32"/>
        <v>16328</v>
      </c>
      <c r="HT9" s="2927">
        <v>19661</v>
      </c>
      <c r="HU9" s="2928">
        <v>17324</v>
      </c>
      <c r="HV9" s="2928">
        <f t="shared" si="33"/>
        <v>13887</v>
      </c>
      <c r="HW9" s="2928">
        <f t="shared" si="34"/>
        <v>12379</v>
      </c>
      <c r="HX9" s="2927">
        <f t="shared" si="35"/>
        <v>13298</v>
      </c>
      <c r="HY9" s="2846">
        <f t="shared" si="36"/>
        <v>12480</v>
      </c>
      <c r="HZ9" s="2846">
        <f t="shared" si="37"/>
        <v>12001</v>
      </c>
      <c r="IA9" s="2846">
        <f t="shared" si="38"/>
        <v>15824</v>
      </c>
      <c r="IB9" s="2846">
        <f t="shared" si="39"/>
        <v>16605</v>
      </c>
      <c r="IC9" s="2921">
        <f t="shared" si="40"/>
        <v>14376</v>
      </c>
      <c r="ID9" s="2921">
        <f t="shared" si="41"/>
        <v>14347</v>
      </c>
      <c r="IE9" s="2921">
        <f t="shared" si="42"/>
        <v>12108</v>
      </c>
      <c r="IF9" s="2921">
        <f t="shared" si="43"/>
        <v>14454</v>
      </c>
      <c r="IG9" s="2929">
        <f t="shared" si="44"/>
        <v>12985</v>
      </c>
      <c r="IH9" s="2926">
        <f t="shared" si="45"/>
        <v>13949</v>
      </c>
      <c r="II9" s="2926">
        <f t="shared" si="46"/>
        <v>13570</v>
      </c>
      <c r="IJ9" s="2926">
        <f t="shared" si="47"/>
        <v>14802</v>
      </c>
      <c r="IK9" s="2930">
        <f t="shared" si="48"/>
        <v>12081</v>
      </c>
      <c r="IL9" s="2931">
        <f t="shared" si="49"/>
        <v>14589</v>
      </c>
      <c r="IM9" s="2931">
        <f t="shared" si="50"/>
        <v>15229</v>
      </c>
      <c r="IN9" s="2931">
        <f t="shared" si="51"/>
        <v>15768</v>
      </c>
      <c r="IO9" s="2932">
        <f t="shared" si="52"/>
        <v>12868</v>
      </c>
      <c r="IP9" s="2933">
        <f t="shared" si="53"/>
        <v>187</v>
      </c>
      <c r="IQ9" s="2933">
        <f t="shared" si="54"/>
        <v>15229</v>
      </c>
      <c r="IR9" s="2934">
        <f t="shared" si="55"/>
        <v>4862</v>
      </c>
      <c r="IS9" s="2929">
        <f t="shared" si="56"/>
        <v>5282</v>
      </c>
      <c r="IT9" s="2926">
        <f t="shared" si="57"/>
        <v>5663</v>
      </c>
      <c r="IU9" s="2926">
        <f t="shared" si="58"/>
        <v>8402</v>
      </c>
      <c r="IV9" s="2926">
        <f t="shared" si="59"/>
        <v>11441</v>
      </c>
      <c r="IW9" s="4571">
        <f t="shared" si="76"/>
        <v>0</v>
      </c>
      <c r="IX9" s="2921">
        <f t="shared" si="77"/>
        <v>0</v>
      </c>
      <c r="IY9" s="2921">
        <f t="shared" si="78"/>
        <v>0</v>
      </c>
      <c r="IZ9" s="4572">
        <f t="shared" si="79"/>
        <v>0</v>
      </c>
      <c r="JA9" s="4545"/>
      <c r="JB9" s="3544">
        <v>47048</v>
      </c>
      <c r="JC9" s="3545">
        <v>52106</v>
      </c>
      <c r="JD9" s="3545">
        <v>43430</v>
      </c>
      <c r="JE9" s="3545">
        <v>51412</v>
      </c>
      <c r="JF9" s="3545">
        <v>52109</v>
      </c>
      <c r="JG9" s="3545">
        <v>67466</v>
      </c>
      <c r="JH9" s="3546">
        <v>67733</v>
      </c>
      <c r="JI9" s="3547">
        <v>71422</v>
      </c>
      <c r="JJ9" s="3547">
        <f t="shared" si="60"/>
        <v>56888</v>
      </c>
      <c r="JK9" s="3547">
        <f t="shared" si="61"/>
        <v>55160</v>
      </c>
      <c r="JL9" s="3547">
        <f t="shared" si="62"/>
        <v>55285</v>
      </c>
      <c r="JM9" s="3547">
        <f t="shared" si="63"/>
        <v>55306</v>
      </c>
      <c r="JN9" s="3548">
        <f t="shared" si="24"/>
        <v>57667</v>
      </c>
      <c r="JO9" s="3566">
        <f t="shared" si="64"/>
        <v>18759</v>
      </c>
      <c r="JP9" s="3564">
        <f t="shared" si="80"/>
        <v>30788</v>
      </c>
      <c r="JQ9" s="3564">
        <f t="shared" si="81"/>
        <v>30788</v>
      </c>
      <c r="JS9" s="3765">
        <f t="shared" si="82"/>
        <v>30788</v>
      </c>
      <c r="JT9" s="3765">
        <f t="shared" si="83"/>
        <v>30788</v>
      </c>
      <c r="JV9" s="3551">
        <f t="shared" si="84"/>
        <v>26778.333333333332</v>
      </c>
      <c r="JW9" s="3552">
        <f t="shared" si="65"/>
        <v>8.7886735093829771E-2</v>
      </c>
      <c r="JX9" s="3552">
        <f t="shared" si="66"/>
        <v>8.4672040384052835E-2</v>
      </c>
      <c r="JY9" s="3552">
        <f t="shared" si="85"/>
        <v>8.0503639010189226E-2</v>
      </c>
      <c r="JZ9" s="3552">
        <f t="shared" si="67"/>
        <v>8.3940320232896645E-2</v>
      </c>
      <c r="KA9" s="3552">
        <f t="shared" si="68"/>
        <v>9.800582005882752E-2</v>
      </c>
      <c r="KB9" s="4575">
        <f t="shared" si="69"/>
        <v>0.10956739597716693</v>
      </c>
      <c r="KC9" s="3565">
        <f t="shared" si="86"/>
        <v>0.10956739597716693</v>
      </c>
      <c r="KD9" s="3552"/>
      <c r="KE9" s="3554">
        <f t="shared" si="70"/>
        <v>2.266134880348103E-3</v>
      </c>
      <c r="KF9" s="3555">
        <f t="shared" si="71"/>
        <v>-0.51453347836596564</v>
      </c>
      <c r="KG9" s="3555">
        <f t="shared" si="72"/>
        <v>3.7984986886141492E-4</v>
      </c>
      <c r="KH9" s="3555">
        <f t="shared" si="73"/>
        <v>4.2689762412758014E-2</v>
      </c>
      <c r="KI9" s="3555">
        <f t="shared" si="74"/>
        <v>-0.67470130230461089</v>
      </c>
      <c r="KJ9" s="3556">
        <f t="shared" si="75"/>
        <v>-0.46610713232871481</v>
      </c>
      <c r="KK9" s="3557">
        <f t="shared" si="87"/>
        <v>0.64123887200810281</v>
      </c>
      <c r="KM9" s="3231"/>
      <c r="KN9" s="3231"/>
      <c r="KO9" s="3231"/>
      <c r="KP9" s="3231"/>
      <c r="KQ9" s="3231"/>
      <c r="KR9" s="3231"/>
      <c r="KS9" s="3231"/>
      <c r="KT9" s="3231"/>
      <c r="KU9" s="3231"/>
      <c r="KV9" s="3231"/>
      <c r="KW9" s="3231"/>
      <c r="KX9" s="3231"/>
      <c r="KY9" s="3231"/>
      <c r="KZ9" s="3231"/>
      <c r="LA9" s="3231"/>
      <c r="LB9" s="3231"/>
      <c r="LC9" s="3231"/>
      <c r="LD9" s="3231"/>
      <c r="LE9" s="3231"/>
      <c r="LF9" s="3231"/>
      <c r="LG9" s="3231"/>
      <c r="LH9" s="3231"/>
      <c r="LI9" s="3231"/>
    </row>
    <row r="10" spans="1:321" ht="24" customHeight="1">
      <c r="A10" s="3558"/>
      <c r="B10" s="3231"/>
      <c r="C10" s="3559" t="s">
        <v>15</v>
      </c>
      <c r="D10" s="3516">
        <v>342</v>
      </c>
      <c r="E10" s="3517">
        <v>325</v>
      </c>
      <c r="F10" s="3517">
        <v>440</v>
      </c>
      <c r="G10" s="3517">
        <v>392</v>
      </c>
      <c r="H10" s="3517">
        <v>377</v>
      </c>
      <c r="I10" s="3517">
        <v>432</v>
      </c>
      <c r="J10" s="3517">
        <v>744</v>
      </c>
      <c r="K10" s="3517">
        <v>705</v>
      </c>
      <c r="L10" s="3517">
        <v>586</v>
      </c>
      <c r="M10" s="3517">
        <v>717</v>
      </c>
      <c r="N10" s="3517">
        <v>686</v>
      </c>
      <c r="O10" s="3518">
        <v>372</v>
      </c>
      <c r="P10" s="3519">
        <v>410</v>
      </c>
      <c r="Q10" s="3520">
        <v>574</v>
      </c>
      <c r="R10" s="3520">
        <v>487</v>
      </c>
      <c r="S10" s="3520">
        <v>479</v>
      </c>
      <c r="T10" s="3520">
        <v>793</v>
      </c>
      <c r="U10" s="3520">
        <v>734</v>
      </c>
      <c r="V10" s="3520">
        <v>771</v>
      </c>
      <c r="W10" s="3520">
        <v>700</v>
      </c>
      <c r="X10" s="3520">
        <v>748</v>
      </c>
      <c r="Y10" s="3520">
        <v>982</v>
      </c>
      <c r="Z10" s="3520">
        <v>878</v>
      </c>
      <c r="AA10" s="3521">
        <v>637</v>
      </c>
      <c r="AB10" s="3522">
        <v>523</v>
      </c>
      <c r="AC10" s="3523">
        <v>468</v>
      </c>
      <c r="AD10" s="3523">
        <v>576</v>
      </c>
      <c r="AE10" s="3523">
        <v>748</v>
      </c>
      <c r="AF10" s="3523">
        <v>686.5</v>
      </c>
      <c r="AG10" s="3523">
        <v>625</v>
      </c>
      <c r="AH10" s="3523">
        <v>812</v>
      </c>
      <c r="AI10" s="3523">
        <v>649</v>
      </c>
      <c r="AJ10" s="3523">
        <v>789</v>
      </c>
      <c r="AK10" s="3523">
        <v>775</v>
      </c>
      <c r="AL10" s="3523">
        <v>715</v>
      </c>
      <c r="AM10" s="3524">
        <v>854</v>
      </c>
      <c r="AN10" s="3525">
        <v>597</v>
      </c>
      <c r="AO10" s="3526">
        <v>512</v>
      </c>
      <c r="AP10" s="3526">
        <v>746</v>
      </c>
      <c r="AQ10" s="3526">
        <v>803</v>
      </c>
      <c r="AR10" s="3526">
        <v>767</v>
      </c>
      <c r="AS10" s="3526">
        <v>836</v>
      </c>
      <c r="AT10" s="3526">
        <v>966</v>
      </c>
      <c r="AU10" s="3526">
        <v>923</v>
      </c>
      <c r="AV10" s="3526">
        <v>647</v>
      </c>
      <c r="AW10" s="3526">
        <v>940</v>
      </c>
      <c r="AX10" s="3526">
        <v>839</v>
      </c>
      <c r="AY10" s="3527">
        <v>742</v>
      </c>
      <c r="AZ10" s="3463">
        <v>640</v>
      </c>
      <c r="BA10" s="3463">
        <v>651</v>
      </c>
      <c r="BB10" s="3463">
        <v>859</v>
      </c>
      <c r="BC10" s="3463">
        <v>1037</v>
      </c>
      <c r="BD10" s="3463">
        <v>1051</v>
      </c>
      <c r="BE10" s="3463">
        <v>1180</v>
      </c>
      <c r="BF10" s="3463">
        <v>1219</v>
      </c>
      <c r="BG10" s="3463">
        <v>1102</v>
      </c>
      <c r="BH10" s="3463">
        <v>841</v>
      </c>
      <c r="BI10" s="3463">
        <v>1028</v>
      </c>
      <c r="BJ10" s="3463">
        <v>1132</v>
      </c>
      <c r="BK10" s="3560">
        <v>930</v>
      </c>
      <c r="BL10" s="3530">
        <v>131</v>
      </c>
      <c r="BM10" s="3531">
        <v>779</v>
      </c>
      <c r="BN10" s="3531">
        <v>894</v>
      </c>
      <c r="BO10" s="3531">
        <v>942</v>
      </c>
      <c r="BP10" s="3531">
        <v>1059</v>
      </c>
      <c r="BQ10" s="3531">
        <v>1016</v>
      </c>
      <c r="BR10" s="3531">
        <v>1165</v>
      </c>
      <c r="BS10" s="3531">
        <v>913</v>
      </c>
      <c r="BT10" s="3532">
        <v>955</v>
      </c>
      <c r="BU10" s="3532">
        <v>1191</v>
      </c>
      <c r="BV10" s="3532">
        <v>1067</v>
      </c>
      <c r="BW10" s="3533">
        <v>1084</v>
      </c>
      <c r="BX10" s="3534">
        <v>850</v>
      </c>
      <c r="BY10" s="3459">
        <v>816</v>
      </c>
      <c r="BZ10" s="3459">
        <v>1061</v>
      </c>
      <c r="CA10" s="3459">
        <v>1104</v>
      </c>
      <c r="CB10" s="3459">
        <v>971</v>
      </c>
      <c r="CC10" s="3459">
        <v>925</v>
      </c>
      <c r="CD10" s="3459">
        <v>1157</v>
      </c>
      <c r="CE10" s="3459">
        <v>914</v>
      </c>
      <c r="CF10" s="3459">
        <v>977</v>
      </c>
      <c r="CG10" s="3459">
        <v>994</v>
      </c>
      <c r="CH10" s="3459">
        <v>1010</v>
      </c>
      <c r="CI10" s="3461">
        <v>1471</v>
      </c>
      <c r="CJ10" s="3535">
        <v>1161</v>
      </c>
      <c r="CK10" s="3536">
        <v>1292</v>
      </c>
      <c r="CL10" s="3536">
        <v>1612</v>
      </c>
      <c r="CM10" s="3536">
        <v>1518</v>
      </c>
      <c r="CN10" s="3536">
        <v>1350</v>
      </c>
      <c r="CO10" s="3536">
        <v>1490</v>
      </c>
      <c r="CP10" s="3536">
        <v>1712</v>
      </c>
      <c r="CQ10" s="3536">
        <v>1328</v>
      </c>
      <c r="CR10" s="3536">
        <v>1559</v>
      </c>
      <c r="CS10" s="3536">
        <v>1567</v>
      </c>
      <c r="CT10" s="3536">
        <v>1967</v>
      </c>
      <c r="CU10" s="3537">
        <v>1576</v>
      </c>
      <c r="CV10" s="3535">
        <v>1180</v>
      </c>
      <c r="CW10" s="3536">
        <v>1207</v>
      </c>
      <c r="CX10" s="3458">
        <v>1707</v>
      </c>
      <c r="CY10" s="3458">
        <v>1417</v>
      </c>
      <c r="CZ10" s="3458">
        <v>1426</v>
      </c>
      <c r="DA10" s="3458">
        <v>1346</v>
      </c>
      <c r="DB10" s="3458">
        <v>1759</v>
      </c>
      <c r="DC10" s="3458">
        <v>1362</v>
      </c>
      <c r="DD10" s="3458">
        <v>1364</v>
      </c>
      <c r="DE10" s="3458">
        <v>1673</v>
      </c>
      <c r="DF10" s="3458">
        <v>1398</v>
      </c>
      <c r="DG10" s="3537">
        <v>1325</v>
      </c>
      <c r="DH10" s="3538">
        <v>1187</v>
      </c>
      <c r="DI10" s="3539">
        <v>1174</v>
      </c>
      <c r="DJ10" s="3539">
        <v>1524</v>
      </c>
      <c r="DK10" s="3540">
        <v>1104</v>
      </c>
      <c r="DL10" s="3540">
        <v>1264</v>
      </c>
      <c r="DM10" s="3540">
        <v>1329</v>
      </c>
      <c r="DN10" s="3540">
        <v>1498</v>
      </c>
      <c r="DO10" s="3540">
        <v>1248</v>
      </c>
      <c r="DP10" s="2713">
        <v>1308</v>
      </c>
      <c r="DQ10" s="3540">
        <v>1953</v>
      </c>
      <c r="DR10" s="3540">
        <v>1459</v>
      </c>
      <c r="DS10" s="3541">
        <v>1279</v>
      </c>
      <c r="DT10" s="3542">
        <v>1089</v>
      </c>
      <c r="DU10" s="3429">
        <v>1033</v>
      </c>
      <c r="DV10" s="3429">
        <v>1340</v>
      </c>
      <c r="DW10" s="3350">
        <v>1541</v>
      </c>
      <c r="DX10" s="3350">
        <v>1270</v>
      </c>
      <c r="DY10" s="3350">
        <v>1466</v>
      </c>
      <c r="DZ10" s="3350">
        <v>1782</v>
      </c>
      <c r="EA10" s="3350">
        <v>1384</v>
      </c>
      <c r="EB10" s="3350">
        <v>1310</v>
      </c>
      <c r="EC10" s="3350">
        <v>1643</v>
      </c>
      <c r="ED10" s="3350">
        <v>1674</v>
      </c>
      <c r="EE10" s="3349">
        <v>1625</v>
      </c>
      <c r="EF10" s="2689">
        <v>1302</v>
      </c>
      <c r="EG10" s="2688">
        <v>1297</v>
      </c>
      <c r="EH10" s="2688">
        <v>1472</v>
      </c>
      <c r="EI10" s="2688">
        <v>1656</v>
      </c>
      <c r="EJ10" s="2688">
        <v>1613</v>
      </c>
      <c r="EK10" s="2688">
        <v>1730</v>
      </c>
      <c r="EL10" s="2688">
        <v>2122</v>
      </c>
      <c r="EM10" s="2714">
        <v>1672</v>
      </c>
      <c r="EN10" s="2714">
        <v>1935</v>
      </c>
      <c r="EO10" s="2715">
        <v>2094</v>
      </c>
      <c r="EP10" s="2715">
        <v>1907</v>
      </c>
      <c r="EQ10" s="2716">
        <v>1793</v>
      </c>
      <c r="ER10" s="1345">
        <v>1454</v>
      </c>
      <c r="ES10" s="3543">
        <v>1596</v>
      </c>
      <c r="ET10" s="3543">
        <v>1930</v>
      </c>
      <c r="EU10" s="2717">
        <v>2053</v>
      </c>
      <c r="EV10" s="2159">
        <v>1644</v>
      </c>
      <c r="EW10" s="2159">
        <v>1820</v>
      </c>
      <c r="EX10" s="2159">
        <v>1932</v>
      </c>
      <c r="EY10" s="2159">
        <v>1590</v>
      </c>
      <c r="EZ10" s="2159">
        <v>1672</v>
      </c>
      <c r="FA10" s="2339">
        <v>1400</v>
      </c>
      <c r="FB10" s="2339">
        <v>1836</v>
      </c>
      <c r="FC10" s="2339">
        <v>2108</v>
      </c>
      <c r="FD10" s="2765">
        <v>1799</v>
      </c>
      <c r="FE10" s="2766">
        <v>1661</v>
      </c>
      <c r="FF10" s="2766">
        <v>771</v>
      </c>
      <c r="FG10" s="2766">
        <v>15</v>
      </c>
      <c r="FH10" s="2766">
        <v>12</v>
      </c>
      <c r="FI10" s="2766">
        <v>37</v>
      </c>
      <c r="FJ10" s="2766">
        <v>43</v>
      </c>
      <c r="FK10" s="2766">
        <v>355</v>
      </c>
      <c r="FL10" s="2766">
        <v>419</v>
      </c>
      <c r="FM10" s="2766">
        <v>477</v>
      </c>
      <c r="FN10" s="2766">
        <v>574</v>
      </c>
      <c r="FO10" s="2767">
        <v>731</v>
      </c>
      <c r="FP10" s="2765">
        <v>659</v>
      </c>
      <c r="FQ10" s="2766">
        <v>570</v>
      </c>
      <c r="FR10" s="2766">
        <v>525</v>
      </c>
      <c r="FS10" s="2766">
        <v>407</v>
      </c>
      <c r="FT10" s="2766">
        <v>549</v>
      </c>
      <c r="FU10" s="2766">
        <v>700</v>
      </c>
      <c r="FV10" s="2766">
        <v>709</v>
      </c>
      <c r="FW10" s="2766">
        <v>688</v>
      </c>
      <c r="FX10" s="2766">
        <v>812</v>
      </c>
      <c r="FY10" s="2766">
        <v>813</v>
      </c>
      <c r="FZ10" s="2766">
        <v>1047</v>
      </c>
      <c r="GA10" s="2767">
        <v>1140</v>
      </c>
      <c r="GB10" s="4559"/>
      <c r="GC10" s="4556"/>
      <c r="GD10" s="4556"/>
      <c r="GE10" s="4556"/>
      <c r="GF10" s="4556"/>
      <c r="GG10" s="4556"/>
      <c r="GH10" s="4556"/>
      <c r="GI10" s="4556"/>
      <c r="GJ10" s="4556"/>
      <c r="GK10" s="4556"/>
      <c r="GL10" s="4556"/>
      <c r="GM10" s="4560"/>
      <c r="GN10" s="2764"/>
      <c r="GO10" s="2911">
        <v>1107</v>
      </c>
      <c r="GP10" s="2912">
        <v>1201</v>
      </c>
      <c r="GQ10" s="2912">
        <v>2035</v>
      </c>
      <c r="GR10" s="2913">
        <v>1775</v>
      </c>
      <c r="GS10" s="2914">
        <v>1471</v>
      </c>
      <c r="GT10" s="2915">
        <v>2006</v>
      </c>
      <c r="GU10" s="2915">
        <v>2219</v>
      </c>
      <c r="GV10" s="2916">
        <v>2497</v>
      </c>
      <c r="GW10" s="2917">
        <v>1567</v>
      </c>
      <c r="GX10" s="2918">
        <v>2059.5</v>
      </c>
      <c r="GY10" s="2919">
        <v>2250</v>
      </c>
      <c r="GZ10" s="2919">
        <v>2344</v>
      </c>
      <c r="HA10" s="2920">
        <v>1855</v>
      </c>
      <c r="HB10" s="2921">
        <v>2406</v>
      </c>
      <c r="HC10" s="2921">
        <v>2536</v>
      </c>
      <c r="HD10" s="2922">
        <v>2521</v>
      </c>
      <c r="HE10" s="2923">
        <v>2150</v>
      </c>
      <c r="HF10" s="2924">
        <v>3268</v>
      </c>
      <c r="HG10" s="2924">
        <v>3162</v>
      </c>
      <c r="HH10" s="2925">
        <v>3090</v>
      </c>
      <c r="HI10" s="2921">
        <v>1804</v>
      </c>
      <c r="HJ10" s="2921">
        <v>3017</v>
      </c>
      <c r="HK10" s="2921">
        <v>3033</v>
      </c>
      <c r="HL10" s="2921">
        <v>3342</v>
      </c>
      <c r="HM10" s="2926">
        <v>2727</v>
      </c>
      <c r="HN10" s="2926">
        <v>3000</v>
      </c>
      <c r="HO10" s="2926">
        <v>3048</v>
      </c>
      <c r="HP10" s="2926">
        <v>3475</v>
      </c>
      <c r="HQ10" s="2927">
        <v>4065</v>
      </c>
      <c r="HR10" s="2927">
        <v>4358</v>
      </c>
      <c r="HS10" s="2927">
        <f t="shared" si="32"/>
        <v>4599</v>
      </c>
      <c r="HT10" s="2927">
        <v>5110</v>
      </c>
      <c r="HU10" s="2928">
        <v>4094</v>
      </c>
      <c r="HV10" s="2928">
        <f t="shared" si="33"/>
        <v>4189</v>
      </c>
      <c r="HW10" s="2928">
        <f t="shared" si="34"/>
        <v>4485</v>
      </c>
      <c r="HX10" s="2927">
        <f t="shared" si="35"/>
        <v>4396</v>
      </c>
      <c r="HY10" s="2846">
        <f t="shared" si="36"/>
        <v>3885</v>
      </c>
      <c r="HZ10" s="2846">
        <f t="shared" si="37"/>
        <v>3697</v>
      </c>
      <c r="IA10" s="2846">
        <f t="shared" si="38"/>
        <v>4025</v>
      </c>
      <c r="IB10" s="2846">
        <f t="shared" si="39"/>
        <v>4691</v>
      </c>
      <c r="IC10" s="2921">
        <f t="shared" si="40"/>
        <v>3462</v>
      </c>
      <c r="ID10" s="2921">
        <f t="shared" si="41"/>
        <v>4277</v>
      </c>
      <c r="IE10" s="2921">
        <f t="shared" si="42"/>
        <v>4476</v>
      </c>
      <c r="IF10" s="2921">
        <f t="shared" si="43"/>
        <v>4942</v>
      </c>
      <c r="IG10" s="2929">
        <f t="shared" si="44"/>
        <v>4071</v>
      </c>
      <c r="IH10" s="2926">
        <f t="shared" si="45"/>
        <v>4999</v>
      </c>
      <c r="II10" s="2926">
        <f t="shared" si="46"/>
        <v>5729</v>
      </c>
      <c r="IJ10" s="2926">
        <f t="shared" si="47"/>
        <v>5794</v>
      </c>
      <c r="IK10" s="2930">
        <f t="shared" si="48"/>
        <v>4980</v>
      </c>
      <c r="IL10" s="2931">
        <f t="shared" si="49"/>
        <v>5517</v>
      </c>
      <c r="IM10" s="2931">
        <f t="shared" si="50"/>
        <v>5194</v>
      </c>
      <c r="IN10" s="2931">
        <f t="shared" si="51"/>
        <v>5344</v>
      </c>
      <c r="IO10" s="2932">
        <f t="shared" si="52"/>
        <v>4231</v>
      </c>
      <c r="IP10" s="2933">
        <f t="shared" si="53"/>
        <v>64</v>
      </c>
      <c r="IQ10" s="2933">
        <f t="shared" si="54"/>
        <v>5194</v>
      </c>
      <c r="IR10" s="2934">
        <f t="shared" si="55"/>
        <v>1782</v>
      </c>
      <c r="IS10" s="2929">
        <f t="shared" si="56"/>
        <v>1754</v>
      </c>
      <c r="IT10" s="2926">
        <f t="shared" si="57"/>
        <v>1656</v>
      </c>
      <c r="IU10" s="2926">
        <f t="shared" si="58"/>
        <v>2209</v>
      </c>
      <c r="IV10" s="2926">
        <f t="shared" si="59"/>
        <v>3000</v>
      </c>
      <c r="IW10" s="4571">
        <f t="shared" si="76"/>
        <v>0</v>
      </c>
      <c r="IX10" s="2921">
        <f t="shared" si="77"/>
        <v>0</v>
      </c>
      <c r="IY10" s="2921">
        <f t="shared" si="78"/>
        <v>0</v>
      </c>
      <c r="IZ10" s="4572">
        <f t="shared" si="79"/>
        <v>0</v>
      </c>
      <c r="JA10" s="4545"/>
      <c r="JB10" s="3544">
        <v>6118</v>
      </c>
      <c r="JC10" s="3545">
        <v>8193</v>
      </c>
      <c r="JD10" s="3545">
        <v>8220.5</v>
      </c>
      <c r="JE10" s="3545">
        <v>9318</v>
      </c>
      <c r="JF10" s="3545">
        <v>11670</v>
      </c>
      <c r="JG10" s="3545">
        <v>11196</v>
      </c>
      <c r="JH10" s="3546">
        <v>12250</v>
      </c>
      <c r="JI10" s="3547">
        <v>18132</v>
      </c>
      <c r="JJ10" s="3547">
        <f t="shared" si="60"/>
        <v>17164</v>
      </c>
      <c r="JK10" s="3547">
        <f t="shared" si="61"/>
        <v>16327</v>
      </c>
      <c r="JL10" s="3547">
        <f t="shared" si="62"/>
        <v>17157</v>
      </c>
      <c r="JM10" s="3547">
        <f t="shared" si="63"/>
        <v>20593</v>
      </c>
      <c r="JN10" s="3548">
        <f t="shared" si="24"/>
        <v>21035</v>
      </c>
      <c r="JO10" s="3566">
        <f t="shared" si="64"/>
        <v>6894</v>
      </c>
      <c r="JP10" s="3564">
        <f t="shared" si="80"/>
        <v>8619</v>
      </c>
      <c r="JQ10" s="3564">
        <f t="shared" si="81"/>
        <v>8619</v>
      </c>
      <c r="JS10" s="3765">
        <f t="shared" si="82"/>
        <v>8619</v>
      </c>
      <c r="JT10" s="3765">
        <f t="shared" si="83"/>
        <v>8619</v>
      </c>
      <c r="JV10" s="3551">
        <f t="shared" si="84"/>
        <v>8044</v>
      </c>
      <c r="JW10" s="3552">
        <f t="shared" si="65"/>
        <v>2.6013899997769371E-2</v>
      </c>
      <c r="JX10" s="3552">
        <f t="shared" si="66"/>
        <v>2.6276896027298442E-2</v>
      </c>
      <c r="JY10" s="3552">
        <f t="shared" si="85"/>
        <v>2.9975254730713247E-2</v>
      </c>
      <c r="JZ10" s="3552">
        <f t="shared" si="67"/>
        <v>3.061863173216885E-2</v>
      </c>
      <c r="KA10" s="3552">
        <f t="shared" si="68"/>
        <v>3.6017491523298521E-2</v>
      </c>
      <c r="KB10" s="4575">
        <f t="shared" si="69"/>
        <v>3.0673034491594187E-2</v>
      </c>
      <c r="KC10" s="3565">
        <f t="shared" si="86"/>
        <v>3.0673034491594187E-2</v>
      </c>
      <c r="KD10" s="3552"/>
      <c r="KE10" s="3554">
        <f t="shared" si="70"/>
        <v>5.0836038463894173E-2</v>
      </c>
      <c r="KF10" s="3555">
        <f t="shared" si="71"/>
        <v>-0.50731916457401849</v>
      </c>
      <c r="KG10" s="3555">
        <f t="shared" si="72"/>
        <v>0.20026811214081719</v>
      </c>
      <c r="KH10" s="3555">
        <f t="shared" si="73"/>
        <v>2.1463604137328174E-2</v>
      </c>
      <c r="KI10" s="3555">
        <f t="shared" si="74"/>
        <v>-0.67226051818397914</v>
      </c>
      <c r="KJ10" s="3556">
        <f t="shared" si="75"/>
        <v>-0.5902543380080818</v>
      </c>
      <c r="KK10" s="3557">
        <f t="shared" si="87"/>
        <v>0.25021758050478682</v>
      </c>
      <c r="KM10" s="3231"/>
      <c r="KN10" s="3231"/>
      <c r="KO10" s="3231"/>
      <c r="KP10" s="3231"/>
      <c r="KQ10" s="3231"/>
      <c r="KR10" s="3231"/>
      <c r="KS10" s="3231"/>
      <c r="KT10" s="3231"/>
      <c r="KU10" s="3231"/>
      <c r="KV10" s="3231"/>
      <c r="KW10" s="3231"/>
      <c r="KX10" s="3231"/>
      <c r="KY10" s="3231"/>
      <c r="KZ10" s="3231"/>
      <c r="LA10" s="3231"/>
      <c r="LB10" s="3231"/>
      <c r="LC10" s="3231"/>
      <c r="LD10" s="3231"/>
      <c r="LE10" s="3231"/>
      <c r="LF10" s="3231"/>
      <c r="LG10" s="3231"/>
      <c r="LH10" s="3231"/>
      <c r="LI10" s="3231"/>
    </row>
    <row r="11" spans="1:321" ht="21.9" customHeight="1">
      <c r="A11" s="3558"/>
      <c r="B11" s="3231"/>
      <c r="C11" s="3559" t="s">
        <v>11</v>
      </c>
      <c r="D11" s="3516">
        <v>597</v>
      </c>
      <c r="E11" s="3517">
        <v>619</v>
      </c>
      <c r="F11" s="3517">
        <v>664</v>
      </c>
      <c r="G11" s="3517">
        <v>603</v>
      </c>
      <c r="H11" s="3517">
        <v>624</v>
      </c>
      <c r="I11" s="3517">
        <v>757</v>
      </c>
      <c r="J11" s="3517">
        <v>855</v>
      </c>
      <c r="K11" s="3517">
        <v>821</v>
      </c>
      <c r="L11" s="3517">
        <v>861</v>
      </c>
      <c r="M11" s="3517">
        <v>909</v>
      </c>
      <c r="N11" s="3517">
        <v>950</v>
      </c>
      <c r="O11" s="3518">
        <v>519</v>
      </c>
      <c r="P11" s="3519">
        <v>656</v>
      </c>
      <c r="Q11" s="3520">
        <v>1028</v>
      </c>
      <c r="R11" s="3520">
        <v>728</v>
      </c>
      <c r="S11" s="3520">
        <v>856</v>
      </c>
      <c r="T11" s="3520">
        <v>835</v>
      </c>
      <c r="U11" s="3520">
        <v>752</v>
      </c>
      <c r="V11" s="3520">
        <v>845</v>
      </c>
      <c r="W11" s="3520">
        <v>925</v>
      </c>
      <c r="X11" s="3520">
        <v>919</v>
      </c>
      <c r="Y11" s="3520">
        <v>813</v>
      </c>
      <c r="Z11" s="3520">
        <v>935</v>
      </c>
      <c r="AA11" s="3521">
        <v>759</v>
      </c>
      <c r="AB11" s="3522">
        <v>1199</v>
      </c>
      <c r="AC11" s="3523">
        <v>857</v>
      </c>
      <c r="AD11" s="3523">
        <v>1043</v>
      </c>
      <c r="AE11" s="3523">
        <v>841</v>
      </c>
      <c r="AF11" s="3523">
        <v>873</v>
      </c>
      <c r="AG11" s="3523">
        <v>905</v>
      </c>
      <c r="AH11" s="3523">
        <v>964</v>
      </c>
      <c r="AI11" s="3523">
        <v>761</v>
      </c>
      <c r="AJ11" s="3523">
        <v>873</v>
      </c>
      <c r="AK11" s="3523">
        <v>845</v>
      </c>
      <c r="AL11" s="3523">
        <v>869</v>
      </c>
      <c r="AM11" s="3524">
        <v>782</v>
      </c>
      <c r="AN11" s="3525">
        <v>924</v>
      </c>
      <c r="AO11" s="3526">
        <v>1186</v>
      </c>
      <c r="AP11" s="3526">
        <v>910</v>
      </c>
      <c r="AQ11" s="3526">
        <v>828</v>
      </c>
      <c r="AR11" s="3526">
        <v>935</v>
      </c>
      <c r="AS11" s="3526">
        <v>820</v>
      </c>
      <c r="AT11" s="3526">
        <v>779</v>
      </c>
      <c r="AU11" s="3526">
        <v>919</v>
      </c>
      <c r="AV11" s="3526">
        <v>728</v>
      </c>
      <c r="AW11" s="3526">
        <v>943</v>
      </c>
      <c r="AX11" s="3526">
        <v>971</v>
      </c>
      <c r="AY11" s="3527">
        <v>681</v>
      </c>
      <c r="AZ11" s="3463">
        <v>724</v>
      </c>
      <c r="BA11" s="3463">
        <v>842</v>
      </c>
      <c r="BB11" s="3463">
        <v>1005</v>
      </c>
      <c r="BC11" s="3463">
        <v>954</v>
      </c>
      <c r="BD11" s="3463">
        <v>999</v>
      </c>
      <c r="BE11" s="3463">
        <v>933</v>
      </c>
      <c r="BF11" s="3463">
        <v>1055</v>
      </c>
      <c r="BG11" s="3463">
        <v>987</v>
      </c>
      <c r="BH11" s="3463">
        <v>933</v>
      </c>
      <c r="BI11" s="3463">
        <v>1124</v>
      </c>
      <c r="BJ11" s="3463">
        <v>1562</v>
      </c>
      <c r="BK11" s="3560">
        <v>831</v>
      </c>
      <c r="BL11" s="3530">
        <v>932</v>
      </c>
      <c r="BM11" s="3531">
        <v>818</v>
      </c>
      <c r="BN11" s="3531">
        <v>1172</v>
      </c>
      <c r="BO11" s="3531">
        <v>1112</v>
      </c>
      <c r="BP11" s="3531">
        <v>1238</v>
      </c>
      <c r="BQ11" s="3531">
        <v>1179</v>
      </c>
      <c r="BR11" s="3531">
        <v>1336</v>
      </c>
      <c r="BS11" s="3531">
        <v>1297</v>
      </c>
      <c r="BT11" s="3532">
        <v>1381</v>
      </c>
      <c r="BU11" s="3532">
        <v>1530</v>
      </c>
      <c r="BV11" s="3532">
        <v>1372</v>
      </c>
      <c r="BW11" s="3533">
        <v>931</v>
      </c>
      <c r="BX11" s="3534">
        <v>1248</v>
      </c>
      <c r="BY11" s="3459">
        <v>1342</v>
      </c>
      <c r="BZ11" s="3459">
        <v>1370</v>
      </c>
      <c r="CA11" s="3459">
        <v>1459</v>
      </c>
      <c r="CB11" s="3459">
        <v>1709</v>
      </c>
      <c r="CC11" s="3459">
        <v>1759</v>
      </c>
      <c r="CD11" s="3459">
        <v>1941</v>
      </c>
      <c r="CE11" s="3459">
        <v>1512</v>
      </c>
      <c r="CF11" s="3459">
        <v>1510</v>
      </c>
      <c r="CG11" s="3459">
        <v>1280</v>
      </c>
      <c r="CH11" s="3459">
        <v>1258</v>
      </c>
      <c r="CI11" s="3461">
        <v>1183</v>
      </c>
      <c r="CJ11" s="3535">
        <v>1359</v>
      </c>
      <c r="CK11" s="3536">
        <v>2651</v>
      </c>
      <c r="CL11" s="3536">
        <v>1597</v>
      </c>
      <c r="CM11" s="3536">
        <v>1563</v>
      </c>
      <c r="CN11" s="3536">
        <v>1626</v>
      </c>
      <c r="CO11" s="3536">
        <v>1960</v>
      </c>
      <c r="CP11" s="3536">
        <v>1511</v>
      </c>
      <c r="CQ11" s="3536">
        <v>1434</v>
      </c>
      <c r="CR11" s="3536">
        <v>1571</v>
      </c>
      <c r="CS11" s="3536">
        <v>1512</v>
      </c>
      <c r="CT11" s="3536">
        <v>1614</v>
      </c>
      <c r="CU11" s="3537">
        <v>1304</v>
      </c>
      <c r="CV11" s="3535">
        <v>1201</v>
      </c>
      <c r="CW11" s="3536">
        <v>1299</v>
      </c>
      <c r="CX11" s="3458">
        <v>1352</v>
      </c>
      <c r="CY11" s="3458">
        <v>1279</v>
      </c>
      <c r="CZ11" s="3458">
        <v>1332</v>
      </c>
      <c r="DA11" s="3458">
        <v>1003</v>
      </c>
      <c r="DB11" s="3458">
        <v>1305</v>
      </c>
      <c r="DC11" s="3458">
        <v>1008</v>
      </c>
      <c r="DD11" s="3458">
        <v>1166</v>
      </c>
      <c r="DE11" s="3458">
        <v>1289</v>
      </c>
      <c r="DF11" s="3458">
        <v>1225</v>
      </c>
      <c r="DG11" s="3537">
        <v>1000</v>
      </c>
      <c r="DH11" s="3538">
        <v>1181</v>
      </c>
      <c r="DI11" s="3539">
        <v>1107</v>
      </c>
      <c r="DJ11" s="3539">
        <v>1047</v>
      </c>
      <c r="DK11" s="3540">
        <v>865</v>
      </c>
      <c r="DL11" s="3540">
        <v>996</v>
      </c>
      <c r="DM11" s="3540">
        <v>1029</v>
      </c>
      <c r="DN11" s="3540">
        <v>1026</v>
      </c>
      <c r="DO11" s="3540">
        <v>985</v>
      </c>
      <c r="DP11" s="2713">
        <v>1164</v>
      </c>
      <c r="DQ11" s="3540">
        <v>1353</v>
      </c>
      <c r="DR11" s="3540">
        <v>1188</v>
      </c>
      <c r="DS11" s="3541">
        <v>896</v>
      </c>
      <c r="DT11" s="3542">
        <v>1029</v>
      </c>
      <c r="DU11" s="3429">
        <v>798</v>
      </c>
      <c r="DV11" s="3429">
        <v>1288</v>
      </c>
      <c r="DW11" s="3350">
        <v>1344</v>
      </c>
      <c r="DX11" s="3350">
        <v>1295</v>
      </c>
      <c r="DY11" s="3350">
        <v>1374</v>
      </c>
      <c r="DZ11" s="3350">
        <v>1410</v>
      </c>
      <c r="EA11" s="3350">
        <v>1173</v>
      </c>
      <c r="EB11" s="3350">
        <v>1723</v>
      </c>
      <c r="EC11" s="3350">
        <v>1669</v>
      </c>
      <c r="ED11" s="3350">
        <v>1302</v>
      </c>
      <c r="EE11" s="3349">
        <v>1261</v>
      </c>
      <c r="EF11" s="2689">
        <v>1555</v>
      </c>
      <c r="EG11" s="2688">
        <v>1225</v>
      </c>
      <c r="EH11" s="2688">
        <v>1478</v>
      </c>
      <c r="EI11" s="2688">
        <v>1463</v>
      </c>
      <c r="EJ11" s="2688">
        <v>1596</v>
      </c>
      <c r="EK11" s="2688">
        <v>1775</v>
      </c>
      <c r="EL11" s="2688">
        <v>1486</v>
      </c>
      <c r="EM11" s="2714">
        <v>1271</v>
      </c>
      <c r="EN11" s="2714">
        <v>1312</v>
      </c>
      <c r="EO11" s="2715">
        <v>1756</v>
      </c>
      <c r="EP11" s="2715">
        <v>1294</v>
      </c>
      <c r="EQ11" s="2716">
        <v>1227</v>
      </c>
      <c r="ER11" s="1345">
        <v>1128</v>
      </c>
      <c r="ES11" s="3543">
        <v>1306</v>
      </c>
      <c r="ET11" s="3543">
        <v>1156</v>
      </c>
      <c r="EU11" s="2717">
        <v>1277</v>
      </c>
      <c r="EV11" s="2159">
        <v>1495</v>
      </c>
      <c r="EW11" s="2159">
        <v>2157</v>
      </c>
      <c r="EX11" s="2159">
        <v>1553</v>
      </c>
      <c r="EY11" s="2159">
        <v>1363</v>
      </c>
      <c r="EZ11" s="2159">
        <v>1780</v>
      </c>
      <c r="FA11" s="2339">
        <v>1568</v>
      </c>
      <c r="FB11" s="2339">
        <v>1727</v>
      </c>
      <c r="FC11" s="2339">
        <v>1580</v>
      </c>
      <c r="FD11" s="2765">
        <v>1581</v>
      </c>
      <c r="FE11" s="2766">
        <v>1552</v>
      </c>
      <c r="FF11" s="2766">
        <v>622</v>
      </c>
      <c r="FG11" s="2766">
        <v>9</v>
      </c>
      <c r="FH11" s="2766">
        <v>9</v>
      </c>
      <c r="FI11" s="2766">
        <v>10</v>
      </c>
      <c r="FJ11" s="2766">
        <v>37</v>
      </c>
      <c r="FK11" s="2766">
        <v>81</v>
      </c>
      <c r="FL11" s="2766">
        <v>96</v>
      </c>
      <c r="FM11" s="2766">
        <v>728</v>
      </c>
      <c r="FN11" s="2766">
        <v>365</v>
      </c>
      <c r="FO11" s="2767">
        <v>501</v>
      </c>
      <c r="FP11" s="2765">
        <v>383</v>
      </c>
      <c r="FQ11" s="2766">
        <v>229</v>
      </c>
      <c r="FR11" s="2766">
        <v>254</v>
      </c>
      <c r="FS11" s="2766">
        <v>310</v>
      </c>
      <c r="FT11" s="2766">
        <v>595</v>
      </c>
      <c r="FU11" s="2766">
        <v>459</v>
      </c>
      <c r="FV11" s="2766">
        <v>602</v>
      </c>
      <c r="FW11" s="2766">
        <v>577</v>
      </c>
      <c r="FX11" s="2766">
        <v>918</v>
      </c>
      <c r="FY11" s="2766">
        <v>863</v>
      </c>
      <c r="FZ11" s="2766">
        <v>996</v>
      </c>
      <c r="GA11" s="2767">
        <v>735</v>
      </c>
      <c r="GB11" s="4559"/>
      <c r="GC11" s="4556"/>
      <c r="GD11" s="4556"/>
      <c r="GE11" s="4556"/>
      <c r="GF11" s="4556"/>
      <c r="GG11" s="4556"/>
      <c r="GH11" s="4556"/>
      <c r="GI11" s="4556"/>
      <c r="GJ11" s="4556"/>
      <c r="GK11" s="4556"/>
      <c r="GL11" s="4556"/>
      <c r="GM11" s="4560"/>
      <c r="GN11" s="2764"/>
      <c r="GO11" s="2911">
        <v>1880</v>
      </c>
      <c r="GP11" s="2912">
        <v>1984</v>
      </c>
      <c r="GQ11" s="2912">
        <v>2537</v>
      </c>
      <c r="GR11" s="2913">
        <v>2378</v>
      </c>
      <c r="GS11" s="2914">
        <v>2412</v>
      </c>
      <c r="GT11" s="2915">
        <v>2443</v>
      </c>
      <c r="GU11" s="2915">
        <v>2689</v>
      </c>
      <c r="GV11" s="2916">
        <v>2507</v>
      </c>
      <c r="GW11" s="2917">
        <v>3099</v>
      </c>
      <c r="GX11" s="2918">
        <v>2619</v>
      </c>
      <c r="GY11" s="2919">
        <v>2598</v>
      </c>
      <c r="GZ11" s="2919">
        <v>2496</v>
      </c>
      <c r="HA11" s="2920">
        <v>3020</v>
      </c>
      <c r="HB11" s="2921">
        <v>2583</v>
      </c>
      <c r="HC11" s="2921">
        <v>2426</v>
      </c>
      <c r="HD11" s="2922">
        <v>2595</v>
      </c>
      <c r="HE11" s="2923">
        <v>2571</v>
      </c>
      <c r="HF11" s="2924">
        <v>2886</v>
      </c>
      <c r="HG11" s="2924">
        <v>2975</v>
      </c>
      <c r="HH11" s="2925">
        <v>3517</v>
      </c>
      <c r="HI11" s="2921">
        <v>2922</v>
      </c>
      <c r="HJ11" s="2921">
        <v>3529</v>
      </c>
      <c r="HK11" s="2921">
        <v>4014</v>
      </c>
      <c r="HL11" s="2921">
        <v>3833</v>
      </c>
      <c r="HM11" s="2926">
        <v>3960</v>
      </c>
      <c r="HN11" s="2926">
        <v>4927</v>
      </c>
      <c r="HO11" s="2926">
        <v>4963</v>
      </c>
      <c r="HP11" s="2926">
        <v>3721</v>
      </c>
      <c r="HQ11" s="2927">
        <v>5607</v>
      </c>
      <c r="HR11" s="2927">
        <v>5149</v>
      </c>
      <c r="HS11" s="2927">
        <f t="shared" si="32"/>
        <v>4516</v>
      </c>
      <c r="HT11" s="2927">
        <v>4430</v>
      </c>
      <c r="HU11" s="2928">
        <v>3852</v>
      </c>
      <c r="HV11" s="2928">
        <f t="shared" si="33"/>
        <v>3614</v>
      </c>
      <c r="HW11" s="2928">
        <f t="shared" si="34"/>
        <v>3479</v>
      </c>
      <c r="HX11" s="2927">
        <f t="shared" si="35"/>
        <v>3514</v>
      </c>
      <c r="HY11" s="2846">
        <f t="shared" si="36"/>
        <v>3335</v>
      </c>
      <c r="HZ11" s="2846">
        <f t="shared" si="37"/>
        <v>2890</v>
      </c>
      <c r="IA11" s="2846">
        <f t="shared" si="38"/>
        <v>2907</v>
      </c>
      <c r="IB11" s="2846">
        <f t="shared" si="39"/>
        <v>3437</v>
      </c>
      <c r="IC11" s="2921">
        <f t="shared" si="40"/>
        <v>3115</v>
      </c>
      <c r="ID11" s="2921">
        <f t="shared" si="41"/>
        <v>4013</v>
      </c>
      <c r="IE11" s="2921">
        <f t="shared" si="42"/>
        <v>4306</v>
      </c>
      <c r="IF11" s="2921">
        <f t="shared" si="43"/>
        <v>4232</v>
      </c>
      <c r="IG11" s="2929">
        <f t="shared" si="44"/>
        <v>4258</v>
      </c>
      <c r="IH11" s="2926">
        <f t="shared" si="45"/>
        <v>4834</v>
      </c>
      <c r="II11" s="2926">
        <f t="shared" si="46"/>
        <v>4069</v>
      </c>
      <c r="IJ11" s="2926">
        <f t="shared" si="47"/>
        <v>4277</v>
      </c>
      <c r="IK11" s="2930">
        <f t="shared" si="48"/>
        <v>3590</v>
      </c>
      <c r="IL11" s="2931">
        <f t="shared" si="49"/>
        <v>4929</v>
      </c>
      <c r="IM11" s="2931">
        <f t="shared" si="50"/>
        <v>4696</v>
      </c>
      <c r="IN11" s="2931">
        <f t="shared" si="51"/>
        <v>4875</v>
      </c>
      <c r="IO11" s="2932">
        <f t="shared" si="52"/>
        <v>3755</v>
      </c>
      <c r="IP11" s="2933">
        <f t="shared" si="53"/>
        <v>28</v>
      </c>
      <c r="IQ11" s="2933">
        <f t="shared" si="54"/>
        <v>4696</v>
      </c>
      <c r="IR11" s="2934">
        <f t="shared" si="55"/>
        <v>1594</v>
      </c>
      <c r="IS11" s="2929">
        <f t="shared" si="56"/>
        <v>866</v>
      </c>
      <c r="IT11" s="2926">
        <f t="shared" si="57"/>
        <v>1364</v>
      </c>
      <c r="IU11" s="2926">
        <f t="shared" si="58"/>
        <v>2097</v>
      </c>
      <c r="IV11" s="2926">
        <f t="shared" si="59"/>
        <v>2594</v>
      </c>
      <c r="IW11" s="4571">
        <f t="shared" si="76"/>
        <v>0</v>
      </c>
      <c r="IX11" s="2921">
        <f t="shared" si="77"/>
        <v>0</v>
      </c>
      <c r="IY11" s="2921">
        <f t="shared" si="78"/>
        <v>0</v>
      </c>
      <c r="IZ11" s="4572">
        <f t="shared" si="79"/>
        <v>0</v>
      </c>
      <c r="JA11" s="4545"/>
      <c r="JB11" s="3544">
        <v>8779</v>
      </c>
      <c r="JC11" s="3545">
        <v>10051</v>
      </c>
      <c r="JD11" s="3545">
        <v>10812</v>
      </c>
      <c r="JE11" s="3545">
        <v>10624</v>
      </c>
      <c r="JF11" s="3545">
        <v>11949</v>
      </c>
      <c r="JG11" s="3545">
        <v>14298</v>
      </c>
      <c r="JH11" s="3546">
        <v>17571</v>
      </c>
      <c r="JI11" s="3547">
        <v>19702</v>
      </c>
      <c r="JJ11" s="3547">
        <f t="shared" si="60"/>
        <v>14459</v>
      </c>
      <c r="JK11" s="3547">
        <f t="shared" si="61"/>
        <v>12837</v>
      </c>
      <c r="JL11" s="3547">
        <f t="shared" si="62"/>
        <v>15666</v>
      </c>
      <c r="JM11" s="3547">
        <f t="shared" si="63"/>
        <v>17438</v>
      </c>
      <c r="JN11" s="3548">
        <f t="shared" si="24"/>
        <v>18090</v>
      </c>
      <c r="JO11" s="3566">
        <f t="shared" si="64"/>
        <v>5591</v>
      </c>
      <c r="JP11" s="3564">
        <f t="shared" si="80"/>
        <v>6921</v>
      </c>
      <c r="JQ11" s="3564">
        <f t="shared" si="81"/>
        <v>6921</v>
      </c>
      <c r="JS11" s="3765">
        <f t="shared" si="82"/>
        <v>6921</v>
      </c>
      <c r="JT11" s="3765">
        <f t="shared" si="83"/>
        <v>6921</v>
      </c>
      <c r="JV11" s="3551">
        <f t="shared" si="84"/>
        <v>6477.666666666667</v>
      </c>
      <c r="JW11" s="3552">
        <f t="shared" si="65"/>
        <v>2.0453263567793558E-2</v>
      </c>
      <c r="JX11" s="3552">
        <f t="shared" si="66"/>
        <v>2.3993346923334932E-2</v>
      </c>
      <c r="JY11" s="3552">
        <f t="shared" si="85"/>
        <v>2.5382823871906841E-2</v>
      </c>
      <c r="JZ11" s="3552">
        <f t="shared" si="67"/>
        <v>2.633187772925764E-2</v>
      </c>
      <c r="KA11" s="3552">
        <f t="shared" si="68"/>
        <v>2.9210007993438068E-2</v>
      </c>
      <c r="KB11" s="4575">
        <f t="shared" si="69"/>
        <v>2.4630243846887501E-2</v>
      </c>
      <c r="KC11" s="3565">
        <f t="shared" si="86"/>
        <v>2.4630243846887501E-2</v>
      </c>
      <c r="KD11" s="3552"/>
      <c r="KE11" s="3554">
        <f t="shared" si="70"/>
        <v>0.22037859312923591</v>
      </c>
      <c r="KF11" s="3555">
        <f t="shared" si="71"/>
        <v>-0.49539092726753398</v>
      </c>
      <c r="KG11" s="3555">
        <f t="shared" si="72"/>
        <v>0.11311119622111576</v>
      </c>
      <c r="KH11" s="3555">
        <f t="shared" si="73"/>
        <v>3.7389608900103122E-2</v>
      </c>
      <c r="KI11" s="3555">
        <f t="shared" si="74"/>
        <v>-0.69093421779988939</v>
      </c>
      <c r="KJ11" s="3556">
        <f t="shared" si="75"/>
        <v>-0.61741293532338304</v>
      </c>
      <c r="KK11" s="3557">
        <f t="shared" si="87"/>
        <v>0.23788231085673406</v>
      </c>
      <c r="KM11" s="3231"/>
      <c r="KN11" s="3231"/>
      <c r="KO11" s="3231"/>
      <c r="KP11" s="3231"/>
      <c r="KQ11" s="3231"/>
      <c r="KR11" s="3231"/>
      <c r="KS11" s="3231"/>
      <c r="KT11" s="3231"/>
      <c r="KU11" s="3231"/>
      <c r="KV11" s="3231"/>
      <c r="KW11" s="3231"/>
      <c r="KX11" s="3231"/>
      <c r="KY11" s="3231"/>
      <c r="KZ11" s="3231"/>
      <c r="LA11" s="3231"/>
      <c r="LB11" s="3231"/>
      <c r="LC11" s="3231"/>
      <c r="LD11" s="3231"/>
      <c r="LE11" s="3231"/>
      <c r="LF11" s="3231"/>
      <c r="LG11" s="3231"/>
      <c r="LH11" s="3231"/>
      <c r="LI11" s="3231"/>
    </row>
    <row r="12" spans="1:321" ht="21.9" customHeight="1">
      <c r="A12" s="3558"/>
      <c r="B12" s="3231"/>
      <c r="C12" s="3559" t="s">
        <v>21</v>
      </c>
      <c r="D12" s="3516">
        <v>543</v>
      </c>
      <c r="E12" s="3517">
        <v>685</v>
      </c>
      <c r="F12" s="3517">
        <v>788</v>
      </c>
      <c r="G12" s="3517">
        <v>824</v>
      </c>
      <c r="H12" s="3517">
        <v>704</v>
      </c>
      <c r="I12" s="3517">
        <v>744</v>
      </c>
      <c r="J12" s="3517">
        <v>1339</v>
      </c>
      <c r="K12" s="3517">
        <v>1363</v>
      </c>
      <c r="L12" s="3517">
        <v>964</v>
      </c>
      <c r="M12" s="3517">
        <v>1261</v>
      </c>
      <c r="N12" s="3517">
        <v>1037</v>
      </c>
      <c r="O12" s="3518">
        <v>669</v>
      </c>
      <c r="P12" s="3519">
        <v>824</v>
      </c>
      <c r="Q12" s="3520">
        <v>1149</v>
      </c>
      <c r="R12" s="3520">
        <v>823</v>
      </c>
      <c r="S12" s="3520">
        <v>1148</v>
      </c>
      <c r="T12" s="3520">
        <v>934</v>
      </c>
      <c r="U12" s="3520">
        <v>975</v>
      </c>
      <c r="V12" s="3520">
        <v>1638</v>
      </c>
      <c r="W12" s="3520">
        <v>1653</v>
      </c>
      <c r="X12" s="3520">
        <v>1093</v>
      </c>
      <c r="Y12" s="3520">
        <v>1377</v>
      </c>
      <c r="Z12" s="3520">
        <v>1200</v>
      </c>
      <c r="AA12" s="3521">
        <v>673</v>
      </c>
      <c r="AB12" s="3522">
        <v>983</v>
      </c>
      <c r="AC12" s="3523">
        <v>1015</v>
      </c>
      <c r="AD12" s="3523">
        <v>796</v>
      </c>
      <c r="AE12" s="3523">
        <v>1016</v>
      </c>
      <c r="AF12" s="3523">
        <v>965</v>
      </c>
      <c r="AG12" s="3523">
        <v>914</v>
      </c>
      <c r="AH12" s="3523">
        <v>1694</v>
      </c>
      <c r="AI12" s="3523">
        <v>1736</v>
      </c>
      <c r="AJ12" s="3523">
        <v>1131</v>
      </c>
      <c r="AK12" s="3523">
        <v>1386</v>
      </c>
      <c r="AL12" s="3523">
        <v>1175</v>
      </c>
      <c r="AM12" s="3524">
        <v>749</v>
      </c>
      <c r="AN12" s="3525">
        <v>742</v>
      </c>
      <c r="AO12" s="3526">
        <v>833</v>
      </c>
      <c r="AP12" s="3526">
        <v>1023</v>
      </c>
      <c r="AQ12" s="3526">
        <v>740</v>
      </c>
      <c r="AR12" s="3526">
        <v>1128</v>
      </c>
      <c r="AS12" s="3526">
        <v>840</v>
      </c>
      <c r="AT12" s="3526">
        <v>1883</v>
      </c>
      <c r="AU12" s="3526">
        <v>1664</v>
      </c>
      <c r="AV12" s="3526">
        <v>843</v>
      </c>
      <c r="AW12" s="3526">
        <v>1482</v>
      </c>
      <c r="AX12" s="3526">
        <v>1372</v>
      </c>
      <c r="AY12" s="3527">
        <v>727</v>
      </c>
      <c r="AZ12" s="3463">
        <v>759</v>
      </c>
      <c r="BA12" s="3463">
        <v>756</v>
      </c>
      <c r="BB12" s="3463">
        <v>935</v>
      </c>
      <c r="BC12" s="3463">
        <v>872</v>
      </c>
      <c r="BD12" s="3463">
        <v>1262</v>
      </c>
      <c r="BE12" s="3463">
        <v>730</v>
      </c>
      <c r="BF12" s="3463">
        <v>1595</v>
      </c>
      <c r="BG12" s="3463">
        <v>1453</v>
      </c>
      <c r="BH12" s="3463">
        <v>992</v>
      </c>
      <c r="BI12" s="3463">
        <v>1427</v>
      </c>
      <c r="BJ12" s="3463">
        <v>1289</v>
      </c>
      <c r="BK12" s="3560">
        <v>680</v>
      </c>
      <c r="BL12" s="3530">
        <v>673</v>
      </c>
      <c r="BM12" s="3531">
        <v>845</v>
      </c>
      <c r="BN12" s="3531">
        <v>756</v>
      </c>
      <c r="BO12" s="3531">
        <v>782</v>
      </c>
      <c r="BP12" s="3531">
        <v>829</v>
      </c>
      <c r="BQ12" s="3531">
        <v>701</v>
      </c>
      <c r="BR12" s="3531">
        <v>1552</v>
      </c>
      <c r="BS12" s="3531">
        <v>1404</v>
      </c>
      <c r="BT12" s="3532">
        <v>1214</v>
      </c>
      <c r="BU12" s="3532">
        <v>1410</v>
      </c>
      <c r="BV12" s="3532">
        <v>1180</v>
      </c>
      <c r="BW12" s="3533">
        <v>745</v>
      </c>
      <c r="BX12" s="3534">
        <v>880</v>
      </c>
      <c r="BY12" s="3459">
        <v>808</v>
      </c>
      <c r="BZ12" s="3459">
        <v>969</v>
      </c>
      <c r="CA12" s="3459">
        <v>844</v>
      </c>
      <c r="CB12" s="3459">
        <v>1026</v>
      </c>
      <c r="CC12" s="3459">
        <v>860</v>
      </c>
      <c r="CD12" s="3459">
        <v>1550</v>
      </c>
      <c r="CE12" s="3459">
        <v>1310</v>
      </c>
      <c r="CF12" s="3459">
        <v>1292</v>
      </c>
      <c r="CG12" s="3459">
        <v>1197</v>
      </c>
      <c r="CH12" s="3459">
        <v>1162</v>
      </c>
      <c r="CI12" s="3461">
        <v>751</v>
      </c>
      <c r="CJ12" s="3535">
        <v>877</v>
      </c>
      <c r="CK12" s="3536">
        <v>898</v>
      </c>
      <c r="CL12" s="3536">
        <v>932</v>
      </c>
      <c r="CM12" s="3536">
        <v>964</v>
      </c>
      <c r="CN12" s="3536">
        <v>964</v>
      </c>
      <c r="CO12" s="3536">
        <v>934</v>
      </c>
      <c r="CP12" s="3536">
        <v>1664</v>
      </c>
      <c r="CQ12" s="3536">
        <v>1228</v>
      </c>
      <c r="CR12" s="3536">
        <v>1269</v>
      </c>
      <c r="CS12" s="3536">
        <v>1389</v>
      </c>
      <c r="CT12" s="3536">
        <v>1581</v>
      </c>
      <c r="CU12" s="3537">
        <v>983</v>
      </c>
      <c r="CV12" s="3535">
        <v>1065</v>
      </c>
      <c r="CW12" s="3536">
        <v>1008</v>
      </c>
      <c r="CX12" s="3458">
        <v>802</v>
      </c>
      <c r="CY12" s="3458">
        <v>921</v>
      </c>
      <c r="CZ12" s="3458">
        <v>958</v>
      </c>
      <c r="DA12" s="3458">
        <v>965</v>
      </c>
      <c r="DB12" s="3458">
        <v>1548</v>
      </c>
      <c r="DC12" s="3458">
        <v>1233</v>
      </c>
      <c r="DD12" s="3458">
        <v>1512</v>
      </c>
      <c r="DE12" s="3458">
        <v>1510</v>
      </c>
      <c r="DF12" s="3458">
        <v>1671</v>
      </c>
      <c r="DG12" s="3537">
        <v>856</v>
      </c>
      <c r="DH12" s="3538">
        <v>953</v>
      </c>
      <c r="DI12" s="3539">
        <v>996</v>
      </c>
      <c r="DJ12" s="3539">
        <v>916</v>
      </c>
      <c r="DK12" s="3540">
        <v>945</v>
      </c>
      <c r="DL12" s="3540">
        <v>905</v>
      </c>
      <c r="DM12" s="3540">
        <v>1030</v>
      </c>
      <c r="DN12" s="3540">
        <v>1552</v>
      </c>
      <c r="DO12" s="3540">
        <v>1191</v>
      </c>
      <c r="DP12" s="2713">
        <v>950</v>
      </c>
      <c r="DQ12" s="3540">
        <v>1536</v>
      </c>
      <c r="DR12" s="3540">
        <v>1546</v>
      </c>
      <c r="DS12" s="3541">
        <v>835</v>
      </c>
      <c r="DT12" s="3542">
        <v>933</v>
      </c>
      <c r="DU12" s="3429">
        <v>916</v>
      </c>
      <c r="DV12" s="3429">
        <v>937</v>
      </c>
      <c r="DW12" s="3350">
        <v>939</v>
      </c>
      <c r="DX12" s="3350">
        <v>912</v>
      </c>
      <c r="DY12" s="3350">
        <v>911</v>
      </c>
      <c r="DZ12" s="3350">
        <v>1705</v>
      </c>
      <c r="EA12" s="3350">
        <v>1227</v>
      </c>
      <c r="EB12" s="3350">
        <v>1164</v>
      </c>
      <c r="EC12" s="3350">
        <v>1553</v>
      </c>
      <c r="ED12" s="3350">
        <v>1734</v>
      </c>
      <c r="EE12" s="3349">
        <v>865</v>
      </c>
      <c r="EF12" s="2689">
        <v>1076</v>
      </c>
      <c r="EG12" s="2688">
        <v>1089</v>
      </c>
      <c r="EH12" s="2688">
        <v>834</v>
      </c>
      <c r="EI12" s="2688">
        <v>1162</v>
      </c>
      <c r="EJ12" s="2688">
        <v>1082</v>
      </c>
      <c r="EK12" s="2688">
        <v>1183</v>
      </c>
      <c r="EL12" s="2688">
        <v>1912</v>
      </c>
      <c r="EM12" s="2714">
        <v>1373</v>
      </c>
      <c r="EN12" s="2714">
        <v>1332</v>
      </c>
      <c r="EO12" s="2715">
        <v>1688</v>
      </c>
      <c r="EP12" s="2715">
        <v>1480</v>
      </c>
      <c r="EQ12" s="2716">
        <v>952</v>
      </c>
      <c r="ER12" s="1347">
        <v>1067</v>
      </c>
      <c r="ES12" s="3543">
        <v>1374</v>
      </c>
      <c r="ET12" s="3543">
        <v>865</v>
      </c>
      <c r="EU12" s="2717">
        <v>1271</v>
      </c>
      <c r="EV12" s="2161">
        <v>1648</v>
      </c>
      <c r="EW12" s="2161">
        <v>1645</v>
      </c>
      <c r="EX12" s="2161">
        <v>2746</v>
      </c>
      <c r="EY12" s="2161">
        <v>2514</v>
      </c>
      <c r="EZ12" s="2161">
        <v>2251</v>
      </c>
      <c r="FA12" s="2339">
        <v>1562</v>
      </c>
      <c r="FB12" s="2339">
        <v>1949</v>
      </c>
      <c r="FC12" s="2339">
        <v>1590</v>
      </c>
      <c r="FD12" s="2772">
        <v>1717</v>
      </c>
      <c r="FE12" s="2773">
        <v>1675</v>
      </c>
      <c r="FF12" s="2773">
        <v>661</v>
      </c>
      <c r="FG12" s="2773">
        <v>2</v>
      </c>
      <c r="FH12" s="2773">
        <v>18</v>
      </c>
      <c r="FI12" s="2773">
        <v>11</v>
      </c>
      <c r="FJ12" s="2773">
        <v>68</v>
      </c>
      <c r="FK12" s="2773">
        <v>158</v>
      </c>
      <c r="FL12" s="2773">
        <v>152</v>
      </c>
      <c r="FM12" s="2773">
        <v>261</v>
      </c>
      <c r="FN12" s="2773">
        <v>186</v>
      </c>
      <c r="FO12" s="2774">
        <v>413</v>
      </c>
      <c r="FP12" s="2772">
        <v>386</v>
      </c>
      <c r="FQ12" s="2773">
        <v>209</v>
      </c>
      <c r="FR12" s="2773">
        <v>211</v>
      </c>
      <c r="FS12" s="2773">
        <v>238</v>
      </c>
      <c r="FT12" s="2773">
        <v>278</v>
      </c>
      <c r="FU12" s="2773">
        <v>367</v>
      </c>
      <c r="FV12" s="2773">
        <v>1003</v>
      </c>
      <c r="FW12" s="2773">
        <v>916</v>
      </c>
      <c r="FX12" s="2773">
        <v>816</v>
      </c>
      <c r="FY12" s="2773">
        <v>990</v>
      </c>
      <c r="FZ12" s="2773">
        <v>924</v>
      </c>
      <c r="GA12" s="2774">
        <v>826</v>
      </c>
      <c r="GB12" s="4559"/>
      <c r="GC12" s="4556"/>
      <c r="GD12" s="4556"/>
      <c r="GE12" s="4556"/>
      <c r="GF12" s="4556"/>
      <c r="GG12" s="4556"/>
      <c r="GH12" s="4556"/>
      <c r="GI12" s="4556"/>
      <c r="GJ12" s="4556"/>
      <c r="GK12" s="4556"/>
      <c r="GL12" s="4556"/>
      <c r="GM12" s="4560"/>
      <c r="GN12" s="2764"/>
      <c r="GO12" s="2911">
        <v>2016</v>
      </c>
      <c r="GP12" s="2912">
        <v>2272</v>
      </c>
      <c r="GQ12" s="2912">
        <v>3666</v>
      </c>
      <c r="GR12" s="2913">
        <v>2967</v>
      </c>
      <c r="GS12" s="2914">
        <v>2796</v>
      </c>
      <c r="GT12" s="2915">
        <v>3057</v>
      </c>
      <c r="GU12" s="2915">
        <v>4384</v>
      </c>
      <c r="GV12" s="2916">
        <v>3250</v>
      </c>
      <c r="GW12" s="2917">
        <v>2794</v>
      </c>
      <c r="GX12" s="2918">
        <v>2895</v>
      </c>
      <c r="GY12" s="2919">
        <v>4561</v>
      </c>
      <c r="GZ12" s="2919">
        <v>3310</v>
      </c>
      <c r="HA12" s="2920">
        <v>2598</v>
      </c>
      <c r="HB12" s="2921">
        <v>2708</v>
      </c>
      <c r="HC12" s="2921">
        <v>4390</v>
      </c>
      <c r="HD12" s="2922">
        <v>3581</v>
      </c>
      <c r="HE12" s="2923">
        <v>2450</v>
      </c>
      <c r="HF12" s="2924">
        <v>2864</v>
      </c>
      <c r="HG12" s="2924">
        <v>4040</v>
      </c>
      <c r="HH12" s="2925">
        <v>3396</v>
      </c>
      <c r="HI12" s="2921">
        <v>2274</v>
      </c>
      <c r="HJ12" s="2921">
        <v>2312</v>
      </c>
      <c r="HK12" s="2921">
        <v>4170</v>
      </c>
      <c r="HL12" s="2921">
        <v>3335</v>
      </c>
      <c r="HM12" s="2926">
        <v>2657</v>
      </c>
      <c r="HN12" s="2926">
        <v>2730</v>
      </c>
      <c r="HO12" s="2926">
        <v>4152</v>
      </c>
      <c r="HP12" s="2926">
        <v>3110</v>
      </c>
      <c r="HQ12" s="2927">
        <v>2707</v>
      </c>
      <c r="HR12" s="2927">
        <v>2862</v>
      </c>
      <c r="HS12" s="2927">
        <f t="shared" si="32"/>
        <v>4161</v>
      </c>
      <c r="HT12" s="2927">
        <v>3953</v>
      </c>
      <c r="HU12" s="2928">
        <v>2875</v>
      </c>
      <c r="HV12" s="2928">
        <f t="shared" si="33"/>
        <v>2844</v>
      </c>
      <c r="HW12" s="2928">
        <f t="shared" si="34"/>
        <v>4293</v>
      </c>
      <c r="HX12" s="2927">
        <f t="shared" si="35"/>
        <v>4037</v>
      </c>
      <c r="HY12" s="2846">
        <f t="shared" si="36"/>
        <v>2865</v>
      </c>
      <c r="HZ12" s="2846">
        <f t="shared" si="37"/>
        <v>2880</v>
      </c>
      <c r="IA12" s="2846">
        <f t="shared" si="38"/>
        <v>3578</v>
      </c>
      <c r="IB12" s="2846">
        <f t="shared" si="39"/>
        <v>3917</v>
      </c>
      <c r="IC12" s="2921">
        <f t="shared" si="40"/>
        <v>2786</v>
      </c>
      <c r="ID12" s="2921">
        <f t="shared" si="41"/>
        <v>2762</v>
      </c>
      <c r="IE12" s="2921">
        <f t="shared" si="42"/>
        <v>4096</v>
      </c>
      <c r="IF12" s="2921">
        <f t="shared" si="43"/>
        <v>4152</v>
      </c>
      <c r="IG12" s="2929">
        <f t="shared" si="44"/>
        <v>2999</v>
      </c>
      <c r="IH12" s="2926">
        <f t="shared" si="45"/>
        <v>3427</v>
      </c>
      <c r="II12" s="2926">
        <f t="shared" si="46"/>
        <v>4617</v>
      </c>
      <c r="IJ12" s="2926">
        <f t="shared" si="47"/>
        <v>4120</v>
      </c>
      <c r="IK12" s="2930">
        <f t="shared" si="48"/>
        <v>3306</v>
      </c>
      <c r="IL12" s="2931">
        <f t="shared" si="49"/>
        <v>4564</v>
      </c>
      <c r="IM12" s="2931">
        <f t="shared" si="50"/>
        <v>7511</v>
      </c>
      <c r="IN12" s="2931">
        <f t="shared" si="51"/>
        <v>5101</v>
      </c>
      <c r="IO12" s="2932">
        <f t="shared" si="52"/>
        <v>4053</v>
      </c>
      <c r="IP12" s="2933">
        <f t="shared" si="53"/>
        <v>31</v>
      </c>
      <c r="IQ12" s="2933">
        <f t="shared" si="54"/>
        <v>7511</v>
      </c>
      <c r="IR12" s="2934">
        <f t="shared" si="55"/>
        <v>860</v>
      </c>
      <c r="IS12" s="2929">
        <f t="shared" si="56"/>
        <v>806</v>
      </c>
      <c r="IT12" s="2926">
        <f t="shared" si="57"/>
        <v>883</v>
      </c>
      <c r="IU12" s="2926">
        <f t="shared" si="58"/>
        <v>2735</v>
      </c>
      <c r="IV12" s="2926">
        <f t="shared" si="59"/>
        <v>2740</v>
      </c>
      <c r="IW12" s="4571">
        <f t="shared" si="76"/>
        <v>0</v>
      </c>
      <c r="IX12" s="2921">
        <f t="shared" si="77"/>
        <v>0</v>
      </c>
      <c r="IY12" s="2921">
        <f t="shared" si="78"/>
        <v>0</v>
      </c>
      <c r="IZ12" s="4572">
        <f t="shared" si="79"/>
        <v>0</v>
      </c>
      <c r="JA12" s="4545"/>
      <c r="JB12" s="3544">
        <v>10921</v>
      </c>
      <c r="JC12" s="3545">
        <v>13487</v>
      </c>
      <c r="JD12" s="3545">
        <v>13560</v>
      </c>
      <c r="JE12" s="3545">
        <v>13277</v>
      </c>
      <c r="JF12" s="3545">
        <v>12750</v>
      </c>
      <c r="JG12" s="3545">
        <v>12091</v>
      </c>
      <c r="JH12" s="3546">
        <v>12649</v>
      </c>
      <c r="JI12" s="3547">
        <v>13683</v>
      </c>
      <c r="JJ12" s="3547">
        <f t="shared" si="60"/>
        <v>14049</v>
      </c>
      <c r="JK12" s="3547">
        <f t="shared" si="61"/>
        <v>13355</v>
      </c>
      <c r="JL12" s="3547">
        <f t="shared" si="62"/>
        <v>13796</v>
      </c>
      <c r="JM12" s="3547">
        <f t="shared" si="63"/>
        <v>15163</v>
      </c>
      <c r="JN12" s="3548">
        <f t="shared" si="24"/>
        <v>20482</v>
      </c>
      <c r="JO12" s="3566">
        <f t="shared" si="64"/>
        <v>5322</v>
      </c>
      <c r="JP12" s="3564">
        <f t="shared" si="80"/>
        <v>7164</v>
      </c>
      <c r="JQ12" s="3564">
        <f t="shared" si="81"/>
        <v>7164</v>
      </c>
      <c r="JS12" s="3765">
        <f t="shared" si="82"/>
        <v>7164</v>
      </c>
      <c r="JT12" s="3765">
        <f t="shared" si="83"/>
        <v>7164</v>
      </c>
      <c r="JV12" s="3551">
        <f t="shared" si="84"/>
        <v>6550</v>
      </c>
      <c r="JW12" s="3552">
        <f t="shared" si="65"/>
        <v>2.1278595851669625E-2</v>
      </c>
      <c r="JX12" s="3552">
        <f t="shared" si="66"/>
        <v>2.1129338322119794E-2</v>
      </c>
      <c r="JY12" s="3552">
        <f t="shared" si="85"/>
        <v>2.207132459970888E-2</v>
      </c>
      <c r="JZ12" s="3552">
        <f t="shared" si="67"/>
        <v>2.9813682678311498E-2</v>
      </c>
      <c r="KA12" s="3552">
        <f t="shared" si="68"/>
        <v>2.7804625745139939E-2</v>
      </c>
      <c r="KB12" s="4575">
        <f t="shared" si="69"/>
        <v>2.5495024840211249E-2</v>
      </c>
      <c r="KC12" s="3565">
        <f t="shared" si="86"/>
        <v>2.5495024840211249E-2</v>
      </c>
      <c r="KD12" s="3552"/>
      <c r="KE12" s="3554">
        <f t="shared" si="70"/>
        <v>3.3021340321976789E-2</v>
      </c>
      <c r="KF12" s="3555">
        <f t="shared" si="71"/>
        <v>-0.50954698614751037</v>
      </c>
      <c r="KG12" s="3555">
        <f t="shared" si="72"/>
        <v>9.908669179472307E-2</v>
      </c>
      <c r="KH12" s="3555">
        <f t="shared" si="73"/>
        <v>0.35078810261821536</v>
      </c>
      <c r="KI12" s="3555">
        <f t="shared" si="74"/>
        <v>-0.74016209354555218</v>
      </c>
      <c r="KJ12" s="3556">
        <f t="shared" si="75"/>
        <v>-0.65022946977834195</v>
      </c>
      <c r="KK12" s="3557">
        <f t="shared" si="87"/>
        <v>0.34611048478015793</v>
      </c>
      <c r="KM12" s="3231"/>
      <c r="KN12" s="3231"/>
      <c r="KO12" s="3231"/>
      <c r="KP12" s="3231"/>
      <c r="KQ12" s="3231"/>
      <c r="KR12" s="3231"/>
      <c r="KS12" s="3231"/>
      <c r="KT12" s="3231"/>
      <c r="KU12" s="3231"/>
      <c r="KV12" s="3231"/>
      <c r="KW12" s="3231"/>
      <c r="KX12" s="3231"/>
      <c r="KY12" s="3231"/>
      <c r="KZ12" s="3231"/>
      <c r="LA12" s="3231"/>
      <c r="LB12" s="3231"/>
      <c r="LC12" s="3231"/>
      <c r="LD12" s="3231"/>
      <c r="LE12" s="3231"/>
      <c r="LF12" s="3231"/>
      <c r="LG12" s="3231"/>
      <c r="LH12" s="3231"/>
      <c r="LI12" s="3231"/>
    </row>
    <row r="13" spans="1:321" ht="21.9" customHeight="1">
      <c r="A13" s="3568"/>
      <c r="B13" s="3231"/>
      <c r="C13" s="3567" t="s">
        <v>1773</v>
      </c>
      <c r="D13" s="3516">
        <v>753</v>
      </c>
      <c r="E13" s="3517">
        <v>714</v>
      </c>
      <c r="F13" s="3517">
        <v>737</v>
      </c>
      <c r="G13" s="3517">
        <v>613</v>
      </c>
      <c r="H13" s="3517">
        <v>651</v>
      </c>
      <c r="I13" s="3517">
        <v>747</v>
      </c>
      <c r="J13" s="3517">
        <v>827</v>
      </c>
      <c r="K13" s="3517">
        <v>1300</v>
      </c>
      <c r="L13" s="3517">
        <v>952</v>
      </c>
      <c r="M13" s="3517">
        <v>1111</v>
      </c>
      <c r="N13" s="3517">
        <v>1099</v>
      </c>
      <c r="O13" s="3518">
        <v>1314</v>
      </c>
      <c r="P13" s="3519">
        <v>827</v>
      </c>
      <c r="Q13" s="3520">
        <v>1276</v>
      </c>
      <c r="R13" s="3520">
        <v>1217</v>
      </c>
      <c r="S13" s="3520">
        <v>1118</v>
      </c>
      <c r="T13" s="3520">
        <v>1255</v>
      </c>
      <c r="U13" s="3520">
        <v>1036</v>
      </c>
      <c r="V13" s="3520">
        <v>1195</v>
      </c>
      <c r="W13" s="3520">
        <v>1641</v>
      </c>
      <c r="X13" s="3520">
        <v>1154</v>
      </c>
      <c r="Y13" s="3520">
        <v>1777</v>
      </c>
      <c r="Z13" s="3520">
        <v>1428</v>
      </c>
      <c r="AA13" s="3521">
        <v>2225</v>
      </c>
      <c r="AB13" s="3522">
        <v>1083</v>
      </c>
      <c r="AC13" s="3523">
        <v>1249</v>
      </c>
      <c r="AD13" s="3523">
        <v>1024</v>
      </c>
      <c r="AE13" s="3523">
        <v>1356</v>
      </c>
      <c r="AF13" s="3523">
        <v>1292</v>
      </c>
      <c r="AG13" s="3523">
        <v>1228</v>
      </c>
      <c r="AH13" s="3523">
        <v>1508</v>
      </c>
      <c r="AI13" s="3523">
        <v>2113</v>
      </c>
      <c r="AJ13" s="3523">
        <v>1520</v>
      </c>
      <c r="AK13" s="3523">
        <v>1841</v>
      </c>
      <c r="AL13" s="3523">
        <v>2046</v>
      </c>
      <c r="AM13" s="3524">
        <v>3228</v>
      </c>
      <c r="AN13" s="3525">
        <v>1651</v>
      </c>
      <c r="AO13" s="3526">
        <v>2875</v>
      </c>
      <c r="AP13" s="3526">
        <v>1387</v>
      </c>
      <c r="AQ13" s="3526">
        <v>1111</v>
      </c>
      <c r="AR13" s="3526">
        <v>1191</v>
      </c>
      <c r="AS13" s="3526">
        <v>1113</v>
      </c>
      <c r="AT13" s="3526">
        <v>1335</v>
      </c>
      <c r="AU13" s="3526">
        <v>1591</v>
      </c>
      <c r="AV13" s="3526">
        <v>1306</v>
      </c>
      <c r="AW13" s="3526">
        <v>1534</v>
      </c>
      <c r="AX13" s="3526">
        <v>1720</v>
      </c>
      <c r="AY13" s="3527">
        <v>1968</v>
      </c>
      <c r="AZ13" s="3463">
        <v>1032</v>
      </c>
      <c r="BA13" s="3463">
        <v>1376</v>
      </c>
      <c r="BB13" s="3463">
        <v>1492</v>
      </c>
      <c r="BC13" s="3463">
        <v>1632</v>
      </c>
      <c r="BD13" s="3463">
        <v>1480</v>
      </c>
      <c r="BE13" s="3463">
        <v>1340</v>
      </c>
      <c r="BF13" s="3463">
        <v>1534</v>
      </c>
      <c r="BG13" s="3463">
        <v>1989</v>
      </c>
      <c r="BH13" s="3463">
        <v>2317</v>
      </c>
      <c r="BI13" s="3463">
        <v>2313</v>
      </c>
      <c r="BJ13" s="3463">
        <v>2294</v>
      </c>
      <c r="BK13" s="3560">
        <v>2927</v>
      </c>
      <c r="BL13" s="3530">
        <v>1103</v>
      </c>
      <c r="BM13" s="3531">
        <v>1731</v>
      </c>
      <c r="BN13" s="3531">
        <v>1529</v>
      </c>
      <c r="BO13" s="3531">
        <v>1459</v>
      </c>
      <c r="BP13" s="3531">
        <v>1418</v>
      </c>
      <c r="BQ13" s="3531">
        <v>1675</v>
      </c>
      <c r="BR13" s="3531">
        <v>1770</v>
      </c>
      <c r="BS13" s="3531">
        <v>2101</v>
      </c>
      <c r="BT13" s="3532">
        <v>2091</v>
      </c>
      <c r="BU13" s="3532">
        <v>2502</v>
      </c>
      <c r="BV13" s="3532">
        <v>4173</v>
      </c>
      <c r="BW13" s="3533">
        <v>4955</v>
      </c>
      <c r="BX13" s="3534">
        <v>3054</v>
      </c>
      <c r="BY13" s="3459">
        <v>4459</v>
      </c>
      <c r="BZ13" s="3459">
        <v>4045</v>
      </c>
      <c r="CA13" s="3459">
        <v>4332</v>
      </c>
      <c r="CB13" s="3459">
        <v>4937</v>
      </c>
      <c r="CC13" s="3459">
        <v>5647</v>
      </c>
      <c r="CD13" s="3459">
        <v>7092</v>
      </c>
      <c r="CE13" s="3459">
        <v>7074</v>
      </c>
      <c r="CF13" s="3459">
        <v>7620</v>
      </c>
      <c r="CG13" s="3459">
        <v>10699</v>
      </c>
      <c r="CH13" s="3459">
        <v>11241</v>
      </c>
      <c r="CI13" s="3461">
        <v>7989</v>
      </c>
      <c r="CJ13" s="3535">
        <v>4693</v>
      </c>
      <c r="CK13" s="3536">
        <v>5741</v>
      </c>
      <c r="CL13" s="3536">
        <v>5725</v>
      </c>
      <c r="CM13" s="3536">
        <v>5619</v>
      </c>
      <c r="CN13" s="3536">
        <v>5346</v>
      </c>
      <c r="CO13" s="3536">
        <v>6807</v>
      </c>
      <c r="CP13" s="3536">
        <v>6926</v>
      </c>
      <c r="CQ13" s="3536">
        <v>8583</v>
      </c>
      <c r="CR13" s="3536">
        <v>9992</v>
      </c>
      <c r="CS13" s="3536">
        <v>9297</v>
      </c>
      <c r="CT13" s="3536">
        <v>10296</v>
      </c>
      <c r="CU13" s="3537">
        <v>11157</v>
      </c>
      <c r="CV13" s="3535">
        <v>2358</v>
      </c>
      <c r="CW13" s="3536">
        <v>2290</v>
      </c>
      <c r="CX13" s="3458">
        <v>4142</v>
      </c>
      <c r="CY13" s="3458">
        <v>6065</v>
      </c>
      <c r="CZ13" s="3458">
        <v>5121</v>
      </c>
      <c r="DA13" s="3458">
        <v>3749</v>
      </c>
      <c r="DB13" s="3458">
        <v>2801</v>
      </c>
      <c r="DC13" s="3458">
        <v>3138</v>
      </c>
      <c r="DD13" s="3458">
        <v>4863</v>
      </c>
      <c r="DE13" s="3458">
        <v>5562</v>
      </c>
      <c r="DF13" s="3458">
        <v>6086</v>
      </c>
      <c r="DG13" s="3537">
        <v>5218</v>
      </c>
      <c r="DH13" s="3538">
        <v>3766</v>
      </c>
      <c r="DI13" s="3539">
        <v>3119</v>
      </c>
      <c r="DJ13" s="3539">
        <v>3278</v>
      </c>
      <c r="DK13" s="3540">
        <v>2499</v>
      </c>
      <c r="DL13" s="3540">
        <v>2287</v>
      </c>
      <c r="DM13" s="3540">
        <v>1861</v>
      </c>
      <c r="DN13" s="3540">
        <v>1997</v>
      </c>
      <c r="DO13" s="3540">
        <v>1859</v>
      </c>
      <c r="DP13" s="2713">
        <v>1632</v>
      </c>
      <c r="DQ13" s="3540">
        <v>1802</v>
      </c>
      <c r="DR13" s="3540">
        <v>2234</v>
      </c>
      <c r="DS13" s="3541">
        <v>2275</v>
      </c>
      <c r="DT13" s="3542">
        <v>2611</v>
      </c>
      <c r="DU13" s="3429">
        <v>2623</v>
      </c>
      <c r="DV13" s="3429">
        <v>3077</v>
      </c>
      <c r="DW13" s="3350">
        <v>1899</v>
      </c>
      <c r="DX13" s="3350">
        <v>1788</v>
      </c>
      <c r="DY13" s="3350">
        <v>1844</v>
      </c>
      <c r="DZ13" s="3350">
        <v>2187</v>
      </c>
      <c r="EA13" s="3350">
        <v>1627</v>
      </c>
      <c r="EB13" s="3350">
        <v>1459</v>
      </c>
      <c r="EC13" s="3350">
        <v>1321</v>
      </c>
      <c r="ED13" s="3350">
        <v>1420</v>
      </c>
      <c r="EE13" s="3349">
        <v>1417</v>
      </c>
      <c r="EF13" s="2689">
        <v>1226</v>
      </c>
      <c r="EG13" s="2688">
        <v>1186</v>
      </c>
      <c r="EH13" s="2688">
        <v>1106</v>
      </c>
      <c r="EI13" s="2688">
        <v>1006</v>
      </c>
      <c r="EJ13" s="2688">
        <v>1115</v>
      </c>
      <c r="EK13" s="2688">
        <v>1223</v>
      </c>
      <c r="EL13" s="2688">
        <v>1373</v>
      </c>
      <c r="EM13" s="2714">
        <v>1180</v>
      </c>
      <c r="EN13" s="2714">
        <v>1316</v>
      </c>
      <c r="EO13" s="2715">
        <v>1366</v>
      </c>
      <c r="EP13" s="2715">
        <v>1417</v>
      </c>
      <c r="EQ13" s="2716">
        <v>1480</v>
      </c>
      <c r="ER13" s="1348">
        <v>839</v>
      </c>
      <c r="ES13" s="3543">
        <v>615</v>
      </c>
      <c r="ET13" s="3543">
        <v>713</v>
      </c>
      <c r="EU13" s="2717">
        <v>970</v>
      </c>
      <c r="EV13" s="2162">
        <v>1338</v>
      </c>
      <c r="EW13" s="2162">
        <v>1196</v>
      </c>
      <c r="EX13" s="2162">
        <v>1791</v>
      </c>
      <c r="EY13" s="2162">
        <v>1978</v>
      </c>
      <c r="EZ13" s="2162">
        <v>959</v>
      </c>
      <c r="FA13" s="2339">
        <v>956</v>
      </c>
      <c r="FB13" s="2339">
        <v>1165</v>
      </c>
      <c r="FC13" s="2339">
        <v>1300</v>
      </c>
      <c r="FD13" s="2772">
        <v>1957</v>
      </c>
      <c r="FE13" s="2773">
        <v>980</v>
      </c>
      <c r="FF13" s="2773">
        <v>604</v>
      </c>
      <c r="FG13" s="2773">
        <v>15</v>
      </c>
      <c r="FH13" s="2773">
        <v>28</v>
      </c>
      <c r="FI13" s="2773">
        <v>30</v>
      </c>
      <c r="FJ13" s="2773">
        <v>79</v>
      </c>
      <c r="FK13" s="2773">
        <v>74</v>
      </c>
      <c r="FL13" s="2773">
        <v>158</v>
      </c>
      <c r="FM13" s="2773">
        <v>136</v>
      </c>
      <c r="FN13" s="2773">
        <v>327</v>
      </c>
      <c r="FO13" s="2774">
        <v>284</v>
      </c>
      <c r="FP13" s="2772">
        <v>388</v>
      </c>
      <c r="FQ13" s="2773">
        <v>282</v>
      </c>
      <c r="FR13" s="2773">
        <v>283</v>
      </c>
      <c r="FS13" s="2773">
        <v>342</v>
      </c>
      <c r="FT13" s="2773">
        <v>477</v>
      </c>
      <c r="FU13" s="2773">
        <v>514</v>
      </c>
      <c r="FV13" s="2773">
        <v>574</v>
      </c>
      <c r="FW13" s="2773">
        <v>560</v>
      </c>
      <c r="FX13" s="2773">
        <v>593</v>
      </c>
      <c r="FY13" s="2773">
        <v>610</v>
      </c>
      <c r="FZ13" s="2773">
        <v>716</v>
      </c>
      <c r="GA13" s="2774">
        <v>640</v>
      </c>
      <c r="GB13" s="4561"/>
      <c r="GC13" s="4557"/>
      <c r="GD13" s="4557"/>
      <c r="GE13" s="4557"/>
      <c r="GF13" s="4557"/>
      <c r="GG13" s="4557"/>
      <c r="GH13" s="4557"/>
      <c r="GI13" s="4557"/>
      <c r="GJ13" s="4557"/>
      <c r="GK13" s="4557"/>
      <c r="GL13" s="4557"/>
      <c r="GM13" s="4562"/>
      <c r="GN13" s="2764"/>
      <c r="GO13" s="2911">
        <v>2204</v>
      </c>
      <c r="GP13" s="2912">
        <v>2011</v>
      </c>
      <c r="GQ13" s="2912">
        <v>3079</v>
      </c>
      <c r="GR13" s="2913">
        <v>3524</v>
      </c>
      <c r="GS13" s="2914">
        <v>3320</v>
      </c>
      <c r="GT13" s="2915">
        <v>3409</v>
      </c>
      <c r="GU13" s="2915">
        <v>3990</v>
      </c>
      <c r="GV13" s="2916">
        <v>5430</v>
      </c>
      <c r="GW13" s="2917">
        <v>3356</v>
      </c>
      <c r="GX13" s="2918">
        <v>3876</v>
      </c>
      <c r="GY13" s="2919">
        <v>5141</v>
      </c>
      <c r="GZ13" s="2919">
        <v>7115</v>
      </c>
      <c r="HA13" s="2920">
        <v>5913</v>
      </c>
      <c r="HB13" s="2921">
        <v>3415</v>
      </c>
      <c r="HC13" s="2921">
        <v>4232</v>
      </c>
      <c r="HD13" s="2922">
        <v>5222</v>
      </c>
      <c r="HE13" s="2923">
        <v>3900</v>
      </c>
      <c r="HF13" s="2924">
        <v>4452</v>
      </c>
      <c r="HG13" s="2924">
        <v>5840</v>
      </c>
      <c r="HH13" s="2925">
        <v>7534</v>
      </c>
      <c r="HI13" s="2921">
        <v>4363</v>
      </c>
      <c r="HJ13" s="2921">
        <v>4552</v>
      </c>
      <c r="HK13" s="2921">
        <v>5962</v>
      </c>
      <c r="HL13" s="2921">
        <v>11630</v>
      </c>
      <c r="HM13" s="2926">
        <v>11558</v>
      </c>
      <c r="HN13" s="2926">
        <v>14916</v>
      </c>
      <c r="HO13" s="2926">
        <v>21786</v>
      </c>
      <c r="HP13" s="2926">
        <v>29929</v>
      </c>
      <c r="HQ13" s="2927">
        <v>16159</v>
      </c>
      <c r="HR13" s="2927">
        <v>17772</v>
      </c>
      <c r="HS13" s="2927">
        <f t="shared" si="32"/>
        <v>25501</v>
      </c>
      <c r="HT13" s="2927">
        <v>30750</v>
      </c>
      <c r="HU13" s="2928">
        <v>8790</v>
      </c>
      <c r="HV13" s="2928">
        <f t="shared" si="33"/>
        <v>14935</v>
      </c>
      <c r="HW13" s="2928">
        <f t="shared" si="34"/>
        <v>10802</v>
      </c>
      <c r="HX13" s="2927">
        <f t="shared" si="35"/>
        <v>16866</v>
      </c>
      <c r="HY13" s="2846">
        <f t="shared" si="36"/>
        <v>10163</v>
      </c>
      <c r="HZ13" s="2846">
        <f t="shared" si="37"/>
        <v>6647</v>
      </c>
      <c r="IA13" s="2846">
        <f t="shared" si="38"/>
        <v>6131</v>
      </c>
      <c r="IB13" s="2846">
        <f t="shared" si="39"/>
        <v>6311</v>
      </c>
      <c r="IC13" s="2921">
        <f t="shared" si="40"/>
        <v>8311</v>
      </c>
      <c r="ID13" s="2921">
        <f t="shared" si="41"/>
        <v>5531</v>
      </c>
      <c r="IE13" s="2921">
        <f t="shared" si="42"/>
        <v>5273</v>
      </c>
      <c r="IF13" s="2921">
        <f t="shared" si="43"/>
        <v>4158</v>
      </c>
      <c r="IG13" s="2929">
        <f t="shared" si="44"/>
        <v>3518</v>
      </c>
      <c r="IH13" s="2926">
        <f t="shared" si="45"/>
        <v>3344</v>
      </c>
      <c r="II13" s="2926">
        <f t="shared" si="46"/>
        <v>3869</v>
      </c>
      <c r="IJ13" s="2926">
        <f t="shared" si="47"/>
        <v>4263</v>
      </c>
      <c r="IK13" s="2930">
        <f t="shared" si="48"/>
        <v>2167</v>
      </c>
      <c r="IL13" s="2931">
        <f t="shared" si="49"/>
        <v>3504</v>
      </c>
      <c r="IM13" s="2931">
        <f t="shared" si="50"/>
        <v>4728</v>
      </c>
      <c r="IN13" s="2931">
        <f t="shared" si="51"/>
        <v>3421</v>
      </c>
      <c r="IO13" s="2932">
        <f t="shared" si="52"/>
        <v>3541</v>
      </c>
      <c r="IP13" s="2933">
        <f t="shared" si="53"/>
        <v>73</v>
      </c>
      <c r="IQ13" s="2933">
        <f t="shared" si="54"/>
        <v>4728</v>
      </c>
      <c r="IR13" s="2934">
        <f t="shared" si="55"/>
        <v>747</v>
      </c>
      <c r="IS13" s="2929">
        <f t="shared" si="56"/>
        <v>953</v>
      </c>
      <c r="IT13" s="2926">
        <f t="shared" si="57"/>
        <v>1333</v>
      </c>
      <c r="IU13" s="2926">
        <f t="shared" si="58"/>
        <v>1727</v>
      </c>
      <c r="IV13" s="2926">
        <f t="shared" si="59"/>
        <v>1966</v>
      </c>
      <c r="IW13" s="4549">
        <f t="shared" si="76"/>
        <v>0</v>
      </c>
      <c r="IX13" s="4541">
        <f t="shared" si="77"/>
        <v>0</v>
      </c>
      <c r="IY13" s="4541">
        <f t="shared" si="78"/>
        <v>0</v>
      </c>
      <c r="IZ13" s="4550">
        <f t="shared" si="79"/>
        <v>0</v>
      </c>
      <c r="JA13" s="4545"/>
      <c r="JB13" s="3544">
        <v>10818</v>
      </c>
      <c r="JC13" s="3545">
        <v>16149</v>
      </c>
      <c r="JD13" s="3545">
        <v>19488</v>
      </c>
      <c r="JE13" s="3545">
        <v>18782</v>
      </c>
      <c r="JF13" s="3545">
        <v>21726</v>
      </c>
      <c r="JG13" s="3545">
        <v>26507</v>
      </c>
      <c r="JH13" s="3546">
        <v>78189</v>
      </c>
      <c r="JI13" s="3547">
        <v>90182</v>
      </c>
      <c r="JJ13" s="3547">
        <f t="shared" si="60"/>
        <v>51393</v>
      </c>
      <c r="JK13" s="3547">
        <f t="shared" si="61"/>
        <v>28609</v>
      </c>
      <c r="JL13" s="3547">
        <f t="shared" si="62"/>
        <v>23273</v>
      </c>
      <c r="JM13" s="3547">
        <f t="shared" si="63"/>
        <v>14994</v>
      </c>
      <c r="JN13" s="3548">
        <f t="shared" si="24"/>
        <v>13820</v>
      </c>
      <c r="JO13" s="3566">
        <f t="shared" si="64"/>
        <v>4672</v>
      </c>
      <c r="JP13" s="3564">
        <f t="shared" si="80"/>
        <v>5979</v>
      </c>
      <c r="JQ13" s="3564">
        <f t="shared" si="81"/>
        <v>5979</v>
      </c>
      <c r="JS13" s="3765">
        <f t="shared" si="82"/>
        <v>5979</v>
      </c>
      <c r="JT13" s="3765">
        <f t="shared" si="83"/>
        <v>5979</v>
      </c>
      <c r="JV13" s="3551">
        <f t="shared" si="84"/>
        <v>5543.333333333333</v>
      </c>
      <c r="JW13" s="3552">
        <f t="shared" si="65"/>
        <v>4.5582878975695719E-2</v>
      </c>
      <c r="JX13" s="3552">
        <f t="shared" si="66"/>
        <v>3.5643888864213831E-2</v>
      </c>
      <c r="JY13" s="3552">
        <f t="shared" si="85"/>
        <v>2.1825327510917029E-2</v>
      </c>
      <c r="JZ13" s="3552">
        <f t="shared" si="67"/>
        <v>2.0116448326055313E-2</v>
      </c>
      <c r="KA13" s="3552">
        <f t="shared" si="68"/>
        <v>2.4408720684196503E-2</v>
      </c>
      <c r="KB13" s="4575">
        <f t="shared" si="69"/>
        <v>2.1277882959188033E-2</v>
      </c>
      <c r="KC13" s="3565">
        <f t="shared" si="86"/>
        <v>2.1277882959188033E-2</v>
      </c>
      <c r="KD13" s="3552"/>
      <c r="KE13" s="3554">
        <f t="shared" si="70"/>
        <v>-0.18651473312593936</v>
      </c>
      <c r="KF13" s="3555">
        <f t="shared" si="71"/>
        <v>-0.80623813019213064</v>
      </c>
      <c r="KG13" s="3555">
        <f t="shared" si="72"/>
        <v>-0.35573411249086928</v>
      </c>
      <c r="KH13" s="3555">
        <f t="shared" si="73"/>
        <v>-7.829798586101111E-2</v>
      </c>
      <c r="KI13" s="3555">
        <f t="shared" si="74"/>
        <v>-0.66193921852387838</v>
      </c>
      <c r="KJ13" s="3556">
        <f t="shared" si="75"/>
        <v>-0.56736613603473229</v>
      </c>
      <c r="KK13" s="3557">
        <f t="shared" si="87"/>
        <v>0.27975171232876717</v>
      </c>
      <c r="KM13" s="3231"/>
      <c r="KN13" s="3231"/>
      <c r="KO13" s="3231"/>
      <c r="KP13" s="3231"/>
      <c r="KQ13" s="3231"/>
      <c r="KR13" s="3231"/>
      <c r="KS13" s="3231"/>
      <c r="KT13" s="3231"/>
      <c r="KU13" s="3231"/>
      <c r="KV13" s="3231"/>
      <c r="KW13" s="3231"/>
      <c r="KX13" s="3231"/>
      <c r="KY13" s="3231"/>
      <c r="KZ13" s="3231"/>
      <c r="LA13" s="3231"/>
      <c r="LB13" s="3231"/>
      <c r="LC13" s="3231"/>
      <c r="LD13" s="3231"/>
      <c r="LE13" s="3231"/>
      <c r="LF13" s="3231"/>
      <c r="LG13" s="3231"/>
      <c r="LH13" s="3231"/>
      <c r="LI13" s="3231"/>
    </row>
    <row r="14" spans="1:321" ht="21.9" customHeight="1">
      <c r="A14" s="3558"/>
      <c r="B14" s="3231"/>
      <c r="C14" s="3559" t="s">
        <v>14</v>
      </c>
      <c r="D14" s="3516">
        <v>979</v>
      </c>
      <c r="E14" s="3517">
        <v>1028</v>
      </c>
      <c r="F14" s="3517">
        <v>1191</v>
      </c>
      <c r="G14" s="3517">
        <v>822</v>
      </c>
      <c r="H14" s="3517">
        <v>771</v>
      </c>
      <c r="I14" s="3517">
        <v>743</v>
      </c>
      <c r="J14" s="3517">
        <v>1668</v>
      </c>
      <c r="K14" s="3517">
        <v>1648</v>
      </c>
      <c r="L14" s="3517">
        <v>1293</v>
      </c>
      <c r="M14" s="3517">
        <v>1389</v>
      </c>
      <c r="N14" s="3517">
        <v>1328</v>
      </c>
      <c r="O14" s="3518">
        <v>1045</v>
      </c>
      <c r="P14" s="3519">
        <v>1064</v>
      </c>
      <c r="Q14" s="3520">
        <v>1703</v>
      </c>
      <c r="R14" s="3520">
        <v>1525</v>
      </c>
      <c r="S14" s="3520">
        <v>905</v>
      </c>
      <c r="T14" s="3520">
        <v>1008</v>
      </c>
      <c r="U14" s="3520">
        <v>1074</v>
      </c>
      <c r="V14" s="3520">
        <v>1651</v>
      </c>
      <c r="W14" s="3520">
        <v>1896</v>
      </c>
      <c r="X14" s="3520">
        <v>1295</v>
      </c>
      <c r="Y14" s="3520">
        <v>1655</v>
      </c>
      <c r="Z14" s="3520">
        <v>1637</v>
      </c>
      <c r="AA14" s="3521">
        <v>1309</v>
      </c>
      <c r="AB14" s="3522">
        <v>1162</v>
      </c>
      <c r="AC14" s="3523">
        <v>1372</v>
      </c>
      <c r="AD14" s="3523">
        <v>1251</v>
      </c>
      <c r="AE14" s="3523">
        <v>1188</v>
      </c>
      <c r="AF14" s="3523">
        <v>1125.5</v>
      </c>
      <c r="AG14" s="3523">
        <v>1063</v>
      </c>
      <c r="AH14" s="3523">
        <v>1694</v>
      </c>
      <c r="AI14" s="3523">
        <v>1936</v>
      </c>
      <c r="AJ14" s="3523">
        <v>1190</v>
      </c>
      <c r="AK14" s="3523">
        <v>1628</v>
      </c>
      <c r="AL14" s="3523">
        <v>1627</v>
      </c>
      <c r="AM14" s="3524">
        <v>1330</v>
      </c>
      <c r="AN14" s="3525">
        <v>1167</v>
      </c>
      <c r="AO14" s="3526">
        <v>1178</v>
      </c>
      <c r="AP14" s="3526">
        <v>1274</v>
      </c>
      <c r="AQ14" s="3526">
        <v>821</v>
      </c>
      <c r="AR14" s="3526">
        <v>976</v>
      </c>
      <c r="AS14" s="3526">
        <v>1016</v>
      </c>
      <c r="AT14" s="3526">
        <v>1824</v>
      </c>
      <c r="AU14" s="3526">
        <v>1850</v>
      </c>
      <c r="AV14" s="3526">
        <v>1266</v>
      </c>
      <c r="AW14" s="3526">
        <v>1582</v>
      </c>
      <c r="AX14" s="3526">
        <v>1470</v>
      </c>
      <c r="AY14" s="3527">
        <v>1296</v>
      </c>
      <c r="AZ14" s="3463">
        <v>1126</v>
      </c>
      <c r="BA14" s="3463">
        <v>1446</v>
      </c>
      <c r="BB14" s="3463">
        <v>1204</v>
      </c>
      <c r="BC14" s="3463">
        <v>1160</v>
      </c>
      <c r="BD14" s="3463">
        <v>926</v>
      </c>
      <c r="BE14" s="3463">
        <v>1107</v>
      </c>
      <c r="BF14" s="3463">
        <v>1753</v>
      </c>
      <c r="BG14" s="3463">
        <v>2142</v>
      </c>
      <c r="BH14" s="3463">
        <v>1459</v>
      </c>
      <c r="BI14" s="3463">
        <v>1726</v>
      </c>
      <c r="BJ14" s="3463">
        <v>1523</v>
      </c>
      <c r="BK14" s="3560">
        <v>1238</v>
      </c>
      <c r="BL14" s="3530">
        <v>1222</v>
      </c>
      <c r="BM14" s="3531">
        <v>1433</v>
      </c>
      <c r="BN14" s="3531">
        <v>1585</v>
      </c>
      <c r="BO14" s="3531">
        <v>1043</v>
      </c>
      <c r="BP14" s="3531">
        <v>1060</v>
      </c>
      <c r="BQ14" s="3531">
        <v>1097</v>
      </c>
      <c r="BR14" s="3531">
        <v>1975</v>
      </c>
      <c r="BS14" s="3531">
        <v>2483</v>
      </c>
      <c r="BT14" s="3532">
        <v>1516</v>
      </c>
      <c r="BU14" s="3532">
        <v>1776</v>
      </c>
      <c r="BV14" s="3532">
        <v>1812</v>
      </c>
      <c r="BW14" s="3533">
        <v>1505</v>
      </c>
      <c r="BX14" s="3534">
        <v>1259</v>
      </c>
      <c r="BY14" s="3459">
        <v>1498</v>
      </c>
      <c r="BZ14" s="3459">
        <v>1791</v>
      </c>
      <c r="CA14" s="3459">
        <v>999</v>
      </c>
      <c r="CB14" s="3459">
        <v>1135</v>
      </c>
      <c r="CC14" s="3459">
        <v>1094</v>
      </c>
      <c r="CD14" s="3459">
        <v>1954</v>
      </c>
      <c r="CE14" s="3459">
        <v>2103</v>
      </c>
      <c r="CF14" s="3459">
        <v>1514</v>
      </c>
      <c r="CG14" s="3459">
        <v>1650</v>
      </c>
      <c r="CH14" s="3459">
        <v>1669</v>
      </c>
      <c r="CI14" s="3461">
        <v>1507</v>
      </c>
      <c r="CJ14" s="3535">
        <v>1252</v>
      </c>
      <c r="CK14" s="3536">
        <v>1443</v>
      </c>
      <c r="CL14" s="3536">
        <v>1447</v>
      </c>
      <c r="CM14" s="3536">
        <v>1394</v>
      </c>
      <c r="CN14" s="3536">
        <v>1109</v>
      </c>
      <c r="CO14" s="3536">
        <v>986</v>
      </c>
      <c r="CP14" s="3536">
        <v>2241</v>
      </c>
      <c r="CQ14" s="3536">
        <v>2458</v>
      </c>
      <c r="CR14" s="3536">
        <v>1566</v>
      </c>
      <c r="CS14" s="3536">
        <v>1926</v>
      </c>
      <c r="CT14" s="3536">
        <v>1800</v>
      </c>
      <c r="CU14" s="3537">
        <v>1600</v>
      </c>
      <c r="CV14" s="3535">
        <v>1310</v>
      </c>
      <c r="CW14" s="3536">
        <v>1458</v>
      </c>
      <c r="CX14" s="3458">
        <v>1764</v>
      </c>
      <c r="CY14" s="3458">
        <v>1021</v>
      </c>
      <c r="CZ14" s="3458">
        <v>1209</v>
      </c>
      <c r="DA14" s="3458">
        <v>1089</v>
      </c>
      <c r="DB14" s="3458">
        <v>1876</v>
      </c>
      <c r="DC14" s="3458">
        <v>2424</v>
      </c>
      <c r="DD14" s="3458">
        <v>1390</v>
      </c>
      <c r="DE14" s="3458">
        <v>1890</v>
      </c>
      <c r="DF14" s="3458">
        <v>1595</v>
      </c>
      <c r="DG14" s="3537">
        <v>1538</v>
      </c>
      <c r="DH14" s="3538">
        <v>1219</v>
      </c>
      <c r="DI14" s="3539">
        <v>1461</v>
      </c>
      <c r="DJ14" s="3539">
        <v>1530</v>
      </c>
      <c r="DK14" s="3540">
        <v>984</v>
      </c>
      <c r="DL14" s="3540">
        <v>1111</v>
      </c>
      <c r="DM14" s="3540">
        <v>1105</v>
      </c>
      <c r="DN14" s="3540">
        <v>2133</v>
      </c>
      <c r="DO14" s="3540">
        <v>2090</v>
      </c>
      <c r="DP14" s="2713">
        <v>1304</v>
      </c>
      <c r="DQ14" s="3540">
        <v>1939</v>
      </c>
      <c r="DR14" s="3540">
        <v>1447</v>
      </c>
      <c r="DS14" s="3541">
        <v>1384</v>
      </c>
      <c r="DT14" s="3542">
        <v>1181</v>
      </c>
      <c r="DU14" s="3429">
        <v>1257</v>
      </c>
      <c r="DV14" s="3429">
        <v>1493</v>
      </c>
      <c r="DW14" s="3350">
        <v>1328</v>
      </c>
      <c r="DX14" s="3350">
        <v>1017</v>
      </c>
      <c r="DY14" s="3350">
        <v>1177</v>
      </c>
      <c r="DZ14" s="3350">
        <v>1762</v>
      </c>
      <c r="EA14" s="3350">
        <v>2116</v>
      </c>
      <c r="EB14" s="3350">
        <v>1515</v>
      </c>
      <c r="EC14" s="3350">
        <v>2079</v>
      </c>
      <c r="ED14" s="3350">
        <v>1709</v>
      </c>
      <c r="EE14" s="3349">
        <v>1429</v>
      </c>
      <c r="EF14" s="2689">
        <v>1364</v>
      </c>
      <c r="EG14" s="2688">
        <v>1772</v>
      </c>
      <c r="EH14" s="2688">
        <v>1987</v>
      </c>
      <c r="EI14" s="2688">
        <v>1233</v>
      </c>
      <c r="EJ14" s="2688">
        <v>1437</v>
      </c>
      <c r="EK14" s="2688">
        <v>1289</v>
      </c>
      <c r="EL14" s="2688">
        <v>2110</v>
      </c>
      <c r="EM14" s="2714">
        <v>2013</v>
      </c>
      <c r="EN14" s="2714">
        <v>1690</v>
      </c>
      <c r="EO14" s="2715">
        <v>1860</v>
      </c>
      <c r="EP14" s="2715">
        <v>2026</v>
      </c>
      <c r="EQ14" s="2716">
        <v>1630</v>
      </c>
      <c r="ER14" s="1345">
        <v>1437</v>
      </c>
      <c r="ES14" s="3543">
        <v>1736</v>
      </c>
      <c r="ET14" s="3543">
        <v>1752</v>
      </c>
      <c r="EU14" s="2717">
        <v>1612</v>
      </c>
      <c r="EV14" s="2159">
        <v>1388</v>
      </c>
      <c r="EW14" s="2159">
        <v>1538</v>
      </c>
      <c r="EX14" s="2159">
        <v>2642</v>
      </c>
      <c r="EY14" s="2159">
        <v>2517</v>
      </c>
      <c r="EZ14" s="2159">
        <v>1974</v>
      </c>
      <c r="FA14" s="2339">
        <v>1837</v>
      </c>
      <c r="FB14" s="2339">
        <v>2241</v>
      </c>
      <c r="FC14" s="2339">
        <v>2074</v>
      </c>
      <c r="FD14" s="2772">
        <v>1785</v>
      </c>
      <c r="FE14" s="2773">
        <v>2078</v>
      </c>
      <c r="FF14" s="2773">
        <v>880</v>
      </c>
      <c r="FG14" s="2773">
        <v>9</v>
      </c>
      <c r="FH14" s="2773">
        <v>12</v>
      </c>
      <c r="FI14" s="2773">
        <v>19</v>
      </c>
      <c r="FJ14" s="2773">
        <v>54</v>
      </c>
      <c r="FK14" s="2773">
        <v>137</v>
      </c>
      <c r="FL14" s="2773">
        <v>139</v>
      </c>
      <c r="FM14" s="2773">
        <v>179</v>
      </c>
      <c r="FN14" s="2773">
        <v>145</v>
      </c>
      <c r="FO14" s="2774">
        <v>331</v>
      </c>
      <c r="FP14" s="2772">
        <v>254</v>
      </c>
      <c r="FQ14" s="2773">
        <v>165</v>
      </c>
      <c r="FR14" s="2773">
        <v>258</v>
      </c>
      <c r="FS14" s="2773">
        <v>249</v>
      </c>
      <c r="FT14" s="2773">
        <v>270</v>
      </c>
      <c r="FU14" s="2773">
        <v>297</v>
      </c>
      <c r="FV14" s="2773">
        <v>583</v>
      </c>
      <c r="FW14" s="2773">
        <v>796</v>
      </c>
      <c r="FX14" s="2773">
        <v>587</v>
      </c>
      <c r="FY14" s="2773">
        <v>980</v>
      </c>
      <c r="FZ14" s="2773">
        <v>1220</v>
      </c>
      <c r="GA14" s="2774">
        <v>1176</v>
      </c>
      <c r="GB14" s="4559"/>
      <c r="GC14" s="4556"/>
      <c r="GD14" s="4556"/>
      <c r="GE14" s="4556"/>
      <c r="GF14" s="4556"/>
      <c r="GG14" s="4556"/>
      <c r="GH14" s="4556"/>
      <c r="GI14" s="4556"/>
      <c r="GJ14" s="4556"/>
      <c r="GK14" s="4556"/>
      <c r="GL14" s="4556"/>
      <c r="GM14" s="4560"/>
      <c r="GN14" s="2764"/>
      <c r="GO14" s="2911">
        <v>3198</v>
      </c>
      <c r="GP14" s="2912">
        <v>2336</v>
      </c>
      <c r="GQ14" s="2912">
        <v>4609</v>
      </c>
      <c r="GR14" s="2913">
        <v>3762</v>
      </c>
      <c r="GS14" s="2914">
        <v>4292</v>
      </c>
      <c r="GT14" s="2915">
        <v>2987</v>
      </c>
      <c r="GU14" s="2915">
        <v>4842</v>
      </c>
      <c r="GV14" s="2916">
        <v>4601</v>
      </c>
      <c r="GW14" s="2917">
        <v>3785</v>
      </c>
      <c r="GX14" s="2918">
        <v>3376.5</v>
      </c>
      <c r="GY14" s="2919">
        <v>4820</v>
      </c>
      <c r="GZ14" s="2919">
        <v>4585</v>
      </c>
      <c r="HA14" s="2920">
        <v>3619</v>
      </c>
      <c r="HB14" s="2921">
        <v>2813</v>
      </c>
      <c r="HC14" s="2921">
        <v>4940</v>
      </c>
      <c r="HD14" s="2922">
        <v>4348</v>
      </c>
      <c r="HE14" s="2923">
        <v>3776</v>
      </c>
      <c r="HF14" s="2924">
        <v>3193</v>
      </c>
      <c r="HG14" s="2924">
        <v>5354</v>
      </c>
      <c r="HH14" s="2925">
        <v>4487</v>
      </c>
      <c r="HI14" s="2921">
        <v>4240</v>
      </c>
      <c r="HJ14" s="2921">
        <v>3200</v>
      </c>
      <c r="HK14" s="2921">
        <v>5974</v>
      </c>
      <c r="HL14" s="2921">
        <v>5093</v>
      </c>
      <c r="HM14" s="2926">
        <v>4548</v>
      </c>
      <c r="HN14" s="2926">
        <v>3228</v>
      </c>
      <c r="HO14" s="2926">
        <v>5571</v>
      </c>
      <c r="HP14" s="2926">
        <v>4826</v>
      </c>
      <c r="HQ14" s="2927">
        <v>4142</v>
      </c>
      <c r="HR14" s="2927">
        <v>3489</v>
      </c>
      <c r="HS14" s="2927">
        <f t="shared" si="32"/>
        <v>6265</v>
      </c>
      <c r="HT14" s="2927">
        <v>5326</v>
      </c>
      <c r="HU14" s="2928">
        <v>4532</v>
      </c>
      <c r="HV14" s="2928">
        <f t="shared" si="33"/>
        <v>3319</v>
      </c>
      <c r="HW14" s="2928">
        <f t="shared" si="34"/>
        <v>5690</v>
      </c>
      <c r="HX14" s="2927">
        <f t="shared" si="35"/>
        <v>5023</v>
      </c>
      <c r="HY14" s="2846">
        <f t="shared" si="36"/>
        <v>4210</v>
      </c>
      <c r="HZ14" s="2846">
        <f t="shared" si="37"/>
        <v>3200</v>
      </c>
      <c r="IA14" s="2846">
        <f t="shared" si="38"/>
        <v>5607</v>
      </c>
      <c r="IB14" s="2846">
        <f t="shared" si="39"/>
        <v>4770</v>
      </c>
      <c r="IC14" s="2921">
        <f t="shared" si="40"/>
        <v>3931</v>
      </c>
      <c r="ID14" s="2921">
        <f t="shared" si="41"/>
        <v>3522</v>
      </c>
      <c r="IE14" s="2921">
        <f t="shared" si="42"/>
        <v>5393</v>
      </c>
      <c r="IF14" s="2921">
        <f t="shared" si="43"/>
        <v>5217</v>
      </c>
      <c r="IG14" s="2929">
        <f t="shared" si="44"/>
        <v>5123</v>
      </c>
      <c r="IH14" s="2926">
        <f t="shared" si="45"/>
        <v>3959</v>
      </c>
      <c r="II14" s="2926">
        <f t="shared" si="46"/>
        <v>5813</v>
      </c>
      <c r="IJ14" s="2926">
        <f t="shared" si="47"/>
        <v>5516</v>
      </c>
      <c r="IK14" s="2930">
        <f t="shared" si="48"/>
        <v>4925</v>
      </c>
      <c r="IL14" s="2931">
        <f t="shared" si="49"/>
        <v>4538</v>
      </c>
      <c r="IM14" s="2931">
        <f t="shared" si="50"/>
        <v>7133</v>
      </c>
      <c r="IN14" s="2931">
        <f t="shared" si="51"/>
        <v>6152</v>
      </c>
      <c r="IO14" s="2932">
        <f t="shared" si="52"/>
        <v>4743</v>
      </c>
      <c r="IP14" s="2933">
        <f t="shared" si="53"/>
        <v>40</v>
      </c>
      <c r="IQ14" s="2933">
        <f t="shared" si="54"/>
        <v>7133</v>
      </c>
      <c r="IR14" s="2934">
        <f t="shared" si="55"/>
        <v>655</v>
      </c>
      <c r="IS14" s="2929">
        <f t="shared" si="56"/>
        <v>677</v>
      </c>
      <c r="IT14" s="2926">
        <f t="shared" si="57"/>
        <v>816</v>
      </c>
      <c r="IU14" s="2926">
        <f t="shared" si="58"/>
        <v>1966</v>
      </c>
      <c r="IV14" s="2926">
        <f t="shared" si="59"/>
        <v>3376</v>
      </c>
      <c r="IW14" s="4571">
        <f t="shared" si="76"/>
        <v>0</v>
      </c>
      <c r="IX14" s="2921">
        <f t="shared" si="77"/>
        <v>0</v>
      </c>
      <c r="IY14" s="2921">
        <f t="shared" si="78"/>
        <v>0</v>
      </c>
      <c r="IZ14" s="4572">
        <f t="shared" si="79"/>
        <v>0</v>
      </c>
      <c r="JA14" s="4545"/>
      <c r="JB14" s="3544">
        <v>13905</v>
      </c>
      <c r="JC14" s="3545">
        <v>16722</v>
      </c>
      <c r="JD14" s="3545">
        <v>16566.5</v>
      </c>
      <c r="JE14" s="3545">
        <v>15720</v>
      </c>
      <c r="JF14" s="3545">
        <v>16810</v>
      </c>
      <c r="JG14" s="3545">
        <v>18507</v>
      </c>
      <c r="JH14" s="3546">
        <v>18173</v>
      </c>
      <c r="JI14" s="3547">
        <v>19222</v>
      </c>
      <c r="JJ14" s="3547">
        <f t="shared" si="60"/>
        <v>18564</v>
      </c>
      <c r="JK14" s="3547">
        <f t="shared" si="61"/>
        <v>17707</v>
      </c>
      <c r="JL14" s="3547">
        <f t="shared" si="62"/>
        <v>18063</v>
      </c>
      <c r="JM14" s="3547">
        <f t="shared" si="63"/>
        <v>20411</v>
      </c>
      <c r="JN14" s="3548">
        <f t="shared" si="24"/>
        <v>22748</v>
      </c>
      <c r="JO14" s="3566">
        <f t="shared" si="64"/>
        <v>5768</v>
      </c>
      <c r="JP14" s="3564">
        <f t="shared" si="80"/>
        <v>6835</v>
      </c>
      <c r="JQ14" s="3564">
        <f t="shared" si="81"/>
        <v>6835</v>
      </c>
      <c r="JS14" s="3765">
        <f t="shared" si="82"/>
        <v>6835</v>
      </c>
      <c r="JT14" s="3765">
        <f t="shared" si="83"/>
        <v>6835</v>
      </c>
      <c r="JV14" s="3551">
        <f t="shared" si="84"/>
        <v>6479.333333333333</v>
      </c>
      <c r="JW14" s="3552">
        <f t="shared" si="65"/>
        <v>2.8212661680682444E-2</v>
      </c>
      <c r="JX14" s="3552">
        <f t="shared" si="66"/>
        <v>2.7664485221256151E-2</v>
      </c>
      <c r="JY14" s="3552">
        <f t="shared" si="85"/>
        <v>2.971033478893741E-2</v>
      </c>
      <c r="JZ14" s="3552">
        <f t="shared" si="67"/>
        <v>3.3112081513828238E-2</v>
      </c>
      <c r="KA14" s="3552">
        <f t="shared" si="68"/>
        <v>3.0134739063879586E-2</v>
      </c>
      <c r="KB14" s="4575">
        <f t="shared" si="69"/>
        <v>2.432418966818033E-2</v>
      </c>
      <c r="KC14" s="3565">
        <f t="shared" si="86"/>
        <v>2.432418966818033E-2</v>
      </c>
      <c r="KD14" s="3552"/>
      <c r="KE14" s="3554">
        <f t="shared" si="70"/>
        <v>2.0105043203253015E-2</v>
      </c>
      <c r="KF14" s="3555">
        <f t="shared" si="71"/>
        <v>-0.63408068372206849</v>
      </c>
      <c r="KG14" s="3555">
        <f t="shared" si="72"/>
        <v>0.1299894812600344</v>
      </c>
      <c r="KH14" s="3555">
        <f t="shared" si="73"/>
        <v>0.11449708490519828</v>
      </c>
      <c r="KI14" s="3555">
        <f t="shared" si="74"/>
        <v>-0.74643924740636547</v>
      </c>
      <c r="KJ14" s="3556">
        <f t="shared" si="75"/>
        <v>-0.69953402496922812</v>
      </c>
      <c r="KK14" s="3557">
        <f t="shared" si="87"/>
        <v>0.18498613037447997</v>
      </c>
      <c r="KM14" s="3231"/>
      <c r="KN14" s="3231"/>
      <c r="KO14" s="3231"/>
      <c r="KP14" s="3231"/>
      <c r="KQ14" s="3231"/>
      <c r="KR14" s="3231"/>
      <c r="KS14" s="3231"/>
      <c r="KT14" s="3231"/>
      <c r="KU14" s="3231"/>
      <c r="KV14" s="3231"/>
      <c r="KW14" s="3231"/>
      <c r="KX14" s="3231"/>
      <c r="KY14" s="3231"/>
      <c r="KZ14" s="3231"/>
      <c r="LA14" s="3231"/>
      <c r="LB14" s="3231"/>
      <c r="LC14" s="3231"/>
      <c r="LD14" s="3231"/>
      <c r="LE14" s="3231"/>
      <c r="LF14" s="3231"/>
      <c r="LG14" s="3231"/>
      <c r="LH14" s="3231"/>
      <c r="LI14" s="3231"/>
    </row>
    <row r="15" spans="1:321" ht="21.9" customHeight="1">
      <c r="A15" s="3568"/>
      <c r="B15" s="3231"/>
      <c r="C15" s="3567" t="s">
        <v>13</v>
      </c>
      <c r="D15" s="3516">
        <v>89</v>
      </c>
      <c r="E15" s="3517">
        <v>97</v>
      </c>
      <c r="F15" s="3517">
        <v>98</v>
      </c>
      <c r="G15" s="3517">
        <v>73</v>
      </c>
      <c r="H15" s="3517">
        <v>107</v>
      </c>
      <c r="I15" s="3517">
        <v>108</v>
      </c>
      <c r="J15" s="3517">
        <v>114</v>
      </c>
      <c r="K15" s="3517">
        <v>116</v>
      </c>
      <c r="L15" s="3517">
        <v>115</v>
      </c>
      <c r="M15" s="3517">
        <v>116</v>
      </c>
      <c r="N15" s="3517">
        <v>219</v>
      </c>
      <c r="O15" s="3518">
        <v>117</v>
      </c>
      <c r="P15" s="3519">
        <v>110</v>
      </c>
      <c r="Q15" s="3520">
        <v>177</v>
      </c>
      <c r="R15" s="3520">
        <v>117</v>
      </c>
      <c r="S15" s="3520">
        <v>96</v>
      </c>
      <c r="T15" s="3520">
        <v>143</v>
      </c>
      <c r="U15" s="3520">
        <v>107</v>
      </c>
      <c r="V15" s="3520">
        <v>186</v>
      </c>
      <c r="W15" s="3520">
        <v>197</v>
      </c>
      <c r="X15" s="3520">
        <v>181</v>
      </c>
      <c r="Y15" s="3520">
        <v>189</v>
      </c>
      <c r="Z15" s="3520">
        <v>292</v>
      </c>
      <c r="AA15" s="3521">
        <v>152</v>
      </c>
      <c r="AB15" s="3522">
        <v>164</v>
      </c>
      <c r="AC15" s="3523">
        <v>132</v>
      </c>
      <c r="AD15" s="3523">
        <v>166</v>
      </c>
      <c r="AE15" s="3523">
        <v>106</v>
      </c>
      <c r="AF15" s="3523">
        <v>116.5</v>
      </c>
      <c r="AG15" s="3523">
        <v>127</v>
      </c>
      <c r="AH15" s="3523">
        <v>145</v>
      </c>
      <c r="AI15" s="3523">
        <v>105</v>
      </c>
      <c r="AJ15" s="3523">
        <v>149</v>
      </c>
      <c r="AK15" s="3523">
        <v>163</v>
      </c>
      <c r="AL15" s="3523">
        <v>184</v>
      </c>
      <c r="AM15" s="3524">
        <v>125</v>
      </c>
      <c r="AN15" s="3525">
        <v>154</v>
      </c>
      <c r="AO15" s="3526">
        <v>218</v>
      </c>
      <c r="AP15" s="3526">
        <v>150</v>
      </c>
      <c r="AQ15" s="3526">
        <v>189</v>
      </c>
      <c r="AR15" s="3526">
        <v>141</v>
      </c>
      <c r="AS15" s="3526">
        <v>141</v>
      </c>
      <c r="AT15" s="3526">
        <v>147</v>
      </c>
      <c r="AU15" s="3526">
        <v>136</v>
      </c>
      <c r="AV15" s="3526">
        <v>118</v>
      </c>
      <c r="AW15" s="3526">
        <v>121</v>
      </c>
      <c r="AX15" s="3526">
        <v>165</v>
      </c>
      <c r="AY15" s="3527">
        <v>149</v>
      </c>
      <c r="AZ15" s="3463">
        <v>161</v>
      </c>
      <c r="BA15" s="3463">
        <v>180</v>
      </c>
      <c r="BB15" s="3463">
        <v>463</v>
      </c>
      <c r="BC15" s="3463">
        <v>340</v>
      </c>
      <c r="BD15" s="3463">
        <v>336</v>
      </c>
      <c r="BE15" s="3463">
        <v>396</v>
      </c>
      <c r="BF15" s="3463">
        <v>334</v>
      </c>
      <c r="BG15" s="3463">
        <v>362</v>
      </c>
      <c r="BH15" s="3463">
        <v>336</v>
      </c>
      <c r="BI15" s="3463">
        <v>395</v>
      </c>
      <c r="BJ15" s="3463">
        <v>356</v>
      </c>
      <c r="BK15" s="3560">
        <v>381</v>
      </c>
      <c r="BL15" s="3530">
        <v>131</v>
      </c>
      <c r="BM15" s="3531">
        <v>193</v>
      </c>
      <c r="BN15" s="3531">
        <v>397</v>
      </c>
      <c r="BO15" s="3531">
        <v>386</v>
      </c>
      <c r="BP15" s="3531">
        <v>468</v>
      </c>
      <c r="BQ15" s="3531">
        <v>379</v>
      </c>
      <c r="BR15" s="3531">
        <v>392</v>
      </c>
      <c r="BS15" s="3531">
        <v>350</v>
      </c>
      <c r="BT15" s="3532">
        <v>379</v>
      </c>
      <c r="BU15" s="3532">
        <v>342</v>
      </c>
      <c r="BV15" s="3532">
        <v>432</v>
      </c>
      <c r="BW15" s="3533">
        <v>353</v>
      </c>
      <c r="BX15" s="3534">
        <v>362</v>
      </c>
      <c r="BY15" s="3459">
        <v>407</v>
      </c>
      <c r="BZ15" s="3459">
        <v>490</v>
      </c>
      <c r="CA15" s="3459">
        <v>520</v>
      </c>
      <c r="CB15" s="3459">
        <v>497</v>
      </c>
      <c r="CC15" s="3459">
        <v>497</v>
      </c>
      <c r="CD15" s="3459">
        <v>513</v>
      </c>
      <c r="CE15" s="3459">
        <v>460</v>
      </c>
      <c r="CF15" s="3459">
        <v>520</v>
      </c>
      <c r="CG15" s="3459">
        <v>501</v>
      </c>
      <c r="CH15" s="3459">
        <v>503</v>
      </c>
      <c r="CI15" s="3461">
        <v>525</v>
      </c>
      <c r="CJ15" s="3535">
        <v>471</v>
      </c>
      <c r="CK15" s="3536">
        <v>474</v>
      </c>
      <c r="CL15" s="3536">
        <v>491</v>
      </c>
      <c r="CM15" s="3536">
        <v>485</v>
      </c>
      <c r="CN15" s="3536">
        <v>565</v>
      </c>
      <c r="CO15" s="3536">
        <v>493</v>
      </c>
      <c r="CP15" s="3536">
        <v>498</v>
      </c>
      <c r="CQ15" s="3536">
        <v>493</v>
      </c>
      <c r="CR15" s="3536">
        <v>543</v>
      </c>
      <c r="CS15" s="3536">
        <v>389</v>
      </c>
      <c r="CT15" s="3536">
        <v>471</v>
      </c>
      <c r="CU15" s="3537">
        <v>478</v>
      </c>
      <c r="CV15" s="3535">
        <v>398</v>
      </c>
      <c r="CW15" s="3536">
        <v>376</v>
      </c>
      <c r="CX15" s="3458">
        <v>343</v>
      </c>
      <c r="CY15" s="3458">
        <v>380</v>
      </c>
      <c r="CZ15" s="3458">
        <v>488</v>
      </c>
      <c r="DA15" s="3458">
        <v>366</v>
      </c>
      <c r="DB15" s="3458">
        <v>598</v>
      </c>
      <c r="DC15" s="3458">
        <v>512</v>
      </c>
      <c r="DD15" s="3458">
        <v>557</v>
      </c>
      <c r="DE15" s="3458">
        <v>698</v>
      </c>
      <c r="DF15" s="3458">
        <v>731</v>
      </c>
      <c r="DG15" s="3537">
        <v>700</v>
      </c>
      <c r="DH15" s="3538">
        <v>891</v>
      </c>
      <c r="DI15" s="3539">
        <v>862</v>
      </c>
      <c r="DJ15" s="3539">
        <v>915</v>
      </c>
      <c r="DK15" s="3540">
        <v>629</v>
      </c>
      <c r="DL15" s="3540">
        <v>786</v>
      </c>
      <c r="DM15" s="3540">
        <v>756</v>
      </c>
      <c r="DN15" s="3540">
        <v>817</v>
      </c>
      <c r="DO15" s="3540">
        <v>802</v>
      </c>
      <c r="DP15" s="2713">
        <v>586</v>
      </c>
      <c r="DQ15" s="3540">
        <v>872</v>
      </c>
      <c r="DR15" s="3540">
        <v>883</v>
      </c>
      <c r="DS15" s="3541">
        <v>763</v>
      </c>
      <c r="DT15" s="3542">
        <v>841</v>
      </c>
      <c r="DU15" s="3429">
        <v>806</v>
      </c>
      <c r="DV15" s="3429">
        <v>689</v>
      </c>
      <c r="DW15" s="3350">
        <v>656</v>
      </c>
      <c r="DX15" s="3350">
        <v>636</v>
      </c>
      <c r="DY15" s="3350">
        <v>814</v>
      </c>
      <c r="DZ15" s="3350">
        <v>711</v>
      </c>
      <c r="EA15" s="3350">
        <v>815</v>
      </c>
      <c r="EB15" s="3350">
        <v>811</v>
      </c>
      <c r="EC15" s="3350">
        <v>824</v>
      </c>
      <c r="ED15" s="3350">
        <v>864</v>
      </c>
      <c r="EE15" s="3349">
        <v>729</v>
      </c>
      <c r="EF15" s="2689">
        <v>769</v>
      </c>
      <c r="EG15" s="2688">
        <v>683</v>
      </c>
      <c r="EH15" s="2688">
        <v>727</v>
      </c>
      <c r="EI15" s="2688">
        <v>707</v>
      </c>
      <c r="EJ15" s="2688">
        <v>717</v>
      </c>
      <c r="EK15" s="2688">
        <v>800</v>
      </c>
      <c r="EL15" s="2688">
        <v>836</v>
      </c>
      <c r="EM15" s="2714">
        <v>819</v>
      </c>
      <c r="EN15" s="2714">
        <v>868</v>
      </c>
      <c r="EO15" s="2715">
        <v>902</v>
      </c>
      <c r="EP15" s="2715">
        <v>926</v>
      </c>
      <c r="EQ15" s="2716">
        <v>860</v>
      </c>
      <c r="ER15" s="1348">
        <v>840</v>
      </c>
      <c r="ES15" s="3543">
        <v>828</v>
      </c>
      <c r="ET15" s="3543">
        <v>1084</v>
      </c>
      <c r="EU15" s="2717">
        <v>812</v>
      </c>
      <c r="EV15" s="2162">
        <v>848</v>
      </c>
      <c r="EW15" s="2162">
        <v>1008</v>
      </c>
      <c r="EX15" s="2162">
        <v>995</v>
      </c>
      <c r="EY15" s="2162">
        <v>1071</v>
      </c>
      <c r="EZ15" s="2162">
        <v>633</v>
      </c>
      <c r="FA15" s="2339">
        <v>594</v>
      </c>
      <c r="FB15" s="2339">
        <v>724</v>
      </c>
      <c r="FC15" s="2339">
        <v>705</v>
      </c>
      <c r="FD15" s="2772">
        <v>773</v>
      </c>
      <c r="FE15" s="2773">
        <v>747</v>
      </c>
      <c r="FF15" s="2773">
        <v>271</v>
      </c>
      <c r="FG15" s="2773"/>
      <c r="FH15" s="2773"/>
      <c r="FI15" s="2773"/>
      <c r="FJ15" s="2773">
        <v>1</v>
      </c>
      <c r="FK15" s="2773">
        <v>15</v>
      </c>
      <c r="FL15" s="2773">
        <v>5</v>
      </c>
      <c r="FM15" s="2773">
        <v>40</v>
      </c>
      <c r="FN15" s="2773">
        <v>320</v>
      </c>
      <c r="FO15" s="2774">
        <v>353</v>
      </c>
      <c r="FP15" s="2772">
        <v>354</v>
      </c>
      <c r="FQ15" s="2773">
        <v>219</v>
      </c>
      <c r="FR15" s="2773">
        <v>215</v>
      </c>
      <c r="FS15" s="2773">
        <v>218</v>
      </c>
      <c r="FT15" s="2773">
        <v>265</v>
      </c>
      <c r="FU15" s="2773">
        <v>367</v>
      </c>
      <c r="FV15" s="2773">
        <v>452</v>
      </c>
      <c r="FW15" s="2773">
        <v>462</v>
      </c>
      <c r="FX15" s="2773">
        <v>623</v>
      </c>
      <c r="FY15" s="2773">
        <v>593</v>
      </c>
      <c r="FZ15" s="2773">
        <v>524</v>
      </c>
      <c r="GA15" s="2774">
        <v>491</v>
      </c>
      <c r="GB15" s="4561"/>
      <c r="GC15" s="4557"/>
      <c r="GD15" s="4557"/>
      <c r="GE15" s="4557"/>
      <c r="GF15" s="4557"/>
      <c r="GG15" s="4557"/>
      <c r="GH15" s="4557"/>
      <c r="GI15" s="4557"/>
      <c r="GJ15" s="4557"/>
      <c r="GK15" s="4557"/>
      <c r="GL15" s="4557"/>
      <c r="GM15" s="4562"/>
      <c r="GN15" s="2764"/>
      <c r="GO15" s="2911">
        <v>284</v>
      </c>
      <c r="GP15" s="2912">
        <v>288</v>
      </c>
      <c r="GQ15" s="2912">
        <v>345</v>
      </c>
      <c r="GR15" s="2913">
        <v>452</v>
      </c>
      <c r="GS15" s="2914">
        <v>404</v>
      </c>
      <c r="GT15" s="2915">
        <v>346</v>
      </c>
      <c r="GU15" s="2915">
        <v>564</v>
      </c>
      <c r="GV15" s="2916">
        <v>633</v>
      </c>
      <c r="GW15" s="2917">
        <v>462</v>
      </c>
      <c r="GX15" s="2918">
        <v>349.5</v>
      </c>
      <c r="GY15" s="2919">
        <v>399</v>
      </c>
      <c r="GZ15" s="2919">
        <v>472</v>
      </c>
      <c r="HA15" s="2920">
        <v>522</v>
      </c>
      <c r="HB15" s="2921">
        <v>471</v>
      </c>
      <c r="HC15" s="2921">
        <v>401</v>
      </c>
      <c r="HD15" s="2922">
        <v>435</v>
      </c>
      <c r="HE15" s="2923">
        <v>804</v>
      </c>
      <c r="HF15" s="2924">
        <v>1072</v>
      </c>
      <c r="HG15" s="2924">
        <v>1032</v>
      </c>
      <c r="HH15" s="2925">
        <v>1132</v>
      </c>
      <c r="HI15" s="2921">
        <v>721</v>
      </c>
      <c r="HJ15" s="2921">
        <v>1233</v>
      </c>
      <c r="HK15" s="2921">
        <v>1121</v>
      </c>
      <c r="HL15" s="2921">
        <v>1127</v>
      </c>
      <c r="HM15" s="2926">
        <v>1259</v>
      </c>
      <c r="HN15" s="2926">
        <v>1514</v>
      </c>
      <c r="HO15" s="2926">
        <v>1493</v>
      </c>
      <c r="HP15" s="2926">
        <v>1529</v>
      </c>
      <c r="HQ15" s="2927">
        <v>1436</v>
      </c>
      <c r="HR15" s="2927">
        <v>1543</v>
      </c>
      <c r="HS15" s="2927">
        <f t="shared" si="32"/>
        <v>1534</v>
      </c>
      <c r="HT15" s="2927">
        <v>1338</v>
      </c>
      <c r="HU15" s="2928">
        <v>1117</v>
      </c>
      <c r="HV15" s="2928">
        <f t="shared" si="33"/>
        <v>1234</v>
      </c>
      <c r="HW15" s="2928">
        <f t="shared" si="34"/>
        <v>1667</v>
      </c>
      <c r="HX15" s="2927">
        <f t="shared" si="35"/>
        <v>2129</v>
      </c>
      <c r="HY15" s="2846">
        <f t="shared" si="36"/>
        <v>2668</v>
      </c>
      <c r="HZ15" s="2846">
        <f t="shared" si="37"/>
        <v>2171</v>
      </c>
      <c r="IA15" s="2846">
        <f t="shared" si="38"/>
        <v>2382</v>
      </c>
      <c r="IB15" s="2846">
        <f t="shared" si="39"/>
        <v>2518</v>
      </c>
      <c r="IC15" s="2921">
        <f t="shared" si="40"/>
        <v>2336</v>
      </c>
      <c r="ID15" s="2921">
        <f t="shared" si="41"/>
        <v>2106</v>
      </c>
      <c r="IE15" s="2921">
        <f t="shared" si="42"/>
        <v>2337</v>
      </c>
      <c r="IF15" s="2921">
        <f t="shared" si="43"/>
        <v>2417</v>
      </c>
      <c r="IG15" s="2929">
        <f t="shared" si="44"/>
        <v>2179</v>
      </c>
      <c r="IH15" s="2926">
        <f t="shared" si="45"/>
        <v>2224</v>
      </c>
      <c r="II15" s="2926">
        <f t="shared" si="46"/>
        <v>2523</v>
      </c>
      <c r="IJ15" s="2926">
        <f t="shared" si="47"/>
        <v>2688</v>
      </c>
      <c r="IK15" s="2930">
        <f t="shared" si="48"/>
        <v>2752</v>
      </c>
      <c r="IL15" s="2931">
        <f t="shared" si="49"/>
        <v>2668</v>
      </c>
      <c r="IM15" s="2931">
        <f t="shared" si="50"/>
        <v>2699</v>
      </c>
      <c r="IN15" s="2931">
        <f t="shared" si="51"/>
        <v>2023</v>
      </c>
      <c r="IO15" s="2932">
        <f t="shared" si="52"/>
        <v>1791</v>
      </c>
      <c r="IP15" s="2933">
        <f t="shared" si="53"/>
        <v>0</v>
      </c>
      <c r="IQ15" s="2933">
        <f>FJ15+FK15+FL15</f>
        <v>21</v>
      </c>
      <c r="IR15" s="2934">
        <f t="shared" si="55"/>
        <v>713</v>
      </c>
      <c r="IS15" s="2929">
        <f t="shared" si="56"/>
        <v>788</v>
      </c>
      <c r="IT15" s="2926">
        <f t="shared" si="57"/>
        <v>850</v>
      </c>
      <c r="IU15" s="2926">
        <f t="shared" si="58"/>
        <v>1537</v>
      </c>
      <c r="IV15" s="2926">
        <f t="shared" si="59"/>
        <v>1608</v>
      </c>
      <c r="IW15" s="4549">
        <f t="shared" si="76"/>
        <v>0</v>
      </c>
      <c r="IX15" s="4541">
        <f t="shared" si="77"/>
        <v>0</v>
      </c>
      <c r="IY15" s="4541">
        <f t="shared" si="78"/>
        <v>0</v>
      </c>
      <c r="IZ15" s="4550">
        <f t="shared" si="79"/>
        <v>0</v>
      </c>
      <c r="JA15" s="4545"/>
      <c r="JB15" s="3544">
        <v>1369</v>
      </c>
      <c r="JC15" s="3545">
        <v>1947</v>
      </c>
      <c r="JD15" s="3545">
        <v>1682.5</v>
      </c>
      <c r="JE15" s="3545">
        <v>1829</v>
      </c>
      <c r="JF15" s="3545">
        <v>4040</v>
      </c>
      <c r="JG15" s="3545">
        <v>4202</v>
      </c>
      <c r="JH15" s="3546">
        <v>5795</v>
      </c>
      <c r="JI15" s="3547">
        <v>5851</v>
      </c>
      <c r="JJ15" s="3547">
        <f t="shared" si="60"/>
        <v>6147</v>
      </c>
      <c r="JK15" s="3547">
        <f t="shared" si="61"/>
        <v>9562</v>
      </c>
      <c r="JL15" s="3547">
        <f t="shared" si="62"/>
        <v>9196</v>
      </c>
      <c r="JM15" s="3547">
        <f t="shared" si="63"/>
        <v>9614</v>
      </c>
      <c r="JN15" s="3548">
        <f t="shared" si="24"/>
        <v>10142</v>
      </c>
      <c r="JO15" s="3566">
        <f t="shared" si="64"/>
        <v>2525</v>
      </c>
      <c r="JP15" s="3564">
        <f t="shared" si="80"/>
        <v>4783</v>
      </c>
      <c r="JQ15" s="3564">
        <f t="shared" si="81"/>
        <v>4783</v>
      </c>
      <c r="JS15" s="3765">
        <f t="shared" si="82"/>
        <v>4783</v>
      </c>
      <c r="JT15" s="3765">
        <f t="shared" si="83"/>
        <v>4783</v>
      </c>
      <c r="JV15" s="3551">
        <f t="shared" si="84"/>
        <v>4030.3333333333335</v>
      </c>
      <c r="JW15" s="3552">
        <f t="shared" si="65"/>
        <v>1.5235187834793332E-2</v>
      </c>
      <c r="JX15" s="3552">
        <f t="shared" si="66"/>
        <v>1.4084183474210905E-2</v>
      </c>
      <c r="JY15" s="3552">
        <f t="shared" si="85"/>
        <v>1.3994177583697235E-2</v>
      </c>
      <c r="JZ15" s="3552">
        <f t="shared" si="67"/>
        <v>1.47627365356623E-2</v>
      </c>
      <c r="KA15" s="3552">
        <f t="shared" si="68"/>
        <v>1.3191785044434112E-2</v>
      </c>
      <c r="KB15" s="4575">
        <f t="shared" si="69"/>
        <v>1.7021594613446454E-2</v>
      </c>
      <c r="KC15" s="3565">
        <f t="shared" si="86"/>
        <v>1.7021594613446454E-2</v>
      </c>
      <c r="KD15" s="3552"/>
      <c r="KE15" s="3554">
        <f t="shared" si="70"/>
        <v>-3.8276511190127538E-2</v>
      </c>
      <c r="KF15" s="3555">
        <f t="shared" si="71"/>
        <v>-0.57850519417137281</v>
      </c>
      <c r="KG15" s="3555">
        <f t="shared" si="72"/>
        <v>4.5454545454545414E-2</v>
      </c>
      <c r="KH15" s="3555">
        <f t="shared" si="73"/>
        <v>5.4919908466819267E-2</v>
      </c>
      <c r="KI15" s="3555">
        <f t="shared" si="74"/>
        <v>-0.75103529875764152</v>
      </c>
      <c r="KJ15" s="3556">
        <f t="shared" si="75"/>
        <v>-0.52839676592388085</v>
      </c>
      <c r="KK15" s="3557">
        <f t="shared" si="87"/>
        <v>0.89425742574257416</v>
      </c>
      <c r="KM15" s="3231"/>
      <c r="KN15" s="3231"/>
      <c r="KO15" s="3231"/>
      <c r="KP15" s="3231"/>
      <c r="KQ15" s="3231"/>
      <c r="KR15" s="3231"/>
      <c r="KS15" s="3231"/>
      <c r="KT15" s="3231"/>
      <c r="KU15" s="3231"/>
      <c r="KV15" s="3231"/>
      <c r="KW15" s="3231"/>
      <c r="KX15" s="3231"/>
      <c r="KY15" s="3231"/>
      <c r="KZ15" s="3231"/>
      <c r="LA15" s="3231"/>
      <c r="LB15" s="3231"/>
      <c r="LC15" s="3231"/>
      <c r="LD15" s="3231"/>
      <c r="LE15" s="3231"/>
      <c r="LF15" s="3231"/>
      <c r="LG15" s="3231"/>
      <c r="LH15" s="3231"/>
      <c r="LI15" s="3231"/>
    </row>
    <row r="16" spans="1:321" ht="21.9" customHeight="1">
      <c r="A16" s="3558"/>
      <c r="B16" s="3231"/>
      <c r="C16" s="3559" t="s">
        <v>16</v>
      </c>
      <c r="D16" s="3516">
        <v>601</v>
      </c>
      <c r="E16" s="3517">
        <v>485</v>
      </c>
      <c r="F16" s="3517">
        <v>562</v>
      </c>
      <c r="G16" s="3517">
        <v>458</v>
      </c>
      <c r="H16" s="3517">
        <v>506</v>
      </c>
      <c r="I16" s="3517">
        <v>493</v>
      </c>
      <c r="J16" s="3517">
        <v>640</v>
      </c>
      <c r="K16" s="3517">
        <v>660</v>
      </c>
      <c r="L16" s="3517">
        <v>623</v>
      </c>
      <c r="M16" s="3517">
        <v>809</v>
      </c>
      <c r="N16" s="3517">
        <v>721</v>
      </c>
      <c r="O16" s="3518">
        <v>581</v>
      </c>
      <c r="P16" s="3519">
        <v>742</v>
      </c>
      <c r="Q16" s="3520">
        <v>1092</v>
      </c>
      <c r="R16" s="3520">
        <v>815</v>
      </c>
      <c r="S16" s="3520">
        <v>665</v>
      </c>
      <c r="T16" s="3520">
        <v>807</v>
      </c>
      <c r="U16" s="3520">
        <v>1147</v>
      </c>
      <c r="V16" s="3520">
        <v>1017</v>
      </c>
      <c r="W16" s="3520">
        <v>826</v>
      </c>
      <c r="X16" s="3520">
        <v>918</v>
      </c>
      <c r="Y16" s="3520">
        <v>792</v>
      </c>
      <c r="Z16" s="3520">
        <v>734</v>
      </c>
      <c r="AA16" s="3521">
        <v>659</v>
      </c>
      <c r="AB16" s="3522">
        <v>705</v>
      </c>
      <c r="AC16" s="3523">
        <v>675</v>
      </c>
      <c r="AD16" s="3523">
        <v>680</v>
      </c>
      <c r="AE16" s="3523">
        <v>672</v>
      </c>
      <c r="AF16" s="3523">
        <v>653</v>
      </c>
      <c r="AG16" s="3523">
        <v>634</v>
      </c>
      <c r="AH16" s="3523">
        <v>832</v>
      </c>
      <c r="AI16" s="3523">
        <v>848</v>
      </c>
      <c r="AJ16" s="3523">
        <v>720</v>
      </c>
      <c r="AK16" s="3523">
        <v>789</v>
      </c>
      <c r="AL16" s="3523">
        <v>930</v>
      </c>
      <c r="AM16" s="3524">
        <v>731</v>
      </c>
      <c r="AN16" s="3525">
        <v>924</v>
      </c>
      <c r="AO16" s="3526">
        <v>696</v>
      </c>
      <c r="AP16" s="3526">
        <v>663</v>
      </c>
      <c r="AQ16" s="3526">
        <v>716</v>
      </c>
      <c r="AR16" s="3526">
        <v>756</v>
      </c>
      <c r="AS16" s="3526">
        <v>723</v>
      </c>
      <c r="AT16" s="3526">
        <v>894</v>
      </c>
      <c r="AU16" s="3526">
        <v>783</v>
      </c>
      <c r="AV16" s="3526">
        <v>912</v>
      </c>
      <c r="AW16" s="3526">
        <v>829</v>
      </c>
      <c r="AX16" s="3526">
        <v>856</v>
      </c>
      <c r="AY16" s="3527">
        <v>807</v>
      </c>
      <c r="AZ16" s="3463">
        <v>932</v>
      </c>
      <c r="BA16" s="3463">
        <v>719</v>
      </c>
      <c r="BB16" s="3463">
        <v>938</v>
      </c>
      <c r="BC16" s="3463">
        <v>769</v>
      </c>
      <c r="BD16" s="3463">
        <v>816</v>
      </c>
      <c r="BE16" s="3463">
        <v>810</v>
      </c>
      <c r="BF16" s="3463">
        <v>970</v>
      </c>
      <c r="BG16" s="3463">
        <v>834</v>
      </c>
      <c r="BH16" s="3463">
        <v>856</v>
      </c>
      <c r="BI16" s="3463">
        <v>924</v>
      </c>
      <c r="BJ16" s="3463">
        <v>793</v>
      </c>
      <c r="BK16" s="3560">
        <v>822</v>
      </c>
      <c r="BL16" s="3530">
        <v>834</v>
      </c>
      <c r="BM16" s="3531">
        <v>769</v>
      </c>
      <c r="BN16" s="3531">
        <v>821</v>
      </c>
      <c r="BO16" s="3531">
        <v>842</v>
      </c>
      <c r="BP16" s="3531">
        <v>921</v>
      </c>
      <c r="BQ16" s="3531">
        <v>1131</v>
      </c>
      <c r="BR16" s="3531">
        <v>1140</v>
      </c>
      <c r="BS16" s="3531">
        <v>979</v>
      </c>
      <c r="BT16" s="3532">
        <v>975</v>
      </c>
      <c r="BU16" s="3532">
        <v>994</v>
      </c>
      <c r="BV16" s="3532">
        <v>1053</v>
      </c>
      <c r="BW16" s="3533">
        <v>931</v>
      </c>
      <c r="BX16" s="3534">
        <v>941</v>
      </c>
      <c r="BY16" s="3459">
        <v>723</v>
      </c>
      <c r="BZ16" s="3459">
        <v>783</v>
      </c>
      <c r="CA16" s="3459">
        <v>862</v>
      </c>
      <c r="CB16" s="3459">
        <v>903</v>
      </c>
      <c r="CC16" s="3459">
        <v>861</v>
      </c>
      <c r="CD16" s="3459">
        <v>932</v>
      </c>
      <c r="CE16" s="3459">
        <v>714</v>
      </c>
      <c r="CF16" s="3459">
        <v>996</v>
      </c>
      <c r="CG16" s="3459">
        <v>940</v>
      </c>
      <c r="CH16" s="3459">
        <v>1183</v>
      </c>
      <c r="CI16" s="3461">
        <v>1214</v>
      </c>
      <c r="CJ16" s="3535">
        <v>1206</v>
      </c>
      <c r="CK16" s="3536">
        <v>1082</v>
      </c>
      <c r="CL16" s="3536">
        <v>958</v>
      </c>
      <c r="CM16" s="3536">
        <v>984</v>
      </c>
      <c r="CN16" s="3536">
        <v>1190</v>
      </c>
      <c r="CO16" s="3536">
        <v>753</v>
      </c>
      <c r="CP16" s="3536">
        <v>1072</v>
      </c>
      <c r="CQ16" s="3536">
        <v>1031</v>
      </c>
      <c r="CR16" s="3536">
        <v>1195</v>
      </c>
      <c r="CS16" s="3536">
        <v>1257</v>
      </c>
      <c r="CT16" s="3536">
        <v>1415</v>
      </c>
      <c r="CU16" s="3537">
        <v>1565</v>
      </c>
      <c r="CV16" s="3535">
        <v>1621</v>
      </c>
      <c r="CW16" s="3536">
        <v>1093</v>
      </c>
      <c r="CX16" s="3458">
        <v>918</v>
      </c>
      <c r="CY16" s="3458">
        <v>1026</v>
      </c>
      <c r="CZ16" s="3458">
        <v>1047</v>
      </c>
      <c r="DA16" s="3458">
        <v>937</v>
      </c>
      <c r="DB16" s="3458">
        <v>1223</v>
      </c>
      <c r="DC16" s="3458">
        <v>939</v>
      </c>
      <c r="DD16" s="3458">
        <v>863</v>
      </c>
      <c r="DE16" s="3458">
        <v>940</v>
      </c>
      <c r="DF16" s="3458">
        <v>1003</v>
      </c>
      <c r="DG16" s="3537">
        <v>1325</v>
      </c>
      <c r="DH16" s="3538">
        <v>965</v>
      </c>
      <c r="DI16" s="3539">
        <v>748</v>
      </c>
      <c r="DJ16" s="3539">
        <v>734</v>
      </c>
      <c r="DK16" s="3540">
        <v>736</v>
      </c>
      <c r="DL16" s="3540">
        <v>751</v>
      </c>
      <c r="DM16" s="3540">
        <v>821</v>
      </c>
      <c r="DN16" s="3540">
        <v>874</v>
      </c>
      <c r="DO16" s="3540">
        <v>960</v>
      </c>
      <c r="DP16" s="2713">
        <v>826</v>
      </c>
      <c r="DQ16" s="3540">
        <v>1331</v>
      </c>
      <c r="DR16" s="3540">
        <v>981</v>
      </c>
      <c r="DS16" s="3541">
        <v>896</v>
      </c>
      <c r="DT16" s="3542">
        <v>1060</v>
      </c>
      <c r="DU16" s="3429">
        <v>849</v>
      </c>
      <c r="DV16" s="3429">
        <v>907</v>
      </c>
      <c r="DW16" s="3350">
        <v>1130</v>
      </c>
      <c r="DX16" s="3350">
        <v>878</v>
      </c>
      <c r="DY16" s="3350">
        <v>938</v>
      </c>
      <c r="DZ16" s="3350">
        <v>1156</v>
      </c>
      <c r="EA16" s="3350">
        <v>925</v>
      </c>
      <c r="EB16" s="3350">
        <v>972</v>
      </c>
      <c r="EC16" s="3350">
        <v>1125</v>
      </c>
      <c r="ED16" s="3350">
        <v>1076</v>
      </c>
      <c r="EE16" s="3349">
        <v>960</v>
      </c>
      <c r="EF16" s="2689">
        <v>1141</v>
      </c>
      <c r="EG16" s="2688">
        <v>1020</v>
      </c>
      <c r="EH16" s="2688">
        <v>899</v>
      </c>
      <c r="EI16" s="2688">
        <v>1032</v>
      </c>
      <c r="EJ16" s="2688">
        <v>1005</v>
      </c>
      <c r="EK16" s="2688">
        <v>1056</v>
      </c>
      <c r="EL16" s="2688">
        <v>1355</v>
      </c>
      <c r="EM16" s="2714">
        <v>837</v>
      </c>
      <c r="EN16" s="2714">
        <v>1152</v>
      </c>
      <c r="EO16" s="2715">
        <v>1381</v>
      </c>
      <c r="EP16" s="2715">
        <v>1016</v>
      </c>
      <c r="EQ16" s="2716">
        <v>1162</v>
      </c>
      <c r="ER16" s="1345">
        <v>2040</v>
      </c>
      <c r="ES16" s="3543">
        <v>1025</v>
      </c>
      <c r="ET16" s="3543">
        <v>1254</v>
      </c>
      <c r="EU16" s="2717">
        <v>1827</v>
      </c>
      <c r="EV16" s="2159">
        <v>1348</v>
      </c>
      <c r="EW16" s="2159">
        <v>1543</v>
      </c>
      <c r="EX16" s="2159">
        <v>1780</v>
      </c>
      <c r="EY16" s="2159">
        <v>1558</v>
      </c>
      <c r="EZ16" s="2159">
        <v>1957</v>
      </c>
      <c r="FA16" s="2339">
        <v>972</v>
      </c>
      <c r="FB16" s="2339">
        <v>1447</v>
      </c>
      <c r="FC16" s="2339">
        <v>1594</v>
      </c>
      <c r="FD16" s="2772">
        <v>1536</v>
      </c>
      <c r="FE16" s="2773">
        <v>1652</v>
      </c>
      <c r="FF16" s="2773">
        <v>512</v>
      </c>
      <c r="FG16" s="2773">
        <v>12</v>
      </c>
      <c r="FH16" s="2773">
        <v>20</v>
      </c>
      <c r="FI16" s="2773">
        <v>12</v>
      </c>
      <c r="FJ16" s="2773">
        <v>48</v>
      </c>
      <c r="FK16" s="2773">
        <v>69</v>
      </c>
      <c r="FL16" s="2773">
        <v>197</v>
      </c>
      <c r="FM16" s="2773">
        <v>136</v>
      </c>
      <c r="FN16" s="2773">
        <v>294</v>
      </c>
      <c r="FO16" s="2774">
        <v>368</v>
      </c>
      <c r="FP16" s="2772">
        <v>308</v>
      </c>
      <c r="FQ16" s="2773">
        <v>198</v>
      </c>
      <c r="FR16" s="2773">
        <v>231</v>
      </c>
      <c r="FS16" s="2773">
        <v>238</v>
      </c>
      <c r="FT16" s="2773">
        <v>367</v>
      </c>
      <c r="FU16" s="2773">
        <v>237</v>
      </c>
      <c r="FV16" s="2773">
        <v>352</v>
      </c>
      <c r="FW16" s="2773">
        <v>337</v>
      </c>
      <c r="FX16" s="2773">
        <v>235</v>
      </c>
      <c r="FY16" s="2773">
        <v>350</v>
      </c>
      <c r="FZ16" s="2773">
        <v>453</v>
      </c>
      <c r="GA16" s="2774">
        <v>482</v>
      </c>
      <c r="GB16" s="4559"/>
      <c r="GC16" s="4556"/>
      <c r="GD16" s="4556"/>
      <c r="GE16" s="4556"/>
      <c r="GF16" s="4556"/>
      <c r="GG16" s="4556"/>
      <c r="GH16" s="4556"/>
      <c r="GI16" s="4556"/>
      <c r="GJ16" s="4556"/>
      <c r="GK16" s="4556"/>
      <c r="GL16" s="4556"/>
      <c r="GM16" s="4560"/>
      <c r="GN16" s="2764"/>
      <c r="GO16" s="2911">
        <v>1648</v>
      </c>
      <c r="GP16" s="2912">
        <v>1457</v>
      </c>
      <c r="GQ16" s="2912">
        <v>1923</v>
      </c>
      <c r="GR16" s="2913">
        <v>2111</v>
      </c>
      <c r="GS16" s="2914">
        <v>2649</v>
      </c>
      <c r="GT16" s="2915">
        <v>2619</v>
      </c>
      <c r="GU16" s="2915">
        <v>2761</v>
      </c>
      <c r="GV16" s="2916">
        <v>2185</v>
      </c>
      <c r="GW16" s="2917">
        <v>2060</v>
      </c>
      <c r="GX16" s="2918">
        <v>1959</v>
      </c>
      <c r="GY16" s="2919">
        <v>2400</v>
      </c>
      <c r="GZ16" s="2919">
        <v>2450</v>
      </c>
      <c r="HA16" s="2920">
        <v>2283</v>
      </c>
      <c r="HB16" s="2921">
        <v>2195</v>
      </c>
      <c r="HC16" s="2921">
        <v>2589</v>
      </c>
      <c r="HD16" s="2922">
        <v>2492</v>
      </c>
      <c r="HE16" s="2923">
        <v>2589</v>
      </c>
      <c r="HF16" s="2924">
        <v>2395</v>
      </c>
      <c r="HG16" s="2924">
        <v>2660</v>
      </c>
      <c r="HH16" s="2925">
        <v>2539</v>
      </c>
      <c r="HI16" s="2921">
        <v>2424</v>
      </c>
      <c r="HJ16" s="2921">
        <v>2894</v>
      </c>
      <c r="HK16" s="2921">
        <v>3094</v>
      </c>
      <c r="HL16" s="2921">
        <v>2978</v>
      </c>
      <c r="HM16" s="2926">
        <v>2447</v>
      </c>
      <c r="HN16" s="2926">
        <v>2626</v>
      </c>
      <c r="HO16" s="2926">
        <v>2642</v>
      </c>
      <c r="HP16" s="2926">
        <v>3337</v>
      </c>
      <c r="HQ16" s="2927">
        <v>3246</v>
      </c>
      <c r="HR16" s="2927">
        <v>2927</v>
      </c>
      <c r="HS16" s="2927">
        <f t="shared" si="32"/>
        <v>3298</v>
      </c>
      <c r="HT16" s="2927">
        <v>4237</v>
      </c>
      <c r="HU16" s="2928">
        <v>3632</v>
      </c>
      <c r="HV16" s="2928">
        <f t="shared" si="33"/>
        <v>3010</v>
      </c>
      <c r="HW16" s="2928">
        <f t="shared" si="34"/>
        <v>3025</v>
      </c>
      <c r="HX16" s="2927">
        <f t="shared" si="35"/>
        <v>3268</v>
      </c>
      <c r="HY16" s="2846">
        <f t="shared" si="36"/>
        <v>2447</v>
      </c>
      <c r="HZ16" s="2846">
        <f t="shared" si="37"/>
        <v>2308</v>
      </c>
      <c r="IA16" s="2846">
        <f t="shared" si="38"/>
        <v>2730</v>
      </c>
      <c r="IB16" s="2846">
        <f t="shared" si="39"/>
        <v>3208</v>
      </c>
      <c r="IC16" s="2921">
        <f t="shared" si="40"/>
        <v>2816</v>
      </c>
      <c r="ID16" s="2921">
        <f t="shared" si="41"/>
        <v>2946</v>
      </c>
      <c r="IE16" s="2921">
        <f t="shared" si="42"/>
        <v>3053</v>
      </c>
      <c r="IF16" s="2921">
        <f t="shared" si="43"/>
        <v>3161</v>
      </c>
      <c r="IG16" s="2929">
        <f t="shared" si="44"/>
        <v>3060</v>
      </c>
      <c r="IH16" s="2926">
        <f t="shared" si="45"/>
        <v>3093</v>
      </c>
      <c r="II16" s="2926">
        <f t="shared" si="46"/>
        <v>3344</v>
      </c>
      <c r="IJ16" s="2926">
        <f t="shared" si="47"/>
        <v>3559</v>
      </c>
      <c r="IK16" s="2930">
        <f t="shared" si="48"/>
        <v>4319</v>
      </c>
      <c r="IL16" s="2931">
        <f t="shared" si="49"/>
        <v>4718</v>
      </c>
      <c r="IM16" s="2931">
        <f t="shared" si="50"/>
        <v>5295</v>
      </c>
      <c r="IN16" s="2931">
        <f t="shared" si="51"/>
        <v>4013</v>
      </c>
      <c r="IO16" s="2932">
        <f t="shared" si="52"/>
        <v>3700</v>
      </c>
      <c r="IP16" s="2933">
        <f t="shared" si="53"/>
        <v>44</v>
      </c>
      <c r="IQ16" s="2933">
        <f>EX16+EY16+EZ16</f>
        <v>5295</v>
      </c>
      <c r="IR16" s="2934">
        <f t="shared" si="55"/>
        <v>798</v>
      </c>
      <c r="IS16" s="2929">
        <f t="shared" si="56"/>
        <v>737</v>
      </c>
      <c r="IT16" s="2926">
        <f t="shared" si="57"/>
        <v>842</v>
      </c>
      <c r="IU16" s="2926">
        <f t="shared" si="58"/>
        <v>924</v>
      </c>
      <c r="IV16" s="2926">
        <f t="shared" si="59"/>
        <v>1285</v>
      </c>
      <c r="IW16" s="4571">
        <f t="shared" si="76"/>
        <v>0</v>
      </c>
      <c r="IX16" s="2921">
        <f t="shared" si="77"/>
        <v>0</v>
      </c>
      <c r="IY16" s="2921">
        <f t="shared" si="78"/>
        <v>0</v>
      </c>
      <c r="IZ16" s="4572">
        <f t="shared" si="79"/>
        <v>0</v>
      </c>
      <c r="JA16" s="4545"/>
      <c r="JB16" s="3544">
        <v>7139</v>
      </c>
      <c r="JC16" s="3545">
        <v>10214</v>
      </c>
      <c r="JD16" s="3545">
        <v>8869</v>
      </c>
      <c r="JE16" s="3545">
        <v>9559</v>
      </c>
      <c r="JF16" s="3545">
        <v>10183</v>
      </c>
      <c r="JG16" s="3545">
        <v>11390</v>
      </c>
      <c r="JH16" s="3546">
        <v>11052</v>
      </c>
      <c r="JI16" s="3547">
        <v>13708</v>
      </c>
      <c r="JJ16" s="3547">
        <f t="shared" si="60"/>
        <v>12935</v>
      </c>
      <c r="JK16" s="3547">
        <f t="shared" si="61"/>
        <v>10623</v>
      </c>
      <c r="JL16" s="3547">
        <f t="shared" si="62"/>
        <v>11976</v>
      </c>
      <c r="JM16" s="3547">
        <f t="shared" si="63"/>
        <v>13056</v>
      </c>
      <c r="JN16" s="3548">
        <f t="shared" si="24"/>
        <v>18345</v>
      </c>
      <c r="JO16" s="3566">
        <f t="shared" si="64"/>
        <v>4856</v>
      </c>
      <c r="JP16" s="3564">
        <f t="shared" si="80"/>
        <v>3788</v>
      </c>
      <c r="JQ16" s="3564">
        <f t="shared" si="81"/>
        <v>3788</v>
      </c>
      <c r="JS16" s="3765">
        <f t="shared" si="82"/>
        <v>3788</v>
      </c>
      <c r="JT16" s="3765">
        <f t="shared" si="83"/>
        <v>3788</v>
      </c>
      <c r="JV16" s="3551">
        <f t="shared" si="84"/>
        <v>4144</v>
      </c>
      <c r="JW16" s="3552">
        <f t="shared" si="65"/>
        <v>1.6925685041728672E-2</v>
      </c>
      <c r="JX16" s="3552">
        <f t="shared" si="66"/>
        <v>1.8341907490990624E-2</v>
      </c>
      <c r="JY16" s="3552">
        <f t="shared" si="85"/>
        <v>1.9004366812227075E-2</v>
      </c>
      <c r="JZ16" s="3552">
        <f t="shared" si="67"/>
        <v>2.6703056768558952E-2</v>
      </c>
      <c r="KA16" s="3552">
        <f t="shared" si="68"/>
        <v>2.537002303990972E-2</v>
      </c>
      <c r="KB16" s="4575">
        <f t="shared" si="69"/>
        <v>1.3480618941194893E-2</v>
      </c>
      <c r="KC16" s="3565">
        <f t="shared" si="86"/>
        <v>1.3480618941194893E-2</v>
      </c>
      <c r="KD16" s="3552"/>
      <c r="KE16" s="3554">
        <f t="shared" si="70"/>
        <v>0.12736515108726354</v>
      </c>
      <c r="KF16" s="3555">
        <f t="shared" si="71"/>
        <v>-0.60990304057234301</v>
      </c>
      <c r="KG16" s="3555">
        <f t="shared" si="72"/>
        <v>9.0180360721442865E-2</v>
      </c>
      <c r="KH16" s="3555">
        <f t="shared" si="73"/>
        <v>0.40510110294117641</v>
      </c>
      <c r="KI16" s="3555">
        <f t="shared" si="74"/>
        <v>-0.73529572090487871</v>
      </c>
      <c r="KJ16" s="3556">
        <f t="shared" si="75"/>
        <v>-0.79351321886072501</v>
      </c>
      <c r="KK16" s="3557">
        <f t="shared" si="87"/>
        <v>-0.21993410214168041</v>
      </c>
      <c r="KM16" s="3231"/>
      <c r="KN16" s="3231"/>
      <c r="KO16" s="3231"/>
      <c r="KP16" s="3231"/>
      <c r="KQ16" s="3231"/>
      <c r="KR16" s="3231"/>
      <c r="KS16" s="3231"/>
      <c r="KT16" s="3231"/>
      <c r="KU16" s="3231"/>
      <c r="KV16" s="3231"/>
      <c r="KW16" s="3231"/>
      <c r="KX16" s="3231"/>
      <c r="KY16" s="3231"/>
      <c r="KZ16" s="3231"/>
      <c r="LA16" s="3231"/>
      <c r="LB16" s="3231"/>
      <c r="LC16" s="3231"/>
      <c r="LD16" s="3231"/>
      <c r="LE16" s="3231"/>
      <c r="LF16" s="3231"/>
      <c r="LG16" s="3231"/>
      <c r="LH16" s="3231"/>
      <c r="LI16" s="3231"/>
    </row>
    <row r="17" spans="1:321" ht="21.9" customHeight="1">
      <c r="A17" s="3568"/>
      <c r="B17" s="3231"/>
      <c r="C17" s="3567" t="s">
        <v>20</v>
      </c>
      <c r="D17" s="3516">
        <v>549</v>
      </c>
      <c r="E17" s="3517">
        <v>378</v>
      </c>
      <c r="F17" s="3517">
        <v>399</v>
      </c>
      <c r="G17" s="3517">
        <v>391</v>
      </c>
      <c r="H17" s="3517">
        <v>397</v>
      </c>
      <c r="I17" s="3517">
        <v>487</v>
      </c>
      <c r="J17" s="3517">
        <v>844</v>
      </c>
      <c r="K17" s="3517">
        <v>1198</v>
      </c>
      <c r="L17" s="3517">
        <v>469</v>
      </c>
      <c r="M17" s="3517">
        <v>573</v>
      </c>
      <c r="N17" s="3517">
        <v>556</v>
      </c>
      <c r="O17" s="3518">
        <v>606</v>
      </c>
      <c r="P17" s="3519">
        <v>658</v>
      </c>
      <c r="Q17" s="3520">
        <v>721</v>
      </c>
      <c r="R17" s="3520">
        <v>522</v>
      </c>
      <c r="S17" s="3520">
        <v>491</v>
      </c>
      <c r="T17" s="3520">
        <v>485</v>
      </c>
      <c r="U17" s="3520">
        <v>640</v>
      </c>
      <c r="V17" s="3520">
        <v>950</v>
      </c>
      <c r="W17" s="3520">
        <v>1246</v>
      </c>
      <c r="X17" s="3520">
        <v>719</v>
      </c>
      <c r="Y17" s="3520">
        <v>629</v>
      </c>
      <c r="Z17" s="3520">
        <v>701</v>
      </c>
      <c r="AA17" s="3521">
        <v>596</v>
      </c>
      <c r="AB17" s="3522">
        <v>761</v>
      </c>
      <c r="AC17" s="3523">
        <v>540</v>
      </c>
      <c r="AD17" s="3523">
        <v>496</v>
      </c>
      <c r="AE17" s="3523">
        <v>503</v>
      </c>
      <c r="AF17" s="3523">
        <v>608</v>
      </c>
      <c r="AG17" s="3523">
        <v>713</v>
      </c>
      <c r="AH17" s="3523">
        <v>1022</v>
      </c>
      <c r="AI17" s="3523">
        <v>1396</v>
      </c>
      <c r="AJ17" s="3523">
        <v>602</v>
      </c>
      <c r="AK17" s="3523">
        <v>609</v>
      </c>
      <c r="AL17" s="3523">
        <v>680</v>
      </c>
      <c r="AM17" s="3524">
        <v>666</v>
      </c>
      <c r="AN17" s="3525">
        <v>637</v>
      </c>
      <c r="AO17" s="3526">
        <v>545</v>
      </c>
      <c r="AP17" s="3526">
        <v>550</v>
      </c>
      <c r="AQ17" s="3526">
        <v>538</v>
      </c>
      <c r="AR17" s="3526">
        <v>528</v>
      </c>
      <c r="AS17" s="3526">
        <v>635</v>
      </c>
      <c r="AT17" s="3526">
        <v>849</v>
      </c>
      <c r="AU17" s="3526">
        <v>1276</v>
      </c>
      <c r="AV17" s="3526">
        <v>521</v>
      </c>
      <c r="AW17" s="3526">
        <v>614</v>
      </c>
      <c r="AX17" s="3526">
        <v>715</v>
      </c>
      <c r="AY17" s="3527">
        <v>639</v>
      </c>
      <c r="AZ17" s="3463">
        <v>595</v>
      </c>
      <c r="BA17" s="3463">
        <v>497</v>
      </c>
      <c r="BB17" s="3463">
        <v>505</v>
      </c>
      <c r="BC17" s="3463">
        <v>417</v>
      </c>
      <c r="BD17" s="3463">
        <v>543</v>
      </c>
      <c r="BE17" s="3463">
        <v>559</v>
      </c>
      <c r="BF17" s="3463">
        <v>777</v>
      </c>
      <c r="BG17" s="3463">
        <v>1289</v>
      </c>
      <c r="BH17" s="3463">
        <v>535</v>
      </c>
      <c r="BI17" s="3463">
        <v>653</v>
      </c>
      <c r="BJ17" s="3463">
        <v>682</v>
      </c>
      <c r="BK17" s="3560">
        <v>664</v>
      </c>
      <c r="BL17" s="3530">
        <v>551</v>
      </c>
      <c r="BM17" s="3531">
        <v>522</v>
      </c>
      <c r="BN17" s="3531">
        <v>534</v>
      </c>
      <c r="BO17" s="3531">
        <v>525</v>
      </c>
      <c r="BP17" s="3531">
        <v>544</v>
      </c>
      <c r="BQ17" s="3531">
        <v>656</v>
      </c>
      <c r="BR17" s="3531">
        <v>836</v>
      </c>
      <c r="BS17" s="3531">
        <v>1119</v>
      </c>
      <c r="BT17" s="3532">
        <v>550</v>
      </c>
      <c r="BU17" s="3532">
        <v>658</v>
      </c>
      <c r="BV17" s="3532">
        <v>688</v>
      </c>
      <c r="BW17" s="3533">
        <v>574</v>
      </c>
      <c r="BX17" s="3534">
        <v>600</v>
      </c>
      <c r="BY17" s="3459">
        <v>512</v>
      </c>
      <c r="BZ17" s="3459">
        <v>542</v>
      </c>
      <c r="CA17" s="3459">
        <v>511</v>
      </c>
      <c r="CB17" s="3459">
        <v>483</v>
      </c>
      <c r="CC17" s="3459">
        <v>646</v>
      </c>
      <c r="CD17" s="3459">
        <v>665</v>
      </c>
      <c r="CE17" s="3459">
        <v>935</v>
      </c>
      <c r="CF17" s="3459">
        <v>579</v>
      </c>
      <c r="CG17" s="3459">
        <v>611</v>
      </c>
      <c r="CH17" s="3459">
        <v>678</v>
      </c>
      <c r="CI17" s="3461">
        <v>758</v>
      </c>
      <c r="CJ17" s="3535">
        <v>698</v>
      </c>
      <c r="CK17" s="3536">
        <v>643</v>
      </c>
      <c r="CL17" s="3536">
        <v>609</v>
      </c>
      <c r="CM17" s="3536">
        <v>572</v>
      </c>
      <c r="CN17" s="3536">
        <v>490</v>
      </c>
      <c r="CO17" s="3536">
        <v>643</v>
      </c>
      <c r="CP17" s="3536">
        <v>814</v>
      </c>
      <c r="CQ17" s="3536">
        <v>1057</v>
      </c>
      <c r="CR17" s="3536">
        <v>554</v>
      </c>
      <c r="CS17" s="3536">
        <v>636</v>
      </c>
      <c r="CT17" s="3536">
        <v>734</v>
      </c>
      <c r="CU17" s="3537">
        <v>716</v>
      </c>
      <c r="CV17" s="3535">
        <v>704</v>
      </c>
      <c r="CW17" s="3536">
        <v>575</v>
      </c>
      <c r="CX17" s="3458">
        <v>571</v>
      </c>
      <c r="CY17" s="3458">
        <v>525</v>
      </c>
      <c r="CZ17" s="3458">
        <v>537</v>
      </c>
      <c r="DA17" s="3458">
        <v>740</v>
      </c>
      <c r="DB17" s="3458">
        <v>857</v>
      </c>
      <c r="DC17" s="3458">
        <v>1052</v>
      </c>
      <c r="DD17" s="3458">
        <v>643</v>
      </c>
      <c r="DE17" s="3458">
        <v>549</v>
      </c>
      <c r="DF17" s="3458">
        <v>656</v>
      </c>
      <c r="DG17" s="3537">
        <v>699</v>
      </c>
      <c r="DH17" s="3538">
        <v>630</v>
      </c>
      <c r="DI17" s="3539">
        <v>567</v>
      </c>
      <c r="DJ17" s="3539">
        <v>515</v>
      </c>
      <c r="DK17" s="3540">
        <v>517</v>
      </c>
      <c r="DL17" s="3540">
        <v>530</v>
      </c>
      <c r="DM17" s="3540">
        <v>594</v>
      </c>
      <c r="DN17" s="3540">
        <v>797</v>
      </c>
      <c r="DO17" s="3540">
        <v>968</v>
      </c>
      <c r="DP17" s="2713">
        <v>506</v>
      </c>
      <c r="DQ17" s="3540">
        <v>663</v>
      </c>
      <c r="DR17" s="3540">
        <v>605</v>
      </c>
      <c r="DS17" s="3541">
        <v>640</v>
      </c>
      <c r="DT17" s="3542">
        <v>661</v>
      </c>
      <c r="DU17" s="3429">
        <v>472</v>
      </c>
      <c r="DV17" s="3429">
        <v>508</v>
      </c>
      <c r="DW17" s="3350">
        <v>543</v>
      </c>
      <c r="DX17" s="3350">
        <v>594</v>
      </c>
      <c r="DY17" s="3350">
        <v>673</v>
      </c>
      <c r="DZ17" s="3350">
        <v>769</v>
      </c>
      <c r="EA17" s="3350">
        <v>922</v>
      </c>
      <c r="EB17" s="3350">
        <v>542</v>
      </c>
      <c r="EC17" s="3350">
        <v>601</v>
      </c>
      <c r="ED17" s="3350">
        <v>691</v>
      </c>
      <c r="EE17" s="3349">
        <v>768</v>
      </c>
      <c r="EF17" s="2689">
        <v>637</v>
      </c>
      <c r="EG17" s="2688">
        <v>567</v>
      </c>
      <c r="EH17" s="2688">
        <v>562</v>
      </c>
      <c r="EI17" s="2688">
        <v>572</v>
      </c>
      <c r="EJ17" s="2688">
        <v>529</v>
      </c>
      <c r="EK17" s="2688">
        <v>741</v>
      </c>
      <c r="EL17" s="2688">
        <v>937</v>
      </c>
      <c r="EM17" s="2714">
        <v>1050</v>
      </c>
      <c r="EN17" s="2714">
        <v>478</v>
      </c>
      <c r="EO17" s="2715">
        <v>576</v>
      </c>
      <c r="EP17" s="2715">
        <v>721</v>
      </c>
      <c r="EQ17" s="2716">
        <v>705</v>
      </c>
      <c r="ER17" s="1348">
        <v>645</v>
      </c>
      <c r="ES17" s="3543">
        <v>546</v>
      </c>
      <c r="ET17" s="3543">
        <v>565</v>
      </c>
      <c r="EU17" s="2717">
        <v>674</v>
      </c>
      <c r="EV17" s="2162">
        <v>751</v>
      </c>
      <c r="EW17" s="2162">
        <v>951</v>
      </c>
      <c r="EX17" s="2162">
        <v>1213</v>
      </c>
      <c r="EY17" s="2162">
        <v>1585</v>
      </c>
      <c r="EZ17" s="2162">
        <v>988</v>
      </c>
      <c r="FA17" s="2339">
        <v>728</v>
      </c>
      <c r="FB17" s="2339">
        <v>1072</v>
      </c>
      <c r="FC17" s="2339">
        <v>1209</v>
      </c>
      <c r="FD17" s="2765">
        <v>1044</v>
      </c>
      <c r="FE17" s="2766">
        <v>854</v>
      </c>
      <c r="FF17" s="2766">
        <v>254</v>
      </c>
      <c r="FG17" s="2766">
        <v>4</v>
      </c>
      <c r="FH17" s="2766">
        <v>15</v>
      </c>
      <c r="FI17" s="2766">
        <v>14</v>
      </c>
      <c r="FJ17" s="2766">
        <v>82</v>
      </c>
      <c r="FK17" s="2766">
        <v>59</v>
      </c>
      <c r="FL17" s="2766">
        <v>126</v>
      </c>
      <c r="FM17" s="2766">
        <v>186</v>
      </c>
      <c r="FN17" s="2766">
        <v>183</v>
      </c>
      <c r="FO17" s="2767">
        <v>227</v>
      </c>
      <c r="FP17" s="2765">
        <v>238</v>
      </c>
      <c r="FQ17" s="2766">
        <v>155</v>
      </c>
      <c r="FR17" s="2766">
        <v>187</v>
      </c>
      <c r="FS17" s="2766">
        <v>208</v>
      </c>
      <c r="FT17" s="2766">
        <v>228</v>
      </c>
      <c r="FU17" s="2766">
        <v>318</v>
      </c>
      <c r="FV17" s="2766">
        <v>424</v>
      </c>
      <c r="FW17" s="2766">
        <v>471</v>
      </c>
      <c r="FX17" s="2766">
        <v>371</v>
      </c>
      <c r="FY17" s="2766">
        <v>517</v>
      </c>
      <c r="FZ17" s="2766">
        <v>515</v>
      </c>
      <c r="GA17" s="2767">
        <v>606</v>
      </c>
      <c r="GB17" s="4561"/>
      <c r="GC17" s="4557"/>
      <c r="GD17" s="4557"/>
      <c r="GE17" s="4557"/>
      <c r="GF17" s="4557"/>
      <c r="GG17" s="4557"/>
      <c r="GH17" s="4557"/>
      <c r="GI17" s="4557"/>
      <c r="GJ17" s="4557"/>
      <c r="GK17" s="4557"/>
      <c r="GL17" s="4557"/>
      <c r="GM17" s="4562"/>
      <c r="GN17" s="2764"/>
      <c r="GO17" s="2911">
        <v>1326</v>
      </c>
      <c r="GP17" s="2912">
        <v>1275</v>
      </c>
      <c r="GQ17" s="2912">
        <v>2511</v>
      </c>
      <c r="GR17" s="2913">
        <v>1735</v>
      </c>
      <c r="GS17" s="2914">
        <v>1901</v>
      </c>
      <c r="GT17" s="2915">
        <v>1616</v>
      </c>
      <c r="GU17" s="2915">
        <v>2915</v>
      </c>
      <c r="GV17" s="2916">
        <v>1926</v>
      </c>
      <c r="GW17" s="2917">
        <v>1797</v>
      </c>
      <c r="GX17" s="2918">
        <v>1824</v>
      </c>
      <c r="GY17" s="2919">
        <v>3020</v>
      </c>
      <c r="GZ17" s="2919">
        <v>1955</v>
      </c>
      <c r="HA17" s="2920">
        <v>1732</v>
      </c>
      <c r="HB17" s="2921">
        <v>1701</v>
      </c>
      <c r="HC17" s="2921">
        <v>2646</v>
      </c>
      <c r="HD17" s="2922">
        <v>1968</v>
      </c>
      <c r="HE17" s="2923">
        <v>1597</v>
      </c>
      <c r="HF17" s="2924">
        <v>1519</v>
      </c>
      <c r="HG17" s="2924">
        <v>2601</v>
      </c>
      <c r="HH17" s="2925">
        <v>1999</v>
      </c>
      <c r="HI17" s="2921">
        <v>1607</v>
      </c>
      <c r="HJ17" s="2921">
        <v>1725</v>
      </c>
      <c r="HK17" s="2921">
        <v>2505</v>
      </c>
      <c r="HL17" s="2921">
        <v>1920</v>
      </c>
      <c r="HM17" s="2926">
        <v>1654</v>
      </c>
      <c r="HN17" s="2926">
        <v>1640</v>
      </c>
      <c r="HO17" s="2926">
        <v>2179</v>
      </c>
      <c r="HP17" s="2926">
        <v>2047</v>
      </c>
      <c r="HQ17" s="2927">
        <v>1950</v>
      </c>
      <c r="HR17" s="2927">
        <v>1705</v>
      </c>
      <c r="HS17" s="2927">
        <f t="shared" si="32"/>
        <v>2425</v>
      </c>
      <c r="HT17" s="2927">
        <v>2086</v>
      </c>
      <c r="HU17" s="2928">
        <v>1850</v>
      </c>
      <c r="HV17" s="2928">
        <f t="shared" si="33"/>
        <v>1802</v>
      </c>
      <c r="HW17" s="2928">
        <f t="shared" si="34"/>
        <v>2552</v>
      </c>
      <c r="HX17" s="2927">
        <f t="shared" si="35"/>
        <v>1904</v>
      </c>
      <c r="HY17" s="2846">
        <f t="shared" si="36"/>
        <v>1712</v>
      </c>
      <c r="HZ17" s="2846">
        <f t="shared" si="37"/>
        <v>1641</v>
      </c>
      <c r="IA17" s="2846">
        <f t="shared" si="38"/>
        <v>2405</v>
      </c>
      <c r="IB17" s="2846">
        <f t="shared" si="39"/>
        <v>1908</v>
      </c>
      <c r="IC17" s="2921">
        <f t="shared" si="40"/>
        <v>1641</v>
      </c>
      <c r="ID17" s="2921">
        <f t="shared" si="41"/>
        <v>1810</v>
      </c>
      <c r="IE17" s="2921">
        <f t="shared" si="42"/>
        <v>2233</v>
      </c>
      <c r="IF17" s="2921">
        <f t="shared" si="43"/>
        <v>2060</v>
      </c>
      <c r="IG17" s="2929">
        <f t="shared" si="44"/>
        <v>1766</v>
      </c>
      <c r="IH17" s="2926">
        <f t="shared" si="45"/>
        <v>1842</v>
      </c>
      <c r="II17" s="2926">
        <f t="shared" si="46"/>
        <v>2465</v>
      </c>
      <c r="IJ17" s="2926">
        <f t="shared" si="47"/>
        <v>2002</v>
      </c>
      <c r="IK17" s="2930">
        <f t="shared" si="48"/>
        <v>1756</v>
      </c>
      <c r="IL17" s="2931">
        <f t="shared" si="49"/>
        <v>2376</v>
      </c>
      <c r="IM17" s="2931">
        <f t="shared" si="50"/>
        <v>3786</v>
      </c>
      <c r="IN17" s="2931">
        <f t="shared" si="51"/>
        <v>3009</v>
      </c>
      <c r="IO17" s="2932">
        <f t="shared" si="52"/>
        <v>2152</v>
      </c>
      <c r="IP17" s="2933">
        <f t="shared" si="53"/>
        <v>33</v>
      </c>
      <c r="IQ17" s="2933">
        <f>FJ17+FK17+FL17</f>
        <v>267</v>
      </c>
      <c r="IR17" s="2934">
        <f t="shared" si="55"/>
        <v>596</v>
      </c>
      <c r="IS17" s="2929">
        <f t="shared" si="56"/>
        <v>580</v>
      </c>
      <c r="IT17" s="2926">
        <f t="shared" si="57"/>
        <v>754</v>
      </c>
      <c r="IU17" s="2926">
        <f t="shared" si="58"/>
        <v>1266</v>
      </c>
      <c r="IV17" s="2926">
        <f t="shared" si="59"/>
        <v>1638</v>
      </c>
      <c r="IW17" s="4549">
        <f t="shared" si="76"/>
        <v>0</v>
      </c>
      <c r="IX17" s="4541">
        <f t="shared" si="77"/>
        <v>0</v>
      </c>
      <c r="IY17" s="4541">
        <f t="shared" si="78"/>
        <v>0</v>
      </c>
      <c r="IZ17" s="4550">
        <f t="shared" si="79"/>
        <v>0</v>
      </c>
      <c r="JA17" s="4545"/>
      <c r="JB17" s="3544">
        <v>6847</v>
      </c>
      <c r="JC17" s="3545">
        <v>8358</v>
      </c>
      <c r="JD17" s="3545">
        <v>8596</v>
      </c>
      <c r="JE17" s="3545">
        <v>8047</v>
      </c>
      <c r="JF17" s="3545">
        <v>7716</v>
      </c>
      <c r="JG17" s="3545">
        <v>7757</v>
      </c>
      <c r="JH17" s="3546">
        <v>7520</v>
      </c>
      <c r="JI17" s="3547">
        <v>8166</v>
      </c>
      <c r="JJ17" s="3547">
        <f t="shared" si="60"/>
        <v>8108</v>
      </c>
      <c r="JK17" s="3547">
        <f t="shared" si="61"/>
        <v>7532</v>
      </c>
      <c r="JL17" s="3547">
        <f t="shared" si="62"/>
        <v>7744</v>
      </c>
      <c r="JM17" s="3547">
        <f t="shared" si="63"/>
        <v>8075</v>
      </c>
      <c r="JN17" s="3548">
        <f t="shared" si="24"/>
        <v>10927</v>
      </c>
      <c r="JO17" s="3566">
        <f t="shared" si="64"/>
        <v>3048</v>
      </c>
      <c r="JP17" s="3564">
        <f t="shared" si="80"/>
        <v>4238</v>
      </c>
      <c r="JQ17" s="3564">
        <f t="shared" si="81"/>
        <v>4238</v>
      </c>
      <c r="JS17" s="3765">
        <f t="shared" si="82"/>
        <v>4238</v>
      </c>
      <c r="JT17" s="3765">
        <f t="shared" si="83"/>
        <v>4238</v>
      </c>
      <c r="JV17" s="3551">
        <f t="shared" si="84"/>
        <v>3841.3333333333335</v>
      </c>
      <c r="JW17" s="3552">
        <f t="shared" si="65"/>
        <v>1.2000777533116857E-2</v>
      </c>
      <c r="JX17" s="3552">
        <f t="shared" si="66"/>
        <v>1.1860365030914446E-2</v>
      </c>
      <c r="JY17" s="3552">
        <f t="shared" si="85"/>
        <v>1.1754002911208152E-2</v>
      </c>
      <c r="JZ17" s="3552">
        <f t="shared" si="67"/>
        <v>1.5905385735080057E-2</v>
      </c>
      <c r="KA17" s="3552">
        <f t="shared" si="68"/>
        <v>1.5924182501162443E-2</v>
      </c>
      <c r="KB17" s="4575">
        <f t="shared" si="69"/>
        <v>1.5082065225127761E-2</v>
      </c>
      <c r="KC17" s="3565">
        <f t="shared" si="86"/>
        <v>1.5082065225127761E-2</v>
      </c>
      <c r="KD17" s="3552"/>
      <c r="KE17" s="3554">
        <f t="shared" si="70"/>
        <v>2.814657461497605E-2</v>
      </c>
      <c r="KF17" s="3555">
        <f t="shared" si="71"/>
        <v>-0.48999822977518148</v>
      </c>
      <c r="KG17" s="3555">
        <f t="shared" si="72"/>
        <v>4.2742768595041225E-2</v>
      </c>
      <c r="KH17" s="3555">
        <f t="shared" si="73"/>
        <v>0.35318885448916415</v>
      </c>
      <c r="KI17" s="3555">
        <f t="shared" si="74"/>
        <v>-0.72105792989841677</v>
      </c>
      <c r="KJ17" s="3556">
        <f t="shared" si="75"/>
        <v>-0.61215338153198506</v>
      </c>
      <c r="KK17" s="3557">
        <f t="shared" si="87"/>
        <v>0.39041994750656173</v>
      </c>
      <c r="KM17" s="3231"/>
      <c r="KN17" s="3231"/>
      <c r="KO17" s="3231"/>
      <c r="KP17" s="3231"/>
      <c r="KQ17" s="3231"/>
      <c r="KR17" s="3231"/>
      <c r="KS17" s="3231"/>
      <c r="KT17" s="3231"/>
      <c r="KU17" s="3231"/>
      <c r="KV17" s="3231"/>
      <c r="KW17" s="3231"/>
      <c r="KX17" s="3231"/>
      <c r="KY17" s="3231"/>
      <c r="KZ17" s="3231"/>
      <c r="LA17" s="3231"/>
      <c r="LB17" s="3231"/>
      <c r="LC17" s="3231"/>
      <c r="LD17" s="3231"/>
      <c r="LE17" s="3231"/>
      <c r="LF17" s="3231"/>
      <c r="LG17" s="3231"/>
      <c r="LH17" s="3231"/>
      <c r="LI17" s="3231"/>
    </row>
    <row r="18" spans="1:321" ht="21.9" customHeight="1">
      <c r="A18" s="3568"/>
      <c r="B18" s="3231"/>
      <c r="C18" s="3567" t="s">
        <v>1774</v>
      </c>
      <c r="D18" s="3516">
        <v>133</v>
      </c>
      <c r="E18" s="3517">
        <v>92</v>
      </c>
      <c r="F18" s="3517">
        <v>219</v>
      </c>
      <c r="G18" s="3517">
        <v>122</v>
      </c>
      <c r="H18" s="3517">
        <v>192</v>
      </c>
      <c r="I18" s="3517">
        <v>123</v>
      </c>
      <c r="J18" s="3517">
        <v>158</v>
      </c>
      <c r="K18" s="3517">
        <v>152</v>
      </c>
      <c r="L18" s="3517">
        <v>231</v>
      </c>
      <c r="M18" s="3517">
        <v>178</v>
      </c>
      <c r="N18" s="3517">
        <v>149</v>
      </c>
      <c r="O18" s="3518">
        <v>195</v>
      </c>
      <c r="P18" s="3519">
        <v>187</v>
      </c>
      <c r="Q18" s="3520">
        <v>200</v>
      </c>
      <c r="R18" s="3520">
        <v>290</v>
      </c>
      <c r="S18" s="3520">
        <v>345</v>
      </c>
      <c r="T18" s="3520">
        <v>276</v>
      </c>
      <c r="U18" s="3520">
        <v>382</v>
      </c>
      <c r="V18" s="3520">
        <v>2179</v>
      </c>
      <c r="W18" s="3520">
        <v>1374</v>
      </c>
      <c r="X18" s="3520">
        <v>1684</v>
      </c>
      <c r="Y18" s="3520">
        <v>1102</v>
      </c>
      <c r="Z18" s="3520">
        <v>766</v>
      </c>
      <c r="AA18" s="3521">
        <v>229</v>
      </c>
      <c r="AB18" s="3522">
        <v>215</v>
      </c>
      <c r="AC18" s="3523">
        <v>310</v>
      </c>
      <c r="AD18" s="3523">
        <v>284</v>
      </c>
      <c r="AE18" s="3523">
        <v>259</v>
      </c>
      <c r="AF18" s="3523">
        <v>282</v>
      </c>
      <c r="AG18" s="3523">
        <v>305</v>
      </c>
      <c r="AH18" s="3523">
        <v>334</v>
      </c>
      <c r="AI18" s="3523">
        <v>413</v>
      </c>
      <c r="AJ18" s="3523">
        <v>465</v>
      </c>
      <c r="AK18" s="3523">
        <v>391</v>
      </c>
      <c r="AL18" s="3523">
        <v>626</v>
      </c>
      <c r="AM18" s="3524">
        <v>354</v>
      </c>
      <c r="AN18" s="3525">
        <v>309</v>
      </c>
      <c r="AO18" s="3526">
        <v>310</v>
      </c>
      <c r="AP18" s="3526">
        <v>261</v>
      </c>
      <c r="AQ18" s="3526">
        <v>201</v>
      </c>
      <c r="AR18" s="3526">
        <v>223</v>
      </c>
      <c r="AS18" s="3526">
        <v>264</v>
      </c>
      <c r="AT18" s="3526">
        <v>253</v>
      </c>
      <c r="AU18" s="3526">
        <v>336</v>
      </c>
      <c r="AV18" s="3526">
        <v>245</v>
      </c>
      <c r="AW18" s="3526">
        <v>111</v>
      </c>
      <c r="AX18" s="3526">
        <v>335</v>
      </c>
      <c r="AY18" s="3527">
        <v>418</v>
      </c>
      <c r="AZ18" s="3463">
        <v>275</v>
      </c>
      <c r="BA18" s="3463">
        <v>351</v>
      </c>
      <c r="BB18" s="3463">
        <v>351</v>
      </c>
      <c r="BC18" s="3463">
        <v>297</v>
      </c>
      <c r="BD18" s="3463">
        <v>296</v>
      </c>
      <c r="BE18" s="3463">
        <v>312</v>
      </c>
      <c r="BF18" s="3463">
        <v>299</v>
      </c>
      <c r="BG18" s="3463">
        <v>450</v>
      </c>
      <c r="BH18" s="3463">
        <v>428</v>
      </c>
      <c r="BI18" s="3463">
        <v>477</v>
      </c>
      <c r="BJ18" s="3463">
        <v>485</v>
      </c>
      <c r="BK18" s="3560">
        <v>438</v>
      </c>
      <c r="BL18" s="3530">
        <v>198</v>
      </c>
      <c r="BM18" s="3531">
        <v>557</v>
      </c>
      <c r="BN18" s="3531">
        <v>561</v>
      </c>
      <c r="BO18" s="3531">
        <v>523</v>
      </c>
      <c r="BP18" s="3531">
        <v>701</v>
      </c>
      <c r="BQ18" s="3531">
        <v>470</v>
      </c>
      <c r="BR18" s="3531">
        <v>598</v>
      </c>
      <c r="BS18" s="3531">
        <v>647</v>
      </c>
      <c r="BT18" s="3532">
        <v>674</v>
      </c>
      <c r="BU18" s="3532">
        <v>826</v>
      </c>
      <c r="BV18" s="3532">
        <v>646</v>
      </c>
      <c r="BW18" s="3533">
        <v>532</v>
      </c>
      <c r="BX18" s="3534">
        <v>83</v>
      </c>
      <c r="BY18" s="3459">
        <v>440</v>
      </c>
      <c r="BZ18" s="3459">
        <v>582</v>
      </c>
      <c r="CA18" s="3459">
        <v>655</v>
      </c>
      <c r="CB18" s="3459">
        <v>704</v>
      </c>
      <c r="CC18" s="3459">
        <v>612</v>
      </c>
      <c r="CD18" s="3459">
        <v>427</v>
      </c>
      <c r="CE18" s="3459">
        <v>751</v>
      </c>
      <c r="CF18" s="3459">
        <v>724</v>
      </c>
      <c r="CG18" s="3459">
        <v>697</v>
      </c>
      <c r="CH18" s="3459">
        <v>655</v>
      </c>
      <c r="CI18" s="3461">
        <v>657</v>
      </c>
      <c r="CJ18" s="3535">
        <v>636</v>
      </c>
      <c r="CK18" s="3536">
        <v>674</v>
      </c>
      <c r="CL18" s="3536">
        <v>840</v>
      </c>
      <c r="CM18" s="3536">
        <v>702</v>
      </c>
      <c r="CN18" s="3536">
        <v>659</v>
      </c>
      <c r="CO18" s="3536">
        <v>639</v>
      </c>
      <c r="CP18" s="3536">
        <v>825</v>
      </c>
      <c r="CQ18" s="3536">
        <v>721</v>
      </c>
      <c r="CR18" s="3536">
        <v>869</v>
      </c>
      <c r="CS18" s="3536">
        <v>817</v>
      </c>
      <c r="CT18" s="3536">
        <v>785</v>
      </c>
      <c r="CU18" s="3537">
        <v>701</v>
      </c>
      <c r="CV18" s="3535">
        <v>740</v>
      </c>
      <c r="CW18" s="3536">
        <v>531</v>
      </c>
      <c r="CX18" s="3458">
        <v>1029</v>
      </c>
      <c r="CY18" s="3458">
        <v>933</v>
      </c>
      <c r="CZ18" s="3458">
        <v>904</v>
      </c>
      <c r="DA18" s="3458">
        <v>798</v>
      </c>
      <c r="DB18" s="3458">
        <v>804</v>
      </c>
      <c r="DC18" s="3458">
        <v>967</v>
      </c>
      <c r="DD18" s="3458">
        <v>871</v>
      </c>
      <c r="DE18" s="3458">
        <v>837</v>
      </c>
      <c r="DF18" s="3458">
        <v>793</v>
      </c>
      <c r="DG18" s="3537">
        <v>654</v>
      </c>
      <c r="DH18" s="3538">
        <v>624</v>
      </c>
      <c r="DI18" s="3539">
        <v>600</v>
      </c>
      <c r="DJ18" s="3539">
        <v>1169</v>
      </c>
      <c r="DK18" s="3540">
        <v>845</v>
      </c>
      <c r="DL18" s="3540">
        <v>896</v>
      </c>
      <c r="DM18" s="3540">
        <v>878</v>
      </c>
      <c r="DN18" s="3540">
        <v>890</v>
      </c>
      <c r="DO18" s="3540">
        <v>1046</v>
      </c>
      <c r="DP18" s="2713">
        <v>969</v>
      </c>
      <c r="DQ18" s="3540">
        <v>1285</v>
      </c>
      <c r="DR18" s="3540">
        <v>1577</v>
      </c>
      <c r="DS18" s="3541">
        <v>1083</v>
      </c>
      <c r="DT18" s="3542">
        <v>863</v>
      </c>
      <c r="DU18" s="3429">
        <v>879</v>
      </c>
      <c r="DV18" s="3429">
        <v>1309</v>
      </c>
      <c r="DW18" s="3350">
        <v>1057</v>
      </c>
      <c r="DX18" s="3350">
        <v>1204</v>
      </c>
      <c r="DY18" s="3350">
        <v>1104</v>
      </c>
      <c r="DZ18" s="3350">
        <v>1164</v>
      </c>
      <c r="EA18" s="3350">
        <v>1313</v>
      </c>
      <c r="EB18" s="3350">
        <v>1214</v>
      </c>
      <c r="EC18" s="3350">
        <v>1036</v>
      </c>
      <c r="ED18" s="3350">
        <v>1147</v>
      </c>
      <c r="EE18" s="3349">
        <v>1102</v>
      </c>
      <c r="EF18" s="2689">
        <v>938</v>
      </c>
      <c r="EG18" s="2688">
        <v>995</v>
      </c>
      <c r="EH18" s="2688">
        <v>1373</v>
      </c>
      <c r="EI18" s="2688">
        <v>866</v>
      </c>
      <c r="EJ18" s="2688">
        <v>931</v>
      </c>
      <c r="EK18" s="2688">
        <v>952</v>
      </c>
      <c r="EL18" s="2688">
        <v>1110</v>
      </c>
      <c r="EM18" s="2714">
        <v>924</v>
      </c>
      <c r="EN18" s="2714">
        <v>1152</v>
      </c>
      <c r="EO18" s="2715">
        <v>876</v>
      </c>
      <c r="EP18" s="2715">
        <v>1153</v>
      </c>
      <c r="EQ18" s="2716">
        <v>969</v>
      </c>
      <c r="ER18" s="1345">
        <v>840</v>
      </c>
      <c r="ES18" s="3543">
        <v>981</v>
      </c>
      <c r="ET18" s="3543">
        <v>1154</v>
      </c>
      <c r="EU18" s="2717">
        <v>849</v>
      </c>
      <c r="EV18" s="2159">
        <v>1263</v>
      </c>
      <c r="EW18" s="2159">
        <v>1087</v>
      </c>
      <c r="EX18" s="2159">
        <v>1326</v>
      </c>
      <c r="EY18" s="2159">
        <v>1264</v>
      </c>
      <c r="EZ18" s="2159">
        <v>1156</v>
      </c>
      <c r="FA18" s="2339">
        <v>845</v>
      </c>
      <c r="FB18" s="2339">
        <v>961</v>
      </c>
      <c r="FC18" s="2339">
        <v>979</v>
      </c>
      <c r="FD18" s="2765">
        <v>895</v>
      </c>
      <c r="FE18" s="2766">
        <v>578</v>
      </c>
      <c r="FF18" s="2766">
        <v>220</v>
      </c>
      <c r="FG18" s="2766"/>
      <c r="FH18" s="2766"/>
      <c r="FI18" s="2766">
        <v>2</v>
      </c>
      <c r="FJ18" s="2766">
        <v>70</v>
      </c>
      <c r="FK18" s="2766">
        <v>91</v>
      </c>
      <c r="FL18" s="2766">
        <v>153</v>
      </c>
      <c r="FM18" s="2766">
        <v>172</v>
      </c>
      <c r="FN18" s="2766">
        <v>167</v>
      </c>
      <c r="FO18" s="2767">
        <v>211</v>
      </c>
      <c r="FP18" s="2765">
        <v>158</v>
      </c>
      <c r="FQ18" s="2766">
        <v>194</v>
      </c>
      <c r="FR18" s="2766">
        <v>301</v>
      </c>
      <c r="FS18" s="2766">
        <v>270</v>
      </c>
      <c r="FT18" s="2766">
        <v>275</v>
      </c>
      <c r="FU18" s="2766">
        <v>319</v>
      </c>
      <c r="FV18" s="2766">
        <v>323</v>
      </c>
      <c r="FW18" s="2766">
        <v>367</v>
      </c>
      <c r="FX18" s="2766">
        <v>296</v>
      </c>
      <c r="FY18" s="2766">
        <v>413</v>
      </c>
      <c r="FZ18" s="2766">
        <v>389</v>
      </c>
      <c r="GA18" s="2767">
        <v>428</v>
      </c>
      <c r="GB18" s="4561"/>
      <c r="GC18" s="4557"/>
      <c r="GD18" s="4557"/>
      <c r="GE18" s="4557"/>
      <c r="GF18" s="4557"/>
      <c r="GG18" s="4557"/>
      <c r="GH18" s="4557"/>
      <c r="GI18" s="4557"/>
      <c r="GJ18" s="4557"/>
      <c r="GK18" s="4557"/>
      <c r="GL18" s="4557"/>
      <c r="GM18" s="4562"/>
      <c r="GN18" s="2764"/>
      <c r="GO18" s="2911">
        <v>444</v>
      </c>
      <c r="GP18" s="2912">
        <v>437</v>
      </c>
      <c r="GQ18" s="2912">
        <v>541</v>
      </c>
      <c r="GR18" s="2913">
        <v>522</v>
      </c>
      <c r="GS18" s="2914">
        <v>677</v>
      </c>
      <c r="GT18" s="2915">
        <v>1003</v>
      </c>
      <c r="GU18" s="2915">
        <v>5237</v>
      </c>
      <c r="GV18" s="2916">
        <v>2097</v>
      </c>
      <c r="GW18" s="2917">
        <v>809</v>
      </c>
      <c r="GX18" s="2918">
        <v>846</v>
      </c>
      <c r="GY18" s="2919">
        <v>1212</v>
      </c>
      <c r="GZ18" s="2919">
        <v>1371</v>
      </c>
      <c r="HA18" s="2920">
        <v>880</v>
      </c>
      <c r="HB18" s="2921">
        <v>688</v>
      </c>
      <c r="HC18" s="2921">
        <v>834</v>
      </c>
      <c r="HD18" s="2922">
        <v>864</v>
      </c>
      <c r="HE18" s="2923">
        <v>977</v>
      </c>
      <c r="HF18" s="2924">
        <v>905</v>
      </c>
      <c r="HG18" s="2924">
        <v>1177</v>
      </c>
      <c r="HH18" s="2925">
        <v>1400</v>
      </c>
      <c r="HI18" s="2921">
        <v>1316</v>
      </c>
      <c r="HJ18" s="2921">
        <v>1694</v>
      </c>
      <c r="HK18" s="2921">
        <v>1919</v>
      </c>
      <c r="HL18" s="2921">
        <v>2004</v>
      </c>
      <c r="HM18" s="2926">
        <v>1105</v>
      </c>
      <c r="HN18" s="2926">
        <v>1971</v>
      </c>
      <c r="HO18" s="2926">
        <v>1902</v>
      </c>
      <c r="HP18" s="2926">
        <v>2009</v>
      </c>
      <c r="HQ18" s="2927">
        <v>2150</v>
      </c>
      <c r="HR18" s="2927">
        <v>2000</v>
      </c>
      <c r="HS18" s="2927">
        <f t="shared" si="32"/>
        <v>2415</v>
      </c>
      <c r="HT18" s="2927">
        <v>2303</v>
      </c>
      <c r="HU18" s="2928">
        <v>2300</v>
      </c>
      <c r="HV18" s="2928">
        <f t="shared" si="33"/>
        <v>2635</v>
      </c>
      <c r="HW18" s="2928">
        <f t="shared" si="34"/>
        <v>2642</v>
      </c>
      <c r="HX18" s="2927">
        <f t="shared" si="35"/>
        <v>2284</v>
      </c>
      <c r="HY18" s="2846">
        <f t="shared" si="36"/>
        <v>2393</v>
      </c>
      <c r="HZ18" s="2846">
        <f t="shared" si="37"/>
        <v>2619</v>
      </c>
      <c r="IA18" s="2846">
        <f t="shared" si="38"/>
        <v>3019</v>
      </c>
      <c r="IB18" s="2846">
        <f t="shared" si="39"/>
        <v>3945</v>
      </c>
      <c r="IC18" s="2921">
        <f t="shared" si="40"/>
        <v>3051</v>
      </c>
      <c r="ID18" s="2921">
        <f t="shared" si="41"/>
        <v>3365</v>
      </c>
      <c r="IE18" s="2921">
        <f t="shared" si="42"/>
        <v>3691</v>
      </c>
      <c r="IF18" s="2921">
        <f t="shared" si="43"/>
        <v>3285</v>
      </c>
      <c r="IG18" s="2929">
        <f t="shared" si="44"/>
        <v>3306</v>
      </c>
      <c r="IH18" s="2926">
        <f t="shared" si="45"/>
        <v>2749</v>
      </c>
      <c r="II18" s="2926">
        <f t="shared" si="46"/>
        <v>3186</v>
      </c>
      <c r="IJ18" s="2926">
        <f t="shared" si="47"/>
        <v>2998</v>
      </c>
      <c r="IK18" s="2930">
        <f t="shared" si="48"/>
        <v>2975</v>
      </c>
      <c r="IL18" s="2931">
        <f t="shared" si="49"/>
        <v>3199</v>
      </c>
      <c r="IM18" s="2931">
        <f t="shared" si="50"/>
        <v>3746</v>
      </c>
      <c r="IN18" s="2931">
        <f t="shared" si="51"/>
        <v>2785</v>
      </c>
      <c r="IO18" s="2932">
        <f t="shared" si="52"/>
        <v>1693</v>
      </c>
      <c r="IP18" s="2933">
        <f t="shared" si="53"/>
        <v>2</v>
      </c>
      <c r="IQ18" s="2933">
        <f>FJ18+FK18+FL18</f>
        <v>314</v>
      </c>
      <c r="IR18" s="2934">
        <f t="shared" si="55"/>
        <v>550</v>
      </c>
      <c r="IS18" s="2929">
        <f t="shared" si="56"/>
        <v>653</v>
      </c>
      <c r="IT18" s="2926">
        <f t="shared" si="57"/>
        <v>864</v>
      </c>
      <c r="IU18" s="2926">
        <f t="shared" si="58"/>
        <v>986</v>
      </c>
      <c r="IV18" s="2926">
        <f t="shared" si="59"/>
        <v>1230</v>
      </c>
      <c r="IW18" s="4549">
        <f t="shared" si="76"/>
        <v>0</v>
      </c>
      <c r="IX18" s="4541">
        <f t="shared" si="77"/>
        <v>0</v>
      </c>
      <c r="IY18" s="4541">
        <f t="shared" si="78"/>
        <v>0</v>
      </c>
      <c r="IZ18" s="4550">
        <f t="shared" si="79"/>
        <v>0</v>
      </c>
      <c r="JA18" s="4545"/>
      <c r="JB18" s="3544">
        <v>1944</v>
      </c>
      <c r="JC18" s="3545">
        <v>9014</v>
      </c>
      <c r="JD18" s="3545">
        <v>4238</v>
      </c>
      <c r="JE18" s="3545">
        <v>3266</v>
      </c>
      <c r="JF18" s="3545">
        <v>4459</v>
      </c>
      <c r="JG18" s="3545">
        <v>6933</v>
      </c>
      <c r="JH18" s="3546">
        <v>6987</v>
      </c>
      <c r="JI18" s="3547">
        <v>8868</v>
      </c>
      <c r="JJ18" s="3547">
        <f t="shared" si="60"/>
        <v>9861</v>
      </c>
      <c r="JK18" s="3547">
        <f t="shared" si="61"/>
        <v>11862</v>
      </c>
      <c r="JL18" s="3547">
        <f t="shared" si="62"/>
        <v>13392</v>
      </c>
      <c r="JM18" s="3547">
        <f t="shared" si="63"/>
        <v>12239</v>
      </c>
      <c r="JN18" s="3548">
        <f t="shared" si="24"/>
        <v>12705</v>
      </c>
      <c r="JO18" s="3566">
        <f t="shared" si="64"/>
        <v>2559</v>
      </c>
      <c r="JP18" s="3564">
        <f t="shared" si="80"/>
        <v>3733</v>
      </c>
      <c r="JQ18" s="3564">
        <f t="shared" si="81"/>
        <v>3733</v>
      </c>
      <c r="JS18" s="3765">
        <f t="shared" si="82"/>
        <v>3733</v>
      </c>
      <c r="JT18" s="3765">
        <f t="shared" si="83"/>
        <v>3733</v>
      </c>
      <c r="JV18" s="3551">
        <f t="shared" si="84"/>
        <v>3341.6666666666665</v>
      </c>
      <c r="JW18" s="3552">
        <f t="shared" si="65"/>
        <v>1.8899790639648452E-2</v>
      </c>
      <c r="JX18" s="3552">
        <f t="shared" si="66"/>
        <v>2.0510589939825189E-2</v>
      </c>
      <c r="JY18" s="3552">
        <f t="shared" si="85"/>
        <v>1.7815138282387191E-2</v>
      </c>
      <c r="JZ18" s="3552">
        <f t="shared" si="67"/>
        <v>1.8493449781659389E-2</v>
      </c>
      <c r="KA18" s="3552">
        <f t="shared" si="68"/>
        <v>1.3369417001468075E-2</v>
      </c>
      <c r="KB18" s="4575">
        <f t="shared" si="69"/>
        <v>1.3284886617603098E-2</v>
      </c>
      <c r="KC18" s="3565">
        <f t="shared" si="86"/>
        <v>1.3284886617603098E-2</v>
      </c>
      <c r="KD18" s="3552"/>
      <c r="KE18" s="3554">
        <f t="shared" si="70"/>
        <v>0.1289833080424887</v>
      </c>
      <c r="KF18" s="3555">
        <f t="shared" si="71"/>
        <v>-0.71828809082223355</v>
      </c>
      <c r="KG18" s="3555">
        <f t="shared" si="72"/>
        <v>-8.6096176821983228E-2</v>
      </c>
      <c r="KH18" s="3555">
        <f t="shared" si="73"/>
        <v>3.8075006127951561E-2</v>
      </c>
      <c r="KI18" s="3555">
        <f t="shared" si="74"/>
        <v>-0.79858323494687133</v>
      </c>
      <c r="KJ18" s="3556">
        <f t="shared" si="75"/>
        <v>-0.70617866981503341</v>
      </c>
      <c r="KK18" s="3557">
        <f t="shared" si="87"/>
        <v>0.45877295818679165</v>
      </c>
      <c r="KM18" s="3231"/>
      <c r="KN18" s="3231"/>
      <c r="KO18" s="3231"/>
      <c r="KP18" s="3231"/>
      <c r="KQ18" s="3231"/>
      <c r="KR18" s="3231"/>
      <c r="KS18" s="3231"/>
      <c r="KT18" s="3231"/>
      <c r="KU18" s="3231"/>
      <c r="KV18" s="3231"/>
      <c r="KW18" s="3231"/>
      <c r="KX18" s="3231"/>
      <c r="KY18" s="3231"/>
      <c r="KZ18" s="3231"/>
      <c r="LA18" s="3231"/>
      <c r="LB18" s="3231"/>
      <c r="LC18" s="3231"/>
      <c r="LD18" s="3231"/>
      <c r="LE18" s="3231"/>
      <c r="LF18" s="3231"/>
      <c r="LG18" s="3231"/>
      <c r="LH18" s="3231"/>
      <c r="LI18" s="3231"/>
    </row>
    <row r="19" spans="1:321" ht="21.9" customHeight="1">
      <c r="A19" s="3558"/>
      <c r="B19" s="3231"/>
      <c r="C19" s="3559" t="s">
        <v>17</v>
      </c>
      <c r="D19" s="3516">
        <v>1097</v>
      </c>
      <c r="E19" s="3517">
        <v>1128</v>
      </c>
      <c r="F19" s="3517">
        <v>1588</v>
      </c>
      <c r="G19" s="3517">
        <v>794</v>
      </c>
      <c r="H19" s="3517">
        <v>1013</v>
      </c>
      <c r="I19" s="3517">
        <v>864</v>
      </c>
      <c r="J19" s="3517">
        <v>1335</v>
      </c>
      <c r="K19" s="3517">
        <v>1183</v>
      </c>
      <c r="L19" s="3517">
        <v>675</v>
      </c>
      <c r="M19" s="3517">
        <v>1026</v>
      </c>
      <c r="N19" s="3517">
        <v>1173</v>
      </c>
      <c r="O19" s="3518">
        <v>1378</v>
      </c>
      <c r="P19" s="3519">
        <v>1388</v>
      </c>
      <c r="Q19" s="3520">
        <v>2196</v>
      </c>
      <c r="R19" s="3520">
        <v>1673</v>
      </c>
      <c r="S19" s="3520">
        <v>1110</v>
      </c>
      <c r="T19" s="3520">
        <v>1238</v>
      </c>
      <c r="U19" s="3520">
        <v>1120</v>
      </c>
      <c r="V19" s="3520">
        <v>1523</v>
      </c>
      <c r="W19" s="3520">
        <v>1054</v>
      </c>
      <c r="X19" s="3520">
        <v>752</v>
      </c>
      <c r="Y19" s="3520">
        <v>1026</v>
      </c>
      <c r="Z19" s="3520">
        <v>1336</v>
      </c>
      <c r="AA19" s="3521">
        <v>1471</v>
      </c>
      <c r="AB19" s="3522">
        <v>1451</v>
      </c>
      <c r="AC19" s="3523">
        <v>1549</v>
      </c>
      <c r="AD19" s="3523">
        <v>1686</v>
      </c>
      <c r="AE19" s="3523">
        <v>1231</v>
      </c>
      <c r="AF19" s="3523">
        <v>1258.5</v>
      </c>
      <c r="AG19" s="3523">
        <v>1286</v>
      </c>
      <c r="AH19" s="3523">
        <v>1497</v>
      </c>
      <c r="AI19" s="3523">
        <v>1229</v>
      </c>
      <c r="AJ19" s="3523">
        <v>696</v>
      </c>
      <c r="AK19" s="3523">
        <v>955</v>
      </c>
      <c r="AL19" s="3523">
        <v>1183</v>
      </c>
      <c r="AM19" s="3524">
        <v>1674</v>
      </c>
      <c r="AN19" s="3525">
        <v>1425</v>
      </c>
      <c r="AO19" s="3526">
        <v>1645</v>
      </c>
      <c r="AP19" s="3526">
        <v>1789</v>
      </c>
      <c r="AQ19" s="3526">
        <v>1180</v>
      </c>
      <c r="AR19" s="3526">
        <v>1399</v>
      </c>
      <c r="AS19" s="3526">
        <v>1174</v>
      </c>
      <c r="AT19" s="3526">
        <v>1698</v>
      </c>
      <c r="AU19" s="3526">
        <v>1224</v>
      </c>
      <c r="AV19" s="3526">
        <v>650</v>
      </c>
      <c r="AW19" s="3526">
        <v>1101</v>
      </c>
      <c r="AX19" s="3526">
        <v>1202</v>
      </c>
      <c r="AY19" s="3527">
        <v>1523</v>
      </c>
      <c r="AZ19" s="3463">
        <v>1487</v>
      </c>
      <c r="BA19" s="3463">
        <v>1741</v>
      </c>
      <c r="BB19" s="3463">
        <v>1757</v>
      </c>
      <c r="BC19" s="3463">
        <v>1161</v>
      </c>
      <c r="BD19" s="3463">
        <v>1486</v>
      </c>
      <c r="BE19" s="3463">
        <v>1172</v>
      </c>
      <c r="BF19" s="3463">
        <v>1748</v>
      </c>
      <c r="BG19" s="3463">
        <v>1257</v>
      </c>
      <c r="BH19" s="3463">
        <v>770</v>
      </c>
      <c r="BI19" s="3463">
        <v>1371</v>
      </c>
      <c r="BJ19" s="3463">
        <v>1247</v>
      </c>
      <c r="BK19" s="3560">
        <v>1717</v>
      </c>
      <c r="BL19" s="3530">
        <v>1699</v>
      </c>
      <c r="BM19" s="3531">
        <v>1657</v>
      </c>
      <c r="BN19" s="3531">
        <v>1895</v>
      </c>
      <c r="BO19" s="3531">
        <v>1311</v>
      </c>
      <c r="BP19" s="3531">
        <v>1551</v>
      </c>
      <c r="BQ19" s="3531">
        <v>1339</v>
      </c>
      <c r="BR19" s="3531">
        <v>1694</v>
      </c>
      <c r="BS19" s="3531">
        <v>1391</v>
      </c>
      <c r="BT19" s="3532">
        <v>950</v>
      </c>
      <c r="BU19" s="3532">
        <v>1450</v>
      </c>
      <c r="BV19" s="3532">
        <v>1542</v>
      </c>
      <c r="BW19" s="3533">
        <v>1940</v>
      </c>
      <c r="BX19" s="3534">
        <v>1614</v>
      </c>
      <c r="BY19" s="3459">
        <v>1762</v>
      </c>
      <c r="BZ19" s="3459">
        <v>2027</v>
      </c>
      <c r="CA19" s="3459">
        <v>1646</v>
      </c>
      <c r="CB19" s="3459">
        <v>1560</v>
      </c>
      <c r="CC19" s="3459">
        <v>1312</v>
      </c>
      <c r="CD19" s="3459">
        <v>1894</v>
      </c>
      <c r="CE19" s="3459">
        <v>1246</v>
      </c>
      <c r="CF19" s="3459">
        <v>1069</v>
      </c>
      <c r="CG19" s="3459">
        <v>1302</v>
      </c>
      <c r="CH19" s="3459">
        <v>1849</v>
      </c>
      <c r="CI19" s="3461">
        <v>1875</v>
      </c>
      <c r="CJ19" s="3535">
        <v>1969</v>
      </c>
      <c r="CK19" s="3536">
        <v>2078</v>
      </c>
      <c r="CL19" s="3536">
        <v>2126</v>
      </c>
      <c r="CM19" s="3536">
        <v>1741</v>
      </c>
      <c r="CN19" s="3536">
        <v>1834</v>
      </c>
      <c r="CO19" s="3536">
        <v>1415</v>
      </c>
      <c r="CP19" s="3536">
        <v>1946</v>
      </c>
      <c r="CQ19" s="3536">
        <v>1377</v>
      </c>
      <c r="CR19" s="3536">
        <v>1099</v>
      </c>
      <c r="CS19" s="3536">
        <v>1315</v>
      </c>
      <c r="CT19" s="3536">
        <v>1764</v>
      </c>
      <c r="CU19" s="3537">
        <v>2184</v>
      </c>
      <c r="CV19" s="3535">
        <v>2293</v>
      </c>
      <c r="CW19" s="3536">
        <v>2373</v>
      </c>
      <c r="CX19" s="3458">
        <v>2492</v>
      </c>
      <c r="CY19" s="3458">
        <v>1804</v>
      </c>
      <c r="CZ19" s="3458">
        <v>1766</v>
      </c>
      <c r="DA19" s="3458">
        <v>1447</v>
      </c>
      <c r="DB19" s="3458">
        <v>1820</v>
      </c>
      <c r="DC19" s="3458">
        <v>1470</v>
      </c>
      <c r="DD19" s="3458">
        <v>1006</v>
      </c>
      <c r="DE19" s="3458">
        <v>1543</v>
      </c>
      <c r="DF19" s="3458">
        <v>1675</v>
      </c>
      <c r="DG19" s="3537">
        <v>1968</v>
      </c>
      <c r="DH19" s="3538">
        <v>2212</v>
      </c>
      <c r="DI19" s="3539">
        <v>2279</v>
      </c>
      <c r="DJ19" s="3539">
        <v>2405</v>
      </c>
      <c r="DK19" s="3540">
        <v>1417</v>
      </c>
      <c r="DL19" s="3540">
        <v>1492</v>
      </c>
      <c r="DM19" s="3540">
        <v>1401</v>
      </c>
      <c r="DN19" s="3540">
        <v>1771</v>
      </c>
      <c r="DO19" s="3540">
        <v>1274</v>
      </c>
      <c r="DP19" s="2713">
        <v>881</v>
      </c>
      <c r="DQ19" s="3540">
        <v>1361</v>
      </c>
      <c r="DR19" s="3540">
        <v>1421</v>
      </c>
      <c r="DS19" s="3541">
        <v>1636</v>
      </c>
      <c r="DT19" s="3542">
        <v>1773</v>
      </c>
      <c r="DU19" s="3429">
        <v>1831</v>
      </c>
      <c r="DV19" s="3429">
        <v>2120</v>
      </c>
      <c r="DW19" s="3350">
        <v>1423</v>
      </c>
      <c r="DX19" s="3350">
        <v>1427</v>
      </c>
      <c r="DY19" s="3350">
        <v>1092</v>
      </c>
      <c r="DZ19" s="3350">
        <v>1458</v>
      </c>
      <c r="EA19" s="3350">
        <v>1343</v>
      </c>
      <c r="EB19" s="3350">
        <v>861</v>
      </c>
      <c r="EC19" s="3350">
        <v>1355</v>
      </c>
      <c r="ED19" s="3350">
        <v>1698</v>
      </c>
      <c r="EE19" s="3349">
        <v>1912</v>
      </c>
      <c r="EF19" s="2689">
        <v>2025</v>
      </c>
      <c r="EG19" s="2688">
        <v>2289</v>
      </c>
      <c r="EH19" s="2688">
        <v>2452</v>
      </c>
      <c r="EI19" s="2688">
        <v>1346</v>
      </c>
      <c r="EJ19" s="2688">
        <v>1691</v>
      </c>
      <c r="EK19" s="2688">
        <v>1280</v>
      </c>
      <c r="EL19" s="2688">
        <v>1777</v>
      </c>
      <c r="EM19" s="2714">
        <v>1210</v>
      </c>
      <c r="EN19" s="2714">
        <v>1034</v>
      </c>
      <c r="EO19" s="2715">
        <v>1386</v>
      </c>
      <c r="EP19" s="2715">
        <v>1601</v>
      </c>
      <c r="EQ19" s="2716">
        <v>1810</v>
      </c>
      <c r="ER19" s="1346">
        <v>2035</v>
      </c>
      <c r="ES19" s="3543">
        <v>2191</v>
      </c>
      <c r="ET19" s="3543">
        <v>2327</v>
      </c>
      <c r="EU19" s="2717">
        <v>1596</v>
      </c>
      <c r="EV19" s="2160">
        <v>2092</v>
      </c>
      <c r="EW19" s="2160">
        <v>1594</v>
      </c>
      <c r="EX19" s="2160">
        <v>2060</v>
      </c>
      <c r="EY19" s="2160">
        <v>1657</v>
      </c>
      <c r="EZ19" s="2160">
        <v>1555</v>
      </c>
      <c r="FA19" s="2339">
        <v>1477</v>
      </c>
      <c r="FB19" s="2339">
        <v>2134</v>
      </c>
      <c r="FC19" s="2339">
        <v>3145</v>
      </c>
      <c r="FD19" s="2772">
        <v>3444</v>
      </c>
      <c r="FE19" s="2773">
        <v>3918</v>
      </c>
      <c r="FF19" s="2773">
        <v>1407</v>
      </c>
      <c r="FG19" s="2773"/>
      <c r="FH19" s="2773">
        <v>6</v>
      </c>
      <c r="FI19" s="2773">
        <v>27</v>
      </c>
      <c r="FJ19" s="2773">
        <v>81</v>
      </c>
      <c r="FK19" s="2773">
        <v>101</v>
      </c>
      <c r="FL19" s="2773">
        <v>100</v>
      </c>
      <c r="FM19" s="2773">
        <v>146</v>
      </c>
      <c r="FN19" s="2773">
        <v>248</v>
      </c>
      <c r="FO19" s="2774">
        <v>319</v>
      </c>
      <c r="FP19" s="2772">
        <v>247</v>
      </c>
      <c r="FQ19" s="2773">
        <v>101</v>
      </c>
      <c r="FR19" s="2773">
        <v>134</v>
      </c>
      <c r="FS19" s="2773">
        <v>136</v>
      </c>
      <c r="FT19" s="2773">
        <v>142</v>
      </c>
      <c r="FU19" s="2773">
        <v>185</v>
      </c>
      <c r="FV19" s="2773">
        <v>290</v>
      </c>
      <c r="FW19" s="2773">
        <v>458</v>
      </c>
      <c r="FX19" s="2773">
        <v>564</v>
      </c>
      <c r="FY19" s="2773">
        <v>855</v>
      </c>
      <c r="FZ19" s="2773">
        <v>1105</v>
      </c>
      <c r="GA19" s="2774">
        <v>1227</v>
      </c>
      <c r="GB19" s="4559"/>
      <c r="GC19" s="4556"/>
      <c r="GD19" s="4556"/>
      <c r="GE19" s="4556"/>
      <c r="GF19" s="4556"/>
      <c r="GG19" s="4556"/>
      <c r="GH19" s="4556"/>
      <c r="GI19" s="4556"/>
      <c r="GJ19" s="4556"/>
      <c r="GK19" s="4556"/>
      <c r="GL19" s="4556"/>
      <c r="GM19" s="4560"/>
      <c r="GN19" s="2764"/>
      <c r="GO19" s="2911">
        <v>3813</v>
      </c>
      <c r="GP19" s="2912">
        <v>2671</v>
      </c>
      <c r="GQ19" s="2912">
        <v>3193</v>
      </c>
      <c r="GR19" s="2913">
        <v>3577</v>
      </c>
      <c r="GS19" s="2914">
        <v>5257</v>
      </c>
      <c r="GT19" s="2915">
        <v>3468</v>
      </c>
      <c r="GU19" s="2915">
        <v>3329</v>
      </c>
      <c r="GV19" s="2916">
        <v>3833</v>
      </c>
      <c r="GW19" s="2917">
        <v>4686</v>
      </c>
      <c r="GX19" s="2918">
        <v>3775.5</v>
      </c>
      <c r="GY19" s="2919">
        <v>3422</v>
      </c>
      <c r="GZ19" s="2919">
        <v>3812</v>
      </c>
      <c r="HA19" s="2920">
        <v>4859</v>
      </c>
      <c r="HB19" s="2921">
        <v>3753</v>
      </c>
      <c r="HC19" s="2921">
        <v>3572</v>
      </c>
      <c r="HD19" s="2922">
        <v>3826</v>
      </c>
      <c r="HE19" s="2923">
        <v>4985</v>
      </c>
      <c r="HF19" s="2924">
        <v>3819</v>
      </c>
      <c r="HG19" s="2924">
        <v>3775</v>
      </c>
      <c r="HH19" s="2925">
        <v>4335</v>
      </c>
      <c r="HI19" s="2921">
        <v>5251</v>
      </c>
      <c r="HJ19" s="2921">
        <v>4201</v>
      </c>
      <c r="HK19" s="2921">
        <v>4035</v>
      </c>
      <c r="HL19" s="2921">
        <v>4932</v>
      </c>
      <c r="HM19" s="2926">
        <v>5403</v>
      </c>
      <c r="HN19" s="2926">
        <v>4518</v>
      </c>
      <c r="HO19" s="2926">
        <v>4209</v>
      </c>
      <c r="HP19" s="2926">
        <v>5026</v>
      </c>
      <c r="HQ19" s="2927">
        <v>6173</v>
      </c>
      <c r="HR19" s="2927">
        <v>4990</v>
      </c>
      <c r="HS19" s="2927">
        <f t="shared" si="32"/>
        <v>4422</v>
      </c>
      <c r="HT19" s="2927">
        <v>5263</v>
      </c>
      <c r="HU19" s="2928">
        <v>7158</v>
      </c>
      <c r="HV19" s="2928">
        <f t="shared" si="33"/>
        <v>5017</v>
      </c>
      <c r="HW19" s="2928">
        <f t="shared" si="34"/>
        <v>4296</v>
      </c>
      <c r="HX19" s="2927">
        <f t="shared" si="35"/>
        <v>5186</v>
      </c>
      <c r="HY19" s="2846">
        <f t="shared" si="36"/>
        <v>6896</v>
      </c>
      <c r="HZ19" s="2846">
        <f t="shared" si="37"/>
        <v>4310</v>
      </c>
      <c r="IA19" s="2846">
        <f t="shared" si="38"/>
        <v>4681</v>
      </c>
      <c r="IB19" s="2846">
        <f t="shared" si="39"/>
        <v>4418</v>
      </c>
      <c r="IC19" s="2921">
        <f t="shared" si="40"/>
        <v>5724</v>
      </c>
      <c r="ID19" s="2921">
        <f t="shared" si="41"/>
        <v>3942</v>
      </c>
      <c r="IE19" s="2921">
        <f t="shared" si="42"/>
        <v>3662</v>
      </c>
      <c r="IF19" s="2921">
        <f t="shared" si="43"/>
        <v>4965</v>
      </c>
      <c r="IG19" s="2929">
        <f t="shared" si="44"/>
        <v>6766</v>
      </c>
      <c r="IH19" s="2926">
        <f t="shared" si="45"/>
        <v>4317</v>
      </c>
      <c r="II19" s="2926">
        <f t="shared" si="46"/>
        <v>4021</v>
      </c>
      <c r="IJ19" s="2926">
        <f t="shared" si="47"/>
        <v>4797</v>
      </c>
      <c r="IK19" s="2930">
        <f t="shared" si="48"/>
        <v>6553</v>
      </c>
      <c r="IL19" s="2931">
        <f t="shared" si="49"/>
        <v>5282</v>
      </c>
      <c r="IM19" s="2931">
        <f t="shared" si="50"/>
        <v>5272</v>
      </c>
      <c r="IN19" s="2931">
        <f t="shared" si="51"/>
        <v>6756</v>
      </c>
      <c r="IO19" s="2932">
        <f t="shared" si="52"/>
        <v>8769</v>
      </c>
      <c r="IP19" s="2933">
        <f t="shared" si="53"/>
        <v>33</v>
      </c>
      <c r="IQ19" s="2933">
        <f>EX19+EY19+EZ19</f>
        <v>5272</v>
      </c>
      <c r="IR19" s="2934">
        <f t="shared" si="55"/>
        <v>713</v>
      </c>
      <c r="IS19" s="2929">
        <f t="shared" si="56"/>
        <v>482</v>
      </c>
      <c r="IT19" s="2926">
        <f t="shared" si="57"/>
        <v>463</v>
      </c>
      <c r="IU19" s="2926">
        <f t="shared" si="58"/>
        <v>1312</v>
      </c>
      <c r="IV19" s="2926">
        <f t="shared" si="59"/>
        <v>3187</v>
      </c>
      <c r="IW19" s="4571">
        <f t="shared" si="76"/>
        <v>0</v>
      </c>
      <c r="IX19" s="2921">
        <f t="shared" si="77"/>
        <v>0</v>
      </c>
      <c r="IY19" s="2921">
        <f t="shared" si="78"/>
        <v>0</v>
      </c>
      <c r="IZ19" s="4572">
        <f t="shared" si="79"/>
        <v>0</v>
      </c>
      <c r="JA19" s="4545"/>
      <c r="JB19" s="3544">
        <v>13254</v>
      </c>
      <c r="JC19" s="3545">
        <v>15887</v>
      </c>
      <c r="JD19" s="3545">
        <v>15695.5</v>
      </c>
      <c r="JE19" s="3545">
        <v>16010</v>
      </c>
      <c r="JF19" s="3545">
        <v>16914</v>
      </c>
      <c r="JG19" s="3545">
        <v>18419</v>
      </c>
      <c r="JH19" s="3546">
        <v>19156</v>
      </c>
      <c r="JI19" s="3547">
        <v>20848</v>
      </c>
      <c r="JJ19" s="3547">
        <f t="shared" si="60"/>
        <v>21657</v>
      </c>
      <c r="JK19" s="3547">
        <f t="shared" si="61"/>
        <v>19550</v>
      </c>
      <c r="JL19" s="3547">
        <f t="shared" si="62"/>
        <v>18293</v>
      </c>
      <c r="JM19" s="3547">
        <f t="shared" si="63"/>
        <v>19901</v>
      </c>
      <c r="JN19" s="3548">
        <f t="shared" si="24"/>
        <v>23863</v>
      </c>
      <c r="JO19" s="3566">
        <f t="shared" si="64"/>
        <v>9797</v>
      </c>
      <c r="JP19" s="3564">
        <f t="shared" si="80"/>
        <v>5444</v>
      </c>
      <c r="JQ19" s="3564">
        <f t="shared" si="81"/>
        <v>5444</v>
      </c>
      <c r="JS19" s="3765">
        <f t="shared" si="82"/>
        <v>5444</v>
      </c>
      <c r="JT19" s="3765">
        <f t="shared" si="83"/>
        <v>5444</v>
      </c>
      <c r="JV19" s="3551">
        <f t="shared" si="84"/>
        <v>6895</v>
      </c>
      <c r="JW19" s="3552">
        <f t="shared" si="65"/>
        <v>3.1149123841268528E-2</v>
      </c>
      <c r="JX19" s="3552">
        <f t="shared" si="66"/>
        <v>2.8016742963651597E-2</v>
      </c>
      <c r="JY19" s="3552">
        <f t="shared" si="85"/>
        <v>2.896797671033479E-2</v>
      </c>
      <c r="JZ19" s="3552">
        <f t="shared" si="67"/>
        <v>3.4735080058224163E-2</v>
      </c>
      <c r="KA19" s="3552">
        <f t="shared" si="68"/>
        <v>5.1184125972404355E-2</v>
      </c>
      <c r="KB19" s="4575">
        <f t="shared" si="69"/>
        <v>1.9373941266067844E-2</v>
      </c>
      <c r="KC19" s="3565">
        <f t="shared" si="86"/>
        <v>1.9373941266067844E-2</v>
      </c>
      <c r="KD19" s="3552"/>
      <c r="KE19" s="3554">
        <f t="shared" si="70"/>
        <v>-6.4296675191815811E-2</v>
      </c>
      <c r="KF19" s="3555">
        <f t="shared" si="71"/>
        <v>-0.64731457800511505</v>
      </c>
      <c r="KG19" s="3555">
        <f t="shared" si="72"/>
        <v>8.7902476357076376E-2</v>
      </c>
      <c r="KH19" s="3555">
        <f t="shared" si="73"/>
        <v>0.19908547309180435</v>
      </c>
      <c r="KI19" s="3555">
        <f t="shared" si="74"/>
        <v>-0.58944809956836952</v>
      </c>
      <c r="KJ19" s="3556">
        <f t="shared" si="75"/>
        <v>-0.77186439257427819</v>
      </c>
      <c r="KK19" s="3557">
        <f t="shared" si="87"/>
        <v>-0.44431968970092883</v>
      </c>
      <c r="KM19" s="3231"/>
      <c r="KN19" s="3231"/>
      <c r="KO19" s="3231"/>
      <c r="KP19" s="3231"/>
      <c r="KQ19" s="3231"/>
      <c r="KR19" s="3231"/>
      <c r="KS19" s="3231"/>
      <c r="KT19" s="3231"/>
      <c r="KU19" s="3231"/>
      <c r="KV19" s="3231"/>
      <c r="KW19" s="3231"/>
      <c r="KX19" s="3231"/>
      <c r="KY19" s="3231"/>
      <c r="KZ19" s="3231"/>
      <c r="LA19" s="3231"/>
      <c r="LB19" s="3231"/>
      <c r="LC19" s="3231"/>
      <c r="LD19" s="3231"/>
      <c r="LE19" s="3231"/>
      <c r="LF19" s="3231"/>
      <c r="LG19" s="3231"/>
      <c r="LH19" s="3231"/>
      <c r="LI19" s="3231"/>
    </row>
    <row r="20" spans="1:321" ht="21.9" customHeight="1">
      <c r="A20" s="3568"/>
      <c r="B20" s="3231"/>
      <c r="C20" s="3567" t="s">
        <v>10</v>
      </c>
      <c r="D20" s="3516">
        <v>789</v>
      </c>
      <c r="E20" s="3517">
        <v>633</v>
      </c>
      <c r="F20" s="3517">
        <v>790</v>
      </c>
      <c r="G20" s="3517">
        <v>531</v>
      </c>
      <c r="H20" s="3517">
        <v>677</v>
      </c>
      <c r="I20" s="3517">
        <v>720</v>
      </c>
      <c r="J20" s="3517">
        <v>840</v>
      </c>
      <c r="K20" s="3517">
        <v>638</v>
      </c>
      <c r="L20" s="3517">
        <v>799</v>
      </c>
      <c r="M20" s="3517">
        <v>895</v>
      </c>
      <c r="N20" s="3517">
        <v>815</v>
      </c>
      <c r="O20" s="3518">
        <v>556</v>
      </c>
      <c r="P20" s="3519">
        <v>877</v>
      </c>
      <c r="Q20" s="3520">
        <v>1083</v>
      </c>
      <c r="R20" s="3520">
        <v>783</v>
      </c>
      <c r="S20" s="3520">
        <v>893</v>
      </c>
      <c r="T20" s="3520">
        <v>1008</v>
      </c>
      <c r="U20" s="3520">
        <v>891</v>
      </c>
      <c r="V20" s="3520">
        <v>1034</v>
      </c>
      <c r="W20" s="3520">
        <v>977</v>
      </c>
      <c r="X20" s="3520">
        <v>828</v>
      </c>
      <c r="Y20" s="3520">
        <v>1198</v>
      </c>
      <c r="Z20" s="3520">
        <v>1047</v>
      </c>
      <c r="AA20" s="3521">
        <v>774</v>
      </c>
      <c r="AB20" s="3522">
        <v>1114</v>
      </c>
      <c r="AC20" s="3523">
        <v>722</v>
      </c>
      <c r="AD20" s="3523">
        <v>846</v>
      </c>
      <c r="AE20" s="3523">
        <v>796</v>
      </c>
      <c r="AF20" s="3523">
        <v>856</v>
      </c>
      <c r="AG20" s="3523">
        <v>916</v>
      </c>
      <c r="AH20" s="3523">
        <v>901</v>
      </c>
      <c r="AI20" s="3523">
        <v>883</v>
      </c>
      <c r="AJ20" s="3523">
        <v>875</v>
      </c>
      <c r="AK20" s="3523">
        <v>977</v>
      </c>
      <c r="AL20" s="3523">
        <v>967</v>
      </c>
      <c r="AM20" s="3524">
        <v>772</v>
      </c>
      <c r="AN20" s="3525">
        <v>1396</v>
      </c>
      <c r="AO20" s="3526">
        <v>1205</v>
      </c>
      <c r="AP20" s="3526">
        <v>912</v>
      </c>
      <c r="AQ20" s="3526">
        <v>908</v>
      </c>
      <c r="AR20" s="3526">
        <v>967</v>
      </c>
      <c r="AS20" s="3526">
        <v>882</v>
      </c>
      <c r="AT20" s="3526">
        <v>1056</v>
      </c>
      <c r="AU20" s="3526">
        <v>1101</v>
      </c>
      <c r="AV20" s="3526">
        <v>976</v>
      </c>
      <c r="AW20" s="3526">
        <v>1462</v>
      </c>
      <c r="AX20" s="3526">
        <v>1545</v>
      </c>
      <c r="AY20" s="3527">
        <v>986</v>
      </c>
      <c r="AZ20" s="3463">
        <v>1718</v>
      </c>
      <c r="BA20" s="3463">
        <v>934</v>
      </c>
      <c r="BB20" s="3463">
        <v>1091</v>
      </c>
      <c r="BC20" s="3463">
        <v>1046</v>
      </c>
      <c r="BD20" s="3463">
        <v>1461</v>
      </c>
      <c r="BE20" s="3463">
        <v>1069</v>
      </c>
      <c r="BF20" s="3463">
        <v>1551</v>
      </c>
      <c r="BG20" s="3463">
        <v>1104</v>
      </c>
      <c r="BH20" s="3463">
        <v>1190</v>
      </c>
      <c r="BI20" s="3463">
        <v>1136</v>
      </c>
      <c r="BJ20" s="3463">
        <v>1275</v>
      </c>
      <c r="BK20" s="3560">
        <v>1310</v>
      </c>
      <c r="BL20" s="3530">
        <v>1784</v>
      </c>
      <c r="BM20" s="3531">
        <v>1322</v>
      </c>
      <c r="BN20" s="3531">
        <v>1395</v>
      </c>
      <c r="BO20" s="3531">
        <v>1235</v>
      </c>
      <c r="BP20" s="3531">
        <v>1315</v>
      </c>
      <c r="BQ20" s="3531">
        <v>1332</v>
      </c>
      <c r="BR20" s="3531">
        <v>1518</v>
      </c>
      <c r="BS20" s="3531">
        <v>1259</v>
      </c>
      <c r="BT20" s="3532">
        <v>1472</v>
      </c>
      <c r="BU20" s="3532">
        <v>1367</v>
      </c>
      <c r="BV20" s="3532">
        <v>1601</v>
      </c>
      <c r="BW20" s="3533">
        <v>1254</v>
      </c>
      <c r="BX20" s="3534">
        <v>1879</v>
      </c>
      <c r="BY20" s="3459">
        <v>1503</v>
      </c>
      <c r="BZ20" s="3459">
        <v>1512</v>
      </c>
      <c r="CA20" s="3459">
        <v>1260</v>
      </c>
      <c r="CB20" s="3459">
        <v>1274</v>
      </c>
      <c r="CC20" s="3459">
        <v>1581</v>
      </c>
      <c r="CD20" s="3459">
        <v>1834</v>
      </c>
      <c r="CE20" s="3459">
        <v>1236</v>
      </c>
      <c r="CF20" s="3459">
        <v>1466</v>
      </c>
      <c r="CG20" s="3459">
        <v>1369</v>
      </c>
      <c r="CH20" s="3459">
        <v>1577</v>
      </c>
      <c r="CI20" s="3461">
        <v>2187</v>
      </c>
      <c r="CJ20" s="3535">
        <v>3220</v>
      </c>
      <c r="CK20" s="3536">
        <v>2071</v>
      </c>
      <c r="CL20" s="3536">
        <v>1743</v>
      </c>
      <c r="CM20" s="3536">
        <v>1363</v>
      </c>
      <c r="CN20" s="3536">
        <v>1349</v>
      </c>
      <c r="CO20" s="3536">
        <v>1063</v>
      </c>
      <c r="CP20" s="3536">
        <v>1787</v>
      </c>
      <c r="CQ20" s="3536">
        <v>1326</v>
      </c>
      <c r="CR20" s="3536">
        <v>1425</v>
      </c>
      <c r="CS20" s="3536">
        <v>1500</v>
      </c>
      <c r="CT20" s="3536">
        <v>1769</v>
      </c>
      <c r="CU20" s="3537">
        <v>2090</v>
      </c>
      <c r="CV20" s="3535">
        <v>3295</v>
      </c>
      <c r="CW20" s="3536">
        <v>2310</v>
      </c>
      <c r="CX20" s="3458">
        <v>2105</v>
      </c>
      <c r="CY20" s="3458">
        <v>1992</v>
      </c>
      <c r="CZ20" s="3458">
        <v>1818</v>
      </c>
      <c r="DA20" s="3458">
        <v>1519</v>
      </c>
      <c r="DB20" s="3458">
        <v>2089</v>
      </c>
      <c r="DC20" s="3458">
        <v>1660</v>
      </c>
      <c r="DD20" s="3458">
        <v>1946</v>
      </c>
      <c r="DE20" s="3458">
        <v>1568</v>
      </c>
      <c r="DF20" s="3458">
        <v>1851</v>
      </c>
      <c r="DG20" s="3537">
        <v>2065</v>
      </c>
      <c r="DH20" s="3538">
        <v>3139</v>
      </c>
      <c r="DI20" s="3539">
        <v>2105</v>
      </c>
      <c r="DJ20" s="3539">
        <v>1755</v>
      </c>
      <c r="DK20" s="3540">
        <v>1363</v>
      </c>
      <c r="DL20" s="3540">
        <v>1165</v>
      </c>
      <c r="DM20" s="3540">
        <v>1203</v>
      </c>
      <c r="DN20" s="3540">
        <v>1589</v>
      </c>
      <c r="DO20" s="3540">
        <v>910</v>
      </c>
      <c r="DP20" s="2713">
        <v>1071</v>
      </c>
      <c r="DQ20" s="3540">
        <v>1410</v>
      </c>
      <c r="DR20" s="3540">
        <v>1145</v>
      </c>
      <c r="DS20" s="3541">
        <v>1173</v>
      </c>
      <c r="DT20" s="3542">
        <v>2221</v>
      </c>
      <c r="DU20" s="3429">
        <v>1653</v>
      </c>
      <c r="DV20" s="3429">
        <v>1131</v>
      </c>
      <c r="DW20" s="3350">
        <v>1119</v>
      </c>
      <c r="DX20" s="3350">
        <v>1057</v>
      </c>
      <c r="DY20" s="3350">
        <v>1011</v>
      </c>
      <c r="DZ20" s="3350">
        <v>1532</v>
      </c>
      <c r="EA20" s="3350">
        <v>1043</v>
      </c>
      <c r="EB20" s="3350">
        <v>1075</v>
      </c>
      <c r="EC20" s="3350">
        <v>1444</v>
      </c>
      <c r="ED20" s="3350">
        <v>1289</v>
      </c>
      <c r="EE20" s="3349">
        <v>1447</v>
      </c>
      <c r="EF20" s="2689">
        <v>1936</v>
      </c>
      <c r="EG20" s="2688">
        <v>1243</v>
      </c>
      <c r="EH20" s="2688">
        <v>1312</v>
      </c>
      <c r="EI20" s="2688">
        <v>1222</v>
      </c>
      <c r="EJ20" s="2688">
        <v>1260</v>
      </c>
      <c r="EK20" s="2688">
        <v>1287</v>
      </c>
      <c r="EL20" s="2688">
        <v>1555</v>
      </c>
      <c r="EM20" s="2714">
        <v>855</v>
      </c>
      <c r="EN20" s="2714">
        <v>1160</v>
      </c>
      <c r="EO20" s="2715">
        <v>1155</v>
      </c>
      <c r="EP20" s="2715">
        <v>1121</v>
      </c>
      <c r="EQ20" s="2716">
        <v>1093</v>
      </c>
      <c r="ER20" s="1345">
        <v>1355</v>
      </c>
      <c r="ES20" s="3543">
        <v>948</v>
      </c>
      <c r="ET20" s="3543">
        <v>998</v>
      </c>
      <c r="EU20" s="2717">
        <v>1768</v>
      </c>
      <c r="EV20" s="2159">
        <v>1123</v>
      </c>
      <c r="EW20" s="2159">
        <v>1251</v>
      </c>
      <c r="EX20" s="2159">
        <v>1375</v>
      </c>
      <c r="EY20" s="2159">
        <v>1547</v>
      </c>
      <c r="EZ20" s="2159">
        <v>1387</v>
      </c>
      <c r="FA20" s="2339">
        <v>1045</v>
      </c>
      <c r="FB20" s="2339">
        <v>1297</v>
      </c>
      <c r="FC20" s="2339">
        <v>1336</v>
      </c>
      <c r="FD20" s="2772">
        <v>1535</v>
      </c>
      <c r="FE20" s="2773">
        <v>1245</v>
      </c>
      <c r="FF20" s="2773">
        <v>601</v>
      </c>
      <c r="FG20" s="2773">
        <v>8</v>
      </c>
      <c r="FH20" s="2773">
        <v>13</v>
      </c>
      <c r="FI20" s="2773">
        <v>16</v>
      </c>
      <c r="FJ20" s="2773">
        <v>20</v>
      </c>
      <c r="FK20" s="2773">
        <v>18</v>
      </c>
      <c r="FL20" s="2773">
        <v>66</v>
      </c>
      <c r="FM20" s="2773">
        <v>114</v>
      </c>
      <c r="FN20" s="2773">
        <v>147</v>
      </c>
      <c r="FO20" s="2774">
        <v>285</v>
      </c>
      <c r="FP20" s="2772">
        <v>366</v>
      </c>
      <c r="FQ20" s="2773">
        <v>257</v>
      </c>
      <c r="FR20" s="2773">
        <v>281</v>
      </c>
      <c r="FS20" s="2773">
        <v>217</v>
      </c>
      <c r="FT20" s="2773">
        <v>229</v>
      </c>
      <c r="FU20" s="2773">
        <v>253</v>
      </c>
      <c r="FV20" s="2773">
        <v>221</v>
      </c>
      <c r="FW20" s="2773">
        <v>258</v>
      </c>
      <c r="FX20" s="2773">
        <v>294</v>
      </c>
      <c r="FY20" s="2773">
        <v>367</v>
      </c>
      <c r="FZ20" s="2773">
        <v>584</v>
      </c>
      <c r="GA20" s="2774">
        <v>443</v>
      </c>
      <c r="GB20" s="4561"/>
      <c r="GC20" s="4557"/>
      <c r="GD20" s="4557"/>
      <c r="GE20" s="4557"/>
      <c r="GF20" s="4557"/>
      <c r="GG20" s="4557"/>
      <c r="GH20" s="4557"/>
      <c r="GI20" s="4557"/>
      <c r="GJ20" s="4557"/>
      <c r="GK20" s="4557"/>
      <c r="GL20" s="4557"/>
      <c r="GM20" s="4562"/>
      <c r="GN20" s="2764"/>
      <c r="GO20" s="2911">
        <v>2212</v>
      </c>
      <c r="GP20" s="2912">
        <v>1928</v>
      </c>
      <c r="GQ20" s="2912">
        <v>2277</v>
      </c>
      <c r="GR20" s="2913">
        <v>2266</v>
      </c>
      <c r="GS20" s="2914">
        <v>2743</v>
      </c>
      <c r="GT20" s="2915">
        <v>2792</v>
      </c>
      <c r="GU20" s="2915">
        <v>2839</v>
      </c>
      <c r="GV20" s="2916">
        <v>3019</v>
      </c>
      <c r="GW20" s="2917">
        <v>2682</v>
      </c>
      <c r="GX20" s="2918">
        <v>2568</v>
      </c>
      <c r="GY20" s="2919">
        <v>2659</v>
      </c>
      <c r="GZ20" s="2919">
        <v>2716</v>
      </c>
      <c r="HA20" s="2920">
        <v>3513</v>
      </c>
      <c r="HB20" s="2921">
        <v>2757</v>
      </c>
      <c r="HC20" s="2921">
        <v>3133</v>
      </c>
      <c r="HD20" s="2922">
        <v>3993</v>
      </c>
      <c r="HE20" s="2923">
        <v>3743</v>
      </c>
      <c r="HF20" s="2924">
        <v>3576</v>
      </c>
      <c r="HG20" s="2924">
        <v>3845</v>
      </c>
      <c r="HH20" s="2925">
        <v>3721</v>
      </c>
      <c r="HI20" s="2921">
        <v>4501</v>
      </c>
      <c r="HJ20" s="2921">
        <v>3882</v>
      </c>
      <c r="HK20" s="2921">
        <v>4249</v>
      </c>
      <c r="HL20" s="2921">
        <v>4222</v>
      </c>
      <c r="HM20" s="2926">
        <v>4894</v>
      </c>
      <c r="HN20" s="2926">
        <v>4115</v>
      </c>
      <c r="HO20" s="2926">
        <v>4536</v>
      </c>
      <c r="HP20" s="2926">
        <v>5133</v>
      </c>
      <c r="HQ20" s="2927">
        <v>7034</v>
      </c>
      <c r="HR20" s="2927">
        <v>3775</v>
      </c>
      <c r="HS20" s="2927">
        <f t="shared" si="32"/>
        <v>4538</v>
      </c>
      <c r="HT20" s="2927">
        <v>5359</v>
      </c>
      <c r="HU20" s="2928">
        <v>7710</v>
      </c>
      <c r="HV20" s="2928">
        <f t="shared" si="33"/>
        <v>5329</v>
      </c>
      <c r="HW20" s="2928">
        <f t="shared" si="34"/>
        <v>5695</v>
      </c>
      <c r="HX20" s="2927">
        <f t="shared" si="35"/>
        <v>5484</v>
      </c>
      <c r="HY20" s="2846">
        <f t="shared" si="36"/>
        <v>6999</v>
      </c>
      <c r="HZ20" s="2846">
        <f t="shared" si="37"/>
        <v>3731</v>
      </c>
      <c r="IA20" s="2846">
        <f t="shared" si="38"/>
        <v>3672</v>
      </c>
      <c r="IB20" s="2846">
        <f t="shared" si="39"/>
        <v>3728</v>
      </c>
      <c r="IC20" s="2921">
        <f t="shared" si="40"/>
        <v>5005</v>
      </c>
      <c r="ID20" s="2921">
        <f t="shared" si="41"/>
        <v>3187</v>
      </c>
      <c r="IE20" s="2921">
        <f t="shared" si="42"/>
        <v>3650</v>
      </c>
      <c r="IF20" s="2921">
        <f t="shared" si="43"/>
        <v>4180</v>
      </c>
      <c r="IG20" s="2929">
        <f t="shared" si="44"/>
        <v>4491</v>
      </c>
      <c r="IH20" s="2926">
        <f t="shared" si="45"/>
        <v>3769</v>
      </c>
      <c r="II20" s="2926">
        <f t="shared" si="46"/>
        <v>3570</v>
      </c>
      <c r="IJ20" s="2926">
        <f t="shared" si="47"/>
        <v>3369</v>
      </c>
      <c r="IK20" s="2930">
        <f t="shared" si="48"/>
        <v>3301</v>
      </c>
      <c r="IL20" s="2931">
        <f t="shared" si="49"/>
        <v>4142</v>
      </c>
      <c r="IM20" s="2931">
        <f t="shared" si="50"/>
        <v>4309</v>
      </c>
      <c r="IN20" s="2931">
        <f t="shared" si="51"/>
        <v>3678</v>
      </c>
      <c r="IO20" s="2932">
        <f t="shared" si="52"/>
        <v>3381</v>
      </c>
      <c r="IP20" s="2933">
        <f t="shared" si="53"/>
        <v>37</v>
      </c>
      <c r="IQ20" s="2933">
        <f>EX20+EY20+EZ20</f>
        <v>4309</v>
      </c>
      <c r="IR20" s="2934">
        <f t="shared" si="55"/>
        <v>546</v>
      </c>
      <c r="IS20" s="2929">
        <f t="shared" si="56"/>
        <v>904</v>
      </c>
      <c r="IT20" s="2926">
        <f t="shared" si="57"/>
        <v>699</v>
      </c>
      <c r="IU20" s="2926">
        <f t="shared" si="58"/>
        <v>773</v>
      </c>
      <c r="IV20" s="2926">
        <f t="shared" si="59"/>
        <v>1394</v>
      </c>
      <c r="IW20" s="4549">
        <f t="shared" si="76"/>
        <v>0</v>
      </c>
      <c r="IX20" s="4541">
        <f t="shared" si="77"/>
        <v>0</v>
      </c>
      <c r="IY20" s="4541">
        <f t="shared" si="78"/>
        <v>0</v>
      </c>
      <c r="IZ20" s="4550">
        <f t="shared" si="79"/>
        <v>0</v>
      </c>
      <c r="JA20" s="4545"/>
      <c r="JB20" s="3544">
        <v>8683</v>
      </c>
      <c r="JC20" s="3545">
        <v>11393</v>
      </c>
      <c r="JD20" s="3545">
        <v>10625</v>
      </c>
      <c r="JE20" s="3545">
        <v>13396</v>
      </c>
      <c r="JF20" s="3545">
        <v>14885</v>
      </c>
      <c r="JG20" s="3545">
        <v>16854</v>
      </c>
      <c r="JH20" s="3546">
        <v>18678</v>
      </c>
      <c r="JI20" s="3547">
        <v>20706</v>
      </c>
      <c r="JJ20" s="3547">
        <f t="shared" si="60"/>
        <v>24218</v>
      </c>
      <c r="JK20" s="3547">
        <f t="shared" si="61"/>
        <v>18028</v>
      </c>
      <c r="JL20" s="3547">
        <f t="shared" si="62"/>
        <v>16022</v>
      </c>
      <c r="JM20" s="3547">
        <f t="shared" si="63"/>
        <v>15199</v>
      </c>
      <c r="JN20" s="3548">
        <f t="shared" si="24"/>
        <v>15430</v>
      </c>
      <c r="JO20" s="3566">
        <f t="shared" si="64"/>
        <v>4068</v>
      </c>
      <c r="JP20" s="3564">
        <f t="shared" si="80"/>
        <v>3770</v>
      </c>
      <c r="JQ20" s="3564">
        <f t="shared" si="81"/>
        <v>3770</v>
      </c>
      <c r="JS20" s="3765">
        <f t="shared" si="82"/>
        <v>3770</v>
      </c>
      <c r="JT20" s="3765">
        <f t="shared" si="83"/>
        <v>3770</v>
      </c>
      <c r="JV20" s="3551">
        <f t="shared" si="84"/>
        <v>3869.3333333333335</v>
      </c>
      <c r="JW20" s="3552">
        <f t="shared" si="65"/>
        <v>2.8724112767794834E-2</v>
      </c>
      <c r="JX20" s="3552">
        <f t="shared" si="66"/>
        <v>2.4538580646347011E-2</v>
      </c>
      <c r="JY20" s="3552">
        <f t="shared" si="85"/>
        <v>2.212372634643377E-2</v>
      </c>
      <c r="JZ20" s="3552">
        <f t="shared" si="67"/>
        <v>2.2459970887918485E-2</v>
      </c>
      <c r="KA20" s="3552">
        <f t="shared" si="68"/>
        <v>2.1253141212181373E-2</v>
      </c>
      <c r="KB20" s="4575">
        <f t="shared" si="69"/>
        <v>1.3416561089837577E-2</v>
      </c>
      <c r="KC20" s="3565">
        <f t="shared" si="86"/>
        <v>1.3416561089837577E-2</v>
      </c>
      <c r="KD20" s="3552"/>
      <c r="KE20" s="3554">
        <f t="shared" si="70"/>
        <v>-0.1112713556689594</v>
      </c>
      <c r="KF20" s="3555">
        <f t="shared" si="71"/>
        <v>-0.78537090451889657</v>
      </c>
      <c r="KG20" s="3555">
        <f t="shared" si="72"/>
        <v>-5.1366870552989607E-2</v>
      </c>
      <c r="KH20" s="3555">
        <f t="shared" si="73"/>
        <v>1.5198368313704913E-2</v>
      </c>
      <c r="KI20" s="3555">
        <f t="shared" si="74"/>
        <v>-0.73635774465327286</v>
      </c>
      <c r="KJ20" s="3556">
        <f t="shared" si="75"/>
        <v>-0.75567077122488657</v>
      </c>
      <c r="KK20" s="3557">
        <f t="shared" si="87"/>
        <v>-7.3254670599803395E-2</v>
      </c>
      <c r="KM20" s="3231"/>
      <c r="KN20" s="3231"/>
      <c r="KO20" s="3231"/>
      <c r="KP20" s="3231"/>
      <c r="KQ20" s="3231"/>
      <c r="KR20" s="3231"/>
      <c r="KS20" s="3231"/>
      <c r="KT20" s="3231"/>
      <c r="KU20" s="3231"/>
      <c r="KV20" s="3231"/>
      <c r="KW20" s="3231"/>
      <c r="KX20" s="3231"/>
      <c r="KY20" s="3231"/>
      <c r="KZ20" s="3231"/>
      <c r="LA20" s="3231"/>
      <c r="LB20" s="3231"/>
      <c r="LC20" s="3231"/>
      <c r="LD20" s="3231"/>
      <c r="LE20" s="3231"/>
      <c r="LF20" s="3231"/>
      <c r="LG20" s="3231"/>
      <c r="LH20" s="3231"/>
      <c r="LI20" s="3231"/>
    </row>
    <row r="21" spans="1:321" ht="21.9" customHeight="1">
      <c r="A21" s="3558"/>
      <c r="B21" s="3231"/>
      <c r="C21" s="3559" t="s">
        <v>12</v>
      </c>
      <c r="D21" s="3516">
        <v>802</v>
      </c>
      <c r="E21" s="3517">
        <v>792</v>
      </c>
      <c r="F21" s="3517">
        <v>587</v>
      </c>
      <c r="G21" s="3517">
        <v>506</v>
      </c>
      <c r="H21" s="3517">
        <v>581</v>
      </c>
      <c r="I21" s="3517">
        <v>629</v>
      </c>
      <c r="J21" s="3517">
        <v>849</v>
      </c>
      <c r="K21" s="3517">
        <v>779</v>
      </c>
      <c r="L21" s="3517">
        <v>784</v>
      </c>
      <c r="M21" s="3517">
        <v>779</v>
      </c>
      <c r="N21" s="3517">
        <v>668</v>
      </c>
      <c r="O21" s="3518">
        <v>701</v>
      </c>
      <c r="P21" s="3519">
        <v>1001</v>
      </c>
      <c r="Q21" s="3520">
        <v>1416</v>
      </c>
      <c r="R21" s="3520">
        <v>639</v>
      </c>
      <c r="S21" s="3520">
        <v>628</v>
      </c>
      <c r="T21" s="3520">
        <v>690</v>
      </c>
      <c r="U21" s="3520">
        <v>720</v>
      </c>
      <c r="V21" s="3520">
        <v>888</v>
      </c>
      <c r="W21" s="3520">
        <v>967</v>
      </c>
      <c r="X21" s="3520">
        <v>909</v>
      </c>
      <c r="Y21" s="3520">
        <v>1253</v>
      </c>
      <c r="Z21" s="3520">
        <v>761</v>
      </c>
      <c r="AA21" s="3521">
        <v>760</v>
      </c>
      <c r="AB21" s="3522">
        <v>1134</v>
      </c>
      <c r="AC21" s="3523">
        <v>933</v>
      </c>
      <c r="AD21" s="3523">
        <v>642</v>
      </c>
      <c r="AE21" s="3523">
        <v>704</v>
      </c>
      <c r="AF21" s="3523">
        <v>710.5</v>
      </c>
      <c r="AG21" s="3523">
        <v>717</v>
      </c>
      <c r="AH21" s="3523">
        <v>970</v>
      </c>
      <c r="AI21" s="3523">
        <v>720</v>
      </c>
      <c r="AJ21" s="3523">
        <v>889</v>
      </c>
      <c r="AK21" s="3523">
        <v>728</v>
      </c>
      <c r="AL21" s="3523">
        <v>715</v>
      </c>
      <c r="AM21" s="3524">
        <v>609</v>
      </c>
      <c r="AN21" s="3525">
        <v>929</v>
      </c>
      <c r="AO21" s="3526">
        <v>1114</v>
      </c>
      <c r="AP21" s="3526">
        <v>507</v>
      </c>
      <c r="AQ21" s="3526">
        <v>594</v>
      </c>
      <c r="AR21" s="3526">
        <v>755</v>
      </c>
      <c r="AS21" s="3526">
        <v>691</v>
      </c>
      <c r="AT21" s="3526">
        <v>751</v>
      </c>
      <c r="AU21" s="3526">
        <v>618</v>
      </c>
      <c r="AV21" s="3526">
        <v>842</v>
      </c>
      <c r="AW21" s="3526">
        <v>882</v>
      </c>
      <c r="AX21" s="3526">
        <v>665</v>
      </c>
      <c r="AY21" s="3527">
        <v>729</v>
      </c>
      <c r="AZ21" s="3463">
        <v>1099</v>
      </c>
      <c r="BA21" s="3463">
        <v>1133</v>
      </c>
      <c r="BB21" s="3463">
        <v>791</v>
      </c>
      <c r="BC21" s="3463">
        <v>698</v>
      </c>
      <c r="BD21" s="3463">
        <v>822</v>
      </c>
      <c r="BE21" s="3463">
        <v>1050</v>
      </c>
      <c r="BF21" s="3463">
        <v>1309</v>
      </c>
      <c r="BG21" s="3463">
        <v>1070</v>
      </c>
      <c r="BH21" s="3463">
        <v>936</v>
      </c>
      <c r="BI21" s="3463">
        <v>966</v>
      </c>
      <c r="BJ21" s="3463">
        <v>790</v>
      </c>
      <c r="BK21" s="3560">
        <v>1233</v>
      </c>
      <c r="BL21" s="3530">
        <v>1072</v>
      </c>
      <c r="BM21" s="3531">
        <v>1312</v>
      </c>
      <c r="BN21" s="3531">
        <v>911</v>
      </c>
      <c r="BO21" s="3531">
        <v>896</v>
      </c>
      <c r="BP21" s="3531">
        <v>1004</v>
      </c>
      <c r="BQ21" s="3531">
        <v>1107</v>
      </c>
      <c r="BR21" s="3531">
        <v>1277</v>
      </c>
      <c r="BS21" s="3531">
        <v>1067</v>
      </c>
      <c r="BT21" s="3532">
        <v>1066</v>
      </c>
      <c r="BU21" s="3532">
        <v>2214</v>
      </c>
      <c r="BV21" s="3532">
        <v>992</v>
      </c>
      <c r="BW21" s="3533">
        <v>895</v>
      </c>
      <c r="BX21" s="3534">
        <v>1139</v>
      </c>
      <c r="BY21" s="3459">
        <v>1193</v>
      </c>
      <c r="BZ21" s="3459">
        <v>722</v>
      </c>
      <c r="CA21" s="3459">
        <v>797</v>
      </c>
      <c r="CB21" s="3459">
        <v>886</v>
      </c>
      <c r="CC21" s="3459">
        <v>854</v>
      </c>
      <c r="CD21" s="3459">
        <v>1141</v>
      </c>
      <c r="CE21" s="3459">
        <v>1070</v>
      </c>
      <c r="CF21" s="3459">
        <v>1090</v>
      </c>
      <c r="CG21" s="3459">
        <v>1003</v>
      </c>
      <c r="CH21" s="3459">
        <v>834</v>
      </c>
      <c r="CI21" s="3461">
        <v>772</v>
      </c>
      <c r="CJ21" s="3535">
        <v>967</v>
      </c>
      <c r="CK21" s="3536">
        <v>1087</v>
      </c>
      <c r="CL21" s="3536">
        <v>951</v>
      </c>
      <c r="CM21" s="3536">
        <v>958</v>
      </c>
      <c r="CN21" s="3536">
        <v>1130</v>
      </c>
      <c r="CO21" s="3536">
        <v>879</v>
      </c>
      <c r="CP21" s="3536">
        <v>1213</v>
      </c>
      <c r="CQ21" s="3536">
        <v>1124</v>
      </c>
      <c r="CR21" s="3536">
        <v>1100</v>
      </c>
      <c r="CS21" s="3536">
        <v>1128</v>
      </c>
      <c r="CT21" s="3536">
        <v>1166</v>
      </c>
      <c r="CU21" s="3537">
        <v>1185</v>
      </c>
      <c r="CV21" s="3535">
        <v>1056</v>
      </c>
      <c r="CW21" s="3536">
        <v>1492</v>
      </c>
      <c r="CX21" s="3458">
        <v>967</v>
      </c>
      <c r="CY21" s="3458">
        <v>831</v>
      </c>
      <c r="CZ21" s="3458">
        <v>973</v>
      </c>
      <c r="DA21" s="3458">
        <v>804</v>
      </c>
      <c r="DB21" s="3458">
        <v>1001</v>
      </c>
      <c r="DC21" s="3458">
        <v>697</v>
      </c>
      <c r="DD21" s="3458">
        <v>700</v>
      </c>
      <c r="DE21" s="3458">
        <v>837</v>
      </c>
      <c r="DF21" s="3458">
        <v>824</v>
      </c>
      <c r="DG21" s="3537">
        <v>804</v>
      </c>
      <c r="DH21" s="3538">
        <v>874</v>
      </c>
      <c r="DI21" s="3539">
        <v>931</v>
      </c>
      <c r="DJ21" s="3539">
        <v>634</v>
      </c>
      <c r="DK21" s="3540">
        <v>630</v>
      </c>
      <c r="DL21" s="3540">
        <v>593</v>
      </c>
      <c r="DM21" s="3540">
        <v>783</v>
      </c>
      <c r="DN21" s="3540">
        <v>933</v>
      </c>
      <c r="DO21" s="3540">
        <v>646</v>
      </c>
      <c r="DP21" s="2713">
        <v>846</v>
      </c>
      <c r="DQ21" s="3540">
        <v>1359</v>
      </c>
      <c r="DR21" s="3540">
        <v>938</v>
      </c>
      <c r="DS21" s="3541">
        <v>883</v>
      </c>
      <c r="DT21" s="3542">
        <v>1275</v>
      </c>
      <c r="DU21" s="3429">
        <v>1308</v>
      </c>
      <c r="DV21" s="3429">
        <v>867</v>
      </c>
      <c r="DW21" s="3350">
        <v>810</v>
      </c>
      <c r="DX21" s="3350">
        <v>726</v>
      </c>
      <c r="DY21" s="3350">
        <v>709</v>
      </c>
      <c r="DZ21" s="3350">
        <v>1106</v>
      </c>
      <c r="EA21" s="3350">
        <v>799</v>
      </c>
      <c r="EB21" s="3350">
        <v>770</v>
      </c>
      <c r="EC21" s="3350">
        <v>928</v>
      </c>
      <c r="ED21" s="3350">
        <v>755</v>
      </c>
      <c r="EE21" s="3349">
        <v>901</v>
      </c>
      <c r="EF21" s="2689">
        <v>1141</v>
      </c>
      <c r="EG21" s="2688">
        <v>1396</v>
      </c>
      <c r="EH21" s="2688">
        <v>984</v>
      </c>
      <c r="EI21" s="2688">
        <v>888</v>
      </c>
      <c r="EJ21" s="2688">
        <v>825</v>
      </c>
      <c r="EK21" s="2688">
        <v>879</v>
      </c>
      <c r="EL21" s="2688">
        <v>1124</v>
      </c>
      <c r="EM21" s="2714">
        <v>824</v>
      </c>
      <c r="EN21" s="2714">
        <v>945</v>
      </c>
      <c r="EO21" s="2715">
        <v>1036</v>
      </c>
      <c r="EP21" s="2715">
        <v>853</v>
      </c>
      <c r="EQ21" s="2716">
        <v>802</v>
      </c>
      <c r="ER21" s="1345">
        <v>1003</v>
      </c>
      <c r="ES21" s="3543">
        <v>1204</v>
      </c>
      <c r="ET21" s="3543">
        <v>853</v>
      </c>
      <c r="EU21" s="2717">
        <v>1299</v>
      </c>
      <c r="EV21" s="2159">
        <v>1321</v>
      </c>
      <c r="EW21" s="2159">
        <v>1452</v>
      </c>
      <c r="EX21" s="2159">
        <v>1791</v>
      </c>
      <c r="EY21" s="2159">
        <v>1495</v>
      </c>
      <c r="EZ21" s="2159">
        <v>1858</v>
      </c>
      <c r="FA21" s="2339">
        <v>1132</v>
      </c>
      <c r="FB21" s="2339">
        <v>1226</v>
      </c>
      <c r="FC21" s="2339">
        <v>1409</v>
      </c>
      <c r="FD21" s="2765">
        <v>1782</v>
      </c>
      <c r="FE21" s="2766">
        <v>1775</v>
      </c>
      <c r="FF21" s="2766">
        <v>541</v>
      </c>
      <c r="FG21" s="2766">
        <v>13</v>
      </c>
      <c r="FH21" s="2766">
        <v>9</v>
      </c>
      <c r="FI21" s="2766">
        <v>19</v>
      </c>
      <c r="FJ21" s="2766">
        <v>29</v>
      </c>
      <c r="FK21" s="2766">
        <v>30</v>
      </c>
      <c r="FL21" s="2766">
        <v>64</v>
      </c>
      <c r="FM21" s="2766">
        <v>142</v>
      </c>
      <c r="FN21" s="2766">
        <v>127</v>
      </c>
      <c r="FO21" s="2767">
        <v>326</v>
      </c>
      <c r="FP21" s="2765">
        <v>247</v>
      </c>
      <c r="FQ21" s="2766">
        <v>165</v>
      </c>
      <c r="FR21" s="2766">
        <v>208</v>
      </c>
      <c r="FS21" s="2766">
        <v>113</v>
      </c>
      <c r="FT21" s="2766">
        <v>145</v>
      </c>
      <c r="FU21" s="2766">
        <v>217</v>
      </c>
      <c r="FV21" s="2766">
        <v>219</v>
      </c>
      <c r="FW21" s="2766">
        <v>333</v>
      </c>
      <c r="FX21" s="2766">
        <v>424</v>
      </c>
      <c r="FY21" s="2766">
        <v>388</v>
      </c>
      <c r="FZ21" s="2766">
        <v>385</v>
      </c>
      <c r="GA21" s="2767">
        <v>490</v>
      </c>
      <c r="GB21" s="4559"/>
      <c r="GC21" s="4556"/>
      <c r="GD21" s="4556"/>
      <c r="GE21" s="4556"/>
      <c r="GF21" s="4556"/>
      <c r="GG21" s="4556"/>
      <c r="GH21" s="4556"/>
      <c r="GI21" s="4556"/>
      <c r="GJ21" s="4556"/>
      <c r="GK21" s="4556"/>
      <c r="GL21" s="4556"/>
      <c r="GM21" s="4560"/>
      <c r="GN21" s="2764"/>
      <c r="GO21" s="2911">
        <v>2181</v>
      </c>
      <c r="GP21" s="2912">
        <v>1716</v>
      </c>
      <c r="GQ21" s="2912">
        <v>2412</v>
      </c>
      <c r="GR21" s="2913">
        <v>2148</v>
      </c>
      <c r="GS21" s="2914">
        <v>3056</v>
      </c>
      <c r="GT21" s="2915">
        <v>2038</v>
      </c>
      <c r="GU21" s="2915">
        <v>2764</v>
      </c>
      <c r="GV21" s="2916">
        <v>2774</v>
      </c>
      <c r="GW21" s="2917">
        <v>2709</v>
      </c>
      <c r="GX21" s="2918">
        <v>2131.5</v>
      </c>
      <c r="GY21" s="2919">
        <v>2579</v>
      </c>
      <c r="GZ21" s="2919">
        <v>2052</v>
      </c>
      <c r="HA21" s="2920">
        <v>2550</v>
      </c>
      <c r="HB21" s="2921">
        <v>2040</v>
      </c>
      <c r="HC21" s="2921">
        <v>2211</v>
      </c>
      <c r="HD21" s="2922">
        <v>2276</v>
      </c>
      <c r="HE21" s="2923">
        <v>3023</v>
      </c>
      <c r="HF21" s="2924">
        <v>2570</v>
      </c>
      <c r="HG21" s="2924">
        <v>3315</v>
      </c>
      <c r="HH21" s="2925">
        <v>2989</v>
      </c>
      <c r="HI21" s="2921">
        <v>3295</v>
      </c>
      <c r="HJ21" s="2921">
        <v>3007</v>
      </c>
      <c r="HK21" s="2921">
        <v>3410</v>
      </c>
      <c r="HL21" s="2921">
        <v>4101</v>
      </c>
      <c r="HM21" s="2926">
        <v>3054</v>
      </c>
      <c r="HN21" s="2926">
        <v>2537</v>
      </c>
      <c r="HO21" s="2926">
        <v>3301</v>
      </c>
      <c r="HP21" s="2926">
        <v>2609</v>
      </c>
      <c r="HQ21" s="2927">
        <v>3005</v>
      </c>
      <c r="HR21" s="2927">
        <v>2967</v>
      </c>
      <c r="HS21" s="2927">
        <f t="shared" si="32"/>
        <v>3437</v>
      </c>
      <c r="HT21" s="2927">
        <v>3479</v>
      </c>
      <c r="HU21" s="2928">
        <v>3515</v>
      </c>
      <c r="HV21" s="2928">
        <f t="shared" si="33"/>
        <v>2608</v>
      </c>
      <c r="HW21" s="2928">
        <f t="shared" si="34"/>
        <v>2398</v>
      </c>
      <c r="HX21" s="2927">
        <f t="shared" si="35"/>
        <v>2465</v>
      </c>
      <c r="HY21" s="2846">
        <f t="shared" si="36"/>
        <v>2439</v>
      </c>
      <c r="HZ21" s="2846">
        <f t="shared" si="37"/>
        <v>2006</v>
      </c>
      <c r="IA21" s="2846">
        <f t="shared" si="38"/>
        <v>2462</v>
      </c>
      <c r="IB21" s="2846">
        <f t="shared" si="39"/>
        <v>3180</v>
      </c>
      <c r="IC21" s="2921">
        <f t="shared" si="40"/>
        <v>3450</v>
      </c>
      <c r="ID21" s="2921">
        <f t="shared" si="41"/>
        <v>2245</v>
      </c>
      <c r="IE21" s="2921">
        <f t="shared" si="42"/>
        <v>2675</v>
      </c>
      <c r="IF21" s="2921">
        <f t="shared" si="43"/>
        <v>2584</v>
      </c>
      <c r="IG21" s="2929">
        <f t="shared" si="44"/>
        <v>3521</v>
      </c>
      <c r="IH21" s="2926">
        <f t="shared" si="45"/>
        <v>2592</v>
      </c>
      <c r="II21" s="2926">
        <f t="shared" si="46"/>
        <v>2893</v>
      </c>
      <c r="IJ21" s="2926">
        <f t="shared" si="47"/>
        <v>2691</v>
      </c>
      <c r="IK21" s="2930">
        <f t="shared" si="48"/>
        <v>3060</v>
      </c>
      <c r="IL21" s="2931">
        <f t="shared" si="49"/>
        <v>4072</v>
      </c>
      <c r="IM21" s="2931">
        <f t="shared" si="50"/>
        <v>5144</v>
      </c>
      <c r="IN21" s="2931">
        <f t="shared" si="51"/>
        <v>3767</v>
      </c>
      <c r="IO21" s="2932">
        <f t="shared" si="52"/>
        <v>4098</v>
      </c>
      <c r="IP21" s="2933">
        <f t="shared" si="53"/>
        <v>41</v>
      </c>
      <c r="IQ21" s="2933">
        <f>FJ21+FK21+FL21</f>
        <v>123</v>
      </c>
      <c r="IR21" s="2934">
        <f t="shared" si="55"/>
        <v>595</v>
      </c>
      <c r="IS21" s="2929">
        <f t="shared" si="56"/>
        <v>620</v>
      </c>
      <c r="IT21" s="2926">
        <f t="shared" si="57"/>
        <v>475</v>
      </c>
      <c r="IU21" s="2926">
        <f t="shared" si="58"/>
        <v>976</v>
      </c>
      <c r="IV21" s="2926">
        <f t="shared" si="59"/>
        <v>1263</v>
      </c>
      <c r="IW21" s="4571">
        <f t="shared" si="76"/>
        <v>0</v>
      </c>
      <c r="IX21" s="2921">
        <f t="shared" si="77"/>
        <v>0</v>
      </c>
      <c r="IY21" s="2921">
        <f t="shared" si="78"/>
        <v>0</v>
      </c>
      <c r="IZ21" s="4572">
        <f t="shared" si="79"/>
        <v>0</v>
      </c>
      <c r="JA21" s="4545"/>
      <c r="JB21" s="3544">
        <v>8457</v>
      </c>
      <c r="JC21" s="3545">
        <v>10632</v>
      </c>
      <c r="JD21" s="3545">
        <v>9471.5</v>
      </c>
      <c r="JE21" s="3545">
        <v>9077</v>
      </c>
      <c r="JF21" s="3545">
        <v>11897</v>
      </c>
      <c r="JG21" s="3545">
        <v>13813</v>
      </c>
      <c r="JH21" s="3546">
        <v>11501</v>
      </c>
      <c r="JI21" s="3547">
        <v>12888</v>
      </c>
      <c r="JJ21" s="3547">
        <f t="shared" si="60"/>
        <v>10986</v>
      </c>
      <c r="JK21" s="3547">
        <f t="shared" si="61"/>
        <v>10050</v>
      </c>
      <c r="JL21" s="3547">
        <f t="shared" si="62"/>
        <v>10954</v>
      </c>
      <c r="JM21" s="3547">
        <f t="shared" si="63"/>
        <v>11697</v>
      </c>
      <c r="JN21" s="3548">
        <f t="shared" si="24"/>
        <v>16043</v>
      </c>
      <c r="JO21" s="3566">
        <f t="shared" si="64"/>
        <v>4857</v>
      </c>
      <c r="JP21" s="3564">
        <f t="shared" si="80"/>
        <v>3334</v>
      </c>
      <c r="JQ21" s="3564">
        <f t="shared" si="81"/>
        <v>3334</v>
      </c>
      <c r="JS21" s="3765">
        <f t="shared" si="82"/>
        <v>3334</v>
      </c>
      <c r="JT21" s="3765">
        <f t="shared" si="83"/>
        <v>3334</v>
      </c>
      <c r="JV21" s="3551">
        <f t="shared" si="84"/>
        <v>3841.6666666666665</v>
      </c>
      <c r="JW21" s="3552">
        <f t="shared" si="65"/>
        <v>1.6012720951649548E-2</v>
      </c>
      <c r="JX21" s="3552">
        <f t="shared" si="66"/>
        <v>1.6776657870433476E-2</v>
      </c>
      <c r="JY21" s="3552">
        <f t="shared" si="85"/>
        <v>1.7026200873362447E-2</v>
      </c>
      <c r="JZ21" s="3552">
        <f t="shared" si="67"/>
        <v>2.3352256186317321E-2</v>
      </c>
      <c r="KA21" s="3552">
        <f t="shared" si="68"/>
        <v>2.5375247509234249E-2</v>
      </c>
      <c r="KB21" s="4575">
        <f t="shared" si="69"/>
        <v>1.1864937579182621E-2</v>
      </c>
      <c r="KC21" s="3565">
        <f t="shared" si="86"/>
        <v>1.1864937579182621E-2</v>
      </c>
      <c r="KD21" s="3552"/>
      <c r="KE21" s="3554">
        <f t="shared" si="70"/>
        <v>8.9950248756218931E-2</v>
      </c>
      <c r="KF21" s="3555">
        <f t="shared" si="71"/>
        <v>-0.61774461028192373</v>
      </c>
      <c r="KG21" s="3555">
        <f t="shared" si="72"/>
        <v>6.7829103523826983E-2</v>
      </c>
      <c r="KH21" s="3555">
        <f t="shared" si="73"/>
        <v>0.37154826023766785</v>
      </c>
      <c r="KI21" s="3555">
        <f t="shared" si="74"/>
        <v>-0.69725113756778656</v>
      </c>
      <c r="KJ21" s="3556">
        <f t="shared" si="75"/>
        <v>-0.79218350682540672</v>
      </c>
      <c r="KK21" s="3557">
        <f t="shared" si="87"/>
        <v>-0.31356804611900346</v>
      </c>
      <c r="KM21" s="3231"/>
      <c r="KN21" s="3231"/>
      <c r="KO21" s="3231"/>
      <c r="KP21" s="3231"/>
      <c r="KQ21" s="3231"/>
      <c r="KR21" s="3231"/>
      <c r="KS21" s="3231"/>
      <c r="KT21" s="3231"/>
      <c r="KU21" s="3231"/>
      <c r="KV21" s="3231"/>
      <c r="KW21" s="3231"/>
      <c r="KX21" s="3231"/>
      <c r="KY21" s="3231"/>
      <c r="KZ21" s="3231"/>
      <c r="LA21" s="3231"/>
      <c r="LB21" s="3231"/>
      <c r="LC21" s="3231"/>
      <c r="LD21" s="3231"/>
      <c r="LE21" s="3231"/>
      <c r="LF21" s="3231"/>
      <c r="LG21" s="3231"/>
      <c r="LH21" s="3231"/>
      <c r="LI21" s="3231"/>
    </row>
    <row r="22" spans="1:321" ht="21.9" customHeight="1">
      <c r="A22" s="3558"/>
      <c r="B22" s="3231"/>
      <c r="C22" s="3559" t="s">
        <v>1369</v>
      </c>
      <c r="D22" s="3516">
        <v>367</v>
      </c>
      <c r="E22" s="3517">
        <v>335</v>
      </c>
      <c r="F22" s="3517">
        <v>364</v>
      </c>
      <c r="G22" s="3517">
        <v>343</v>
      </c>
      <c r="H22" s="3517">
        <v>321</v>
      </c>
      <c r="I22" s="3517">
        <v>421</v>
      </c>
      <c r="J22" s="3517">
        <v>1328</v>
      </c>
      <c r="K22" s="3517">
        <v>606</v>
      </c>
      <c r="L22" s="3517">
        <v>710</v>
      </c>
      <c r="M22" s="3517">
        <v>637</v>
      </c>
      <c r="N22" s="3517">
        <v>607</v>
      </c>
      <c r="O22" s="3518">
        <v>455</v>
      </c>
      <c r="P22" s="3519">
        <v>449</v>
      </c>
      <c r="Q22" s="3520">
        <v>677</v>
      </c>
      <c r="R22" s="3520">
        <v>399</v>
      </c>
      <c r="S22" s="3520">
        <v>431</v>
      </c>
      <c r="T22" s="3520">
        <v>467</v>
      </c>
      <c r="U22" s="3520">
        <v>553</v>
      </c>
      <c r="V22" s="3520">
        <v>1757</v>
      </c>
      <c r="W22" s="3520">
        <v>735</v>
      </c>
      <c r="X22" s="3520">
        <v>835</v>
      </c>
      <c r="Y22" s="3520">
        <v>626</v>
      </c>
      <c r="Z22" s="3520">
        <v>706</v>
      </c>
      <c r="AA22" s="3521">
        <v>541</v>
      </c>
      <c r="AB22" s="3522">
        <v>469</v>
      </c>
      <c r="AC22" s="3523">
        <v>395</v>
      </c>
      <c r="AD22" s="3523">
        <v>369</v>
      </c>
      <c r="AE22" s="3523">
        <v>552</v>
      </c>
      <c r="AF22" s="3523">
        <v>528.5</v>
      </c>
      <c r="AG22" s="3523">
        <v>505</v>
      </c>
      <c r="AH22" s="3523">
        <v>1602</v>
      </c>
      <c r="AI22" s="3523">
        <v>575</v>
      </c>
      <c r="AJ22" s="3523">
        <v>499</v>
      </c>
      <c r="AK22" s="3523">
        <v>639</v>
      </c>
      <c r="AL22" s="3523">
        <v>543</v>
      </c>
      <c r="AM22" s="3524">
        <v>581</v>
      </c>
      <c r="AN22" s="3525">
        <v>434</v>
      </c>
      <c r="AO22" s="3526">
        <v>396</v>
      </c>
      <c r="AP22" s="3526">
        <v>432</v>
      </c>
      <c r="AQ22" s="3526">
        <v>463</v>
      </c>
      <c r="AR22" s="3526">
        <v>441</v>
      </c>
      <c r="AS22" s="3526">
        <v>377</v>
      </c>
      <c r="AT22" s="3526">
        <v>1417</v>
      </c>
      <c r="AU22" s="3526">
        <v>511</v>
      </c>
      <c r="AV22" s="3526">
        <v>455</v>
      </c>
      <c r="AW22" s="3526">
        <v>706</v>
      </c>
      <c r="AX22" s="3526">
        <v>468</v>
      </c>
      <c r="AY22" s="3527">
        <v>524</v>
      </c>
      <c r="AZ22" s="3463">
        <v>438</v>
      </c>
      <c r="BA22" s="3463">
        <v>331</v>
      </c>
      <c r="BB22" s="3463">
        <v>359</v>
      </c>
      <c r="BC22" s="3463">
        <v>410</v>
      </c>
      <c r="BD22" s="3463">
        <v>374</v>
      </c>
      <c r="BE22" s="3463">
        <v>359</v>
      </c>
      <c r="BF22" s="3463">
        <v>1243</v>
      </c>
      <c r="BG22" s="3463">
        <v>455</v>
      </c>
      <c r="BH22" s="3463">
        <v>514</v>
      </c>
      <c r="BI22" s="3463">
        <v>723</v>
      </c>
      <c r="BJ22" s="3463">
        <v>623</v>
      </c>
      <c r="BK22" s="3560">
        <v>735</v>
      </c>
      <c r="BL22" s="3530">
        <v>332</v>
      </c>
      <c r="BM22" s="3531">
        <v>352</v>
      </c>
      <c r="BN22" s="3531">
        <v>638</v>
      </c>
      <c r="BO22" s="3531">
        <v>642</v>
      </c>
      <c r="BP22" s="3531">
        <v>601</v>
      </c>
      <c r="BQ22" s="3531">
        <v>662</v>
      </c>
      <c r="BR22" s="3531">
        <v>1316</v>
      </c>
      <c r="BS22" s="3531">
        <v>757</v>
      </c>
      <c r="BT22" s="3532">
        <v>771</v>
      </c>
      <c r="BU22" s="3532">
        <v>824</v>
      </c>
      <c r="BV22" s="3532">
        <v>633</v>
      </c>
      <c r="BW22" s="3533">
        <v>769</v>
      </c>
      <c r="BX22" s="3534">
        <v>724</v>
      </c>
      <c r="BY22" s="3459">
        <v>624</v>
      </c>
      <c r="BZ22" s="3459">
        <v>698</v>
      </c>
      <c r="CA22" s="3459">
        <v>891</v>
      </c>
      <c r="CB22" s="3459">
        <v>886</v>
      </c>
      <c r="CC22" s="3459">
        <v>710</v>
      </c>
      <c r="CD22" s="3459">
        <v>1482</v>
      </c>
      <c r="CE22" s="3459">
        <v>838</v>
      </c>
      <c r="CF22" s="3459">
        <v>807</v>
      </c>
      <c r="CG22" s="3459">
        <v>948</v>
      </c>
      <c r="CH22" s="3459">
        <v>938</v>
      </c>
      <c r="CI22" s="3461">
        <v>944</v>
      </c>
      <c r="CJ22" s="3535">
        <v>899</v>
      </c>
      <c r="CK22" s="3536">
        <v>843</v>
      </c>
      <c r="CL22" s="3536">
        <v>878</v>
      </c>
      <c r="CM22" s="3536">
        <v>841</v>
      </c>
      <c r="CN22" s="3536">
        <v>842</v>
      </c>
      <c r="CO22" s="3536">
        <v>797</v>
      </c>
      <c r="CP22" s="3536">
        <v>1571</v>
      </c>
      <c r="CQ22" s="3536">
        <v>851</v>
      </c>
      <c r="CR22" s="3536">
        <v>1035</v>
      </c>
      <c r="CS22" s="3536">
        <v>1030</v>
      </c>
      <c r="CT22" s="3536">
        <v>948</v>
      </c>
      <c r="CU22" s="3537">
        <v>981</v>
      </c>
      <c r="CV22" s="3535">
        <v>855</v>
      </c>
      <c r="CW22" s="3536">
        <v>841</v>
      </c>
      <c r="CX22" s="3458">
        <v>827</v>
      </c>
      <c r="CY22" s="3458">
        <v>901</v>
      </c>
      <c r="CZ22" s="3458">
        <v>901</v>
      </c>
      <c r="DA22" s="3458">
        <v>856</v>
      </c>
      <c r="DB22" s="3458">
        <v>1787</v>
      </c>
      <c r="DC22" s="3458">
        <v>764</v>
      </c>
      <c r="DD22" s="3458">
        <v>989</v>
      </c>
      <c r="DE22" s="3458">
        <v>1108</v>
      </c>
      <c r="DF22" s="3458">
        <v>937</v>
      </c>
      <c r="DG22" s="3537">
        <v>924</v>
      </c>
      <c r="DH22" s="3538">
        <v>975</v>
      </c>
      <c r="DI22" s="3539">
        <v>931</v>
      </c>
      <c r="DJ22" s="3539">
        <v>933</v>
      </c>
      <c r="DK22" s="3540">
        <v>938</v>
      </c>
      <c r="DL22" s="3540">
        <v>939</v>
      </c>
      <c r="DM22" s="3540">
        <v>948</v>
      </c>
      <c r="DN22" s="3540">
        <v>1894</v>
      </c>
      <c r="DO22" s="3540">
        <v>1056</v>
      </c>
      <c r="DP22" s="2713">
        <v>1150</v>
      </c>
      <c r="DQ22" s="3540">
        <v>1239</v>
      </c>
      <c r="DR22" s="3540">
        <v>926</v>
      </c>
      <c r="DS22" s="3541">
        <v>928</v>
      </c>
      <c r="DT22" s="3542">
        <v>846</v>
      </c>
      <c r="DU22" s="3429">
        <v>781</v>
      </c>
      <c r="DV22" s="3429">
        <v>837</v>
      </c>
      <c r="DW22" s="3350">
        <v>939</v>
      </c>
      <c r="DX22" s="3350">
        <v>801</v>
      </c>
      <c r="DY22" s="3350">
        <v>778</v>
      </c>
      <c r="DZ22" s="3350">
        <v>1612</v>
      </c>
      <c r="EA22" s="3350">
        <v>968</v>
      </c>
      <c r="EB22" s="3350">
        <v>1028</v>
      </c>
      <c r="EC22" s="3350">
        <v>920</v>
      </c>
      <c r="ED22" s="3350">
        <v>885</v>
      </c>
      <c r="EE22" s="3349">
        <v>950</v>
      </c>
      <c r="EF22" s="2689">
        <v>866</v>
      </c>
      <c r="EG22" s="2688">
        <v>853</v>
      </c>
      <c r="EH22" s="2688">
        <v>898</v>
      </c>
      <c r="EI22" s="2688">
        <v>1073</v>
      </c>
      <c r="EJ22" s="2688">
        <v>931</v>
      </c>
      <c r="EK22" s="2688">
        <v>941</v>
      </c>
      <c r="EL22" s="2688">
        <v>1802</v>
      </c>
      <c r="EM22" s="2714">
        <v>1092</v>
      </c>
      <c r="EN22" s="2714">
        <v>1158</v>
      </c>
      <c r="EO22" s="2715">
        <v>1103</v>
      </c>
      <c r="EP22" s="2715">
        <v>1010</v>
      </c>
      <c r="EQ22" s="2716">
        <v>1007</v>
      </c>
      <c r="ER22" s="1347">
        <v>981</v>
      </c>
      <c r="ES22" s="3543">
        <v>895</v>
      </c>
      <c r="ET22" s="3543">
        <v>974</v>
      </c>
      <c r="EU22" s="2717">
        <v>1041</v>
      </c>
      <c r="EV22" s="2161">
        <v>1032</v>
      </c>
      <c r="EW22" s="2161">
        <v>969</v>
      </c>
      <c r="EX22" s="2161">
        <v>2132</v>
      </c>
      <c r="EY22" s="2161">
        <v>1183</v>
      </c>
      <c r="EZ22" s="2161">
        <v>1236</v>
      </c>
      <c r="FA22" s="2339">
        <v>803</v>
      </c>
      <c r="FB22" s="2339">
        <v>1077</v>
      </c>
      <c r="FC22" s="2339">
        <v>1204</v>
      </c>
      <c r="FD22" s="2765">
        <v>1022</v>
      </c>
      <c r="FE22" s="2766">
        <v>944</v>
      </c>
      <c r="FF22" s="2766">
        <v>564</v>
      </c>
      <c r="FG22" s="2766">
        <v>50</v>
      </c>
      <c r="FH22" s="2766">
        <v>87</v>
      </c>
      <c r="FI22" s="2766">
        <v>159</v>
      </c>
      <c r="FJ22" s="2766">
        <v>268</v>
      </c>
      <c r="FK22" s="2766">
        <v>310</v>
      </c>
      <c r="FL22" s="2766">
        <v>137</v>
      </c>
      <c r="FM22" s="2766">
        <v>147</v>
      </c>
      <c r="FN22" s="2766">
        <v>115</v>
      </c>
      <c r="FO22" s="2767">
        <v>375</v>
      </c>
      <c r="FP22" s="2765">
        <v>325</v>
      </c>
      <c r="FQ22" s="2766">
        <v>103</v>
      </c>
      <c r="FR22" s="2766">
        <v>130</v>
      </c>
      <c r="FS22" s="2766">
        <v>121</v>
      </c>
      <c r="FT22" s="2766">
        <v>109</v>
      </c>
      <c r="FU22" s="2766">
        <v>167</v>
      </c>
      <c r="FV22" s="2766">
        <v>328</v>
      </c>
      <c r="FW22" s="2766">
        <v>211</v>
      </c>
      <c r="FX22" s="2766">
        <v>240</v>
      </c>
      <c r="FY22" s="2766">
        <v>449</v>
      </c>
      <c r="FZ22" s="2766">
        <v>613</v>
      </c>
      <c r="GA22" s="2767">
        <v>735</v>
      </c>
      <c r="GB22" s="4559"/>
      <c r="GC22" s="4556"/>
      <c r="GD22" s="4556"/>
      <c r="GE22" s="4556"/>
      <c r="GF22" s="4556"/>
      <c r="GG22" s="4556"/>
      <c r="GH22" s="4556"/>
      <c r="GI22" s="4556"/>
      <c r="GJ22" s="4556"/>
      <c r="GK22" s="4556"/>
      <c r="GL22" s="4556"/>
      <c r="GM22" s="4560"/>
      <c r="GN22" s="2764"/>
      <c r="GO22" s="2911">
        <v>1066</v>
      </c>
      <c r="GP22" s="2912">
        <v>1085</v>
      </c>
      <c r="GQ22" s="2912">
        <v>2644</v>
      </c>
      <c r="GR22" s="2913">
        <v>1699</v>
      </c>
      <c r="GS22" s="2914">
        <v>1525</v>
      </c>
      <c r="GT22" s="2915">
        <v>1451</v>
      </c>
      <c r="GU22" s="2915">
        <v>3327</v>
      </c>
      <c r="GV22" s="2916">
        <v>1873</v>
      </c>
      <c r="GW22" s="2917">
        <v>1233</v>
      </c>
      <c r="GX22" s="2918">
        <v>1585.5</v>
      </c>
      <c r="GY22" s="2919">
        <v>2676</v>
      </c>
      <c r="GZ22" s="2919">
        <v>1763</v>
      </c>
      <c r="HA22" s="2920">
        <v>1262</v>
      </c>
      <c r="HB22" s="2921">
        <v>1281</v>
      </c>
      <c r="HC22" s="2921">
        <v>2383</v>
      </c>
      <c r="HD22" s="2922">
        <v>1698</v>
      </c>
      <c r="HE22" s="2923">
        <v>1128</v>
      </c>
      <c r="HF22" s="2924">
        <v>1143</v>
      </c>
      <c r="HG22" s="2924">
        <v>2212</v>
      </c>
      <c r="HH22" s="2925">
        <v>2081</v>
      </c>
      <c r="HI22" s="2921">
        <v>1322</v>
      </c>
      <c r="HJ22" s="2921">
        <v>1905</v>
      </c>
      <c r="HK22" s="2921">
        <v>2844</v>
      </c>
      <c r="HL22" s="2921">
        <v>2226</v>
      </c>
      <c r="HM22" s="2926">
        <v>2046</v>
      </c>
      <c r="HN22" s="2926">
        <v>2487</v>
      </c>
      <c r="HO22" s="2926">
        <v>3127</v>
      </c>
      <c r="HP22" s="2926">
        <v>2830</v>
      </c>
      <c r="HQ22" s="2927">
        <v>2620</v>
      </c>
      <c r="HR22" s="2927">
        <v>2480</v>
      </c>
      <c r="HS22" s="2927">
        <f t="shared" si="32"/>
        <v>3457</v>
      </c>
      <c r="HT22" s="2927">
        <v>2959</v>
      </c>
      <c r="HU22" s="2928">
        <v>2523</v>
      </c>
      <c r="HV22" s="2928">
        <f t="shared" si="33"/>
        <v>2658</v>
      </c>
      <c r="HW22" s="2928">
        <f t="shared" si="34"/>
        <v>3540</v>
      </c>
      <c r="HX22" s="2927">
        <f t="shared" si="35"/>
        <v>2969</v>
      </c>
      <c r="HY22" s="2846">
        <f t="shared" si="36"/>
        <v>2839</v>
      </c>
      <c r="HZ22" s="2846">
        <f t="shared" si="37"/>
        <v>2825</v>
      </c>
      <c r="IA22" s="2846">
        <f t="shared" si="38"/>
        <v>3878</v>
      </c>
      <c r="IB22" s="2846">
        <f t="shared" si="39"/>
        <v>3093</v>
      </c>
      <c r="IC22" s="2921">
        <f t="shared" si="40"/>
        <v>2464</v>
      </c>
      <c r="ID22" s="2921">
        <f t="shared" si="41"/>
        <v>2518</v>
      </c>
      <c r="IE22" s="2921">
        <f t="shared" si="42"/>
        <v>3608</v>
      </c>
      <c r="IF22" s="2921">
        <f t="shared" si="43"/>
        <v>2755</v>
      </c>
      <c r="IG22" s="2929">
        <f t="shared" si="44"/>
        <v>2617</v>
      </c>
      <c r="IH22" s="2926">
        <f t="shared" si="45"/>
        <v>2945</v>
      </c>
      <c r="II22" s="2926">
        <f t="shared" si="46"/>
        <v>4052</v>
      </c>
      <c r="IJ22" s="2926">
        <f t="shared" si="47"/>
        <v>3120</v>
      </c>
      <c r="IK22" s="2930">
        <f t="shared" si="48"/>
        <v>2850</v>
      </c>
      <c r="IL22" s="2931">
        <f t="shared" si="49"/>
        <v>3042</v>
      </c>
      <c r="IM22" s="2931">
        <f t="shared" si="50"/>
        <v>4551</v>
      </c>
      <c r="IN22" s="2931">
        <f t="shared" si="51"/>
        <v>3084</v>
      </c>
      <c r="IO22" s="2932">
        <f t="shared" si="52"/>
        <v>2530</v>
      </c>
      <c r="IP22" s="2933">
        <f t="shared" si="53"/>
        <v>296</v>
      </c>
      <c r="IQ22" s="2933">
        <f>FJ22+FK22+FL22</f>
        <v>715</v>
      </c>
      <c r="IR22" s="2934">
        <f t="shared" si="55"/>
        <v>637</v>
      </c>
      <c r="IS22" s="2929">
        <f t="shared" si="56"/>
        <v>558</v>
      </c>
      <c r="IT22" s="2926">
        <f t="shared" si="57"/>
        <v>397</v>
      </c>
      <c r="IU22" s="2926">
        <f t="shared" si="58"/>
        <v>779</v>
      </c>
      <c r="IV22" s="2926">
        <f t="shared" si="59"/>
        <v>1797</v>
      </c>
      <c r="IW22" s="4571">
        <f t="shared" si="76"/>
        <v>0</v>
      </c>
      <c r="IX22" s="2921">
        <f t="shared" si="77"/>
        <v>0</v>
      </c>
      <c r="IY22" s="2921">
        <f t="shared" si="78"/>
        <v>0</v>
      </c>
      <c r="IZ22" s="4572">
        <f t="shared" si="79"/>
        <v>0</v>
      </c>
      <c r="JA22" s="4545"/>
      <c r="JB22" s="3544">
        <v>6494</v>
      </c>
      <c r="JC22" s="3545">
        <v>8176</v>
      </c>
      <c r="JD22" s="3545">
        <v>7257.5</v>
      </c>
      <c r="JE22" s="3545">
        <v>6624</v>
      </c>
      <c r="JF22" s="3545">
        <v>6564</v>
      </c>
      <c r="JG22" s="3545">
        <v>8297</v>
      </c>
      <c r="JH22" s="3546">
        <v>10490</v>
      </c>
      <c r="JI22" s="3547">
        <v>11516</v>
      </c>
      <c r="JJ22" s="3547">
        <f t="shared" si="60"/>
        <v>11690</v>
      </c>
      <c r="JK22" s="3547">
        <f t="shared" si="61"/>
        <v>12857</v>
      </c>
      <c r="JL22" s="3547">
        <f t="shared" si="62"/>
        <v>11345</v>
      </c>
      <c r="JM22" s="3547">
        <f t="shared" si="63"/>
        <v>12734</v>
      </c>
      <c r="JN22" s="3548">
        <f t="shared" si="24"/>
        <v>13527</v>
      </c>
      <c r="JO22" s="3566">
        <f t="shared" si="64"/>
        <v>4178</v>
      </c>
      <c r="JP22" s="3564">
        <f t="shared" si="80"/>
        <v>3531</v>
      </c>
      <c r="JQ22" s="3564">
        <f t="shared" si="81"/>
        <v>3531</v>
      </c>
      <c r="JS22" s="3765">
        <f t="shared" si="82"/>
        <v>3531</v>
      </c>
      <c r="JT22" s="3765">
        <f t="shared" si="83"/>
        <v>3531</v>
      </c>
      <c r="JV22" s="3551">
        <f t="shared" si="84"/>
        <v>3746.6666666666665</v>
      </c>
      <c r="JW22" s="3552">
        <f t="shared" si="65"/>
        <v>2.0485129679140124E-2</v>
      </c>
      <c r="JX22" s="3552">
        <f t="shared" si="66"/>
        <v>1.7375496032505731E-2</v>
      </c>
      <c r="JY22" s="3552">
        <f t="shared" si="85"/>
        <v>1.8535662299854441E-2</v>
      </c>
      <c r="JZ22" s="3552">
        <f t="shared" si="67"/>
        <v>1.9689956331877728E-2</v>
      </c>
      <c r="KA22" s="3552">
        <f t="shared" si="68"/>
        <v>2.1827832837879493E-2</v>
      </c>
      <c r="KB22" s="4575">
        <f t="shared" si="69"/>
        <v>1.2566015174593232E-2</v>
      </c>
      <c r="KC22" s="3565">
        <f t="shared" si="86"/>
        <v>1.2566015174593232E-2</v>
      </c>
      <c r="KD22" s="3552"/>
      <c r="KE22" s="3554">
        <f t="shared" si="70"/>
        <v>-0.11760130668118529</v>
      </c>
      <c r="KF22" s="3555">
        <f t="shared" si="71"/>
        <v>-0.70858935469653361</v>
      </c>
      <c r="KG22" s="3555">
        <f t="shared" si="72"/>
        <v>0.12243278977523131</v>
      </c>
      <c r="KH22" s="3555">
        <f t="shared" si="73"/>
        <v>6.2274226480288908E-2</v>
      </c>
      <c r="KI22" s="3555">
        <f t="shared" si="74"/>
        <v>-0.69113624602646562</v>
      </c>
      <c r="KJ22" s="3556">
        <f t="shared" si="75"/>
        <v>-0.7389665114216013</v>
      </c>
      <c r="KK22" s="3557">
        <f t="shared" si="87"/>
        <v>-0.15485878410722831</v>
      </c>
      <c r="KM22" s="3231"/>
      <c r="KN22" s="3231"/>
      <c r="KO22" s="3231"/>
      <c r="KP22" s="3231"/>
      <c r="KQ22" s="3231"/>
      <c r="KR22" s="3231"/>
      <c r="KS22" s="3231"/>
      <c r="KT22" s="3231"/>
      <c r="KU22" s="3231"/>
      <c r="KV22" s="3231"/>
      <c r="KW22" s="3231"/>
      <c r="KX22" s="3231"/>
      <c r="KY22" s="3231"/>
      <c r="KZ22" s="3231"/>
      <c r="LA22" s="3231"/>
      <c r="LB22" s="3231"/>
      <c r="LC22" s="3231"/>
      <c r="LD22" s="3231"/>
      <c r="LE22" s="3231"/>
      <c r="LF22" s="3231"/>
      <c r="LG22" s="3231"/>
      <c r="LH22" s="3231"/>
      <c r="LI22" s="3231"/>
    </row>
    <row r="23" spans="1:321" ht="21.9" customHeight="1">
      <c r="A23" s="3568"/>
      <c r="B23" s="3231"/>
      <c r="C23" s="3567" t="s">
        <v>23</v>
      </c>
      <c r="D23" s="3516">
        <v>364</v>
      </c>
      <c r="E23" s="3517">
        <v>398</v>
      </c>
      <c r="F23" s="3517">
        <v>362</v>
      </c>
      <c r="G23" s="3517">
        <v>333</v>
      </c>
      <c r="H23" s="3517">
        <v>305</v>
      </c>
      <c r="I23" s="3517">
        <v>347</v>
      </c>
      <c r="J23" s="3517">
        <v>748</v>
      </c>
      <c r="K23" s="3517">
        <v>334</v>
      </c>
      <c r="L23" s="3517">
        <v>478</v>
      </c>
      <c r="M23" s="3517">
        <v>546</v>
      </c>
      <c r="N23" s="3517">
        <v>492</v>
      </c>
      <c r="O23" s="3518">
        <v>429</v>
      </c>
      <c r="P23" s="3519">
        <v>442</v>
      </c>
      <c r="Q23" s="3520">
        <v>593</v>
      </c>
      <c r="R23" s="3520">
        <v>475</v>
      </c>
      <c r="S23" s="3520">
        <v>378</v>
      </c>
      <c r="T23" s="3520">
        <v>364</v>
      </c>
      <c r="U23" s="3520">
        <v>401</v>
      </c>
      <c r="V23" s="3520">
        <v>795</v>
      </c>
      <c r="W23" s="3520">
        <v>418</v>
      </c>
      <c r="X23" s="3520">
        <v>410</v>
      </c>
      <c r="Y23" s="3520">
        <v>462</v>
      </c>
      <c r="Z23" s="3520">
        <v>547</v>
      </c>
      <c r="AA23" s="3521">
        <v>450</v>
      </c>
      <c r="AB23" s="3522">
        <v>472</v>
      </c>
      <c r="AC23" s="3523">
        <v>324</v>
      </c>
      <c r="AD23" s="3523">
        <v>379</v>
      </c>
      <c r="AE23" s="3523">
        <v>343</v>
      </c>
      <c r="AF23" s="3523">
        <v>385.5</v>
      </c>
      <c r="AG23" s="3523">
        <v>428</v>
      </c>
      <c r="AH23" s="3523">
        <v>875</v>
      </c>
      <c r="AI23" s="3523">
        <v>391</v>
      </c>
      <c r="AJ23" s="3523">
        <v>458</v>
      </c>
      <c r="AK23" s="3523">
        <v>460</v>
      </c>
      <c r="AL23" s="3523">
        <v>532</v>
      </c>
      <c r="AM23" s="3524">
        <v>487</v>
      </c>
      <c r="AN23" s="3525">
        <v>443</v>
      </c>
      <c r="AO23" s="3526">
        <v>376</v>
      </c>
      <c r="AP23" s="3526">
        <v>358</v>
      </c>
      <c r="AQ23" s="3526">
        <v>310</v>
      </c>
      <c r="AR23" s="3526">
        <v>315</v>
      </c>
      <c r="AS23" s="3526">
        <v>379</v>
      </c>
      <c r="AT23" s="3526">
        <v>783</v>
      </c>
      <c r="AU23" s="3526">
        <v>396</v>
      </c>
      <c r="AV23" s="3526">
        <v>362</v>
      </c>
      <c r="AW23" s="3526">
        <v>563</v>
      </c>
      <c r="AX23" s="3526">
        <v>559</v>
      </c>
      <c r="AY23" s="3527">
        <v>469</v>
      </c>
      <c r="AZ23" s="3463">
        <v>429</v>
      </c>
      <c r="BA23" s="3463">
        <v>404</v>
      </c>
      <c r="BB23" s="3463">
        <v>315</v>
      </c>
      <c r="BC23" s="3463">
        <v>400</v>
      </c>
      <c r="BD23" s="3463">
        <v>329</v>
      </c>
      <c r="BE23" s="3463">
        <v>370</v>
      </c>
      <c r="BF23" s="3463">
        <v>834</v>
      </c>
      <c r="BG23" s="3463">
        <v>402</v>
      </c>
      <c r="BH23" s="3463">
        <v>363</v>
      </c>
      <c r="BI23" s="3463">
        <v>578</v>
      </c>
      <c r="BJ23" s="3463">
        <v>603</v>
      </c>
      <c r="BK23" s="3560">
        <v>577</v>
      </c>
      <c r="BL23" s="3530">
        <v>442</v>
      </c>
      <c r="BM23" s="3531">
        <v>386</v>
      </c>
      <c r="BN23" s="3531">
        <v>342</v>
      </c>
      <c r="BO23" s="3531">
        <v>413</v>
      </c>
      <c r="BP23" s="3531">
        <v>323</v>
      </c>
      <c r="BQ23" s="3531">
        <v>446</v>
      </c>
      <c r="BR23" s="3531">
        <v>986</v>
      </c>
      <c r="BS23" s="3531">
        <v>441</v>
      </c>
      <c r="BT23" s="3532">
        <v>500</v>
      </c>
      <c r="BU23" s="3532">
        <v>622</v>
      </c>
      <c r="BV23" s="3532">
        <v>645</v>
      </c>
      <c r="BW23" s="3533">
        <v>674</v>
      </c>
      <c r="BX23" s="3534">
        <v>449</v>
      </c>
      <c r="BY23" s="3459">
        <v>392</v>
      </c>
      <c r="BZ23" s="3459">
        <v>495</v>
      </c>
      <c r="CA23" s="3459">
        <v>430</v>
      </c>
      <c r="CB23" s="3459">
        <v>411</v>
      </c>
      <c r="CC23" s="3459">
        <v>419</v>
      </c>
      <c r="CD23" s="3459">
        <v>996</v>
      </c>
      <c r="CE23" s="3459">
        <v>438</v>
      </c>
      <c r="CF23" s="3459">
        <v>418</v>
      </c>
      <c r="CG23" s="3459">
        <v>574</v>
      </c>
      <c r="CH23" s="3459">
        <v>598</v>
      </c>
      <c r="CI23" s="3461">
        <v>671</v>
      </c>
      <c r="CJ23" s="3535">
        <v>474</v>
      </c>
      <c r="CK23" s="3536">
        <v>485</v>
      </c>
      <c r="CL23" s="3536">
        <v>443</v>
      </c>
      <c r="CM23" s="3536">
        <v>516</v>
      </c>
      <c r="CN23" s="3536">
        <v>447</v>
      </c>
      <c r="CO23" s="3536">
        <v>401</v>
      </c>
      <c r="CP23" s="3536">
        <v>1000</v>
      </c>
      <c r="CQ23" s="3536">
        <v>403</v>
      </c>
      <c r="CR23" s="3536">
        <v>432</v>
      </c>
      <c r="CS23" s="3536">
        <v>612</v>
      </c>
      <c r="CT23" s="3536">
        <v>615</v>
      </c>
      <c r="CU23" s="3537">
        <v>638</v>
      </c>
      <c r="CV23" s="3535">
        <v>514</v>
      </c>
      <c r="CW23" s="3536">
        <v>443</v>
      </c>
      <c r="CX23" s="3458">
        <v>472</v>
      </c>
      <c r="CY23" s="3458">
        <v>513</v>
      </c>
      <c r="CZ23" s="3458">
        <v>444</v>
      </c>
      <c r="DA23" s="3458">
        <v>445</v>
      </c>
      <c r="DB23" s="3458">
        <v>1074</v>
      </c>
      <c r="DC23" s="3458">
        <v>403</v>
      </c>
      <c r="DD23" s="3458">
        <v>441</v>
      </c>
      <c r="DE23" s="3458">
        <v>599</v>
      </c>
      <c r="DF23" s="3458">
        <v>582</v>
      </c>
      <c r="DG23" s="3537">
        <v>596</v>
      </c>
      <c r="DH23" s="3538">
        <v>566</v>
      </c>
      <c r="DI23" s="3539">
        <v>575</v>
      </c>
      <c r="DJ23" s="3539">
        <v>533</v>
      </c>
      <c r="DK23" s="3540">
        <v>489</v>
      </c>
      <c r="DL23" s="3540">
        <v>387</v>
      </c>
      <c r="DM23" s="3540">
        <v>383</v>
      </c>
      <c r="DN23" s="3540">
        <v>1133</v>
      </c>
      <c r="DO23" s="3540">
        <v>480</v>
      </c>
      <c r="DP23" s="2713">
        <v>403</v>
      </c>
      <c r="DQ23" s="3540">
        <v>692</v>
      </c>
      <c r="DR23" s="3540">
        <v>501</v>
      </c>
      <c r="DS23" s="3541">
        <v>545</v>
      </c>
      <c r="DT23" s="3542">
        <v>510</v>
      </c>
      <c r="DU23" s="3429">
        <v>457</v>
      </c>
      <c r="DV23" s="3429">
        <v>436</v>
      </c>
      <c r="DW23" s="3350">
        <v>611</v>
      </c>
      <c r="DX23" s="3350">
        <v>335</v>
      </c>
      <c r="DY23" s="3350">
        <v>452</v>
      </c>
      <c r="DZ23" s="3350">
        <v>981</v>
      </c>
      <c r="EA23" s="3350">
        <v>427</v>
      </c>
      <c r="EB23" s="3350">
        <v>447</v>
      </c>
      <c r="EC23" s="3350">
        <v>575</v>
      </c>
      <c r="ED23" s="3350">
        <v>478</v>
      </c>
      <c r="EE23" s="3349">
        <v>579</v>
      </c>
      <c r="EF23" s="2689">
        <v>507</v>
      </c>
      <c r="EG23" s="2688">
        <v>534</v>
      </c>
      <c r="EH23" s="2688">
        <v>515</v>
      </c>
      <c r="EI23" s="2688">
        <v>487</v>
      </c>
      <c r="EJ23" s="2688">
        <v>373</v>
      </c>
      <c r="EK23" s="2688">
        <v>437</v>
      </c>
      <c r="EL23" s="2688">
        <v>1093</v>
      </c>
      <c r="EM23" s="2714">
        <v>415</v>
      </c>
      <c r="EN23" s="2714">
        <v>526</v>
      </c>
      <c r="EO23" s="2715">
        <v>655</v>
      </c>
      <c r="EP23" s="2715">
        <v>579</v>
      </c>
      <c r="EQ23" s="2716">
        <v>714</v>
      </c>
      <c r="ER23" s="1348">
        <v>500</v>
      </c>
      <c r="ES23" s="3543">
        <v>462</v>
      </c>
      <c r="ET23" s="3543">
        <v>398</v>
      </c>
      <c r="EU23" s="2717">
        <v>546</v>
      </c>
      <c r="EV23" s="2162">
        <v>441</v>
      </c>
      <c r="EW23" s="2162">
        <v>503</v>
      </c>
      <c r="EX23" s="2162">
        <v>1198</v>
      </c>
      <c r="EY23" s="2162">
        <v>550</v>
      </c>
      <c r="EZ23" s="2162">
        <v>532</v>
      </c>
      <c r="FA23" s="2339">
        <v>538</v>
      </c>
      <c r="FB23" s="2339">
        <v>589</v>
      </c>
      <c r="FC23" s="2339">
        <v>776</v>
      </c>
      <c r="FD23" s="2765">
        <v>571</v>
      </c>
      <c r="FE23" s="2766">
        <v>552</v>
      </c>
      <c r="FF23" s="2766">
        <v>193</v>
      </c>
      <c r="FG23" s="2766">
        <v>35</v>
      </c>
      <c r="FH23" s="2766">
        <v>2</v>
      </c>
      <c r="FI23" s="2766">
        <v>3</v>
      </c>
      <c r="FJ23" s="2766">
        <v>30</v>
      </c>
      <c r="FK23" s="2766">
        <v>34</v>
      </c>
      <c r="FL23" s="2766">
        <v>34</v>
      </c>
      <c r="FM23" s="2766">
        <v>67</v>
      </c>
      <c r="FN23" s="2766">
        <v>84</v>
      </c>
      <c r="FO23" s="2767">
        <v>202</v>
      </c>
      <c r="FP23" s="2765">
        <v>97</v>
      </c>
      <c r="FQ23" s="2766">
        <v>118</v>
      </c>
      <c r="FR23" s="2766">
        <v>135</v>
      </c>
      <c r="FS23" s="2766">
        <v>186</v>
      </c>
      <c r="FT23" s="2766">
        <v>125</v>
      </c>
      <c r="FU23" s="2766">
        <v>171</v>
      </c>
      <c r="FV23" s="2766">
        <v>569</v>
      </c>
      <c r="FW23" s="2766">
        <v>250</v>
      </c>
      <c r="FX23" s="2766">
        <v>239</v>
      </c>
      <c r="FY23" s="2766">
        <v>445</v>
      </c>
      <c r="FZ23" s="2766">
        <v>394</v>
      </c>
      <c r="GA23" s="2767">
        <v>466</v>
      </c>
      <c r="GB23" s="4561"/>
      <c r="GC23" s="4557"/>
      <c r="GD23" s="4557"/>
      <c r="GE23" s="4557"/>
      <c r="GF23" s="4557"/>
      <c r="GG23" s="4557"/>
      <c r="GH23" s="4557"/>
      <c r="GI23" s="4557"/>
      <c r="GJ23" s="4557"/>
      <c r="GK23" s="4557"/>
      <c r="GL23" s="4557"/>
      <c r="GM23" s="4562"/>
      <c r="GN23" s="2764"/>
      <c r="GO23" s="2911">
        <v>1124</v>
      </c>
      <c r="GP23" s="2912">
        <v>985</v>
      </c>
      <c r="GQ23" s="2912">
        <v>1560</v>
      </c>
      <c r="GR23" s="2913">
        <v>1467</v>
      </c>
      <c r="GS23" s="2914">
        <v>1510</v>
      </c>
      <c r="GT23" s="2915">
        <v>1143</v>
      </c>
      <c r="GU23" s="2915">
        <v>1623</v>
      </c>
      <c r="GV23" s="2916">
        <v>1459</v>
      </c>
      <c r="GW23" s="2917">
        <v>1175</v>
      </c>
      <c r="GX23" s="2918">
        <v>1156.5</v>
      </c>
      <c r="GY23" s="2919">
        <v>1724</v>
      </c>
      <c r="GZ23" s="2919">
        <v>1479</v>
      </c>
      <c r="HA23" s="2920">
        <v>1177</v>
      </c>
      <c r="HB23" s="2921">
        <v>1004</v>
      </c>
      <c r="HC23" s="2921">
        <v>1541</v>
      </c>
      <c r="HD23" s="2922">
        <v>1591</v>
      </c>
      <c r="HE23" s="2923">
        <v>1148</v>
      </c>
      <c r="HF23" s="2924">
        <v>1099</v>
      </c>
      <c r="HG23" s="2924">
        <v>1599</v>
      </c>
      <c r="HH23" s="2925">
        <v>1758</v>
      </c>
      <c r="HI23" s="2921">
        <v>1170</v>
      </c>
      <c r="HJ23" s="2921">
        <v>1182</v>
      </c>
      <c r="HK23" s="2921">
        <v>1927</v>
      </c>
      <c r="HL23" s="2921">
        <v>1941</v>
      </c>
      <c r="HM23" s="2926">
        <v>1336</v>
      </c>
      <c r="HN23" s="2926">
        <v>1260</v>
      </c>
      <c r="HO23" s="2926">
        <v>1852</v>
      </c>
      <c r="HP23" s="2926">
        <v>1843</v>
      </c>
      <c r="HQ23" s="2927">
        <v>1402</v>
      </c>
      <c r="HR23" s="2927">
        <v>1364</v>
      </c>
      <c r="HS23" s="2927">
        <f t="shared" si="32"/>
        <v>1835</v>
      </c>
      <c r="HT23" s="2927">
        <v>1865</v>
      </c>
      <c r="HU23" s="2928">
        <v>1429</v>
      </c>
      <c r="HV23" s="2928">
        <f t="shared" si="33"/>
        <v>1402</v>
      </c>
      <c r="HW23" s="2928">
        <f t="shared" si="34"/>
        <v>1918</v>
      </c>
      <c r="HX23" s="2927">
        <f t="shared" si="35"/>
        <v>1777</v>
      </c>
      <c r="HY23" s="2846">
        <f t="shared" si="36"/>
        <v>1674</v>
      </c>
      <c r="HZ23" s="2846">
        <f t="shared" si="37"/>
        <v>1259</v>
      </c>
      <c r="IA23" s="2846">
        <f t="shared" si="38"/>
        <v>2158</v>
      </c>
      <c r="IB23" s="2846">
        <f t="shared" si="39"/>
        <v>1738</v>
      </c>
      <c r="IC23" s="2921">
        <f t="shared" si="40"/>
        <v>1403</v>
      </c>
      <c r="ID23" s="2921">
        <f t="shared" si="41"/>
        <v>1398</v>
      </c>
      <c r="IE23" s="2921">
        <f t="shared" si="42"/>
        <v>1855</v>
      </c>
      <c r="IF23" s="2921">
        <f t="shared" si="43"/>
        <v>1632</v>
      </c>
      <c r="IG23" s="2929">
        <f t="shared" si="44"/>
        <v>1556</v>
      </c>
      <c r="IH23" s="2926">
        <f t="shared" si="45"/>
        <v>1297</v>
      </c>
      <c r="II23" s="2926">
        <f t="shared" si="46"/>
        <v>2034</v>
      </c>
      <c r="IJ23" s="2926">
        <f t="shared" si="47"/>
        <v>1948</v>
      </c>
      <c r="IK23" s="2930">
        <f t="shared" si="48"/>
        <v>1360</v>
      </c>
      <c r="IL23" s="2931">
        <f t="shared" si="49"/>
        <v>1490</v>
      </c>
      <c r="IM23" s="2931">
        <f t="shared" si="50"/>
        <v>2280</v>
      </c>
      <c r="IN23" s="2931">
        <f t="shared" si="51"/>
        <v>1903</v>
      </c>
      <c r="IO23" s="2932">
        <f t="shared" si="52"/>
        <v>1316</v>
      </c>
      <c r="IP23" s="2933">
        <f t="shared" si="53"/>
        <v>40</v>
      </c>
      <c r="IQ23" s="2933">
        <f>FJ23+FK23+FL23</f>
        <v>98</v>
      </c>
      <c r="IR23" s="2934">
        <f t="shared" si="55"/>
        <v>353</v>
      </c>
      <c r="IS23" s="2929">
        <f t="shared" si="56"/>
        <v>350</v>
      </c>
      <c r="IT23" s="2926">
        <f t="shared" si="57"/>
        <v>482</v>
      </c>
      <c r="IU23" s="2926">
        <f t="shared" si="58"/>
        <v>1058</v>
      </c>
      <c r="IV23" s="2926">
        <f t="shared" si="59"/>
        <v>1305</v>
      </c>
      <c r="IW23" s="4549">
        <f t="shared" si="76"/>
        <v>0</v>
      </c>
      <c r="IX23" s="4541">
        <f t="shared" si="77"/>
        <v>0</v>
      </c>
      <c r="IY23" s="4541">
        <f t="shared" si="78"/>
        <v>0</v>
      </c>
      <c r="IZ23" s="4550">
        <f t="shared" si="79"/>
        <v>0</v>
      </c>
      <c r="JA23" s="4545"/>
      <c r="JB23" s="3544">
        <v>5136</v>
      </c>
      <c r="JC23" s="3545">
        <v>5735</v>
      </c>
      <c r="JD23" s="3545">
        <v>5534.5</v>
      </c>
      <c r="JE23" s="3545">
        <v>5313</v>
      </c>
      <c r="JF23" s="3545">
        <v>5604</v>
      </c>
      <c r="JG23" s="3545">
        <v>6220</v>
      </c>
      <c r="JH23" s="3546">
        <v>6291</v>
      </c>
      <c r="JI23" s="3547">
        <v>6466</v>
      </c>
      <c r="JJ23" s="3547">
        <f t="shared" si="60"/>
        <v>6526</v>
      </c>
      <c r="JK23" s="3547">
        <f t="shared" si="61"/>
        <v>6687</v>
      </c>
      <c r="JL23" s="3547">
        <f t="shared" si="62"/>
        <v>6288</v>
      </c>
      <c r="JM23" s="3547">
        <f t="shared" si="63"/>
        <v>6835</v>
      </c>
      <c r="JN23" s="3548">
        <f t="shared" si="24"/>
        <v>7033</v>
      </c>
      <c r="JO23" s="3566">
        <f t="shared" si="64"/>
        <v>1807</v>
      </c>
      <c r="JP23" s="3564">
        <f t="shared" si="80"/>
        <v>3195</v>
      </c>
      <c r="JQ23" s="3564">
        <f t="shared" si="81"/>
        <v>3195</v>
      </c>
      <c r="JS23" s="3765">
        <f t="shared" si="82"/>
        <v>3195</v>
      </c>
      <c r="JT23" s="3765">
        <f t="shared" si="83"/>
        <v>3195</v>
      </c>
      <c r="JV23" s="3551">
        <f t="shared" si="84"/>
        <v>2732.3333333333335</v>
      </c>
      <c r="JW23" s="3552">
        <f t="shared" si="65"/>
        <v>1.0654434328724432E-2</v>
      </c>
      <c r="JX23" s="3552">
        <f t="shared" si="66"/>
        <v>9.6304203660111092E-3</v>
      </c>
      <c r="JY23" s="3552">
        <f t="shared" si="85"/>
        <v>9.9490538573508008E-3</v>
      </c>
      <c r="JZ23" s="3552">
        <f t="shared" si="67"/>
        <v>1.02372634643377E-2</v>
      </c>
      <c r="KA23" s="3552">
        <f t="shared" si="68"/>
        <v>9.4406160694227477E-3</v>
      </c>
      <c r="KB23" s="4575">
        <f t="shared" si="69"/>
        <v>1.1370268615923359E-2</v>
      </c>
      <c r="KC23" s="3565">
        <f t="shared" si="86"/>
        <v>1.1370268615923359E-2</v>
      </c>
      <c r="KD23" s="3552"/>
      <c r="KE23" s="3554">
        <f t="shared" si="70"/>
        <v>-5.9668012561686856E-2</v>
      </c>
      <c r="KF23" s="3555">
        <f t="shared" si="71"/>
        <v>-0.5913962414635362</v>
      </c>
      <c r="KG23" s="3555">
        <f t="shared" si="72"/>
        <v>8.6991094147582659E-2</v>
      </c>
      <c r="KH23" s="3555">
        <f t="shared" si="73"/>
        <v>2.8968544257498063E-2</v>
      </c>
      <c r="KI23" s="3555">
        <f t="shared" si="74"/>
        <v>-0.7430683918669132</v>
      </c>
      <c r="KJ23" s="3556">
        <f t="shared" si="75"/>
        <v>-0.54571306696999855</v>
      </c>
      <c r="KK23" s="3557">
        <f t="shared" si="87"/>
        <v>0.76812396236856673</v>
      </c>
      <c r="KM23" s="3231"/>
      <c r="KN23" s="3231"/>
      <c r="KO23" s="3231"/>
      <c r="KP23" s="3231"/>
      <c r="KQ23" s="3231"/>
      <c r="KR23" s="3231"/>
      <c r="KS23" s="3231"/>
      <c r="KT23" s="3231"/>
      <c r="KU23" s="3231"/>
      <c r="KV23" s="3231"/>
      <c r="KW23" s="3231"/>
      <c r="KX23" s="3231"/>
      <c r="KY23" s="3231"/>
      <c r="KZ23" s="3231"/>
      <c r="LA23" s="3231"/>
      <c r="LB23" s="3231"/>
      <c r="LC23" s="3231"/>
      <c r="LD23" s="3231"/>
      <c r="LE23" s="3231"/>
      <c r="LF23" s="3231"/>
      <c r="LG23" s="3231"/>
      <c r="LH23" s="3231"/>
      <c r="LI23" s="3231"/>
    </row>
    <row r="24" spans="1:321" ht="21.9" customHeight="1">
      <c r="A24" s="3568"/>
      <c r="B24" s="3231"/>
      <c r="C24" s="3567" t="s">
        <v>19</v>
      </c>
      <c r="D24" s="3516">
        <v>106</v>
      </c>
      <c r="E24" s="3517">
        <v>77</v>
      </c>
      <c r="F24" s="3517">
        <v>164</v>
      </c>
      <c r="G24" s="3517">
        <v>124</v>
      </c>
      <c r="H24" s="3517">
        <v>101</v>
      </c>
      <c r="I24" s="3517">
        <v>151</v>
      </c>
      <c r="J24" s="3517">
        <v>131</v>
      </c>
      <c r="K24" s="3517">
        <v>168</v>
      </c>
      <c r="L24" s="3517">
        <v>204</v>
      </c>
      <c r="M24" s="3517">
        <v>300</v>
      </c>
      <c r="N24" s="3517">
        <v>233</v>
      </c>
      <c r="O24" s="3518">
        <v>211</v>
      </c>
      <c r="P24" s="3519">
        <v>300</v>
      </c>
      <c r="Q24" s="3520">
        <v>404</v>
      </c>
      <c r="R24" s="3520">
        <v>290</v>
      </c>
      <c r="S24" s="3520">
        <v>346</v>
      </c>
      <c r="T24" s="3520">
        <v>350</v>
      </c>
      <c r="U24" s="3520">
        <v>372</v>
      </c>
      <c r="V24" s="3520">
        <v>536</v>
      </c>
      <c r="W24" s="3520">
        <v>619</v>
      </c>
      <c r="X24" s="3520">
        <v>611</v>
      </c>
      <c r="Y24" s="3520">
        <v>684</v>
      </c>
      <c r="Z24" s="3520">
        <v>721</v>
      </c>
      <c r="AA24" s="3521">
        <v>903</v>
      </c>
      <c r="AB24" s="3522">
        <v>1157</v>
      </c>
      <c r="AC24" s="3523">
        <v>1112</v>
      </c>
      <c r="AD24" s="3523">
        <v>1391</v>
      </c>
      <c r="AE24" s="3523">
        <v>1532</v>
      </c>
      <c r="AF24" s="3523">
        <v>1541.5</v>
      </c>
      <c r="AG24" s="3523">
        <v>1551</v>
      </c>
      <c r="AH24" s="3523">
        <v>1371</v>
      </c>
      <c r="AI24" s="3523">
        <v>1483</v>
      </c>
      <c r="AJ24" s="3523">
        <v>1483</v>
      </c>
      <c r="AK24" s="3523">
        <v>1483</v>
      </c>
      <c r="AL24" s="3523">
        <v>1508</v>
      </c>
      <c r="AM24" s="3524">
        <v>1112</v>
      </c>
      <c r="AN24" s="3525">
        <v>1670</v>
      </c>
      <c r="AO24" s="3526">
        <v>1244</v>
      </c>
      <c r="AP24" s="3526">
        <v>1508</v>
      </c>
      <c r="AQ24" s="3526">
        <v>1345</v>
      </c>
      <c r="AR24" s="3526">
        <v>1092</v>
      </c>
      <c r="AS24" s="3526">
        <v>1109</v>
      </c>
      <c r="AT24" s="3526">
        <v>891</v>
      </c>
      <c r="AU24" s="3526">
        <v>1140</v>
      </c>
      <c r="AV24" s="3526">
        <v>997</v>
      </c>
      <c r="AW24" s="3526">
        <v>1311</v>
      </c>
      <c r="AX24" s="3526">
        <v>1203</v>
      </c>
      <c r="AY24" s="3527">
        <v>960</v>
      </c>
      <c r="AZ24" s="3463">
        <v>992</v>
      </c>
      <c r="BA24" s="3463">
        <v>732</v>
      </c>
      <c r="BB24" s="3463">
        <v>978</v>
      </c>
      <c r="BC24" s="3463">
        <v>817</v>
      </c>
      <c r="BD24" s="3463">
        <v>838</v>
      </c>
      <c r="BE24" s="3463">
        <v>887</v>
      </c>
      <c r="BF24" s="3463">
        <v>692</v>
      </c>
      <c r="BG24" s="3463">
        <v>892</v>
      </c>
      <c r="BH24" s="3463">
        <v>731</v>
      </c>
      <c r="BI24" s="3463">
        <v>750</v>
      </c>
      <c r="BJ24" s="3463">
        <v>871</v>
      </c>
      <c r="BK24" s="3560">
        <v>710</v>
      </c>
      <c r="BL24" s="3530">
        <v>499</v>
      </c>
      <c r="BM24" s="3531">
        <v>499</v>
      </c>
      <c r="BN24" s="3531">
        <v>547</v>
      </c>
      <c r="BO24" s="3531">
        <v>895</v>
      </c>
      <c r="BP24" s="3531">
        <v>771</v>
      </c>
      <c r="BQ24" s="3531">
        <v>1058</v>
      </c>
      <c r="BR24" s="3531">
        <v>888</v>
      </c>
      <c r="BS24" s="3531">
        <v>976</v>
      </c>
      <c r="BT24" s="3532">
        <v>831</v>
      </c>
      <c r="BU24" s="3532">
        <v>1039</v>
      </c>
      <c r="BV24" s="3532">
        <v>1026</v>
      </c>
      <c r="BW24" s="3533">
        <v>1042</v>
      </c>
      <c r="BX24" s="3534">
        <v>750</v>
      </c>
      <c r="BY24" s="3459">
        <v>510</v>
      </c>
      <c r="BZ24" s="3459">
        <v>450</v>
      </c>
      <c r="CA24" s="3459">
        <v>871</v>
      </c>
      <c r="CB24" s="3459">
        <v>931</v>
      </c>
      <c r="CC24" s="3459">
        <v>942</v>
      </c>
      <c r="CD24" s="3459">
        <v>982</v>
      </c>
      <c r="CE24" s="3459">
        <v>1290</v>
      </c>
      <c r="CF24" s="3459">
        <v>1267</v>
      </c>
      <c r="CG24" s="3459">
        <v>1309</v>
      </c>
      <c r="CH24" s="3459">
        <v>1575</v>
      </c>
      <c r="CI24" s="3461">
        <v>1856</v>
      </c>
      <c r="CJ24" s="3535">
        <v>893</v>
      </c>
      <c r="CK24" s="3536">
        <v>801</v>
      </c>
      <c r="CL24" s="3536">
        <v>871</v>
      </c>
      <c r="CM24" s="3536">
        <v>1883</v>
      </c>
      <c r="CN24" s="3536">
        <v>2034</v>
      </c>
      <c r="CO24" s="3536">
        <v>2126</v>
      </c>
      <c r="CP24" s="3536">
        <v>2458</v>
      </c>
      <c r="CQ24" s="3536">
        <v>2398</v>
      </c>
      <c r="CR24" s="3536">
        <v>2644</v>
      </c>
      <c r="CS24" s="3536">
        <v>3590</v>
      </c>
      <c r="CT24" s="3536">
        <v>3991</v>
      </c>
      <c r="CU24" s="3537">
        <v>4790</v>
      </c>
      <c r="CV24" s="3535">
        <v>3360</v>
      </c>
      <c r="CW24" s="3536">
        <v>3179</v>
      </c>
      <c r="CX24" s="3458">
        <v>4515</v>
      </c>
      <c r="CY24" s="3458">
        <v>4321</v>
      </c>
      <c r="CZ24" s="3458">
        <v>4182</v>
      </c>
      <c r="DA24" s="3458">
        <v>4631</v>
      </c>
      <c r="DB24" s="3458">
        <v>4067</v>
      </c>
      <c r="DC24" s="3458">
        <v>3726</v>
      </c>
      <c r="DD24" s="3458">
        <v>5741</v>
      </c>
      <c r="DE24" s="3458">
        <v>5804</v>
      </c>
      <c r="DF24" s="3458">
        <v>9307</v>
      </c>
      <c r="DG24" s="3537">
        <v>5009</v>
      </c>
      <c r="DH24" s="3538">
        <v>1225</v>
      </c>
      <c r="DI24" s="3539">
        <v>2019</v>
      </c>
      <c r="DJ24" s="3539">
        <v>907</v>
      </c>
      <c r="DK24" s="3540">
        <v>278</v>
      </c>
      <c r="DL24" s="3540">
        <v>325</v>
      </c>
      <c r="DM24" s="3540">
        <v>306</v>
      </c>
      <c r="DN24" s="3540">
        <v>246</v>
      </c>
      <c r="DO24" s="3540">
        <v>246</v>
      </c>
      <c r="DP24" s="2713">
        <v>765</v>
      </c>
      <c r="DQ24" s="3540">
        <v>506</v>
      </c>
      <c r="DR24" s="3540">
        <v>429</v>
      </c>
      <c r="DS24" s="3541">
        <v>379</v>
      </c>
      <c r="DT24" s="3542">
        <v>338</v>
      </c>
      <c r="DU24" s="3429">
        <v>315</v>
      </c>
      <c r="DV24" s="3429">
        <v>296</v>
      </c>
      <c r="DW24" s="3350">
        <v>264</v>
      </c>
      <c r="DX24" s="3350">
        <v>350</v>
      </c>
      <c r="DY24" s="3350">
        <v>296</v>
      </c>
      <c r="DZ24" s="3350">
        <v>339</v>
      </c>
      <c r="EA24" s="3350">
        <v>273</v>
      </c>
      <c r="EB24" s="3350">
        <v>322</v>
      </c>
      <c r="EC24" s="3350">
        <v>328</v>
      </c>
      <c r="ED24" s="3350">
        <v>362</v>
      </c>
      <c r="EE24" s="3349">
        <v>330</v>
      </c>
      <c r="EF24" s="2689">
        <v>267</v>
      </c>
      <c r="EG24" s="2688">
        <v>279</v>
      </c>
      <c r="EH24" s="2688">
        <v>283</v>
      </c>
      <c r="EI24" s="2688">
        <v>288</v>
      </c>
      <c r="EJ24" s="2688">
        <v>317</v>
      </c>
      <c r="EK24" s="2688">
        <v>290</v>
      </c>
      <c r="EL24" s="2688">
        <v>325</v>
      </c>
      <c r="EM24" s="2714">
        <v>300</v>
      </c>
      <c r="EN24" s="2714">
        <v>287</v>
      </c>
      <c r="EO24" s="2715">
        <v>320</v>
      </c>
      <c r="EP24" s="2715">
        <v>345</v>
      </c>
      <c r="EQ24" s="2716">
        <v>273</v>
      </c>
      <c r="ER24" s="1348">
        <v>305</v>
      </c>
      <c r="ES24" s="3543">
        <v>219</v>
      </c>
      <c r="ET24" s="3543">
        <v>261</v>
      </c>
      <c r="EU24" s="2717">
        <v>226</v>
      </c>
      <c r="EV24" s="2162">
        <v>800</v>
      </c>
      <c r="EW24" s="2162">
        <v>686</v>
      </c>
      <c r="EX24" s="2162">
        <v>764</v>
      </c>
      <c r="EY24" s="2162">
        <v>1134</v>
      </c>
      <c r="EZ24" s="2162">
        <v>1157</v>
      </c>
      <c r="FA24" s="2339">
        <v>725</v>
      </c>
      <c r="FB24" s="2339">
        <v>701</v>
      </c>
      <c r="FC24" s="2339">
        <v>596</v>
      </c>
      <c r="FD24" s="2772">
        <v>1012</v>
      </c>
      <c r="FE24" s="2773">
        <v>617</v>
      </c>
      <c r="FF24" s="2773">
        <v>416</v>
      </c>
      <c r="FG24" s="2773">
        <v>2</v>
      </c>
      <c r="FH24" s="2773">
        <v>97</v>
      </c>
      <c r="FI24" s="2773">
        <v>140</v>
      </c>
      <c r="FJ24" s="2773">
        <v>9</v>
      </c>
      <c r="FK24" s="2773">
        <v>130</v>
      </c>
      <c r="FL24" s="2773">
        <v>66</v>
      </c>
      <c r="FM24" s="2773">
        <v>16</v>
      </c>
      <c r="FN24" s="2773">
        <v>126</v>
      </c>
      <c r="FO24" s="2774">
        <v>371</v>
      </c>
      <c r="FP24" s="2772">
        <v>390</v>
      </c>
      <c r="FQ24" s="2773">
        <v>133</v>
      </c>
      <c r="FR24" s="2773">
        <v>87</v>
      </c>
      <c r="FS24" s="2773">
        <v>231</v>
      </c>
      <c r="FT24" s="2773">
        <v>86</v>
      </c>
      <c r="FU24" s="2773">
        <v>136</v>
      </c>
      <c r="FV24" s="2773">
        <v>157</v>
      </c>
      <c r="FW24" s="2773">
        <v>209</v>
      </c>
      <c r="FX24" s="2773">
        <v>143</v>
      </c>
      <c r="FY24" s="2773">
        <v>177</v>
      </c>
      <c r="FZ24" s="2773">
        <v>298</v>
      </c>
      <c r="GA24" s="2774">
        <v>455</v>
      </c>
      <c r="GB24" s="4561"/>
      <c r="GC24" s="4557"/>
      <c r="GD24" s="4557"/>
      <c r="GE24" s="4557"/>
      <c r="GF24" s="4557"/>
      <c r="GG24" s="4557"/>
      <c r="GH24" s="4557"/>
      <c r="GI24" s="4557"/>
      <c r="GJ24" s="4557"/>
      <c r="GK24" s="4557"/>
      <c r="GL24" s="4557"/>
      <c r="GM24" s="4562"/>
      <c r="GN24" s="2764"/>
      <c r="GO24" s="2911">
        <v>347</v>
      </c>
      <c r="GP24" s="2912">
        <v>376</v>
      </c>
      <c r="GQ24" s="2912">
        <v>503</v>
      </c>
      <c r="GR24" s="2913">
        <v>744</v>
      </c>
      <c r="GS24" s="2914">
        <v>994</v>
      </c>
      <c r="GT24" s="2915">
        <v>1068</v>
      </c>
      <c r="GU24" s="2915">
        <v>1766</v>
      </c>
      <c r="GV24" s="2916">
        <v>2308</v>
      </c>
      <c r="GW24" s="2917">
        <v>3660</v>
      </c>
      <c r="GX24" s="2918">
        <v>4624.5</v>
      </c>
      <c r="GY24" s="2919">
        <v>4337</v>
      </c>
      <c r="GZ24" s="2919">
        <v>4103</v>
      </c>
      <c r="HA24" s="2920">
        <v>4422</v>
      </c>
      <c r="HB24" s="2921">
        <v>3546</v>
      </c>
      <c r="HC24" s="2921">
        <v>3028</v>
      </c>
      <c r="HD24" s="2922">
        <v>3474</v>
      </c>
      <c r="HE24" s="2923">
        <v>2702</v>
      </c>
      <c r="HF24" s="2924">
        <v>2542</v>
      </c>
      <c r="HG24" s="2924">
        <v>2315</v>
      </c>
      <c r="HH24" s="2925">
        <v>2331</v>
      </c>
      <c r="HI24" s="2921">
        <v>1545</v>
      </c>
      <c r="HJ24" s="2921">
        <v>2724</v>
      </c>
      <c r="HK24" s="2921">
        <v>2695</v>
      </c>
      <c r="HL24" s="2921">
        <v>3107</v>
      </c>
      <c r="HM24" s="2926">
        <v>1710</v>
      </c>
      <c r="HN24" s="2926">
        <v>2744</v>
      </c>
      <c r="HO24" s="2926">
        <v>3539</v>
      </c>
      <c r="HP24" s="2926">
        <v>4740</v>
      </c>
      <c r="HQ24" s="2927">
        <v>2565</v>
      </c>
      <c r="HR24" s="2927">
        <v>6043</v>
      </c>
      <c r="HS24" s="2927">
        <f t="shared" si="32"/>
        <v>7500</v>
      </c>
      <c r="HT24" s="2927">
        <v>12371</v>
      </c>
      <c r="HU24" s="2928">
        <v>11054</v>
      </c>
      <c r="HV24" s="2928">
        <f t="shared" si="33"/>
        <v>13134</v>
      </c>
      <c r="HW24" s="2928">
        <f t="shared" si="34"/>
        <v>13534</v>
      </c>
      <c r="HX24" s="2927">
        <f t="shared" si="35"/>
        <v>20120</v>
      </c>
      <c r="HY24" s="2846">
        <f t="shared" si="36"/>
        <v>4151</v>
      </c>
      <c r="HZ24" s="2846">
        <f t="shared" si="37"/>
        <v>909</v>
      </c>
      <c r="IA24" s="2846">
        <f t="shared" si="38"/>
        <v>871</v>
      </c>
      <c r="IB24" s="2846">
        <f t="shared" si="39"/>
        <v>1314</v>
      </c>
      <c r="IC24" s="2921">
        <f t="shared" si="40"/>
        <v>949</v>
      </c>
      <c r="ID24" s="2921">
        <f t="shared" si="41"/>
        <v>910</v>
      </c>
      <c r="IE24" s="2921">
        <f t="shared" si="42"/>
        <v>934</v>
      </c>
      <c r="IF24" s="2921">
        <f t="shared" si="43"/>
        <v>1020</v>
      </c>
      <c r="IG24" s="2929">
        <f t="shared" si="44"/>
        <v>829</v>
      </c>
      <c r="IH24" s="2926">
        <f t="shared" si="45"/>
        <v>895</v>
      </c>
      <c r="II24" s="2926">
        <f t="shared" si="46"/>
        <v>912</v>
      </c>
      <c r="IJ24" s="2926">
        <f t="shared" si="47"/>
        <v>938</v>
      </c>
      <c r="IK24" s="2930">
        <f t="shared" si="48"/>
        <v>785</v>
      </c>
      <c r="IL24" s="2931">
        <f t="shared" si="49"/>
        <v>1712</v>
      </c>
      <c r="IM24" s="2931">
        <f t="shared" si="50"/>
        <v>3055</v>
      </c>
      <c r="IN24" s="2931">
        <f t="shared" si="51"/>
        <v>2022</v>
      </c>
      <c r="IO24" s="2932">
        <f t="shared" si="52"/>
        <v>2045</v>
      </c>
      <c r="IP24" s="2933">
        <f t="shared" si="53"/>
        <v>239</v>
      </c>
      <c r="IQ24" s="2933">
        <f>FJ24+FK24+FL24</f>
        <v>205</v>
      </c>
      <c r="IR24" s="2934">
        <f t="shared" si="55"/>
        <v>513</v>
      </c>
      <c r="IS24" s="2929">
        <f t="shared" si="56"/>
        <v>610</v>
      </c>
      <c r="IT24" s="2926">
        <f t="shared" si="57"/>
        <v>453</v>
      </c>
      <c r="IU24" s="2926">
        <f t="shared" si="58"/>
        <v>509</v>
      </c>
      <c r="IV24" s="2926">
        <f t="shared" si="59"/>
        <v>930</v>
      </c>
      <c r="IW24" s="4549">
        <f t="shared" si="76"/>
        <v>0</v>
      </c>
      <c r="IX24" s="4541">
        <f t="shared" si="77"/>
        <v>0</v>
      </c>
      <c r="IY24" s="4541">
        <f t="shared" si="78"/>
        <v>0</v>
      </c>
      <c r="IZ24" s="4550">
        <f t="shared" si="79"/>
        <v>0</v>
      </c>
      <c r="JA24" s="4545"/>
      <c r="JB24" s="3544">
        <v>1970</v>
      </c>
      <c r="JC24" s="3545">
        <v>6136</v>
      </c>
      <c r="JD24" s="3545">
        <v>16724.5</v>
      </c>
      <c r="JE24" s="3545">
        <v>14470</v>
      </c>
      <c r="JF24" s="3545">
        <v>9890</v>
      </c>
      <c r="JG24" s="3545">
        <v>10071</v>
      </c>
      <c r="JH24" s="3546">
        <v>12733</v>
      </c>
      <c r="JI24" s="3547">
        <v>28479</v>
      </c>
      <c r="JJ24" s="3547">
        <f t="shared" si="60"/>
        <v>57842</v>
      </c>
      <c r="JK24" s="3547">
        <f t="shared" si="61"/>
        <v>7631</v>
      </c>
      <c r="JL24" s="3547">
        <f t="shared" si="62"/>
        <v>3813</v>
      </c>
      <c r="JM24" s="3547">
        <f t="shared" si="63"/>
        <v>3574</v>
      </c>
      <c r="JN24" s="3548">
        <f t="shared" si="24"/>
        <v>7574</v>
      </c>
      <c r="JO24" s="3566">
        <f t="shared" si="64"/>
        <v>3002</v>
      </c>
      <c r="JP24" s="3564">
        <f t="shared" si="80"/>
        <v>2502</v>
      </c>
      <c r="JQ24" s="3564">
        <f t="shared" si="81"/>
        <v>2502</v>
      </c>
      <c r="JS24" s="3765">
        <f t="shared" si="82"/>
        <v>2502</v>
      </c>
      <c r="JT24" s="3765">
        <f t="shared" si="83"/>
        <v>2502</v>
      </c>
      <c r="JV24" s="3551">
        <f t="shared" si="84"/>
        <v>2668.6666666666665</v>
      </c>
      <c r="JW24" s="3552">
        <f t="shared" si="65"/>
        <v>1.215851478428236E-2</v>
      </c>
      <c r="JX24" s="3552">
        <f t="shared" si="66"/>
        <v>5.839820746755783E-3</v>
      </c>
      <c r="JY24" s="3552">
        <f t="shared" si="85"/>
        <v>5.2023289665211062E-3</v>
      </c>
      <c r="JZ24" s="3552">
        <f t="shared" si="67"/>
        <v>1.1024745269286753E-2</v>
      </c>
      <c r="KA24" s="3552">
        <f t="shared" si="68"/>
        <v>1.5683856912234138E-2</v>
      </c>
      <c r="KB24" s="4575">
        <f t="shared" si="69"/>
        <v>8.9040413386667419E-3</v>
      </c>
      <c r="KC24" s="3565">
        <f t="shared" si="86"/>
        <v>8.9040413386667419E-3</v>
      </c>
      <c r="KD24" s="3552"/>
      <c r="KE24" s="3554">
        <f t="shared" si="70"/>
        <v>-0.50032761106014934</v>
      </c>
      <c r="KF24" s="3555">
        <f t="shared" si="71"/>
        <v>-0.65028611365919708</v>
      </c>
      <c r="KG24" s="3555">
        <f t="shared" si="72"/>
        <v>-6.268030422239701E-2</v>
      </c>
      <c r="KH24" s="3555">
        <f t="shared" si="73"/>
        <v>1.119194180190263</v>
      </c>
      <c r="KI24" s="3555">
        <f t="shared" si="74"/>
        <v>-0.60364404541853711</v>
      </c>
      <c r="KJ24" s="3556">
        <f t="shared" si="75"/>
        <v>-0.66965936097174539</v>
      </c>
      <c r="KK24" s="3557">
        <f t="shared" si="87"/>
        <v>-0.16655562958027981</v>
      </c>
      <c r="KM24" s="3231"/>
      <c r="KN24" s="3231"/>
      <c r="KO24" s="3231"/>
      <c r="KP24" s="3231"/>
      <c r="KQ24" s="3231"/>
      <c r="KR24" s="3231"/>
      <c r="KS24" s="3231"/>
      <c r="KT24" s="3231"/>
      <c r="KU24" s="3231"/>
      <c r="KV24" s="3231"/>
      <c r="KW24" s="3231"/>
      <c r="KX24" s="3231"/>
      <c r="KY24" s="3231"/>
      <c r="KZ24" s="3231"/>
      <c r="LA24" s="3231"/>
      <c r="LB24" s="3231"/>
      <c r="LC24" s="3231"/>
      <c r="LD24" s="3231"/>
      <c r="LE24" s="3231"/>
      <c r="LF24" s="3231"/>
      <c r="LG24" s="3231"/>
      <c r="LH24" s="3231"/>
      <c r="LI24" s="3231"/>
    </row>
    <row r="25" spans="1:321" ht="21.9" customHeight="1">
      <c r="A25" s="3558"/>
      <c r="B25" s="3231"/>
      <c r="C25" s="3559" t="s">
        <v>49</v>
      </c>
      <c r="D25" s="3516">
        <v>1260</v>
      </c>
      <c r="E25" s="3517">
        <v>1276</v>
      </c>
      <c r="F25" s="3517">
        <v>1273</v>
      </c>
      <c r="G25" s="3517">
        <v>1609</v>
      </c>
      <c r="H25" s="3517">
        <v>1342</v>
      </c>
      <c r="I25" s="3517">
        <v>1217</v>
      </c>
      <c r="J25" s="3517">
        <v>2417</v>
      </c>
      <c r="K25" s="3517">
        <v>1711</v>
      </c>
      <c r="L25" s="3517">
        <v>1389</v>
      </c>
      <c r="M25" s="3517">
        <v>1689</v>
      </c>
      <c r="N25" s="3517">
        <v>1780</v>
      </c>
      <c r="O25" s="3518">
        <v>1105</v>
      </c>
      <c r="P25" s="3519">
        <v>1501</v>
      </c>
      <c r="Q25" s="3520">
        <v>2067</v>
      </c>
      <c r="R25" s="3520">
        <v>1748</v>
      </c>
      <c r="S25" s="3520">
        <v>1878</v>
      </c>
      <c r="T25" s="3520">
        <v>1744</v>
      </c>
      <c r="U25" s="3520">
        <v>1450</v>
      </c>
      <c r="V25" s="3520">
        <v>2185</v>
      </c>
      <c r="W25" s="3520">
        <v>1787</v>
      </c>
      <c r="X25" s="3520">
        <v>1529</v>
      </c>
      <c r="Y25" s="3520">
        <v>1653</v>
      </c>
      <c r="Z25" s="3520">
        <v>1668</v>
      </c>
      <c r="AA25" s="3521">
        <v>1114</v>
      </c>
      <c r="AB25" s="3522">
        <v>1499</v>
      </c>
      <c r="AC25" s="3523">
        <v>1325</v>
      </c>
      <c r="AD25" s="3523">
        <v>1263</v>
      </c>
      <c r="AE25" s="3523">
        <v>1502</v>
      </c>
      <c r="AF25" s="3523">
        <v>1439.5</v>
      </c>
      <c r="AG25" s="3523">
        <v>1377</v>
      </c>
      <c r="AH25" s="3523">
        <v>2221</v>
      </c>
      <c r="AI25" s="3523">
        <v>1438</v>
      </c>
      <c r="AJ25" s="3523">
        <v>1140</v>
      </c>
      <c r="AK25" s="3523">
        <v>1561</v>
      </c>
      <c r="AL25" s="3523">
        <v>1508</v>
      </c>
      <c r="AM25" s="3524">
        <v>1164</v>
      </c>
      <c r="AN25" s="3525">
        <v>1064</v>
      </c>
      <c r="AO25" s="3526">
        <v>994</v>
      </c>
      <c r="AP25" s="3526">
        <v>1080</v>
      </c>
      <c r="AQ25" s="3526">
        <v>1258</v>
      </c>
      <c r="AR25" s="3526">
        <v>1059</v>
      </c>
      <c r="AS25" s="3526">
        <v>1091</v>
      </c>
      <c r="AT25" s="3526">
        <v>2091</v>
      </c>
      <c r="AU25" s="3526">
        <v>1225</v>
      </c>
      <c r="AV25" s="3526">
        <v>975</v>
      </c>
      <c r="AW25" s="3526">
        <v>1230</v>
      </c>
      <c r="AX25" s="3526">
        <v>1152</v>
      </c>
      <c r="AY25" s="3527">
        <v>925</v>
      </c>
      <c r="AZ25" s="3463">
        <v>1025</v>
      </c>
      <c r="BA25" s="3463">
        <v>900</v>
      </c>
      <c r="BB25" s="3463">
        <v>988</v>
      </c>
      <c r="BC25" s="3463">
        <v>1272</v>
      </c>
      <c r="BD25" s="3463">
        <v>1126</v>
      </c>
      <c r="BE25" s="3463">
        <v>1015</v>
      </c>
      <c r="BF25" s="3463">
        <v>2074</v>
      </c>
      <c r="BG25" s="3463">
        <v>1207</v>
      </c>
      <c r="BH25" s="3463">
        <v>944</v>
      </c>
      <c r="BI25" s="3463">
        <v>1417</v>
      </c>
      <c r="BJ25" s="3463">
        <v>1382</v>
      </c>
      <c r="BK25" s="3560">
        <v>934</v>
      </c>
      <c r="BL25" s="3530">
        <v>898</v>
      </c>
      <c r="BM25" s="3531">
        <v>919</v>
      </c>
      <c r="BN25" s="3531">
        <v>1062</v>
      </c>
      <c r="BO25" s="3531">
        <v>1197</v>
      </c>
      <c r="BP25" s="3531">
        <v>1156</v>
      </c>
      <c r="BQ25" s="3531">
        <v>1051</v>
      </c>
      <c r="BR25" s="3531">
        <v>1995</v>
      </c>
      <c r="BS25" s="3531">
        <v>1140</v>
      </c>
      <c r="BT25" s="3532">
        <v>909</v>
      </c>
      <c r="BU25" s="3532">
        <v>1154</v>
      </c>
      <c r="BV25" s="3532">
        <v>1295</v>
      </c>
      <c r="BW25" s="3533">
        <v>1103</v>
      </c>
      <c r="BX25" s="3534">
        <v>1090</v>
      </c>
      <c r="BY25" s="3459">
        <v>977</v>
      </c>
      <c r="BZ25" s="3459">
        <v>1157</v>
      </c>
      <c r="CA25" s="3459">
        <v>1135</v>
      </c>
      <c r="CB25" s="3459">
        <v>1253</v>
      </c>
      <c r="CC25" s="3459">
        <v>1120</v>
      </c>
      <c r="CD25" s="3459">
        <v>2381</v>
      </c>
      <c r="CE25" s="3459">
        <v>1417</v>
      </c>
      <c r="CF25" s="3459">
        <v>1070</v>
      </c>
      <c r="CG25" s="3459">
        <v>1403</v>
      </c>
      <c r="CH25" s="3459">
        <v>1588</v>
      </c>
      <c r="CI25" s="3461">
        <v>935</v>
      </c>
      <c r="CJ25" s="3535">
        <v>1166</v>
      </c>
      <c r="CK25" s="3536">
        <v>1197</v>
      </c>
      <c r="CL25" s="3536">
        <v>1218</v>
      </c>
      <c r="CM25" s="3536">
        <v>1543</v>
      </c>
      <c r="CN25" s="3536">
        <v>1497</v>
      </c>
      <c r="CO25" s="3536">
        <v>1386</v>
      </c>
      <c r="CP25" s="3536">
        <v>2484</v>
      </c>
      <c r="CQ25" s="3536">
        <v>1411</v>
      </c>
      <c r="CR25" s="3536">
        <v>1179</v>
      </c>
      <c r="CS25" s="3536">
        <v>1580</v>
      </c>
      <c r="CT25" s="3536">
        <v>1532</v>
      </c>
      <c r="CU25" s="3537">
        <v>1130</v>
      </c>
      <c r="CV25" s="3535">
        <v>1217</v>
      </c>
      <c r="CW25" s="3536">
        <v>1190</v>
      </c>
      <c r="CX25" s="3458">
        <v>1225</v>
      </c>
      <c r="CY25" s="3458">
        <v>1363</v>
      </c>
      <c r="CZ25" s="3458">
        <v>1425</v>
      </c>
      <c r="DA25" s="3458">
        <v>1441</v>
      </c>
      <c r="DB25" s="3458">
        <v>2802</v>
      </c>
      <c r="DC25" s="3458">
        <v>1381</v>
      </c>
      <c r="DD25" s="3458">
        <v>1092</v>
      </c>
      <c r="DE25" s="3458">
        <v>1519</v>
      </c>
      <c r="DF25" s="3458">
        <v>1658</v>
      </c>
      <c r="DG25" s="3537">
        <v>1266</v>
      </c>
      <c r="DH25" s="3538">
        <v>1300</v>
      </c>
      <c r="DI25" s="3539">
        <v>1442</v>
      </c>
      <c r="DJ25" s="3539">
        <v>1528</v>
      </c>
      <c r="DK25" s="3540">
        <v>1307</v>
      </c>
      <c r="DL25" s="3540">
        <v>1382</v>
      </c>
      <c r="DM25" s="3540">
        <v>1465</v>
      </c>
      <c r="DN25" s="3540">
        <v>2920</v>
      </c>
      <c r="DO25" s="3540">
        <v>1383</v>
      </c>
      <c r="DP25" s="2713">
        <v>1079</v>
      </c>
      <c r="DQ25" s="3540">
        <v>1606</v>
      </c>
      <c r="DR25" s="3540">
        <v>1282</v>
      </c>
      <c r="DS25" s="3541">
        <v>964</v>
      </c>
      <c r="DT25" s="3542">
        <v>1117</v>
      </c>
      <c r="DU25" s="3429">
        <v>1160</v>
      </c>
      <c r="DV25" s="3429">
        <v>1175</v>
      </c>
      <c r="DW25" s="3350">
        <v>1542</v>
      </c>
      <c r="DX25" s="3350">
        <v>1184</v>
      </c>
      <c r="DY25" s="3350">
        <v>1335</v>
      </c>
      <c r="DZ25" s="3350">
        <v>2297</v>
      </c>
      <c r="EA25" s="3350">
        <v>1142</v>
      </c>
      <c r="EB25" s="3350">
        <v>1058</v>
      </c>
      <c r="EC25" s="3350">
        <v>1309</v>
      </c>
      <c r="ED25" s="3350">
        <v>1336</v>
      </c>
      <c r="EE25" s="3349">
        <v>1167</v>
      </c>
      <c r="EF25" s="2689">
        <v>1254</v>
      </c>
      <c r="EG25" s="2688">
        <v>1291</v>
      </c>
      <c r="EH25" s="2688">
        <v>1485</v>
      </c>
      <c r="EI25" s="2688">
        <v>1293</v>
      </c>
      <c r="EJ25" s="2688">
        <v>1573</v>
      </c>
      <c r="EK25" s="2688">
        <v>1297</v>
      </c>
      <c r="EL25" s="2688">
        <v>2452</v>
      </c>
      <c r="EM25" s="2714">
        <v>1513</v>
      </c>
      <c r="EN25" s="2714">
        <v>1089</v>
      </c>
      <c r="EO25" s="2715">
        <v>1329</v>
      </c>
      <c r="EP25" s="2715">
        <v>1462</v>
      </c>
      <c r="EQ25" s="2716">
        <v>1313</v>
      </c>
      <c r="ER25" s="1346">
        <v>1244</v>
      </c>
      <c r="ES25" s="3543">
        <v>1234</v>
      </c>
      <c r="ET25" s="3543">
        <v>1311</v>
      </c>
      <c r="EU25" s="2717">
        <v>1662</v>
      </c>
      <c r="EV25" s="2160">
        <v>1707</v>
      </c>
      <c r="EW25" s="2160">
        <v>1425</v>
      </c>
      <c r="EX25" s="2160">
        <v>2786</v>
      </c>
      <c r="EY25" s="2160">
        <v>1489</v>
      </c>
      <c r="EZ25" s="2160">
        <v>1465</v>
      </c>
      <c r="FA25" s="2339">
        <v>1380</v>
      </c>
      <c r="FB25" s="2339">
        <v>1705</v>
      </c>
      <c r="FC25" s="2339">
        <v>1455</v>
      </c>
      <c r="FD25" s="2765">
        <v>1574</v>
      </c>
      <c r="FE25" s="2766">
        <v>1589</v>
      </c>
      <c r="FF25" s="2766">
        <v>625</v>
      </c>
      <c r="FG25" s="2766">
        <v>10</v>
      </c>
      <c r="FH25" s="2766">
        <v>13</v>
      </c>
      <c r="FI25" s="2766">
        <v>43</v>
      </c>
      <c r="FJ25" s="2766">
        <v>111</v>
      </c>
      <c r="FK25" s="2766">
        <v>75</v>
      </c>
      <c r="FL25" s="2766">
        <v>83</v>
      </c>
      <c r="FM25" s="2766">
        <v>144</v>
      </c>
      <c r="FN25" s="2766">
        <v>168</v>
      </c>
      <c r="FO25" s="2767">
        <v>209</v>
      </c>
      <c r="FP25" s="2765">
        <v>123</v>
      </c>
      <c r="FQ25" s="2766">
        <v>83</v>
      </c>
      <c r="FR25" s="2766">
        <v>106</v>
      </c>
      <c r="FS25" s="2766">
        <v>88</v>
      </c>
      <c r="FT25" s="2766">
        <v>97</v>
      </c>
      <c r="FU25" s="2766">
        <v>135</v>
      </c>
      <c r="FV25" s="2766">
        <v>177</v>
      </c>
      <c r="FW25" s="2766">
        <v>177</v>
      </c>
      <c r="FX25" s="2766">
        <v>174</v>
      </c>
      <c r="FY25" s="2766">
        <v>204</v>
      </c>
      <c r="FZ25" s="2766">
        <v>377</v>
      </c>
      <c r="GA25" s="2767">
        <v>578</v>
      </c>
      <c r="GB25" s="4559"/>
      <c r="GC25" s="4556"/>
      <c r="GD25" s="4556"/>
      <c r="GE25" s="4556"/>
      <c r="GF25" s="4556"/>
      <c r="GG25" s="4556"/>
      <c r="GH25" s="4556"/>
      <c r="GI25" s="4556"/>
      <c r="GJ25" s="4556"/>
      <c r="GK25" s="4556"/>
      <c r="GL25" s="4556"/>
      <c r="GM25" s="4560"/>
      <c r="GN25" s="2764"/>
      <c r="GO25" s="2911">
        <v>3809</v>
      </c>
      <c r="GP25" s="2912">
        <v>4168</v>
      </c>
      <c r="GQ25" s="2912">
        <v>5517</v>
      </c>
      <c r="GR25" s="2913">
        <v>4574</v>
      </c>
      <c r="GS25" s="2914">
        <v>5316</v>
      </c>
      <c r="GT25" s="2915">
        <v>5072</v>
      </c>
      <c r="GU25" s="2915">
        <v>5501</v>
      </c>
      <c r="GV25" s="2916">
        <v>4435</v>
      </c>
      <c r="GW25" s="2917">
        <v>4087</v>
      </c>
      <c r="GX25" s="2918">
        <v>4318.5</v>
      </c>
      <c r="GY25" s="2919">
        <v>4799</v>
      </c>
      <c r="GZ25" s="2919">
        <v>4233</v>
      </c>
      <c r="HA25" s="2920">
        <v>3138</v>
      </c>
      <c r="HB25" s="2921">
        <v>3408</v>
      </c>
      <c r="HC25" s="2921">
        <v>4291</v>
      </c>
      <c r="HD25" s="2922">
        <v>3307</v>
      </c>
      <c r="HE25" s="2923">
        <v>2913</v>
      </c>
      <c r="HF25" s="2924">
        <v>3413</v>
      </c>
      <c r="HG25" s="2924">
        <v>4225</v>
      </c>
      <c r="HH25" s="2925">
        <v>3733</v>
      </c>
      <c r="HI25" s="2921">
        <v>2879</v>
      </c>
      <c r="HJ25" s="2921">
        <v>3404</v>
      </c>
      <c r="HK25" s="2921">
        <v>4044</v>
      </c>
      <c r="HL25" s="2921">
        <v>3552</v>
      </c>
      <c r="HM25" s="2926">
        <v>3224</v>
      </c>
      <c r="HN25" s="2926">
        <v>3508</v>
      </c>
      <c r="HO25" s="2926">
        <v>4868</v>
      </c>
      <c r="HP25" s="2926">
        <v>3926</v>
      </c>
      <c r="HQ25" s="2927">
        <v>3581</v>
      </c>
      <c r="HR25" s="2927">
        <v>4426</v>
      </c>
      <c r="HS25" s="2927">
        <f t="shared" si="32"/>
        <v>5074</v>
      </c>
      <c r="HT25" s="2927">
        <v>4242</v>
      </c>
      <c r="HU25" s="2928">
        <v>3632</v>
      </c>
      <c r="HV25" s="2928">
        <f t="shared" si="33"/>
        <v>4229</v>
      </c>
      <c r="HW25" s="2928">
        <f t="shared" si="34"/>
        <v>5275</v>
      </c>
      <c r="HX25" s="2927">
        <f t="shared" si="35"/>
        <v>4443</v>
      </c>
      <c r="HY25" s="2846">
        <f t="shared" si="36"/>
        <v>4270</v>
      </c>
      <c r="HZ25" s="2846">
        <f t="shared" si="37"/>
        <v>4154</v>
      </c>
      <c r="IA25" s="2846">
        <f t="shared" si="38"/>
        <v>5267</v>
      </c>
      <c r="IB25" s="2846">
        <f t="shared" si="39"/>
        <v>3852</v>
      </c>
      <c r="IC25" s="2921">
        <f t="shared" si="40"/>
        <v>3452</v>
      </c>
      <c r="ID25" s="2921">
        <f t="shared" si="41"/>
        <v>4061</v>
      </c>
      <c r="IE25" s="2921">
        <f t="shared" si="42"/>
        <v>4497</v>
      </c>
      <c r="IF25" s="2921">
        <f t="shared" si="43"/>
        <v>3812</v>
      </c>
      <c r="IG25" s="2929">
        <f t="shared" si="44"/>
        <v>4030</v>
      </c>
      <c r="IH25" s="2926">
        <f t="shared" si="45"/>
        <v>4163</v>
      </c>
      <c r="II25" s="2926">
        <f t="shared" si="46"/>
        <v>5054</v>
      </c>
      <c r="IJ25" s="2926">
        <f t="shared" si="47"/>
        <v>4104</v>
      </c>
      <c r="IK25" s="2930">
        <f t="shared" si="48"/>
        <v>3789</v>
      </c>
      <c r="IL25" s="2931">
        <f t="shared" si="49"/>
        <v>4794</v>
      </c>
      <c r="IM25" s="2931">
        <f t="shared" si="50"/>
        <v>5740</v>
      </c>
      <c r="IN25" s="2931">
        <f t="shared" si="51"/>
        <v>4540</v>
      </c>
      <c r="IO25" s="2932">
        <f t="shared" si="52"/>
        <v>3788</v>
      </c>
      <c r="IP25" s="2933">
        <f t="shared" si="53"/>
        <v>66</v>
      </c>
      <c r="IQ25" s="2933">
        <f>EX25+EY25+EZ25</f>
        <v>5740</v>
      </c>
      <c r="IR25" s="2934">
        <f t="shared" si="55"/>
        <v>521</v>
      </c>
      <c r="IS25" s="2929">
        <f t="shared" si="56"/>
        <v>312</v>
      </c>
      <c r="IT25" s="2926">
        <f t="shared" si="57"/>
        <v>320</v>
      </c>
      <c r="IU25" s="2926">
        <f t="shared" si="58"/>
        <v>528</v>
      </c>
      <c r="IV25" s="2926">
        <f t="shared" si="59"/>
        <v>1159</v>
      </c>
      <c r="IW25" s="4571">
        <f t="shared" si="76"/>
        <v>0</v>
      </c>
      <c r="IX25" s="2921">
        <f t="shared" si="77"/>
        <v>0</v>
      </c>
      <c r="IY25" s="2921">
        <f t="shared" si="78"/>
        <v>0</v>
      </c>
      <c r="IZ25" s="4572">
        <f t="shared" si="79"/>
        <v>0</v>
      </c>
      <c r="JA25" s="4545"/>
      <c r="JB25" s="3544">
        <v>18068</v>
      </c>
      <c r="JC25" s="3545">
        <v>20324</v>
      </c>
      <c r="JD25" s="3545">
        <v>17437.5</v>
      </c>
      <c r="JE25" s="3545">
        <v>14144</v>
      </c>
      <c r="JF25" s="3545">
        <v>14284</v>
      </c>
      <c r="JG25" s="3545">
        <v>13879</v>
      </c>
      <c r="JH25" s="3546">
        <v>15526</v>
      </c>
      <c r="JI25" s="3547">
        <v>17323</v>
      </c>
      <c r="JJ25" s="3547">
        <f t="shared" si="60"/>
        <v>17579</v>
      </c>
      <c r="JK25" s="3547">
        <f t="shared" si="61"/>
        <v>17658</v>
      </c>
      <c r="JL25" s="3547">
        <f t="shared" si="62"/>
        <v>15822</v>
      </c>
      <c r="JM25" s="3547">
        <f t="shared" si="63"/>
        <v>17351</v>
      </c>
      <c r="JN25" s="3548">
        <f t="shared" si="24"/>
        <v>18863</v>
      </c>
      <c r="JO25" s="3566">
        <f t="shared" si="64"/>
        <v>4644</v>
      </c>
      <c r="JP25" s="3564">
        <f t="shared" si="80"/>
        <v>2319</v>
      </c>
      <c r="JQ25" s="3564">
        <f t="shared" si="81"/>
        <v>2319</v>
      </c>
      <c r="JS25" s="3765">
        <f t="shared" si="82"/>
        <v>2319</v>
      </c>
      <c r="JT25" s="3765">
        <f t="shared" si="83"/>
        <v>2319</v>
      </c>
      <c r="JV25" s="3551">
        <f t="shared" si="84"/>
        <v>3094</v>
      </c>
      <c r="JW25" s="3552">
        <f t="shared" si="65"/>
        <v>2.8134589707883358E-2</v>
      </c>
      <c r="JX25" s="3552">
        <f t="shared" si="66"/>
        <v>2.4232269566003144E-2</v>
      </c>
      <c r="JY25" s="3552">
        <f t="shared" si="85"/>
        <v>2.525618631732169E-2</v>
      </c>
      <c r="JZ25" s="3552">
        <f t="shared" si="67"/>
        <v>2.7457059679767103E-2</v>
      </c>
      <c r="KA25" s="3552">
        <f t="shared" si="68"/>
        <v>2.4262435543109709E-2</v>
      </c>
      <c r="KB25" s="4575">
        <f t="shared" si="69"/>
        <v>8.2527865165340428E-3</v>
      </c>
      <c r="KC25" s="3565">
        <f t="shared" si="86"/>
        <v>8.2527865165340428E-3</v>
      </c>
      <c r="KD25" s="3552"/>
      <c r="KE25" s="3554">
        <f t="shared" si="70"/>
        <v>-0.10397553516819569</v>
      </c>
      <c r="KF25" s="3555">
        <f t="shared" si="71"/>
        <v>-0.82478196851285535</v>
      </c>
      <c r="KG25" s="3555">
        <f t="shared" si="72"/>
        <v>9.6637593224623952E-2</v>
      </c>
      <c r="KH25" s="3555">
        <f t="shared" si="73"/>
        <v>8.714195147253756E-2</v>
      </c>
      <c r="KI25" s="3555">
        <f t="shared" si="74"/>
        <v>-0.75380374277686479</v>
      </c>
      <c r="KJ25" s="3556">
        <f t="shared" si="75"/>
        <v>-0.87706091289826649</v>
      </c>
      <c r="KK25" s="3557">
        <f t="shared" si="87"/>
        <v>-0.50064599483204142</v>
      </c>
      <c r="KM25" s="3231"/>
      <c r="KN25" s="3231"/>
      <c r="KO25" s="3231"/>
      <c r="KP25" s="3231"/>
      <c r="KQ25" s="3231"/>
      <c r="KR25" s="3231"/>
      <c r="KS25" s="3231"/>
      <c r="KT25" s="3231"/>
      <c r="KU25" s="3231"/>
      <c r="KV25" s="3231"/>
      <c r="KW25" s="3231"/>
      <c r="KX25" s="3231"/>
      <c r="KY25" s="3231"/>
      <c r="KZ25" s="3231"/>
      <c r="LA25" s="3231"/>
      <c r="LB25" s="3231"/>
      <c r="LC25" s="3231"/>
      <c r="LD25" s="3231"/>
      <c r="LE25" s="3231"/>
      <c r="LF25" s="3231"/>
      <c r="LG25" s="3231"/>
      <c r="LH25" s="3231"/>
      <c r="LI25" s="3231"/>
    </row>
    <row r="26" spans="1:321" ht="21.9" customHeight="1">
      <c r="A26" s="3568"/>
      <c r="B26" s="3231"/>
      <c r="C26" s="3567" t="s">
        <v>25</v>
      </c>
      <c r="D26" s="3516">
        <v>191</v>
      </c>
      <c r="E26" s="3517">
        <v>147</v>
      </c>
      <c r="F26" s="3517">
        <v>184</v>
      </c>
      <c r="G26" s="3517">
        <v>164</v>
      </c>
      <c r="H26" s="3517">
        <v>171</v>
      </c>
      <c r="I26" s="3517">
        <v>315</v>
      </c>
      <c r="J26" s="3517">
        <v>438</v>
      </c>
      <c r="K26" s="3517">
        <v>326</v>
      </c>
      <c r="L26" s="3517">
        <v>276</v>
      </c>
      <c r="M26" s="3517">
        <v>312</v>
      </c>
      <c r="N26" s="3517">
        <v>240</v>
      </c>
      <c r="O26" s="3518">
        <v>141</v>
      </c>
      <c r="P26" s="3519">
        <v>227</v>
      </c>
      <c r="Q26" s="3520">
        <v>309</v>
      </c>
      <c r="R26" s="3520">
        <v>244</v>
      </c>
      <c r="S26" s="3520">
        <v>211</v>
      </c>
      <c r="T26" s="3520">
        <v>218</v>
      </c>
      <c r="U26" s="3520">
        <v>331</v>
      </c>
      <c r="V26" s="3520">
        <v>626</v>
      </c>
      <c r="W26" s="3520">
        <v>308</v>
      </c>
      <c r="X26" s="3520">
        <v>265</v>
      </c>
      <c r="Y26" s="3520">
        <v>268</v>
      </c>
      <c r="Z26" s="3520">
        <v>267</v>
      </c>
      <c r="AA26" s="3521">
        <v>167</v>
      </c>
      <c r="AB26" s="3522">
        <v>197</v>
      </c>
      <c r="AC26" s="3523">
        <v>192</v>
      </c>
      <c r="AD26" s="3523">
        <v>173</v>
      </c>
      <c r="AE26" s="3523">
        <v>357</v>
      </c>
      <c r="AF26" s="3523">
        <v>355</v>
      </c>
      <c r="AG26" s="3523">
        <v>353</v>
      </c>
      <c r="AH26" s="3523">
        <v>540</v>
      </c>
      <c r="AI26" s="3523">
        <v>350</v>
      </c>
      <c r="AJ26" s="3523">
        <v>282</v>
      </c>
      <c r="AK26" s="3523">
        <v>316</v>
      </c>
      <c r="AL26" s="3523">
        <v>221</v>
      </c>
      <c r="AM26" s="3524">
        <v>212</v>
      </c>
      <c r="AN26" s="3525">
        <v>233</v>
      </c>
      <c r="AO26" s="3526">
        <v>194</v>
      </c>
      <c r="AP26" s="3526">
        <v>155</v>
      </c>
      <c r="AQ26" s="3526">
        <v>196</v>
      </c>
      <c r="AR26" s="3526">
        <v>171</v>
      </c>
      <c r="AS26" s="3526">
        <v>316</v>
      </c>
      <c r="AT26" s="3526">
        <v>607</v>
      </c>
      <c r="AU26" s="3526">
        <v>289</v>
      </c>
      <c r="AV26" s="3526">
        <v>282</v>
      </c>
      <c r="AW26" s="3526">
        <v>216</v>
      </c>
      <c r="AX26" s="3526">
        <v>267</v>
      </c>
      <c r="AY26" s="3527">
        <v>190</v>
      </c>
      <c r="AZ26" s="3463">
        <v>184</v>
      </c>
      <c r="BA26" s="3463">
        <v>211</v>
      </c>
      <c r="BB26" s="3463">
        <v>169</v>
      </c>
      <c r="BC26" s="3463">
        <v>205</v>
      </c>
      <c r="BD26" s="3463">
        <v>200</v>
      </c>
      <c r="BE26" s="3463">
        <v>313</v>
      </c>
      <c r="BF26" s="3463">
        <v>620</v>
      </c>
      <c r="BG26" s="3463">
        <v>258</v>
      </c>
      <c r="BH26" s="3463">
        <v>275</v>
      </c>
      <c r="BI26" s="3463">
        <v>302</v>
      </c>
      <c r="BJ26" s="3463">
        <v>305</v>
      </c>
      <c r="BK26" s="3560">
        <v>214</v>
      </c>
      <c r="BL26" s="3530">
        <v>196</v>
      </c>
      <c r="BM26" s="3531">
        <v>218</v>
      </c>
      <c r="BN26" s="3531">
        <v>222</v>
      </c>
      <c r="BO26" s="3531">
        <v>155</v>
      </c>
      <c r="BP26" s="3531">
        <v>206</v>
      </c>
      <c r="BQ26" s="3531">
        <v>450</v>
      </c>
      <c r="BR26" s="3531">
        <v>575</v>
      </c>
      <c r="BS26" s="3531">
        <v>291</v>
      </c>
      <c r="BT26" s="3532">
        <v>229</v>
      </c>
      <c r="BU26" s="3532">
        <v>271</v>
      </c>
      <c r="BV26" s="3532">
        <v>261</v>
      </c>
      <c r="BW26" s="3533">
        <v>255</v>
      </c>
      <c r="BX26" s="3534">
        <v>204</v>
      </c>
      <c r="BY26" s="3459">
        <v>192</v>
      </c>
      <c r="BZ26" s="3459">
        <v>280</v>
      </c>
      <c r="CA26" s="3459">
        <v>160</v>
      </c>
      <c r="CB26" s="3459">
        <v>223</v>
      </c>
      <c r="CC26" s="3459">
        <v>404</v>
      </c>
      <c r="CD26" s="3459">
        <v>597</v>
      </c>
      <c r="CE26" s="3459">
        <v>307</v>
      </c>
      <c r="CF26" s="3459">
        <v>259</v>
      </c>
      <c r="CG26" s="3459">
        <v>272</v>
      </c>
      <c r="CH26" s="3459">
        <v>263</v>
      </c>
      <c r="CI26" s="3461">
        <v>290</v>
      </c>
      <c r="CJ26" s="3535">
        <v>251</v>
      </c>
      <c r="CK26" s="3536">
        <v>233</v>
      </c>
      <c r="CL26" s="3536">
        <v>238</v>
      </c>
      <c r="CM26" s="3536">
        <v>277</v>
      </c>
      <c r="CN26" s="3536">
        <v>207</v>
      </c>
      <c r="CO26" s="3536">
        <v>470</v>
      </c>
      <c r="CP26" s="3536">
        <v>549</v>
      </c>
      <c r="CQ26" s="3536">
        <v>239</v>
      </c>
      <c r="CR26" s="3536">
        <v>269</v>
      </c>
      <c r="CS26" s="3536">
        <v>283</v>
      </c>
      <c r="CT26" s="3536">
        <v>246</v>
      </c>
      <c r="CU26" s="3537">
        <v>254</v>
      </c>
      <c r="CV26" s="3535">
        <v>241</v>
      </c>
      <c r="CW26" s="3536">
        <v>223</v>
      </c>
      <c r="CX26" s="3458">
        <v>216</v>
      </c>
      <c r="CY26" s="3458">
        <v>246</v>
      </c>
      <c r="CZ26" s="3458">
        <v>178</v>
      </c>
      <c r="DA26" s="3458">
        <v>422</v>
      </c>
      <c r="DB26" s="3458">
        <v>543</v>
      </c>
      <c r="DC26" s="3458">
        <v>270</v>
      </c>
      <c r="DD26" s="3458">
        <v>258</v>
      </c>
      <c r="DE26" s="3458">
        <v>297</v>
      </c>
      <c r="DF26" s="3458">
        <v>250</v>
      </c>
      <c r="DG26" s="3537">
        <v>227</v>
      </c>
      <c r="DH26" s="3538">
        <v>280</v>
      </c>
      <c r="DI26" s="3539">
        <v>197</v>
      </c>
      <c r="DJ26" s="3539">
        <v>236</v>
      </c>
      <c r="DK26" s="3540">
        <v>158</v>
      </c>
      <c r="DL26" s="3540">
        <v>178</v>
      </c>
      <c r="DM26" s="3540">
        <v>492</v>
      </c>
      <c r="DN26" s="3540">
        <v>634</v>
      </c>
      <c r="DO26" s="3540">
        <v>279</v>
      </c>
      <c r="DP26" s="2713">
        <v>280</v>
      </c>
      <c r="DQ26" s="3540">
        <v>301</v>
      </c>
      <c r="DR26" s="3540">
        <v>213</v>
      </c>
      <c r="DS26" s="3541">
        <v>198</v>
      </c>
      <c r="DT26" s="3542">
        <v>219</v>
      </c>
      <c r="DU26" s="3429">
        <v>171</v>
      </c>
      <c r="DV26" s="3429">
        <v>217</v>
      </c>
      <c r="DW26" s="3350">
        <v>219</v>
      </c>
      <c r="DX26" s="3350">
        <v>146</v>
      </c>
      <c r="DY26" s="3350">
        <v>398</v>
      </c>
      <c r="DZ26" s="3350">
        <v>590</v>
      </c>
      <c r="EA26" s="3350">
        <v>340</v>
      </c>
      <c r="EB26" s="3350">
        <v>296</v>
      </c>
      <c r="EC26" s="3350">
        <v>261</v>
      </c>
      <c r="ED26" s="3350">
        <v>257</v>
      </c>
      <c r="EE26" s="3349">
        <v>209</v>
      </c>
      <c r="EF26" s="2689">
        <v>187</v>
      </c>
      <c r="EG26" s="2688">
        <v>221</v>
      </c>
      <c r="EH26" s="2688">
        <v>298</v>
      </c>
      <c r="EI26" s="2688">
        <v>220</v>
      </c>
      <c r="EJ26" s="2688">
        <v>271</v>
      </c>
      <c r="EK26" s="2688">
        <v>384</v>
      </c>
      <c r="EL26" s="2688">
        <v>705</v>
      </c>
      <c r="EM26" s="2714">
        <v>361</v>
      </c>
      <c r="EN26" s="2714">
        <v>355</v>
      </c>
      <c r="EO26" s="2715">
        <v>351</v>
      </c>
      <c r="EP26" s="2715">
        <v>305</v>
      </c>
      <c r="EQ26" s="2716">
        <v>277</v>
      </c>
      <c r="ER26" s="1348">
        <v>216</v>
      </c>
      <c r="ES26" s="3543">
        <v>230</v>
      </c>
      <c r="ET26" s="3543">
        <v>215</v>
      </c>
      <c r="EU26" s="2717">
        <v>326</v>
      </c>
      <c r="EV26" s="2162">
        <v>321</v>
      </c>
      <c r="EW26" s="2162">
        <v>638</v>
      </c>
      <c r="EX26" s="2162">
        <v>876</v>
      </c>
      <c r="EY26" s="2162">
        <v>440</v>
      </c>
      <c r="EZ26" s="2162">
        <v>523</v>
      </c>
      <c r="FA26" s="2339">
        <v>295</v>
      </c>
      <c r="FB26" s="2339">
        <v>448</v>
      </c>
      <c r="FC26" s="2339">
        <v>423</v>
      </c>
      <c r="FD26" s="2772">
        <v>342</v>
      </c>
      <c r="FE26" s="2773">
        <v>340</v>
      </c>
      <c r="FF26" s="2773">
        <v>151</v>
      </c>
      <c r="FG26" s="2773">
        <v>4</v>
      </c>
      <c r="FH26" s="2773">
        <v>5</v>
      </c>
      <c r="FI26" s="2773">
        <v>9</v>
      </c>
      <c r="FJ26" s="2773">
        <v>33</v>
      </c>
      <c r="FK26" s="2773">
        <v>28</v>
      </c>
      <c r="FL26" s="2773">
        <v>23</v>
      </c>
      <c r="FM26" s="2773">
        <v>33</v>
      </c>
      <c r="FN26" s="2773">
        <v>34</v>
      </c>
      <c r="FO26" s="2774">
        <v>93</v>
      </c>
      <c r="FP26" s="2772">
        <v>62</v>
      </c>
      <c r="FQ26" s="2773">
        <v>42</v>
      </c>
      <c r="FR26" s="2773">
        <v>56</v>
      </c>
      <c r="FS26" s="2773">
        <v>68</v>
      </c>
      <c r="FT26" s="2773">
        <v>55</v>
      </c>
      <c r="FU26" s="2773">
        <v>289</v>
      </c>
      <c r="FV26" s="2773">
        <v>429</v>
      </c>
      <c r="FW26" s="2773">
        <v>177</v>
      </c>
      <c r="FX26" s="2773">
        <v>181</v>
      </c>
      <c r="FY26" s="2773">
        <v>226</v>
      </c>
      <c r="FZ26" s="2773">
        <v>229</v>
      </c>
      <c r="GA26" s="2774">
        <v>310</v>
      </c>
      <c r="GB26" s="4561"/>
      <c r="GC26" s="4557"/>
      <c r="GD26" s="4557"/>
      <c r="GE26" s="4557"/>
      <c r="GF26" s="4557"/>
      <c r="GG26" s="4557"/>
      <c r="GH26" s="4557"/>
      <c r="GI26" s="4557"/>
      <c r="GJ26" s="4557"/>
      <c r="GK26" s="4557"/>
      <c r="GL26" s="4557"/>
      <c r="GM26" s="4562"/>
      <c r="GN26" s="2764"/>
      <c r="GO26" s="2911">
        <v>522</v>
      </c>
      <c r="GP26" s="2912">
        <v>650</v>
      </c>
      <c r="GQ26" s="2912">
        <v>1040</v>
      </c>
      <c r="GR26" s="2913">
        <v>693</v>
      </c>
      <c r="GS26" s="2914">
        <v>780</v>
      </c>
      <c r="GT26" s="2915">
        <v>760</v>
      </c>
      <c r="GU26" s="2915">
        <v>1199</v>
      </c>
      <c r="GV26" s="2916">
        <v>702</v>
      </c>
      <c r="GW26" s="2917">
        <v>562</v>
      </c>
      <c r="GX26" s="2918">
        <v>1065</v>
      </c>
      <c r="GY26" s="2919">
        <v>1172</v>
      </c>
      <c r="GZ26" s="2919">
        <v>749</v>
      </c>
      <c r="HA26" s="2920">
        <v>582</v>
      </c>
      <c r="HB26" s="2921">
        <v>683</v>
      </c>
      <c r="HC26" s="2921">
        <v>1178</v>
      </c>
      <c r="HD26" s="2922">
        <v>673</v>
      </c>
      <c r="HE26" s="2923">
        <v>564</v>
      </c>
      <c r="HF26" s="2924">
        <v>718</v>
      </c>
      <c r="HG26" s="2924">
        <v>1153</v>
      </c>
      <c r="HH26" s="2925">
        <v>821</v>
      </c>
      <c r="HI26" s="2921">
        <v>636</v>
      </c>
      <c r="HJ26" s="2921">
        <v>811</v>
      </c>
      <c r="HK26" s="2921">
        <v>1095</v>
      </c>
      <c r="HL26" s="2921">
        <v>787</v>
      </c>
      <c r="HM26" s="2926">
        <v>676</v>
      </c>
      <c r="HN26" s="2926">
        <v>787</v>
      </c>
      <c r="HO26" s="2926">
        <v>1163</v>
      </c>
      <c r="HP26" s="2926">
        <v>825</v>
      </c>
      <c r="HQ26" s="2927">
        <v>722</v>
      </c>
      <c r="HR26" s="2927">
        <v>954</v>
      </c>
      <c r="HS26" s="2927">
        <f t="shared" si="32"/>
        <v>1057</v>
      </c>
      <c r="HT26" s="2927">
        <v>783</v>
      </c>
      <c r="HU26" s="2928">
        <v>680</v>
      </c>
      <c r="HV26" s="2928">
        <f t="shared" si="33"/>
        <v>846</v>
      </c>
      <c r="HW26" s="2928">
        <f t="shared" si="34"/>
        <v>1071</v>
      </c>
      <c r="HX26" s="2927">
        <f t="shared" si="35"/>
        <v>774</v>
      </c>
      <c r="HY26" s="2846">
        <f t="shared" si="36"/>
        <v>713</v>
      </c>
      <c r="HZ26" s="2846">
        <f t="shared" si="37"/>
        <v>828</v>
      </c>
      <c r="IA26" s="2846">
        <f t="shared" si="38"/>
        <v>1111</v>
      </c>
      <c r="IB26" s="2846">
        <f t="shared" si="39"/>
        <v>712</v>
      </c>
      <c r="IC26" s="2921">
        <f t="shared" si="40"/>
        <v>607</v>
      </c>
      <c r="ID26" s="2921">
        <f t="shared" si="41"/>
        <v>763</v>
      </c>
      <c r="IE26" s="2921">
        <f t="shared" si="42"/>
        <v>1226</v>
      </c>
      <c r="IF26" s="2921">
        <f t="shared" si="43"/>
        <v>727</v>
      </c>
      <c r="IG26" s="2929">
        <f t="shared" si="44"/>
        <v>706</v>
      </c>
      <c r="IH26" s="2926">
        <f t="shared" si="45"/>
        <v>875</v>
      </c>
      <c r="II26" s="2926">
        <f t="shared" si="46"/>
        <v>1421</v>
      </c>
      <c r="IJ26" s="2926">
        <f t="shared" si="47"/>
        <v>933</v>
      </c>
      <c r="IK26" s="2930">
        <f t="shared" si="48"/>
        <v>661</v>
      </c>
      <c r="IL26" s="2931">
        <f t="shared" si="49"/>
        <v>1285</v>
      </c>
      <c r="IM26" s="2931">
        <f t="shared" si="50"/>
        <v>1839</v>
      </c>
      <c r="IN26" s="2931">
        <f t="shared" si="51"/>
        <v>1166</v>
      </c>
      <c r="IO26" s="2932">
        <f t="shared" si="52"/>
        <v>833</v>
      </c>
      <c r="IP26" s="2933">
        <f t="shared" si="53"/>
        <v>18</v>
      </c>
      <c r="IQ26" s="2933">
        <f t="shared" ref="IQ26:IQ33" si="88">FJ26+FK26+FL26</f>
        <v>84</v>
      </c>
      <c r="IR26" s="2934">
        <f t="shared" si="55"/>
        <v>160</v>
      </c>
      <c r="IS26" s="2929">
        <f t="shared" si="56"/>
        <v>160</v>
      </c>
      <c r="IT26" s="2926">
        <f t="shared" si="57"/>
        <v>412</v>
      </c>
      <c r="IU26" s="2926">
        <f t="shared" si="58"/>
        <v>787</v>
      </c>
      <c r="IV26" s="2926">
        <f t="shared" si="59"/>
        <v>765</v>
      </c>
      <c r="IW26" s="4549">
        <f t="shared" si="76"/>
        <v>0</v>
      </c>
      <c r="IX26" s="4541">
        <f t="shared" si="77"/>
        <v>0</v>
      </c>
      <c r="IY26" s="4541">
        <f t="shared" si="78"/>
        <v>0</v>
      </c>
      <c r="IZ26" s="4550">
        <f t="shared" si="79"/>
        <v>0</v>
      </c>
      <c r="JA26" s="4545"/>
      <c r="JB26" s="3544">
        <v>2905</v>
      </c>
      <c r="JC26" s="3545">
        <v>3441</v>
      </c>
      <c r="JD26" s="3545">
        <v>3548</v>
      </c>
      <c r="JE26" s="3545">
        <v>3116</v>
      </c>
      <c r="JF26" s="3545">
        <v>3256</v>
      </c>
      <c r="JG26" s="3545">
        <v>3329</v>
      </c>
      <c r="JH26" s="3546">
        <v>3451</v>
      </c>
      <c r="JI26" s="3547">
        <v>3516</v>
      </c>
      <c r="JJ26" s="3547">
        <f t="shared" si="60"/>
        <v>3371</v>
      </c>
      <c r="JK26" s="3547">
        <f t="shared" si="61"/>
        <v>3446</v>
      </c>
      <c r="JL26" s="3547">
        <f t="shared" si="62"/>
        <v>3323</v>
      </c>
      <c r="JM26" s="3547">
        <f t="shared" si="63"/>
        <v>3935</v>
      </c>
      <c r="JN26" s="3548">
        <f t="shared" si="24"/>
        <v>4951</v>
      </c>
      <c r="JO26" s="3566">
        <f t="shared" si="64"/>
        <v>1095</v>
      </c>
      <c r="JP26" s="3564">
        <f t="shared" si="80"/>
        <v>2124</v>
      </c>
      <c r="JQ26" s="3564">
        <f t="shared" si="81"/>
        <v>2124</v>
      </c>
      <c r="JS26" s="3765">
        <f t="shared" si="82"/>
        <v>2124</v>
      </c>
      <c r="JT26" s="3765">
        <f t="shared" si="83"/>
        <v>2124</v>
      </c>
      <c r="JV26" s="3551">
        <f t="shared" si="84"/>
        <v>1781</v>
      </c>
      <c r="JW26" s="3552">
        <f t="shared" si="65"/>
        <v>5.4905309850133682E-3</v>
      </c>
      <c r="JX26" s="3552">
        <f t="shared" si="66"/>
        <v>5.0893585999133139E-3</v>
      </c>
      <c r="JY26" s="3552">
        <f t="shared" si="85"/>
        <v>5.7278020378457063E-3</v>
      </c>
      <c r="JZ26" s="3552">
        <f t="shared" si="67"/>
        <v>7.2066957787481805E-3</v>
      </c>
      <c r="KA26" s="3552">
        <f t="shared" si="68"/>
        <v>5.7207939103585551E-3</v>
      </c>
      <c r="KB26" s="4575">
        <f t="shared" si="69"/>
        <v>7.5588264601631344E-3</v>
      </c>
      <c r="KC26" s="3565">
        <f t="shared" si="86"/>
        <v>7.5588264601631344E-3</v>
      </c>
      <c r="KD26" s="3552"/>
      <c r="KE26" s="3554">
        <f t="shared" si="70"/>
        <v>-3.569355774811378E-2</v>
      </c>
      <c r="KF26" s="3555">
        <f t="shared" si="71"/>
        <v>-0.48316889146836917</v>
      </c>
      <c r="KG26" s="3555">
        <f t="shared" si="72"/>
        <v>0.18417092988263617</v>
      </c>
      <c r="KH26" s="3555">
        <f t="shared" si="73"/>
        <v>0.25819567979669622</v>
      </c>
      <c r="KI26" s="3555">
        <f t="shared" si="74"/>
        <v>-0.77883255907897397</v>
      </c>
      <c r="KJ26" s="3556">
        <f t="shared" si="75"/>
        <v>-0.57099575843263994</v>
      </c>
      <c r="KK26" s="3557">
        <f t="shared" si="87"/>
        <v>0.9397260273972603</v>
      </c>
      <c r="KM26" s="3231"/>
      <c r="KN26" s="3231"/>
      <c r="KO26" s="3231"/>
      <c r="KP26" s="3231"/>
      <c r="KQ26" s="3231"/>
      <c r="KR26" s="3231"/>
      <c r="KS26" s="3231"/>
      <c r="KT26" s="3231"/>
      <c r="KU26" s="3231"/>
      <c r="KV26" s="3231"/>
      <c r="KW26" s="3231"/>
      <c r="KX26" s="3231"/>
      <c r="KY26" s="3231"/>
      <c r="KZ26" s="3231"/>
      <c r="LA26" s="3231"/>
      <c r="LB26" s="3231"/>
      <c r="LC26" s="3231"/>
      <c r="LD26" s="3231"/>
      <c r="LE26" s="3231"/>
      <c r="LF26" s="3231"/>
      <c r="LG26" s="3231"/>
      <c r="LH26" s="3231"/>
      <c r="LI26" s="3231"/>
    </row>
    <row r="27" spans="1:321" ht="21.9" customHeight="1">
      <c r="A27" s="3568"/>
      <c r="B27" s="3231"/>
      <c r="C27" s="3567" t="s">
        <v>29</v>
      </c>
      <c r="D27" s="3516">
        <v>120</v>
      </c>
      <c r="E27" s="3517">
        <v>59</v>
      </c>
      <c r="F27" s="3517">
        <v>128</v>
      </c>
      <c r="G27" s="3517">
        <v>109</v>
      </c>
      <c r="H27" s="3517">
        <v>113</v>
      </c>
      <c r="I27" s="3517">
        <v>72</v>
      </c>
      <c r="J27" s="3517">
        <v>102</v>
      </c>
      <c r="K27" s="3517">
        <v>118</v>
      </c>
      <c r="L27" s="3517">
        <v>110</v>
      </c>
      <c r="M27" s="3517">
        <v>166</v>
      </c>
      <c r="N27" s="3517">
        <v>172</v>
      </c>
      <c r="O27" s="3518">
        <v>155</v>
      </c>
      <c r="P27" s="3519">
        <v>194</v>
      </c>
      <c r="Q27" s="3520">
        <v>225</v>
      </c>
      <c r="R27" s="3520">
        <v>75</v>
      </c>
      <c r="S27" s="3520">
        <v>146</v>
      </c>
      <c r="T27" s="3520">
        <v>108</v>
      </c>
      <c r="U27" s="3520">
        <v>91</v>
      </c>
      <c r="V27" s="3520">
        <v>59</v>
      </c>
      <c r="W27" s="3520">
        <v>146</v>
      </c>
      <c r="X27" s="3520">
        <v>144</v>
      </c>
      <c r="Y27" s="3520">
        <v>246</v>
      </c>
      <c r="Z27" s="3520">
        <v>176</v>
      </c>
      <c r="AA27" s="3521">
        <v>156</v>
      </c>
      <c r="AB27" s="3522">
        <v>242</v>
      </c>
      <c r="AC27" s="3523">
        <v>112</v>
      </c>
      <c r="AD27" s="3523">
        <v>107</v>
      </c>
      <c r="AE27" s="3523">
        <v>162</v>
      </c>
      <c r="AF27" s="3523">
        <v>132</v>
      </c>
      <c r="AG27" s="3523">
        <v>102</v>
      </c>
      <c r="AH27" s="3523">
        <v>113</v>
      </c>
      <c r="AI27" s="3523">
        <v>121</v>
      </c>
      <c r="AJ27" s="3523">
        <v>168</v>
      </c>
      <c r="AK27" s="3523">
        <v>111</v>
      </c>
      <c r="AL27" s="3523">
        <v>109</v>
      </c>
      <c r="AM27" s="3524">
        <v>124</v>
      </c>
      <c r="AN27" s="3525">
        <v>180</v>
      </c>
      <c r="AO27" s="3526">
        <v>118</v>
      </c>
      <c r="AP27" s="3526">
        <v>148</v>
      </c>
      <c r="AQ27" s="3526">
        <v>100</v>
      </c>
      <c r="AR27" s="3526">
        <v>129</v>
      </c>
      <c r="AS27" s="3526">
        <v>93</v>
      </c>
      <c r="AT27" s="3526">
        <v>88</v>
      </c>
      <c r="AU27" s="3526">
        <v>74</v>
      </c>
      <c r="AV27" s="3526">
        <v>110</v>
      </c>
      <c r="AW27" s="3526">
        <v>95</v>
      </c>
      <c r="AX27" s="3526">
        <v>136</v>
      </c>
      <c r="AY27" s="3527">
        <v>177</v>
      </c>
      <c r="AZ27" s="3463">
        <v>162</v>
      </c>
      <c r="BA27" s="3463">
        <v>143</v>
      </c>
      <c r="BB27" s="3463">
        <v>142</v>
      </c>
      <c r="BC27" s="3463">
        <v>190</v>
      </c>
      <c r="BD27" s="3463">
        <v>66</v>
      </c>
      <c r="BE27" s="3463">
        <v>108</v>
      </c>
      <c r="BF27" s="3463">
        <v>147</v>
      </c>
      <c r="BG27" s="3463">
        <v>120</v>
      </c>
      <c r="BH27" s="3463">
        <v>122</v>
      </c>
      <c r="BI27" s="3463">
        <v>233</v>
      </c>
      <c r="BJ27" s="3463">
        <v>327</v>
      </c>
      <c r="BK27" s="3560">
        <v>182</v>
      </c>
      <c r="BL27" s="3530">
        <v>251</v>
      </c>
      <c r="BM27" s="3531">
        <v>150</v>
      </c>
      <c r="BN27" s="3531">
        <v>195</v>
      </c>
      <c r="BO27" s="3531">
        <v>172</v>
      </c>
      <c r="BP27" s="3531">
        <v>182</v>
      </c>
      <c r="BQ27" s="3531">
        <v>137</v>
      </c>
      <c r="BR27" s="3531">
        <v>166</v>
      </c>
      <c r="BS27" s="3531">
        <v>178</v>
      </c>
      <c r="BT27" s="3532">
        <v>154</v>
      </c>
      <c r="BU27" s="3532">
        <v>220</v>
      </c>
      <c r="BV27" s="3532">
        <v>229</v>
      </c>
      <c r="BW27" s="3533">
        <v>199</v>
      </c>
      <c r="BX27" s="3534">
        <v>291</v>
      </c>
      <c r="BY27" s="3459">
        <v>256</v>
      </c>
      <c r="BZ27" s="3459">
        <v>196</v>
      </c>
      <c r="CA27" s="3459">
        <v>178</v>
      </c>
      <c r="CB27" s="3459">
        <v>194</v>
      </c>
      <c r="CC27" s="3459">
        <v>139</v>
      </c>
      <c r="CD27" s="3459">
        <v>129</v>
      </c>
      <c r="CE27" s="3459">
        <v>136</v>
      </c>
      <c r="CF27" s="3459">
        <v>181</v>
      </c>
      <c r="CG27" s="3459">
        <v>182</v>
      </c>
      <c r="CH27" s="3459">
        <v>201</v>
      </c>
      <c r="CI27" s="3461">
        <v>247</v>
      </c>
      <c r="CJ27" s="3535">
        <v>283</v>
      </c>
      <c r="CK27" s="3536">
        <v>291</v>
      </c>
      <c r="CL27" s="3536">
        <v>178</v>
      </c>
      <c r="CM27" s="3536">
        <v>224</v>
      </c>
      <c r="CN27" s="3536">
        <v>155</v>
      </c>
      <c r="CO27" s="3536">
        <v>158</v>
      </c>
      <c r="CP27" s="3536">
        <v>153</v>
      </c>
      <c r="CQ27" s="3536">
        <v>165</v>
      </c>
      <c r="CR27" s="3536">
        <v>173</v>
      </c>
      <c r="CS27" s="3536">
        <v>247</v>
      </c>
      <c r="CT27" s="3536">
        <v>240</v>
      </c>
      <c r="CU27" s="3537">
        <v>293</v>
      </c>
      <c r="CV27" s="3535">
        <v>376</v>
      </c>
      <c r="CW27" s="3536">
        <v>163</v>
      </c>
      <c r="CX27" s="3458">
        <v>162</v>
      </c>
      <c r="CY27" s="3458">
        <v>180</v>
      </c>
      <c r="CZ27" s="3458">
        <v>145</v>
      </c>
      <c r="DA27" s="3458">
        <v>118</v>
      </c>
      <c r="DB27" s="3458">
        <v>159</v>
      </c>
      <c r="DC27" s="3458">
        <v>113</v>
      </c>
      <c r="DD27" s="3458">
        <v>185</v>
      </c>
      <c r="DE27" s="3458">
        <v>181</v>
      </c>
      <c r="DF27" s="3458">
        <v>191</v>
      </c>
      <c r="DG27" s="3537">
        <v>200</v>
      </c>
      <c r="DH27" s="3538">
        <v>228</v>
      </c>
      <c r="DI27" s="3539">
        <v>199</v>
      </c>
      <c r="DJ27" s="3539">
        <v>167</v>
      </c>
      <c r="DK27" s="3540">
        <v>147</v>
      </c>
      <c r="DL27" s="3540">
        <v>136</v>
      </c>
      <c r="DM27" s="3540">
        <v>146</v>
      </c>
      <c r="DN27" s="3540">
        <v>117</v>
      </c>
      <c r="DO27" s="3540">
        <v>130</v>
      </c>
      <c r="DP27" s="2713">
        <v>120</v>
      </c>
      <c r="DQ27" s="3540">
        <v>266</v>
      </c>
      <c r="DR27" s="3540">
        <v>200</v>
      </c>
      <c r="DS27" s="3541">
        <v>214</v>
      </c>
      <c r="DT27" s="3542">
        <v>248</v>
      </c>
      <c r="DU27" s="3429">
        <v>204</v>
      </c>
      <c r="DV27" s="3429">
        <v>211</v>
      </c>
      <c r="DW27" s="3350">
        <v>202</v>
      </c>
      <c r="DX27" s="3350">
        <v>142</v>
      </c>
      <c r="DY27" s="3350">
        <v>160</v>
      </c>
      <c r="DZ27" s="3350">
        <v>134</v>
      </c>
      <c r="EA27" s="3350">
        <v>152</v>
      </c>
      <c r="EB27" s="3350">
        <v>185</v>
      </c>
      <c r="EC27" s="3350">
        <v>234</v>
      </c>
      <c r="ED27" s="3350">
        <v>193</v>
      </c>
      <c r="EE27" s="3349">
        <v>296</v>
      </c>
      <c r="EF27" s="2689">
        <v>246</v>
      </c>
      <c r="EG27" s="2688">
        <v>213</v>
      </c>
      <c r="EH27" s="2688">
        <v>182</v>
      </c>
      <c r="EI27" s="2688">
        <v>198</v>
      </c>
      <c r="EJ27" s="2688">
        <v>159</v>
      </c>
      <c r="EK27" s="2688">
        <v>138</v>
      </c>
      <c r="EL27" s="2688">
        <v>169</v>
      </c>
      <c r="EM27" s="2714">
        <v>173</v>
      </c>
      <c r="EN27" s="2714">
        <v>195</v>
      </c>
      <c r="EO27" s="2715">
        <v>203</v>
      </c>
      <c r="EP27" s="2715">
        <v>223</v>
      </c>
      <c r="EQ27" s="2716">
        <v>279</v>
      </c>
      <c r="ER27" s="1345">
        <v>262</v>
      </c>
      <c r="ES27" s="3543">
        <v>212</v>
      </c>
      <c r="ET27" s="3543">
        <v>207</v>
      </c>
      <c r="EU27" s="2717">
        <v>218</v>
      </c>
      <c r="EV27" s="2159">
        <v>155</v>
      </c>
      <c r="EW27" s="2159">
        <v>178</v>
      </c>
      <c r="EX27" s="2159">
        <v>194</v>
      </c>
      <c r="EY27" s="2159">
        <v>225</v>
      </c>
      <c r="EZ27" s="2159">
        <v>226</v>
      </c>
      <c r="FA27" s="2339">
        <v>205</v>
      </c>
      <c r="FB27" s="2339">
        <v>228</v>
      </c>
      <c r="FC27" s="2339">
        <v>316</v>
      </c>
      <c r="FD27" s="2772">
        <v>301</v>
      </c>
      <c r="FE27" s="2773">
        <v>244</v>
      </c>
      <c r="FF27" s="2773">
        <v>104</v>
      </c>
      <c r="FG27" s="2773">
        <v>1</v>
      </c>
      <c r="FH27" s="2773">
        <v>1</v>
      </c>
      <c r="FI27" s="2773">
        <v>9</v>
      </c>
      <c r="FJ27" s="2773">
        <v>6</v>
      </c>
      <c r="FK27" s="2773">
        <v>22</v>
      </c>
      <c r="FL27" s="2773">
        <v>33</v>
      </c>
      <c r="FM27" s="2773">
        <v>56</v>
      </c>
      <c r="FN27" s="2773">
        <v>64</v>
      </c>
      <c r="FO27" s="2774">
        <v>67</v>
      </c>
      <c r="FP27" s="2772">
        <v>89</v>
      </c>
      <c r="FQ27" s="2773">
        <v>69</v>
      </c>
      <c r="FR27" s="2773">
        <v>89</v>
      </c>
      <c r="FS27" s="2773">
        <v>87</v>
      </c>
      <c r="FT27" s="2773">
        <v>61</v>
      </c>
      <c r="FU27" s="2773">
        <v>106</v>
      </c>
      <c r="FV27" s="2773">
        <v>97</v>
      </c>
      <c r="FW27" s="2773">
        <v>131</v>
      </c>
      <c r="FX27" s="2773">
        <v>118</v>
      </c>
      <c r="FY27" s="2773">
        <v>132</v>
      </c>
      <c r="FZ27" s="2773">
        <v>177</v>
      </c>
      <c r="GA27" s="2774">
        <v>254</v>
      </c>
      <c r="GB27" s="4561"/>
      <c r="GC27" s="4557"/>
      <c r="GD27" s="4557"/>
      <c r="GE27" s="4557"/>
      <c r="GF27" s="4557"/>
      <c r="GG27" s="4557"/>
      <c r="GH27" s="4557"/>
      <c r="GI27" s="4557"/>
      <c r="GJ27" s="4557"/>
      <c r="GK27" s="4557"/>
      <c r="GL27" s="4557"/>
      <c r="GM27" s="4562"/>
      <c r="GN27" s="2764"/>
      <c r="GO27" s="2911">
        <v>307</v>
      </c>
      <c r="GP27" s="2912">
        <v>294</v>
      </c>
      <c r="GQ27" s="2912">
        <v>330</v>
      </c>
      <c r="GR27" s="2913">
        <v>493</v>
      </c>
      <c r="GS27" s="2914">
        <v>494</v>
      </c>
      <c r="GT27" s="2915">
        <v>345</v>
      </c>
      <c r="GU27" s="2915">
        <v>349</v>
      </c>
      <c r="GV27" s="2916">
        <v>578</v>
      </c>
      <c r="GW27" s="2917">
        <v>461</v>
      </c>
      <c r="GX27" s="2918">
        <v>396</v>
      </c>
      <c r="GY27" s="2919">
        <v>402</v>
      </c>
      <c r="GZ27" s="2919">
        <v>344</v>
      </c>
      <c r="HA27" s="2920">
        <v>446</v>
      </c>
      <c r="HB27" s="2921">
        <v>322</v>
      </c>
      <c r="HC27" s="2921">
        <v>272</v>
      </c>
      <c r="HD27" s="2922">
        <v>408</v>
      </c>
      <c r="HE27" s="2923">
        <v>447</v>
      </c>
      <c r="HF27" s="2924">
        <v>364</v>
      </c>
      <c r="HG27" s="2924">
        <v>389</v>
      </c>
      <c r="HH27" s="2925">
        <v>742</v>
      </c>
      <c r="HI27" s="2921">
        <v>596</v>
      </c>
      <c r="HJ27" s="2921">
        <v>491</v>
      </c>
      <c r="HK27" s="2921">
        <v>498</v>
      </c>
      <c r="HL27" s="2921">
        <v>648</v>
      </c>
      <c r="HM27" s="2926">
        <v>743</v>
      </c>
      <c r="HN27" s="2926">
        <v>511</v>
      </c>
      <c r="HO27" s="2926">
        <v>446</v>
      </c>
      <c r="HP27" s="2926">
        <v>630</v>
      </c>
      <c r="HQ27" s="2927">
        <v>752</v>
      </c>
      <c r="HR27" s="2927">
        <v>537</v>
      </c>
      <c r="HS27" s="2927">
        <f t="shared" si="32"/>
        <v>491</v>
      </c>
      <c r="HT27" s="2927">
        <v>780</v>
      </c>
      <c r="HU27" s="2928">
        <v>701</v>
      </c>
      <c r="HV27" s="2928">
        <f t="shared" si="33"/>
        <v>443</v>
      </c>
      <c r="HW27" s="2928">
        <f t="shared" si="34"/>
        <v>457</v>
      </c>
      <c r="HX27" s="2927">
        <f t="shared" si="35"/>
        <v>572</v>
      </c>
      <c r="HY27" s="2846">
        <f t="shared" si="36"/>
        <v>594</v>
      </c>
      <c r="HZ27" s="2846">
        <f t="shared" si="37"/>
        <v>429</v>
      </c>
      <c r="IA27" s="2846">
        <f t="shared" si="38"/>
        <v>461</v>
      </c>
      <c r="IB27" s="2846">
        <f t="shared" si="39"/>
        <v>680</v>
      </c>
      <c r="IC27" s="2921">
        <f t="shared" si="40"/>
        <v>663</v>
      </c>
      <c r="ID27" s="2921">
        <f t="shared" si="41"/>
        <v>504</v>
      </c>
      <c r="IE27" s="2921">
        <f t="shared" si="42"/>
        <v>471</v>
      </c>
      <c r="IF27" s="2921">
        <f t="shared" si="43"/>
        <v>723</v>
      </c>
      <c r="IG27" s="2929">
        <f t="shared" si="44"/>
        <v>641</v>
      </c>
      <c r="IH27" s="2926">
        <f t="shared" si="45"/>
        <v>495</v>
      </c>
      <c r="II27" s="2926">
        <f t="shared" si="46"/>
        <v>537</v>
      </c>
      <c r="IJ27" s="2926">
        <f t="shared" si="47"/>
        <v>705</v>
      </c>
      <c r="IK27" s="2930">
        <f t="shared" si="48"/>
        <v>681</v>
      </c>
      <c r="IL27" s="2931">
        <f t="shared" si="49"/>
        <v>551</v>
      </c>
      <c r="IM27" s="2931">
        <f t="shared" si="50"/>
        <v>645</v>
      </c>
      <c r="IN27" s="2931">
        <f t="shared" si="51"/>
        <v>749</v>
      </c>
      <c r="IO27" s="2932">
        <f t="shared" si="52"/>
        <v>649</v>
      </c>
      <c r="IP27" s="2933">
        <f t="shared" si="53"/>
        <v>11</v>
      </c>
      <c r="IQ27" s="2933">
        <f t="shared" si="88"/>
        <v>61</v>
      </c>
      <c r="IR27" s="2934">
        <f t="shared" si="55"/>
        <v>187</v>
      </c>
      <c r="IS27" s="2929">
        <f t="shared" si="56"/>
        <v>247</v>
      </c>
      <c r="IT27" s="2926">
        <f t="shared" si="57"/>
        <v>254</v>
      </c>
      <c r="IU27" s="2926">
        <f t="shared" si="58"/>
        <v>346</v>
      </c>
      <c r="IV27" s="2926">
        <f t="shared" si="59"/>
        <v>563</v>
      </c>
      <c r="IW27" s="4549">
        <f t="shared" si="76"/>
        <v>0</v>
      </c>
      <c r="IX27" s="4541">
        <f t="shared" si="77"/>
        <v>0</v>
      </c>
      <c r="IY27" s="4541">
        <f t="shared" si="78"/>
        <v>0</v>
      </c>
      <c r="IZ27" s="4550">
        <f t="shared" si="79"/>
        <v>0</v>
      </c>
      <c r="JA27" s="4545"/>
      <c r="JB27" s="3544">
        <v>1424</v>
      </c>
      <c r="JC27" s="3545">
        <v>1766</v>
      </c>
      <c r="JD27" s="3545">
        <v>1603</v>
      </c>
      <c r="JE27" s="3545">
        <v>1448</v>
      </c>
      <c r="JF27" s="3545">
        <v>1942</v>
      </c>
      <c r="JG27" s="3545">
        <v>2233</v>
      </c>
      <c r="JH27" s="3546">
        <v>2330</v>
      </c>
      <c r="JI27" s="3547">
        <v>2560</v>
      </c>
      <c r="JJ27" s="3547">
        <f t="shared" si="60"/>
        <v>2173</v>
      </c>
      <c r="JK27" s="3547">
        <f t="shared" si="61"/>
        <v>2070</v>
      </c>
      <c r="JL27" s="3547">
        <f t="shared" si="62"/>
        <v>2361</v>
      </c>
      <c r="JM27" s="3547">
        <f t="shared" si="63"/>
        <v>2378</v>
      </c>
      <c r="JN27" s="3548">
        <f t="shared" si="24"/>
        <v>2626</v>
      </c>
      <c r="JO27" s="3566">
        <f t="shared" si="64"/>
        <v>908</v>
      </c>
      <c r="JP27" s="3564">
        <f t="shared" si="80"/>
        <v>1410</v>
      </c>
      <c r="JQ27" s="3564">
        <f t="shared" si="81"/>
        <v>1410</v>
      </c>
      <c r="JS27" s="3765">
        <f t="shared" si="82"/>
        <v>1410</v>
      </c>
      <c r="JT27" s="3765">
        <f t="shared" si="83"/>
        <v>1410</v>
      </c>
      <c r="JV27" s="3551">
        <f t="shared" si="84"/>
        <v>1242.6666666666667</v>
      </c>
      <c r="JW27" s="3552">
        <f t="shared" si="65"/>
        <v>3.2981425243696085E-3</v>
      </c>
      <c r="JX27" s="3552">
        <f t="shared" si="66"/>
        <v>3.6160023034593242E-3</v>
      </c>
      <c r="JY27" s="3552">
        <f t="shared" si="85"/>
        <v>3.4614264919941777E-3</v>
      </c>
      <c r="JZ27" s="3552">
        <f t="shared" si="67"/>
        <v>3.8224163027656475E-3</v>
      </c>
      <c r="KA27" s="3552">
        <f t="shared" si="68"/>
        <v>4.7438181466717515E-3</v>
      </c>
      <c r="KB27" s="4575">
        <f t="shared" si="69"/>
        <v>5.0178650229896508E-3</v>
      </c>
      <c r="KC27" s="3565">
        <f t="shared" si="86"/>
        <v>5.0178650229896508E-3</v>
      </c>
      <c r="KD27" s="3552"/>
      <c r="KE27" s="3554">
        <f t="shared" si="70"/>
        <v>0.14057971014492754</v>
      </c>
      <c r="KF27" s="3555">
        <f t="shared" si="71"/>
        <v>-0.39967793880837355</v>
      </c>
      <c r="KG27" s="3555">
        <f t="shared" si="72"/>
        <v>7.2003388394747958E-3</v>
      </c>
      <c r="KH27" s="3555">
        <f t="shared" si="73"/>
        <v>0.10428931875525649</v>
      </c>
      <c r="KI27" s="3555">
        <f t="shared" si="74"/>
        <v>-0.65422696115765422</v>
      </c>
      <c r="KJ27" s="3556">
        <f t="shared" si="75"/>
        <v>-0.46306169078446302</v>
      </c>
      <c r="KK27" s="3557">
        <f t="shared" si="87"/>
        <v>0.55286343612334798</v>
      </c>
      <c r="KM27" s="3231"/>
      <c r="KN27" s="3231"/>
      <c r="KO27" s="3231"/>
      <c r="KP27" s="3231"/>
      <c r="KQ27" s="3231"/>
      <c r="KR27" s="3231"/>
      <c r="KS27" s="3231"/>
      <c r="KT27" s="3231"/>
      <c r="KU27" s="3231"/>
      <c r="KV27" s="3231"/>
      <c r="KW27" s="3231"/>
      <c r="KX27" s="3231"/>
      <c r="KY27" s="3231"/>
      <c r="KZ27" s="3231"/>
      <c r="LA27" s="3231"/>
      <c r="LB27" s="3231"/>
      <c r="LC27" s="3231"/>
      <c r="LD27" s="3231"/>
      <c r="LE27" s="3231"/>
      <c r="LF27" s="3231"/>
      <c r="LG27" s="3231"/>
      <c r="LH27" s="3231"/>
      <c r="LI27" s="3231"/>
    </row>
    <row r="28" spans="1:321" ht="21.9" customHeight="1">
      <c r="A28" s="3568"/>
      <c r="B28" s="3231"/>
      <c r="C28" s="3567" t="s">
        <v>18</v>
      </c>
      <c r="D28" s="3516">
        <v>119</v>
      </c>
      <c r="E28" s="3517">
        <v>130</v>
      </c>
      <c r="F28" s="3517">
        <v>176</v>
      </c>
      <c r="G28" s="3517">
        <v>124</v>
      </c>
      <c r="H28" s="3517">
        <v>123</v>
      </c>
      <c r="I28" s="3517">
        <v>173</v>
      </c>
      <c r="J28" s="3517">
        <v>251</v>
      </c>
      <c r="K28" s="3517">
        <v>216</v>
      </c>
      <c r="L28" s="3517">
        <v>321</v>
      </c>
      <c r="M28" s="3517">
        <v>214</v>
      </c>
      <c r="N28" s="3517">
        <v>244</v>
      </c>
      <c r="O28" s="3518">
        <v>126</v>
      </c>
      <c r="P28" s="3519">
        <v>134</v>
      </c>
      <c r="Q28" s="3520">
        <v>307</v>
      </c>
      <c r="R28" s="3520">
        <v>218</v>
      </c>
      <c r="S28" s="3520">
        <v>255</v>
      </c>
      <c r="T28" s="3520">
        <v>201</v>
      </c>
      <c r="U28" s="3520">
        <v>215</v>
      </c>
      <c r="V28" s="3520">
        <v>187</v>
      </c>
      <c r="W28" s="3520">
        <v>228</v>
      </c>
      <c r="X28" s="3520">
        <v>253</v>
      </c>
      <c r="Y28" s="3520">
        <v>230</v>
      </c>
      <c r="Z28" s="3520">
        <v>279</v>
      </c>
      <c r="AA28" s="3521">
        <v>228</v>
      </c>
      <c r="AB28" s="3522">
        <v>182</v>
      </c>
      <c r="AC28" s="3523">
        <v>186</v>
      </c>
      <c r="AD28" s="3523">
        <v>274</v>
      </c>
      <c r="AE28" s="3523">
        <v>222</v>
      </c>
      <c r="AF28" s="3523">
        <v>220.5</v>
      </c>
      <c r="AG28" s="3523">
        <v>219</v>
      </c>
      <c r="AH28" s="3523">
        <v>220</v>
      </c>
      <c r="AI28" s="3523">
        <v>205</v>
      </c>
      <c r="AJ28" s="3523">
        <v>241</v>
      </c>
      <c r="AK28" s="3523">
        <v>178</v>
      </c>
      <c r="AL28" s="3523">
        <v>253</v>
      </c>
      <c r="AM28" s="3524">
        <v>160</v>
      </c>
      <c r="AN28" s="3525">
        <v>173</v>
      </c>
      <c r="AO28" s="3526">
        <v>480</v>
      </c>
      <c r="AP28" s="3526">
        <v>219</v>
      </c>
      <c r="AQ28" s="3526">
        <v>183</v>
      </c>
      <c r="AR28" s="3526">
        <v>203</v>
      </c>
      <c r="AS28" s="3526">
        <v>202</v>
      </c>
      <c r="AT28" s="3526">
        <v>126</v>
      </c>
      <c r="AU28" s="3526">
        <v>185</v>
      </c>
      <c r="AV28" s="3526">
        <v>172</v>
      </c>
      <c r="AW28" s="3526">
        <v>151</v>
      </c>
      <c r="AX28" s="3526">
        <v>223</v>
      </c>
      <c r="AY28" s="3527">
        <v>172</v>
      </c>
      <c r="AZ28" s="3463">
        <v>173</v>
      </c>
      <c r="BA28" s="3463">
        <v>187</v>
      </c>
      <c r="BB28" s="3463">
        <v>216</v>
      </c>
      <c r="BC28" s="3463">
        <v>138</v>
      </c>
      <c r="BD28" s="3463">
        <v>194</v>
      </c>
      <c r="BE28" s="3463">
        <v>192</v>
      </c>
      <c r="BF28" s="3463">
        <v>186</v>
      </c>
      <c r="BG28" s="3463">
        <v>182</v>
      </c>
      <c r="BH28" s="3463">
        <v>218</v>
      </c>
      <c r="BI28" s="3463">
        <v>222</v>
      </c>
      <c r="BJ28" s="3463">
        <v>219</v>
      </c>
      <c r="BK28" s="3560">
        <v>161</v>
      </c>
      <c r="BL28" s="3530">
        <v>2</v>
      </c>
      <c r="BM28" s="3531">
        <v>148</v>
      </c>
      <c r="BN28" s="3531">
        <v>155</v>
      </c>
      <c r="BO28" s="3531">
        <v>190</v>
      </c>
      <c r="BP28" s="3531">
        <v>221</v>
      </c>
      <c r="BQ28" s="3531">
        <v>224</v>
      </c>
      <c r="BR28" s="3531">
        <v>248</v>
      </c>
      <c r="BS28" s="3531">
        <v>205</v>
      </c>
      <c r="BT28" s="3532">
        <v>314</v>
      </c>
      <c r="BU28" s="3532">
        <v>260</v>
      </c>
      <c r="BV28" s="3532">
        <v>276</v>
      </c>
      <c r="BW28" s="3533">
        <v>182</v>
      </c>
      <c r="BX28" s="3534">
        <v>201</v>
      </c>
      <c r="BY28" s="3459">
        <v>185</v>
      </c>
      <c r="BZ28" s="3459">
        <v>224</v>
      </c>
      <c r="CA28" s="3459">
        <v>156</v>
      </c>
      <c r="CB28" s="3459">
        <v>251</v>
      </c>
      <c r="CC28" s="3459">
        <v>282</v>
      </c>
      <c r="CD28" s="3459">
        <v>325</v>
      </c>
      <c r="CE28" s="3459">
        <v>208</v>
      </c>
      <c r="CF28" s="3459">
        <v>236</v>
      </c>
      <c r="CG28" s="3459">
        <v>227</v>
      </c>
      <c r="CH28" s="3459">
        <v>327</v>
      </c>
      <c r="CI28" s="3461">
        <v>247</v>
      </c>
      <c r="CJ28" s="3535">
        <v>171</v>
      </c>
      <c r="CK28" s="3536">
        <v>189</v>
      </c>
      <c r="CL28" s="3536">
        <v>203</v>
      </c>
      <c r="CM28" s="3536">
        <v>239</v>
      </c>
      <c r="CN28" s="3536">
        <v>239</v>
      </c>
      <c r="CO28" s="3536">
        <v>247</v>
      </c>
      <c r="CP28" s="3536">
        <v>214</v>
      </c>
      <c r="CQ28" s="3536">
        <v>268</v>
      </c>
      <c r="CR28" s="3536">
        <v>318</v>
      </c>
      <c r="CS28" s="3536">
        <v>325</v>
      </c>
      <c r="CT28" s="3536">
        <v>275</v>
      </c>
      <c r="CU28" s="3537">
        <v>267</v>
      </c>
      <c r="CV28" s="3535">
        <v>193</v>
      </c>
      <c r="CW28" s="3536">
        <v>216</v>
      </c>
      <c r="CX28" s="3458">
        <v>209</v>
      </c>
      <c r="CY28" s="3458">
        <v>223</v>
      </c>
      <c r="CZ28" s="3458">
        <v>231</v>
      </c>
      <c r="DA28" s="3458">
        <v>215</v>
      </c>
      <c r="DB28" s="3458">
        <v>241</v>
      </c>
      <c r="DC28" s="3458">
        <v>229</v>
      </c>
      <c r="DD28" s="3458">
        <v>220</v>
      </c>
      <c r="DE28" s="3458">
        <v>313</v>
      </c>
      <c r="DF28" s="3458">
        <v>259</v>
      </c>
      <c r="DG28" s="3537">
        <v>272</v>
      </c>
      <c r="DH28" s="3538">
        <v>208</v>
      </c>
      <c r="DI28" s="3539">
        <v>198</v>
      </c>
      <c r="DJ28" s="3539">
        <v>189</v>
      </c>
      <c r="DK28" s="3540">
        <v>151</v>
      </c>
      <c r="DL28" s="3540">
        <v>162</v>
      </c>
      <c r="DM28" s="3540">
        <v>234</v>
      </c>
      <c r="DN28" s="3540">
        <v>292</v>
      </c>
      <c r="DO28" s="3540">
        <v>183</v>
      </c>
      <c r="DP28" s="2713">
        <v>214</v>
      </c>
      <c r="DQ28" s="3540">
        <v>300</v>
      </c>
      <c r="DR28" s="3540">
        <v>242</v>
      </c>
      <c r="DS28" s="3541">
        <v>325</v>
      </c>
      <c r="DT28" s="3542">
        <v>284</v>
      </c>
      <c r="DU28" s="3429">
        <v>170</v>
      </c>
      <c r="DV28" s="3429">
        <v>251</v>
      </c>
      <c r="DW28" s="3350">
        <v>239</v>
      </c>
      <c r="DX28" s="3350">
        <v>317</v>
      </c>
      <c r="DY28" s="3350">
        <v>264</v>
      </c>
      <c r="DZ28" s="3350">
        <v>306</v>
      </c>
      <c r="EA28" s="3350">
        <v>225</v>
      </c>
      <c r="EB28" s="3350">
        <v>258</v>
      </c>
      <c r="EC28" s="3350">
        <v>212</v>
      </c>
      <c r="ED28" s="3350">
        <v>352</v>
      </c>
      <c r="EE28" s="3349">
        <v>284</v>
      </c>
      <c r="EF28" s="2689">
        <v>267</v>
      </c>
      <c r="EG28" s="2688">
        <v>231</v>
      </c>
      <c r="EH28" s="2688">
        <v>204</v>
      </c>
      <c r="EI28" s="2688">
        <v>179</v>
      </c>
      <c r="EJ28" s="2688">
        <v>219</v>
      </c>
      <c r="EK28" s="2688">
        <v>249</v>
      </c>
      <c r="EL28" s="2688">
        <v>318</v>
      </c>
      <c r="EM28" s="2714">
        <v>205</v>
      </c>
      <c r="EN28" s="2714">
        <v>217</v>
      </c>
      <c r="EO28" s="2715">
        <v>284</v>
      </c>
      <c r="EP28" s="2715">
        <v>356</v>
      </c>
      <c r="EQ28" s="2716">
        <v>311</v>
      </c>
      <c r="ER28" s="1345">
        <v>204</v>
      </c>
      <c r="ES28" s="3543">
        <v>244</v>
      </c>
      <c r="ET28" s="3543">
        <v>216</v>
      </c>
      <c r="EU28" s="2717">
        <v>192</v>
      </c>
      <c r="EV28" s="2159">
        <v>266</v>
      </c>
      <c r="EW28" s="2159">
        <v>294</v>
      </c>
      <c r="EX28" s="2159">
        <v>299</v>
      </c>
      <c r="EY28" s="2159">
        <v>233</v>
      </c>
      <c r="EZ28" s="2159">
        <v>299</v>
      </c>
      <c r="FA28" s="2339">
        <v>341</v>
      </c>
      <c r="FB28" s="2339">
        <v>245</v>
      </c>
      <c r="FC28" s="2339">
        <v>285</v>
      </c>
      <c r="FD28" s="2772">
        <v>254</v>
      </c>
      <c r="FE28" s="2773">
        <v>289</v>
      </c>
      <c r="FF28" s="2773">
        <v>92</v>
      </c>
      <c r="FG28" s="2773">
        <v>1</v>
      </c>
      <c r="FH28" s="2773"/>
      <c r="FI28" s="2773">
        <v>3</v>
      </c>
      <c r="FJ28" s="2773">
        <v>6</v>
      </c>
      <c r="FK28" s="2773">
        <v>5</v>
      </c>
      <c r="FL28" s="2773">
        <v>6</v>
      </c>
      <c r="FM28" s="2773">
        <v>23</v>
      </c>
      <c r="FN28" s="2773">
        <v>41</v>
      </c>
      <c r="FO28" s="2774">
        <v>96</v>
      </c>
      <c r="FP28" s="2772">
        <v>54</v>
      </c>
      <c r="FQ28" s="2773">
        <v>82</v>
      </c>
      <c r="FR28" s="2773">
        <v>79</v>
      </c>
      <c r="FS28" s="2773">
        <v>49</v>
      </c>
      <c r="FT28" s="2773">
        <v>66</v>
      </c>
      <c r="FU28" s="2773">
        <v>69</v>
      </c>
      <c r="FV28" s="2773">
        <v>62</v>
      </c>
      <c r="FW28" s="2773">
        <v>109</v>
      </c>
      <c r="FX28" s="2773">
        <v>115</v>
      </c>
      <c r="FY28" s="2773">
        <v>108</v>
      </c>
      <c r="FZ28" s="2773">
        <v>110</v>
      </c>
      <c r="GA28" s="2774">
        <v>139</v>
      </c>
      <c r="GB28" s="4561"/>
      <c r="GC28" s="4557"/>
      <c r="GD28" s="4557"/>
      <c r="GE28" s="4557"/>
      <c r="GF28" s="4557"/>
      <c r="GG28" s="4557"/>
      <c r="GH28" s="4557"/>
      <c r="GI28" s="4557"/>
      <c r="GJ28" s="4557"/>
      <c r="GK28" s="4557"/>
      <c r="GL28" s="4557"/>
      <c r="GM28" s="4562"/>
      <c r="GN28" s="2764"/>
      <c r="GO28" s="2911">
        <v>425</v>
      </c>
      <c r="GP28" s="2912">
        <v>420</v>
      </c>
      <c r="GQ28" s="2912">
        <v>788</v>
      </c>
      <c r="GR28" s="2913">
        <v>584</v>
      </c>
      <c r="GS28" s="2914">
        <v>659</v>
      </c>
      <c r="GT28" s="2915">
        <v>671</v>
      </c>
      <c r="GU28" s="2915">
        <v>668</v>
      </c>
      <c r="GV28" s="2916">
        <v>737</v>
      </c>
      <c r="GW28" s="2917">
        <v>642</v>
      </c>
      <c r="GX28" s="2918">
        <v>661.5</v>
      </c>
      <c r="GY28" s="2919">
        <v>666</v>
      </c>
      <c r="GZ28" s="2919">
        <v>591</v>
      </c>
      <c r="HA28" s="2920">
        <v>872</v>
      </c>
      <c r="HB28" s="2921">
        <v>588</v>
      </c>
      <c r="HC28" s="2921">
        <v>483</v>
      </c>
      <c r="HD28" s="2922">
        <v>546</v>
      </c>
      <c r="HE28" s="2923">
        <v>576</v>
      </c>
      <c r="HF28" s="2924">
        <v>524</v>
      </c>
      <c r="HG28" s="2924">
        <v>586</v>
      </c>
      <c r="HH28" s="2925">
        <v>602</v>
      </c>
      <c r="HI28" s="2921">
        <v>305</v>
      </c>
      <c r="HJ28" s="2921">
        <v>635</v>
      </c>
      <c r="HK28" s="2921">
        <v>767</v>
      </c>
      <c r="HL28" s="2921">
        <v>718</v>
      </c>
      <c r="HM28" s="2926">
        <v>610</v>
      </c>
      <c r="HN28" s="2926">
        <v>689</v>
      </c>
      <c r="HO28" s="2926">
        <v>769</v>
      </c>
      <c r="HP28" s="2926">
        <v>801</v>
      </c>
      <c r="HQ28" s="2927">
        <v>563</v>
      </c>
      <c r="HR28" s="2927">
        <v>725</v>
      </c>
      <c r="HS28" s="2927">
        <f t="shared" si="32"/>
        <v>800</v>
      </c>
      <c r="HT28" s="2927">
        <v>867</v>
      </c>
      <c r="HU28" s="2928">
        <v>618</v>
      </c>
      <c r="HV28" s="2928">
        <f t="shared" si="33"/>
        <v>669</v>
      </c>
      <c r="HW28" s="2928">
        <f t="shared" si="34"/>
        <v>690</v>
      </c>
      <c r="HX28" s="2927">
        <f t="shared" si="35"/>
        <v>844</v>
      </c>
      <c r="HY28" s="2846">
        <f t="shared" si="36"/>
        <v>595</v>
      </c>
      <c r="HZ28" s="2846">
        <f t="shared" si="37"/>
        <v>547</v>
      </c>
      <c r="IA28" s="2846">
        <f t="shared" si="38"/>
        <v>800</v>
      </c>
      <c r="IB28" s="2846">
        <f t="shared" si="39"/>
        <v>867</v>
      </c>
      <c r="IC28" s="2921">
        <f t="shared" si="40"/>
        <v>705</v>
      </c>
      <c r="ID28" s="2921">
        <f t="shared" si="41"/>
        <v>820</v>
      </c>
      <c r="IE28" s="2921">
        <f t="shared" si="42"/>
        <v>789</v>
      </c>
      <c r="IF28" s="2921">
        <f t="shared" si="43"/>
        <v>848</v>
      </c>
      <c r="IG28" s="2929">
        <f t="shared" si="44"/>
        <v>702</v>
      </c>
      <c r="IH28" s="2926">
        <f t="shared" si="45"/>
        <v>647</v>
      </c>
      <c r="II28" s="2926">
        <f t="shared" si="46"/>
        <v>740</v>
      </c>
      <c r="IJ28" s="2926">
        <f t="shared" si="47"/>
        <v>951</v>
      </c>
      <c r="IK28" s="2930">
        <f t="shared" si="48"/>
        <v>664</v>
      </c>
      <c r="IL28" s="2931">
        <f t="shared" si="49"/>
        <v>752</v>
      </c>
      <c r="IM28" s="2931">
        <f t="shared" si="50"/>
        <v>831</v>
      </c>
      <c r="IN28" s="2931">
        <f t="shared" si="51"/>
        <v>871</v>
      </c>
      <c r="IO28" s="2932">
        <f t="shared" si="52"/>
        <v>635</v>
      </c>
      <c r="IP28" s="2933">
        <f t="shared" si="53"/>
        <v>4</v>
      </c>
      <c r="IQ28" s="2933">
        <f t="shared" si="88"/>
        <v>17</v>
      </c>
      <c r="IR28" s="2934">
        <f t="shared" si="55"/>
        <v>160</v>
      </c>
      <c r="IS28" s="2929">
        <f t="shared" si="56"/>
        <v>215</v>
      </c>
      <c r="IT28" s="2926">
        <f t="shared" si="57"/>
        <v>184</v>
      </c>
      <c r="IU28" s="2926">
        <f t="shared" si="58"/>
        <v>286</v>
      </c>
      <c r="IV28" s="2926">
        <f t="shared" si="59"/>
        <v>357</v>
      </c>
      <c r="IW28" s="4549">
        <f t="shared" si="76"/>
        <v>0</v>
      </c>
      <c r="IX28" s="4541">
        <f t="shared" si="77"/>
        <v>0</v>
      </c>
      <c r="IY28" s="4541">
        <f t="shared" si="78"/>
        <v>0</v>
      </c>
      <c r="IZ28" s="4550">
        <f t="shared" si="79"/>
        <v>0</v>
      </c>
      <c r="JA28" s="4545"/>
      <c r="JB28" s="3544">
        <v>2217</v>
      </c>
      <c r="JC28" s="3545">
        <v>2735</v>
      </c>
      <c r="JD28" s="3545">
        <v>2560.5</v>
      </c>
      <c r="JE28" s="3545">
        <v>2489</v>
      </c>
      <c r="JF28" s="3545">
        <v>2288</v>
      </c>
      <c r="JG28" s="3545">
        <v>2425</v>
      </c>
      <c r="JH28" s="3546">
        <v>2869</v>
      </c>
      <c r="JI28" s="3547">
        <v>2955</v>
      </c>
      <c r="JJ28" s="3547">
        <f t="shared" si="60"/>
        <v>2821</v>
      </c>
      <c r="JK28" s="3547">
        <f t="shared" si="61"/>
        <v>2698</v>
      </c>
      <c r="JL28" s="3547">
        <f t="shared" si="62"/>
        <v>3162</v>
      </c>
      <c r="JM28" s="3547">
        <f t="shared" si="63"/>
        <v>3040</v>
      </c>
      <c r="JN28" s="3548">
        <f t="shared" si="24"/>
        <v>3118</v>
      </c>
      <c r="JO28" s="3566">
        <f t="shared" si="64"/>
        <v>816</v>
      </c>
      <c r="JP28" s="3564">
        <f t="shared" si="80"/>
        <v>1042</v>
      </c>
      <c r="JQ28" s="3564">
        <f t="shared" si="81"/>
        <v>1042</v>
      </c>
      <c r="JS28" s="3765">
        <f t="shared" si="82"/>
        <v>1042</v>
      </c>
      <c r="JT28" s="3765">
        <f t="shared" si="83"/>
        <v>1042</v>
      </c>
      <c r="JV28" s="3551">
        <f t="shared" si="84"/>
        <v>966.66666666666663</v>
      </c>
      <c r="JW28" s="3552">
        <f t="shared" si="65"/>
        <v>4.2987384206517893E-3</v>
      </c>
      <c r="JX28" s="3552">
        <f t="shared" si="66"/>
        <v>4.8427781802365026E-3</v>
      </c>
      <c r="JY28" s="3552">
        <f t="shared" si="85"/>
        <v>4.425036390101892E-3</v>
      </c>
      <c r="JZ28" s="3552">
        <f t="shared" si="67"/>
        <v>4.538573508005822E-3</v>
      </c>
      <c r="KA28" s="3552">
        <f t="shared" si="68"/>
        <v>4.2631669688151424E-3</v>
      </c>
      <c r="KB28" s="4575">
        <f t="shared" si="69"/>
        <v>3.7082378396845507E-3</v>
      </c>
      <c r="KC28" s="3565">
        <f t="shared" si="86"/>
        <v>3.7082378396845507E-3</v>
      </c>
      <c r="KD28" s="3552"/>
      <c r="KE28" s="3554">
        <f t="shared" si="70"/>
        <v>0.17197924388435881</v>
      </c>
      <c r="KF28" s="3555">
        <f t="shared" si="71"/>
        <v>-0.64170990857425259</v>
      </c>
      <c r="KG28" s="3555">
        <f t="shared" si="72"/>
        <v>-3.8583175205566089E-2</v>
      </c>
      <c r="KH28" s="3555">
        <f t="shared" si="73"/>
        <v>2.5657894736842213E-2</v>
      </c>
      <c r="KI28" s="3555">
        <f t="shared" si="74"/>
        <v>-0.73829377806286078</v>
      </c>
      <c r="KJ28" s="3556">
        <f t="shared" si="75"/>
        <v>-0.66581141757536888</v>
      </c>
      <c r="KK28" s="3557">
        <f t="shared" si="87"/>
        <v>0.27696078431372539</v>
      </c>
      <c r="KM28" s="3231"/>
      <c r="KN28" s="3231"/>
      <c r="KO28" s="3231"/>
      <c r="KP28" s="3231"/>
      <c r="KQ28" s="3231"/>
      <c r="KR28" s="3231"/>
      <c r="KS28" s="3231"/>
      <c r="KT28" s="3231"/>
      <c r="KU28" s="3231"/>
      <c r="KV28" s="3231"/>
      <c r="KW28" s="3231"/>
      <c r="KX28" s="3231"/>
      <c r="KY28" s="3231"/>
      <c r="KZ28" s="3231"/>
      <c r="LA28" s="3231"/>
      <c r="LB28" s="3231"/>
      <c r="LC28" s="3231"/>
      <c r="LD28" s="3231"/>
      <c r="LE28" s="3231"/>
      <c r="LF28" s="3231"/>
      <c r="LG28" s="3231"/>
      <c r="LH28" s="3231"/>
      <c r="LI28" s="3231"/>
    </row>
    <row r="29" spans="1:321" ht="21.9" customHeight="1">
      <c r="A29" s="3568"/>
      <c r="B29" s="3231"/>
      <c r="C29" s="3567" t="s">
        <v>22</v>
      </c>
      <c r="D29" s="3516">
        <v>113</v>
      </c>
      <c r="E29" s="3517">
        <v>80</v>
      </c>
      <c r="F29" s="3517">
        <v>131</v>
      </c>
      <c r="G29" s="3517">
        <v>89</v>
      </c>
      <c r="H29" s="3517">
        <v>83</v>
      </c>
      <c r="I29" s="3517">
        <v>111</v>
      </c>
      <c r="J29" s="3517">
        <v>125</v>
      </c>
      <c r="K29" s="3517">
        <v>125</v>
      </c>
      <c r="L29" s="3517">
        <v>216</v>
      </c>
      <c r="M29" s="3517">
        <v>145</v>
      </c>
      <c r="N29" s="3517">
        <v>163</v>
      </c>
      <c r="O29" s="3518">
        <v>118</v>
      </c>
      <c r="P29" s="3519">
        <v>101</v>
      </c>
      <c r="Q29" s="3520">
        <v>137</v>
      </c>
      <c r="R29" s="3520">
        <v>136</v>
      </c>
      <c r="S29" s="3520">
        <v>129</v>
      </c>
      <c r="T29" s="3520">
        <v>159</v>
      </c>
      <c r="U29" s="3520">
        <v>162</v>
      </c>
      <c r="V29" s="3520">
        <v>179</v>
      </c>
      <c r="W29" s="3520">
        <v>205</v>
      </c>
      <c r="X29" s="3520">
        <v>213</v>
      </c>
      <c r="Y29" s="3520">
        <v>255</v>
      </c>
      <c r="Z29" s="3520">
        <v>461</v>
      </c>
      <c r="AA29" s="3521">
        <v>158</v>
      </c>
      <c r="AB29" s="3522">
        <v>143</v>
      </c>
      <c r="AC29" s="3523">
        <v>169</v>
      </c>
      <c r="AD29" s="3523">
        <v>150</v>
      </c>
      <c r="AE29" s="3523">
        <v>150</v>
      </c>
      <c r="AF29" s="3523">
        <v>149</v>
      </c>
      <c r="AG29" s="3523">
        <v>148</v>
      </c>
      <c r="AH29" s="3523">
        <v>177</v>
      </c>
      <c r="AI29" s="3523">
        <v>202</v>
      </c>
      <c r="AJ29" s="3523">
        <v>177</v>
      </c>
      <c r="AK29" s="3523">
        <v>142</v>
      </c>
      <c r="AL29" s="3523">
        <v>186</v>
      </c>
      <c r="AM29" s="3524">
        <v>313</v>
      </c>
      <c r="AN29" s="3525">
        <v>183</v>
      </c>
      <c r="AO29" s="3526">
        <v>334</v>
      </c>
      <c r="AP29" s="3526">
        <v>252</v>
      </c>
      <c r="AQ29" s="3526">
        <v>204</v>
      </c>
      <c r="AR29" s="3526">
        <v>152</v>
      </c>
      <c r="AS29" s="3526">
        <v>152</v>
      </c>
      <c r="AT29" s="3526">
        <v>230</v>
      </c>
      <c r="AU29" s="3526">
        <v>176</v>
      </c>
      <c r="AV29" s="3526">
        <v>157</v>
      </c>
      <c r="AW29" s="3526">
        <v>172</v>
      </c>
      <c r="AX29" s="3526">
        <v>217</v>
      </c>
      <c r="AY29" s="3527">
        <v>253</v>
      </c>
      <c r="AZ29" s="3463">
        <v>153</v>
      </c>
      <c r="BA29" s="3463">
        <v>142</v>
      </c>
      <c r="BB29" s="3463">
        <v>164</v>
      </c>
      <c r="BC29" s="3463">
        <v>293</v>
      </c>
      <c r="BD29" s="3463">
        <v>171</v>
      </c>
      <c r="BE29" s="3463">
        <v>173</v>
      </c>
      <c r="BF29" s="3463">
        <v>231</v>
      </c>
      <c r="BG29" s="3463">
        <v>197</v>
      </c>
      <c r="BH29" s="3463">
        <v>245</v>
      </c>
      <c r="BI29" s="3463">
        <v>280</v>
      </c>
      <c r="BJ29" s="3463">
        <v>283</v>
      </c>
      <c r="BK29" s="3560">
        <v>243</v>
      </c>
      <c r="BL29" s="3530">
        <v>268</v>
      </c>
      <c r="BM29" s="3531">
        <v>150</v>
      </c>
      <c r="BN29" s="3531">
        <v>224</v>
      </c>
      <c r="BO29" s="3531">
        <v>227</v>
      </c>
      <c r="BP29" s="3531">
        <v>202</v>
      </c>
      <c r="BQ29" s="3531">
        <v>282</v>
      </c>
      <c r="BR29" s="3531">
        <v>254</v>
      </c>
      <c r="BS29" s="3531">
        <v>203</v>
      </c>
      <c r="BT29" s="3532">
        <v>282</v>
      </c>
      <c r="BU29" s="3532">
        <v>257</v>
      </c>
      <c r="BV29" s="3532">
        <v>199</v>
      </c>
      <c r="BW29" s="3533">
        <v>315</v>
      </c>
      <c r="BX29" s="3534">
        <v>272</v>
      </c>
      <c r="BY29" s="3459">
        <v>189</v>
      </c>
      <c r="BZ29" s="3459">
        <v>443</v>
      </c>
      <c r="CA29" s="3459">
        <v>360</v>
      </c>
      <c r="CB29" s="3459">
        <v>387</v>
      </c>
      <c r="CC29" s="3459">
        <v>395</v>
      </c>
      <c r="CD29" s="3459">
        <v>479</v>
      </c>
      <c r="CE29" s="3459">
        <v>345</v>
      </c>
      <c r="CF29" s="3459">
        <v>386</v>
      </c>
      <c r="CG29" s="3459">
        <v>394</v>
      </c>
      <c r="CH29" s="3459">
        <v>424</v>
      </c>
      <c r="CI29" s="3461">
        <v>430</v>
      </c>
      <c r="CJ29" s="3535">
        <v>349</v>
      </c>
      <c r="CK29" s="3536">
        <v>333</v>
      </c>
      <c r="CL29" s="3536">
        <v>286</v>
      </c>
      <c r="CM29" s="3536">
        <v>303</v>
      </c>
      <c r="CN29" s="3536">
        <v>228</v>
      </c>
      <c r="CO29" s="3536">
        <v>316</v>
      </c>
      <c r="CP29" s="3536">
        <v>267</v>
      </c>
      <c r="CQ29" s="3536">
        <v>252</v>
      </c>
      <c r="CR29" s="3536">
        <v>253</v>
      </c>
      <c r="CS29" s="3536">
        <v>338</v>
      </c>
      <c r="CT29" s="3536">
        <v>304</v>
      </c>
      <c r="CU29" s="3537">
        <v>275</v>
      </c>
      <c r="CV29" s="3535">
        <v>278</v>
      </c>
      <c r="CW29" s="3536">
        <v>193</v>
      </c>
      <c r="CX29" s="3458">
        <v>249</v>
      </c>
      <c r="CY29" s="3458">
        <v>229</v>
      </c>
      <c r="CZ29" s="3458">
        <v>231</v>
      </c>
      <c r="DA29" s="3458">
        <v>190</v>
      </c>
      <c r="DB29" s="3458">
        <v>322</v>
      </c>
      <c r="DC29" s="3458">
        <v>196</v>
      </c>
      <c r="DD29" s="3458">
        <v>227</v>
      </c>
      <c r="DE29" s="3458">
        <v>228</v>
      </c>
      <c r="DF29" s="3458">
        <v>256</v>
      </c>
      <c r="DG29" s="3537">
        <v>262</v>
      </c>
      <c r="DH29" s="3538">
        <v>237</v>
      </c>
      <c r="DI29" s="3539">
        <v>168</v>
      </c>
      <c r="DJ29" s="3539">
        <v>204</v>
      </c>
      <c r="DK29" s="3540">
        <v>199</v>
      </c>
      <c r="DL29" s="3540">
        <v>158</v>
      </c>
      <c r="DM29" s="3540">
        <v>188</v>
      </c>
      <c r="DN29" s="3540">
        <v>339</v>
      </c>
      <c r="DO29" s="3540">
        <v>179</v>
      </c>
      <c r="DP29" s="2713">
        <v>191</v>
      </c>
      <c r="DQ29" s="3540">
        <v>315</v>
      </c>
      <c r="DR29" s="3540">
        <v>275</v>
      </c>
      <c r="DS29" s="3541">
        <v>226</v>
      </c>
      <c r="DT29" s="3542">
        <v>390</v>
      </c>
      <c r="DU29" s="3429">
        <v>471</v>
      </c>
      <c r="DV29" s="3429">
        <v>444</v>
      </c>
      <c r="DW29" s="3350">
        <v>759</v>
      </c>
      <c r="DX29" s="3350">
        <v>521</v>
      </c>
      <c r="DY29" s="3350">
        <v>439</v>
      </c>
      <c r="DZ29" s="3350">
        <v>488</v>
      </c>
      <c r="EA29" s="3350">
        <v>356</v>
      </c>
      <c r="EB29" s="3350">
        <v>426</v>
      </c>
      <c r="EC29" s="3350">
        <v>447</v>
      </c>
      <c r="ED29" s="3350">
        <v>495</v>
      </c>
      <c r="EE29" s="3349">
        <v>605</v>
      </c>
      <c r="EF29" s="2689">
        <v>506</v>
      </c>
      <c r="EG29" s="2688">
        <v>426</v>
      </c>
      <c r="EH29" s="2688">
        <v>456</v>
      </c>
      <c r="EI29" s="2688">
        <v>390</v>
      </c>
      <c r="EJ29" s="2688">
        <v>427</v>
      </c>
      <c r="EK29" s="2688">
        <v>471</v>
      </c>
      <c r="EL29" s="2688">
        <v>587</v>
      </c>
      <c r="EM29" s="2714">
        <v>397</v>
      </c>
      <c r="EN29" s="2714">
        <v>461</v>
      </c>
      <c r="EO29" s="2715">
        <v>502</v>
      </c>
      <c r="EP29" s="2715">
        <v>499</v>
      </c>
      <c r="EQ29" s="2716">
        <v>531</v>
      </c>
      <c r="ER29" s="1348">
        <v>495</v>
      </c>
      <c r="ES29" s="3543">
        <v>377</v>
      </c>
      <c r="ET29" s="3543">
        <v>451</v>
      </c>
      <c r="EU29" s="2717">
        <v>422</v>
      </c>
      <c r="EV29" s="2162">
        <v>387</v>
      </c>
      <c r="EW29" s="2162">
        <v>474</v>
      </c>
      <c r="EX29" s="2162">
        <v>548</v>
      </c>
      <c r="EY29" s="2162">
        <v>402</v>
      </c>
      <c r="EZ29" s="2162">
        <v>511</v>
      </c>
      <c r="FA29" s="2339">
        <v>346</v>
      </c>
      <c r="FB29" s="2339">
        <v>543</v>
      </c>
      <c r="FC29" s="2339">
        <v>517</v>
      </c>
      <c r="FD29" s="2765">
        <v>505</v>
      </c>
      <c r="FE29" s="2766">
        <v>402</v>
      </c>
      <c r="FF29" s="2766">
        <v>207</v>
      </c>
      <c r="FG29" s="2766"/>
      <c r="FH29" s="2766">
        <v>1</v>
      </c>
      <c r="FI29" s="2766">
        <v>2</v>
      </c>
      <c r="FJ29" s="2766">
        <v>1</v>
      </c>
      <c r="FK29" s="2766">
        <v>5</v>
      </c>
      <c r="FL29" s="2766">
        <v>3</v>
      </c>
      <c r="FM29" s="2766">
        <v>9</v>
      </c>
      <c r="FN29" s="2766">
        <v>56</v>
      </c>
      <c r="FO29" s="2767">
        <v>61</v>
      </c>
      <c r="FP29" s="2765">
        <v>43</v>
      </c>
      <c r="FQ29" s="2766">
        <v>33</v>
      </c>
      <c r="FR29" s="2766">
        <v>81</v>
      </c>
      <c r="FS29" s="2766">
        <v>34</v>
      </c>
      <c r="FT29" s="2766">
        <v>41</v>
      </c>
      <c r="FU29" s="2766">
        <v>78</v>
      </c>
      <c r="FV29" s="2766">
        <v>99</v>
      </c>
      <c r="FW29" s="2766">
        <v>86</v>
      </c>
      <c r="FX29" s="2766">
        <v>117</v>
      </c>
      <c r="FY29" s="2766">
        <v>136</v>
      </c>
      <c r="FZ29" s="2766">
        <v>140</v>
      </c>
      <c r="GA29" s="2767">
        <v>137</v>
      </c>
      <c r="GB29" s="4561"/>
      <c r="GC29" s="4557"/>
      <c r="GD29" s="4557"/>
      <c r="GE29" s="4557"/>
      <c r="GF29" s="4557"/>
      <c r="GG29" s="4557"/>
      <c r="GH29" s="4557"/>
      <c r="GI29" s="4557"/>
      <c r="GJ29" s="4557"/>
      <c r="GK29" s="4557"/>
      <c r="GL29" s="4557"/>
      <c r="GM29" s="4562"/>
      <c r="GN29" s="2764"/>
      <c r="GO29" s="2911">
        <v>324</v>
      </c>
      <c r="GP29" s="2912">
        <v>283</v>
      </c>
      <c r="GQ29" s="2912">
        <v>466</v>
      </c>
      <c r="GR29" s="2913">
        <v>426</v>
      </c>
      <c r="GS29" s="2914">
        <v>374</v>
      </c>
      <c r="GT29" s="2915">
        <v>450</v>
      </c>
      <c r="GU29" s="2915">
        <v>597</v>
      </c>
      <c r="GV29" s="2916">
        <v>874</v>
      </c>
      <c r="GW29" s="2917">
        <v>462</v>
      </c>
      <c r="GX29" s="2918">
        <v>447</v>
      </c>
      <c r="GY29" s="2919">
        <v>556</v>
      </c>
      <c r="GZ29" s="2919">
        <v>641</v>
      </c>
      <c r="HA29" s="2920">
        <v>769</v>
      </c>
      <c r="HB29" s="2921">
        <v>508</v>
      </c>
      <c r="HC29" s="2921">
        <v>563</v>
      </c>
      <c r="HD29" s="2922">
        <v>642</v>
      </c>
      <c r="HE29" s="2923">
        <v>459</v>
      </c>
      <c r="HF29" s="2924">
        <v>637</v>
      </c>
      <c r="HG29" s="2924">
        <v>673</v>
      </c>
      <c r="HH29" s="2925">
        <v>806</v>
      </c>
      <c r="HI29" s="2921">
        <v>642</v>
      </c>
      <c r="HJ29" s="2921">
        <v>711</v>
      </c>
      <c r="HK29" s="2921">
        <v>739</v>
      </c>
      <c r="HL29" s="2921">
        <v>771</v>
      </c>
      <c r="HM29" s="2926">
        <v>904</v>
      </c>
      <c r="HN29" s="2926">
        <v>1142</v>
      </c>
      <c r="HO29" s="2926">
        <v>1210</v>
      </c>
      <c r="HP29" s="2926">
        <v>1248</v>
      </c>
      <c r="HQ29" s="2927">
        <v>968</v>
      </c>
      <c r="HR29" s="2927">
        <v>847</v>
      </c>
      <c r="HS29" s="2927">
        <f t="shared" si="32"/>
        <v>772</v>
      </c>
      <c r="HT29" s="2927">
        <v>917</v>
      </c>
      <c r="HU29" s="2928">
        <v>720</v>
      </c>
      <c r="HV29" s="2928">
        <f t="shared" si="33"/>
        <v>650</v>
      </c>
      <c r="HW29" s="2928">
        <f t="shared" si="34"/>
        <v>745</v>
      </c>
      <c r="HX29" s="2927">
        <f t="shared" si="35"/>
        <v>746</v>
      </c>
      <c r="HY29" s="2846">
        <f t="shared" si="36"/>
        <v>609</v>
      </c>
      <c r="HZ29" s="2846">
        <f t="shared" si="37"/>
        <v>545</v>
      </c>
      <c r="IA29" s="2846">
        <f t="shared" si="38"/>
        <v>744</v>
      </c>
      <c r="IB29" s="2846">
        <f t="shared" si="39"/>
        <v>816</v>
      </c>
      <c r="IC29" s="2921">
        <f t="shared" si="40"/>
        <v>1305</v>
      </c>
      <c r="ID29" s="2921">
        <f t="shared" si="41"/>
        <v>1719</v>
      </c>
      <c r="IE29" s="2921">
        <f t="shared" si="42"/>
        <v>1270</v>
      </c>
      <c r="IF29" s="2921">
        <f t="shared" si="43"/>
        <v>1547</v>
      </c>
      <c r="IG29" s="2929">
        <f t="shared" si="44"/>
        <v>1388</v>
      </c>
      <c r="IH29" s="2926">
        <f t="shared" si="45"/>
        <v>1288</v>
      </c>
      <c r="II29" s="2926">
        <f t="shared" si="46"/>
        <v>1445</v>
      </c>
      <c r="IJ29" s="2926">
        <f t="shared" si="47"/>
        <v>1532</v>
      </c>
      <c r="IK29" s="2930">
        <f t="shared" si="48"/>
        <v>1323</v>
      </c>
      <c r="IL29" s="2931">
        <f t="shared" si="49"/>
        <v>1283</v>
      </c>
      <c r="IM29" s="2931">
        <f t="shared" si="50"/>
        <v>1461</v>
      </c>
      <c r="IN29" s="2931">
        <f t="shared" si="51"/>
        <v>1406</v>
      </c>
      <c r="IO29" s="2932">
        <f t="shared" si="52"/>
        <v>1114</v>
      </c>
      <c r="IP29" s="2933">
        <f t="shared" si="53"/>
        <v>3</v>
      </c>
      <c r="IQ29" s="2933">
        <f t="shared" si="88"/>
        <v>9</v>
      </c>
      <c r="IR29" s="2934">
        <f t="shared" si="55"/>
        <v>126</v>
      </c>
      <c r="IS29" s="2929">
        <f t="shared" si="56"/>
        <v>157</v>
      </c>
      <c r="IT29" s="2926">
        <f t="shared" si="57"/>
        <v>153</v>
      </c>
      <c r="IU29" s="2926">
        <f t="shared" si="58"/>
        <v>302</v>
      </c>
      <c r="IV29" s="2926">
        <f t="shared" si="59"/>
        <v>413</v>
      </c>
      <c r="IW29" s="4549">
        <f t="shared" si="76"/>
        <v>0</v>
      </c>
      <c r="IX29" s="4541">
        <f t="shared" si="77"/>
        <v>0</v>
      </c>
      <c r="IY29" s="4541">
        <f t="shared" si="78"/>
        <v>0</v>
      </c>
      <c r="IZ29" s="4550">
        <f t="shared" si="79"/>
        <v>0</v>
      </c>
      <c r="JA29" s="4545"/>
      <c r="JB29" s="3544">
        <v>1499</v>
      </c>
      <c r="JC29" s="3545">
        <v>2295</v>
      </c>
      <c r="JD29" s="3545">
        <v>2106</v>
      </c>
      <c r="JE29" s="3545">
        <v>2482</v>
      </c>
      <c r="JF29" s="3545">
        <v>2575</v>
      </c>
      <c r="JG29" s="3545">
        <v>2863</v>
      </c>
      <c r="JH29" s="3546">
        <v>4504</v>
      </c>
      <c r="JI29" s="3547">
        <v>3504</v>
      </c>
      <c r="JJ29" s="3547">
        <f t="shared" si="60"/>
        <v>2861</v>
      </c>
      <c r="JK29" s="3547">
        <f t="shared" si="61"/>
        <v>2679</v>
      </c>
      <c r="JL29" s="3547">
        <f t="shared" si="62"/>
        <v>5841</v>
      </c>
      <c r="JM29" s="3547">
        <f t="shared" si="63"/>
        <v>5653</v>
      </c>
      <c r="JN29" s="3548">
        <f t="shared" si="24"/>
        <v>5473</v>
      </c>
      <c r="JO29" s="3566">
        <f t="shared" si="64"/>
        <v>1252</v>
      </c>
      <c r="JP29" s="3564">
        <f t="shared" si="80"/>
        <v>1025</v>
      </c>
      <c r="JQ29" s="3564">
        <f t="shared" si="81"/>
        <v>1025</v>
      </c>
      <c r="JS29" s="3765">
        <f t="shared" si="82"/>
        <v>1025</v>
      </c>
      <c r="JT29" s="3765">
        <f t="shared" si="83"/>
        <v>1025</v>
      </c>
      <c r="JV29" s="3551">
        <f t="shared" si="84"/>
        <v>1100.6666666666667</v>
      </c>
      <c r="JW29" s="3552">
        <f t="shared" si="65"/>
        <v>4.2684656148725512E-3</v>
      </c>
      <c r="JX29" s="3552">
        <f t="shared" si="66"/>
        <v>8.9458151014425724E-3</v>
      </c>
      <c r="JY29" s="3552">
        <f t="shared" si="85"/>
        <v>8.2285298398835516E-3</v>
      </c>
      <c r="JZ29" s="3552">
        <f t="shared" si="67"/>
        <v>7.9665211062590977E-3</v>
      </c>
      <c r="KA29" s="3552">
        <f t="shared" si="68"/>
        <v>6.5410355943095076E-3</v>
      </c>
      <c r="KB29" s="4575">
        <f t="shared" si="69"/>
        <v>3.6477387578470869E-3</v>
      </c>
      <c r="KC29" s="3565">
        <f t="shared" si="86"/>
        <v>3.6477387578470869E-3</v>
      </c>
      <c r="KD29" s="3552"/>
      <c r="KE29" s="3554">
        <f t="shared" si="70"/>
        <v>1.1802911534154537</v>
      </c>
      <c r="KF29" s="3555">
        <f t="shared" si="71"/>
        <v>-0.58915018041557787</v>
      </c>
      <c r="KG29" s="3555">
        <f t="shared" si="72"/>
        <v>-3.218626947440506E-2</v>
      </c>
      <c r="KH29" s="3555">
        <f t="shared" si="73"/>
        <v>-3.184150008844866E-2</v>
      </c>
      <c r="KI29" s="3555">
        <f t="shared" si="74"/>
        <v>-0.77124063584871183</v>
      </c>
      <c r="KJ29" s="3556">
        <f t="shared" si="75"/>
        <v>-0.81271697423716427</v>
      </c>
      <c r="KK29" s="3557">
        <f t="shared" si="87"/>
        <v>-0.18130990415335468</v>
      </c>
      <c r="KM29" s="3231"/>
      <c r="KN29" s="3231"/>
      <c r="KO29" s="3231"/>
      <c r="KP29" s="3231"/>
      <c r="KQ29" s="3231"/>
      <c r="KR29" s="3231"/>
      <c r="KS29" s="3231"/>
      <c r="KT29" s="3231"/>
      <c r="KU29" s="3231"/>
      <c r="KV29" s="3231"/>
      <c r="KW29" s="3231"/>
      <c r="KX29" s="3231"/>
      <c r="KY29" s="3231"/>
      <c r="KZ29" s="3231"/>
      <c r="LA29" s="3231"/>
      <c r="LB29" s="3231"/>
      <c r="LC29" s="3231"/>
      <c r="LD29" s="3231"/>
      <c r="LE29" s="3231"/>
      <c r="LF29" s="3231"/>
      <c r="LG29" s="3231"/>
      <c r="LH29" s="3231"/>
      <c r="LI29" s="3231"/>
    </row>
    <row r="30" spans="1:321" ht="21.9" customHeight="1">
      <c r="A30" s="3568"/>
      <c r="B30" s="3231"/>
      <c r="C30" s="3567" t="s">
        <v>26</v>
      </c>
      <c r="D30" s="3516">
        <v>78</v>
      </c>
      <c r="E30" s="3517">
        <v>103</v>
      </c>
      <c r="F30" s="3517">
        <v>184</v>
      </c>
      <c r="G30" s="3517">
        <v>112</v>
      </c>
      <c r="H30" s="3517">
        <v>114</v>
      </c>
      <c r="I30" s="3517">
        <v>148</v>
      </c>
      <c r="J30" s="3517">
        <v>197</v>
      </c>
      <c r="K30" s="3517">
        <v>193</v>
      </c>
      <c r="L30" s="3517">
        <v>181</v>
      </c>
      <c r="M30" s="3517">
        <v>180</v>
      </c>
      <c r="N30" s="3517">
        <v>90</v>
      </c>
      <c r="O30" s="3518">
        <v>80</v>
      </c>
      <c r="P30" s="3519">
        <v>155</v>
      </c>
      <c r="Q30" s="3520">
        <v>173</v>
      </c>
      <c r="R30" s="3520">
        <v>175</v>
      </c>
      <c r="S30" s="3520">
        <v>248</v>
      </c>
      <c r="T30" s="3520">
        <v>167</v>
      </c>
      <c r="U30" s="3520">
        <v>202</v>
      </c>
      <c r="V30" s="3520">
        <v>236</v>
      </c>
      <c r="W30" s="3520">
        <v>262</v>
      </c>
      <c r="X30" s="3520">
        <v>246</v>
      </c>
      <c r="Y30" s="3520">
        <v>170</v>
      </c>
      <c r="Z30" s="3520">
        <v>145</v>
      </c>
      <c r="AA30" s="3521">
        <v>145</v>
      </c>
      <c r="AB30" s="3522">
        <v>130</v>
      </c>
      <c r="AC30" s="3523">
        <v>123</v>
      </c>
      <c r="AD30" s="3523">
        <v>218</v>
      </c>
      <c r="AE30" s="3523">
        <v>241</v>
      </c>
      <c r="AF30" s="3523">
        <v>241</v>
      </c>
      <c r="AG30" s="3523">
        <v>241</v>
      </c>
      <c r="AH30" s="3523">
        <v>289</v>
      </c>
      <c r="AI30" s="3523">
        <v>236</v>
      </c>
      <c r="AJ30" s="3523">
        <v>213</v>
      </c>
      <c r="AK30" s="3523">
        <v>154</v>
      </c>
      <c r="AL30" s="3523">
        <v>149</v>
      </c>
      <c r="AM30" s="3524">
        <v>91</v>
      </c>
      <c r="AN30" s="3525">
        <v>175</v>
      </c>
      <c r="AO30" s="3526">
        <v>112</v>
      </c>
      <c r="AP30" s="3526">
        <v>279</v>
      </c>
      <c r="AQ30" s="3526">
        <v>168</v>
      </c>
      <c r="AR30" s="3526">
        <v>152</v>
      </c>
      <c r="AS30" s="3526">
        <v>226</v>
      </c>
      <c r="AT30" s="3526">
        <v>249</v>
      </c>
      <c r="AU30" s="3526">
        <v>261</v>
      </c>
      <c r="AV30" s="3526">
        <v>217</v>
      </c>
      <c r="AW30" s="3526">
        <v>88</v>
      </c>
      <c r="AX30" s="3526">
        <v>87</v>
      </c>
      <c r="AY30" s="3527">
        <v>78</v>
      </c>
      <c r="AZ30" s="3463">
        <v>118</v>
      </c>
      <c r="BA30" s="3463">
        <v>139</v>
      </c>
      <c r="BB30" s="3463">
        <v>125</v>
      </c>
      <c r="BC30" s="3463">
        <v>217</v>
      </c>
      <c r="BD30" s="3463">
        <v>175</v>
      </c>
      <c r="BE30" s="3463">
        <v>150</v>
      </c>
      <c r="BF30" s="3463">
        <v>262</v>
      </c>
      <c r="BG30" s="3463">
        <v>198</v>
      </c>
      <c r="BH30" s="3463">
        <v>219</v>
      </c>
      <c r="BI30" s="3463">
        <v>271</v>
      </c>
      <c r="BJ30" s="3463">
        <v>98</v>
      </c>
      <c r="BK30" s="3560">
        <v>86</v>
      </c>
      <c r="BL30" s="3530">
        <v>133</v>
      </c>
      <c r="BM30" s="3531">
        <v>119</v>
      </c>
      <c r="BN30" s="3531">
        <v>163</v>
      </c>
      <c r="BO30" s="3531">
        <v>213</v>
      </c>
      <c r="BP30" s="3531">
        <v>210</v>
      </c>
      <c r="BQ30" s="3531">
        <v>203</v>
      </c>
      <c r="BR30" s="3531">
        <v>253</v>
      </c>
      <c r="BS30" s="3531">
        <v>221</v>
      </c>
      <c r="BT30" s="3532">
        <v>326</v>
      </c>
      <c r="BU30" s="3532">
        <v>176</v>
      </c>
      <c r="BV30" s="3532">
        <v>131</v>
      </c>
      <c r="BW30" s="3533">
        <v>106</v>
      </c>
      <c r="BX30" s="3534">
        <v>135</v>
      </c>
      <c r="BY30" s="3459">
        <v>152</v>
      </c>
      <c r="BZ30" s="3459">
        <v>185</v>
      </c>
      <c r="CA30" s="3459">
        <v>132</v>
      </c>
      <c r="CB30" s="3459">
        <v>195</v>
      </c>
      <c r="CC30" s="3459">
        <v>177</v>
      </c>
      <c r="CD30" s="3459">
        <v>258</v>
      </c>
      <c r="CE30" s="3459">
        <v>175</v>
      </c>
      <c r="CF30" s="3459">
        <v>275</v>
      </c>
      <c r="CG30" s="3459">
        <v>119</v>
      </c>
      <c r="CH30" s="3459">
        <v>118</v>
      </c>
      <c r="CI30" s="3461">
        <v>86</v>
      </c>
      <c r="CJ30" s="3535">
        <v>153</v>
      </c>
      <c r="CK30" s="3536">
        <v>143</v>
      </c>
      <c r="CL30" s="3536">
        <v>161</v>
      </c>
      <c r="CM30" s="3536">
        <v>201</v>
      </c>
      <c r="CN30" s="3536">
        <v>206</v>
      </c>
      <c r="CO30" s="3536">
        <v>181</v>
      </c>
      <c r="CP30" s="3536">
        <v>278</v>
      </c>
      <c r="CQ30" s="3536">
        <v>198</v>
      </c>
      <c r="CR30" s="3536">
        <v>227</v>
      </c>
      <c r="CS30" s="3536">
        <v>207</v>
      </c>
      <c r="CT30" s="3536">
        <v>126</v>
      </c>
      <c r="CU30" s="3537">
        <v>73</v>
      </c>
      <c r="CV30" s="3535">
        <v>204</v>
      </c>
      <c r="CW30" s="3536">
        <v>104</v>
      </c>
      <c r="CX30" s="3458">
        <v>171</v>
      </c>
      <c r="CY30" s="3458">
        <v>264</v>
      </c>
      <c r="CZ30" s="3458">
        <v>250</v>
      </c>
      <c r="DA30" s="3458">
        <v>188</v>
      </c>
      <c r="DB30" s="3458">
        <v>204</v>
      </c>
      <c r="DC30" s="3458">
        <v>170</v>
      </c>
      <c r="DD30" s="3458">
        <v>298</v>
      </c>
      <c r="DE30" s="3458">
        <v>111</v>
      </c>
      <c r="DF30" s="3458">
        <v>147</v>
      </c>
      <c r="DG30" s="3537">
        <v>77</v>
      </c>
      <c r="DH30" s="3538">
        <v>124</v>
      </c>
      <c r="DI30" s="3539">
        <v>147</v>
      </c>
      <c r="DJ30" s="3539">
        <v>120</v>
      </c>
      <c r="DK30" s="3540">
        <v>273</v>
      </c>
      <c r="DL30" s="3540">
        <v>157</v>
      </c>
      <c r="DM30" s="3540">
        <v>220</v>
      </c>
      <c r="DN30" s="3540">
        <v>209</v>
      </c>
      <c r="DO30" s="3540">
        <v>188</v>
      </c>
      <c r="DP30" s="2713">
        <v>175</v>
      </c>
      <c r="DQ30" s="3540">
        <v>245</v>
      </c>
      <c r="DR30" s="3540">
        <v>107</v>
      </c>
      <c r="DS30" s="3541">
        <v>136</v>
      </c>
      <c r="DT30" s="3542">
        <v>102</v>
      </c>
      <c r="DU30" s="3429">
        <v>109</v>
      </c>
      <c r="DV30" s="3429">
        <v>146</v>
      </c>
      <c r="DW30" s="3350">
        <v>271</v>
      </c>
      <c r="DX30" s="3350">
        <v>156</v>
      </c>
      <c r="DY30" s="3350">
        <v>142</v>
      </c>
      <c r="DZ30" s="3350">
        <v>179</v>
      </c>
      <c r="EA30" s="3350">
        <v>186</v>
      </c>
      <c r="EB30" s="3350">
        <v>144</v>
      </c>
      <c r="EC30" s="3350">
        <v>117</v>
      </c>
      <c r="ED30" s="3350">
        <v>104</v>
      </c>
      <c r="EE30" s="3349">
        <v>119</v>
      </c>
      <c r="EF30" s="2689">
        <v>145</v>
      </c>
      <c r="EG30" s="2688">
        <v>134</v>
      </c>
      <c r="EH30" s="2688">
        <v>200</v>
      </c>
      <c r="EI30" s="2688">
        <v>232</v>
      </c>
      <c r="EJ30" s="2688">
        <v>249</v>
      </c>
      <c r="EK30" s="2688">
        <v>206</v>
      </c>
      <c r="EL30" s="2688">
        <v>241</v>
      </c>
      <c r="EM30" s="2714">
        <v>250</v>
      </c>
      <c r="EN30" s="2714">
        <v>307</v>
      </c>
      <c r="EO30" s="2715">
        <v>141</v>
      </c>
      <c r="EP30" s="2715">
        <v>72</v>
      </c>
      <c r="EQ30" s="2716">
        <v>230</v>
      </c>
      <c r="ER30" s="1348">
        <v>127</v>
      </c>
      <c r="ES30" s="3543">
        <v>102</v>
      </c>
      <c r="ET30" s="3543">
        <v>181</v>
      </c>
      <c r="EU30" s="2717">
        <v>326</v>
      </c>
      <c r="EV30" s="2162">
        <v>267</v>
      </c>
      <c r="EW30" s="2162">
        <v>227</v>
      </c>
      <c r="EX30" s="2162">
        <v>312</v>
      </c>
      <c r="EY30" s="2162">
        <v>221</v>
      </c>
      <c r="EZ30" s="2162">
        <v>232</v>
      </c>
      <c r="FA30" s="2339">
        <v>262</v>
      </c>
      <c r="FB30" s="2339">
        <v>139</v>
      </c>
      <c r="FC30" s="2339">
        <v>165</v>
      </c>
      <c r="FD30" s="2772">
        <v>173</v>
      </c>
      <c r="FE30" s="2773">
        <v>113</v>
      </c>
      <c r="FF30" s="2773">
        <v>75</v>
      </c>
      <c r="FG30" s="2773"/>
      <c r="FH30" s="2773"/>
      <c r="FI30" s="2773">
        <v>1</v>
      </c>
      <c r="FJ30" s="2773">
        <v>5</v>
      </c>
      <c r="FK30" s="2773">
        <v>12</v>
      </c>
      <c r="FL30" s="2773">
        <v>7</v>
      </c>
      <c r="FM30" s="2773">
        <v>12</v>
      </c>
      <c r="FN30" s="2773">
        <v>24</v>
      </c>
      <c r="FO30" s="2774">
        <v>21</v>
      </c>
      <c r="FP30" s="2772">
        <v>28</v>
      </c>
      <c r="FQ30" s="2773">
        <v>7</v>
      </c>
      <c r="FR30" s="2773">
        <v>24</v>
      </c>
      <c r="FS30" s="2773">
        <v>46</v>
      </c>
      <c r="FT30" s="2773">
        <v>42</v>
      </c>
      <c r="FU30" s="2773">
        <v>71</v>
      </c>
      <c r="FV30" s="2773">
        <v>116</v>
      </c>
      <c r="FW30" s="2773">
        <v>171</v>
      </c>
      <c r="FX30" s="2773">
        <v>162</v>
      </c>
      <c r="FY30" s="2773">
        <v>101</v>
      </c>
      <c r="FZ30" s="2773">
        <v>203</v>
      </c>
      <c r="GA30" s="2774">
        <v>128</v>
      </c>
      <c r="GB30" s="4561"/>
      <c r="GC30" s="4557"/>
      <c r="GD30" s="4557"/>
      <c r="GE30" s="4557"/>
      <c r="GF30" s="4557"/>
      <c r="GG30" s="4557"/>
      <c r="GH30" s="4557"/>
      <c r="GI30" s="4557"/>
      <c r="GJ30" s="4557"/>
      <c r="GK30" s="4557"/>
      <c r="GL30" s="4557"/>
      <c r="GM30" s="4562"/>
      <c r="GN30" s="2764"/>
      <c r="GO30" s="2911">
        <v>365</v>
      </c>
      <c r="GP30" s="2912">
        <v>374</v>
      </c>
      <c r="GQ30" s="2912">
        <v>571</v>
      </c>
      <c r="GR30" s="2913">
        <v>350</v>
      </c>
      <c r="GS30" s="2914">
        <v>503</v>
      </c>
      <c r="GT30" s="2915">
        <v>617</v>
      </c>
      <c r="GU30" s="2915">
        <v>744</v>
      </c>
      <c r="GV30" s="2916">
        <v>460</v>
      </c>
      <c r="GW30" s="2917">
        <v>471</v>
      </c>
      <c r="GX30" s="2918">
        <v>723</v>
      </c>
      <c r="GY30" s="2919">
        <v>738</v>
      </c>
      <c r="GZ30" s="2919">
        <v>394</v>
      </c>
      <c r="HA30" s="2920">
        <v>566</v>
      </c>
      <c r="HB30" s="2921">
        <v>546</v>
      </c>
      <c r="HC30" s="2921">
        <v>727</v>
      </c>
      <c r="HD30" s="2922">
        <v>253</v>
      </c>
      <c r="HE30" s="2923">
        <v>382</v>
      </c>
      <c r="HF30" s="2924">
        <v>542</v>
      </c>
      <c r="HG30" s="2924">
        <v>679</v>
      </c>
      <c r="HH30" s="2925">
        <v>455</v>
      </c>
      <c r="HI30" s="2921">
        <v>415</v>
      </c>
      <c r="HJ30" s="2921">
        <v>626</v>
      </c>
      <c r="HK30" s="2921">
        <v>800</v>
      </c>
      <c r="HL30" s="2921">
        <v>413</v>
      </c>
      <c r="HM30" s="2926">
        <v>472</v>
      </c>
      <c r="HN30" s="2926">
        <v>504</v>
      </c>
      <c r="HO30" s="2926">
        <v>708</v>
      </c>
      <c r="HP30" s="2926">
        <v>323</v>
      </c>
      <c r="HQ30" s="2927">
        <v>457</v>
      </c>
      <c r="HR30" s="2927">
        <v>588</v>
      </c>
      <c r="HS30" s="2927">
        <f t="shared" si="32"/>
        <v>703</v>
      </c>
      <c r="HT30" s="2927">
        <v>406</v>
      </c>
      <c r="HU30" s="2928">
        <v>479</v>
      </c>
      <c r="HV30" s="2928">
        <f t="shared" si="33"/>
        <v>702</v>
      </c>
      <c r="HW30" s="2928">
        <f t="shared" si="34"/>
        <v>672</v>
      </c>
      <c r="HX30" s="2927">
        <f t="shared" si="35"/>
        <v>335</v>
      </c>
      <c r="HY30" s="2846">
        <f t="shared" si="36"/>
        <v>391</v>
      </c>
      <c r="HZ30" s="2846">
        <f t="shared" si="37"/>
        <v>650</v>
      </c>
      <c r="IA30" s="2846">
        <f t="shared" si="38"/>
        <v>533</v>
      </c>
      <c r="IB30" s="2846">
        <f t="shared" si="39"/>
        <v>488</v>
      </c>
      <c r="IC30" s="2921">
        <f t="shared" si="40"/>
        <v>357</v>
      </c>
      <c r="ID30" s="2921">
        <f t="shared" si="41"/>
        <v>569</v>
      </c>
      <c r="IE30" s="2921">
        <f t="shared" si="42"/>
        <v>509</v>
      </c>
      <c r="IF30" s="2921">
        <f t="shared" si="43"/>
        <v>340</v>
      </c>
      <c r="IG30" s="2929">
        <f t="shared" si="44"/>
        <v>479</v>
      </c>
      <c r="IH30" s="2926">
        <f t="shared" si="45"/>
        <v>687</v>
      </c>
      <c r="II30" s="2926">
        <f t="shared" si="46"/>
        <v>798</v>
      </c>
      <c r="IJ30" s="2926">
        <f t="shared" si="47"/>
        <v>443</v>
      </c>
      <c r="IK30" s="2930">
        <f t="shared" si="48"/>
        <v>410</v>
      </c>
      <c r="IL30" s="2931">
        <f t="shared" si="49"/>
        <v>820</v>
      </c>
      <c r="IM30" s="2931">
        <f t="shared" si="50"/>
        <v>765</v>
      </c>
      <c r="IN30" s="2931">
        <f t="shared" si="51"/>
        <v>566</v>
      </c>
      <c r="IO30" s="2932">
        <f t="shared" si="52"/>
        <v>361</v>
      </c>
      <c r="IP30" s="2933">
        <f t="shared" si="53"/>
        <v>1</v>
      </c>
      <c r="IQ30" s="2933">
        <f t="shared" si="88"/>
        <v>24</v>
      </c>
      <c r="IR30" s="2934">
        <f t="shared" si="55"/>
        <v>57</v>
      </c>
      <c r="IS30" s="2929">
        <f t="shared" si="56"/>
        <v>59</v>
      </c>
      <c r="IT30" s="2926">
        <f t="shared" si="57"/>
        <v>159</v>
      </c>
      <c r="IU30" s="2926">
        <f t="shared" si="58"/>
        <v>449</v>
      </c>
      <c r="IV30" s="2926">
        <f t="shared" si="59"/>
        <v>432</v>
      </c>
      <c r="IW30" s="4549">
        <f t="shared" si="76"/>
        <v>0</v>
      </c>
      <c r="IX30" s="4541">
        <f t="shared" si="77"/>
        <v>0</v>
      </c>
      <c r="IY30" s="4541">
        <f t="shared" si="78"/>
        <v>0</v>
      </c>
      <c r="IZ30" s="4550">
        <f t="shared" si="79"/>
        <v>0</v>
      </c>
      <c r="JA30" s="4545"/>
      <c r="JB30" s="3544">
        <v>1660</v>
      </c>
      <c r="JC30" s="3545">
        <v>2324</v>
      </c>
      <c r="JD30" s="3545">
        <v>2326</v>
      </c>
      <c r="JE30" s="3545">
        <v>2092</v>
      </c>
      <c r="JF30" s="3545">
        <v>2058</v>
      </c>
      <c r="JG30" s="3545">
        <v>2254</v>
      </c>
      <c r="JH30" s="3546">
        <v>2007</v>
      </c>
      <c r="JI30" s="3547">
        <v>2154</v>
      </c>
      <c r="JJ30" s="3547">
        <f t="shared" si="60"/>
        <v>2188</v>
      </c>
      <c r="JK30" s="3547">
        <f t="shared" si="61"/>
        <v>2101</v>
      </c>
      <c r="JL30" s="3547">
        <f t="shared" si="62"/>
        <v>1775</v>
      </c>
      <c r="JM30" s="3547">
        <f t="shared" si="63"/>
        <v>2407</v>
      </c>
      <c r="JN30" s="3548">
        <f t="shared" si="24"/>
        <v>2561</v>
      </c>
      <c r="JO30" s="3566">
        <f t="shared" si="64"/>
        <v>443</v>
      </c>
      <c r="JP30" s="3564">
        <f t="shared" si="80"/>
        <v>1099</v>
      </c>
      <c r="JQ30" s="3564">
        <f t="shared" si="81"/>
        <v>1099</v>
      </c>
      <c r="JS30" s="3765">
        <f t="shared" si="82"/>
        <v>1099</v>
      </c>
      <c r="JT30" s="3765">
        <f t="shared" si="83"/>
        <v>1099</v>
      </c>
      <c r="JV30" s="3551">
        <f t="shared" si="84"/>
        <v>880.33333333333337</v>
      </c>
      <c r="JW30" s="3552">
        <f t="shared" si="65"/>
        <v>3.3475349969567863E-3</v>
      </c>
      <c r="JX30" s="3552">
        <f t="shared" si="66"/>
        <v>2.7185108380518002E-3</v>
      </c>
      <c r="JY30" s="3552">
        <f t="shared" si="85"/>
        <v>3.5036390101892286E-3</v>
      </c>
      <c r="JZ30" s="3552">
        <f t="shared" si="67"/>
        <v>3.7278020378457058E-3</v>
      </c>
      <c r="KA30" s="3552">
        <f t="shared" si="68"/>
        <v>2.3144399107660639E-3</v>
      </c>
      <c r="KB30" s="4575">
        <f t="shared" si="69"/>
        <v>3.9110877023160471E-3</v>
      </c>
      <c r="KC30" s="3565">
        <f t="shared" si="86"/>
        <v>3.9110877023160471E-3</v>
      </c>
      <c r="KD30" s="3552"/>
      <c r="KE30" s="3554">
        <f t="shared" si="70"/>
        <v>-0.15516420752022841</v>
      </c>
      <c r="KF30" s="3555">
        <f t="shared" si="71"/>
        <v>-0.58099317785181659</v>
      </c>
      <c r="KG30" s="3555">
        <f t="shared" si="72"/>
        <v>0.35605633802816894</v>
      </c>
      <c r="KH30" s="3555">
        <f t="shared" si="73"/>
        <v>6.3980058163689346E-2</v>
      </c>
      <c r="KI30" s="3555">
        <f t="shared" si="74"/>
        <v>-0.82702069504099962</v>
      </c>
      <c r="KJ30" s="3556">
        <f t="shared" si="75"/>
        <v>-0.57087075361187034</v>
      </c>
      <c r="KK30" s="3557">
        <f t="shared" si="87"/>
        <v>1.4808126410835216</v>
      </c>
      <c r="KM30" s="3231"/>
      <c r="KN30" s="3231"/>
      <c r="KO30" s="3231"/>
      <c r="KP30" s="3231"/>
      <c r="KQ30" s="3231"/>
      <c r="KR30" s="3231"/>
      <c r="KS30" s="3231"/>
      <c r="KT30" s="3231"/>
      <c r="KU30" s="3231"/>
      <c r="KV30" s="3231"/>
      <c r="KW30" s="3231"/>
      <c r="KX30" s="3231"/>
      <c r="KY30" s="3231"/>
      <c r="KZ30" s="3231"/>
      <c r="LA30" s="3231"/>
      <c r="LB30" s="3231"/>
      <c r="LC30" s="3231"/>
      <c r="LD30" s="3231"/>
      <c r="LE30" s="3231"/>
      <c r="LF30" s="3231"/>
      <c r="LG30" s="3231"/>
      <c r="LH30" s="3231"/>
      <c r="LI30" s="3231"/>
    </row>
    <row r="31" spans="1:321" ht="21.9" customHeight="1">
      <c r="A31" s="3568"/>
      <c r="B31" s="3231"/>
      <c r="C31" s="3285" t="s">
        <v>24</v>
      </c>
      <c r="D31" s="3516">
        <v>90</v>
      </c>
      <c r="E31" s="3517">
        <v>70</v>
      </c>
      <c r="F31" s="3517">
        <v>94</v>
      </c>
      <c r="G31" s="3517">
        <v>80</v>
      </c>
      <c r="H31" s="3517">
        <v>77</v>
      </c>
      <c r="I31" s="3517">
        <v>104</v>
      </c>
      <c r="J31" s="3517">
        <v>112</v>
      </c>
      <c r="K31" s="3517">
        <v>170</v>
      </c>
      <c r="L31" s="3517">
        <v>120</v>
      </c>
      <c r="M31" s="3517">
        <v>184</v>
      </c>
      <c r="N31" s="3517">
        <v>125</v>
      </c>
      <c r="O31" s="3518">
        <v>60</v>
      </c>
      <c r="P31" s="3519">
        <v>96</v>
      </c>
      <c r="Q31" s="3520">
        <v>129</v>
      </c>
      <c r="R31" s="3520">
        <v>105</v>
      </c>
      <c r="S31" s="3520">
        <v>118</v>
      </c>
      <c r="T31" s="3520">
        <v>121</v>
      </c>
      <c r="U31" s="3520">
        <v>112</v>
      </c>
      <c r="V31" s="3520">
        <v>164</v>
      </c>
      <c r="W31" s="3520">
        <v>138</v>
      </c>
      <c r="X31" s="3520">
        <v>125</v>
      </c>
      <c r="Y31" s="3520">
        <v>137</v>
      </c>
      <c r="Z31" s="3520">
        <v>167</v>
      </c>
      <c r="AA31" s="3521">
        <v>102</v>
      </c>
      <c r="AB31" s="3522">
        <v>111</v>
      </c>
      <c r="AC31" s="3523">
        <v>90</v>
      </c>
      <c r="AD31" s="3523">
        <v>127</v>
      </c>
      <c r="AE31" s="3523">
        <v>124</v>
      </c>
      <c r="AF31" s="3523">
        <v>129.5</v>
      </c>
      <c r="AG31" s="3523">
        <v>135</v>
      </c>
      <c r="AH31" s="3523">
        <v>136</v>
      </c>
      <c r="AI31" s="3523">
        <v>128</v>
      </c>
      <c r="AJ31" s="3523">
        <v>105</v>
      </c>
      <c r="AK31" s="3523">
        <v>161</v>
      </c>
      <c r="AL31" s="3523">
        <v>145</v>
      </c>
      <c r="AM31" s="3524">
        <v>92</v>
      </c>
      <c r="AN31" s="3525">
        <v>110</v>
      </c>
      <c r="AO31" s="3526">
        <v>117</v>
      </c>
      <c r="AP31" s="3526">
        <v>126</v>
      </c>
      <c r="AQ31" s="3526">
        <v>133</v>
      </c>
      <c r="AR31" s="3526">
        <v>112</v>
      </c>
      <c r="AS31" s="3526">
        <v>130</v>
      </c>
      <c r="AT31" s="3526">
        <v>106</v>
      </c>
      <c r="AU31" s="3526">
        <v>129</v>
      </c>
      <c r="AV31" s="3526">
        <v>98</v>
      </c>
      <c r="AW31" s="3526">
        <v>102</v>
      </c>
      <c r="AX31" s="3526">
        <v>193</v>
      </c>
      <c r="AY31" s="3527">
        <v>110</v>
      </c>
      <c r="AZ31" s="3463">
        <v>120</v>
      </c>
      <c r="BA31" s="3463">
        <v>131</v>
      </c>
      <c r="BB31" s="3463">
        <v>181</v>
      </c>
      <c r="BC31" s="3463">
        <v>146</v>
      </c>
      <c r="BD31" s="3463">
        <v>119</v>
      </c>
      <c r="BE31" s="3463">
        <v>111</v>
      </c>
      <c r="BF31" s="3463">
        <v>135</v>
      </c>
      <c r="BG31" s="3463">
        <v>117</v>
      </c>
      <c r="BH31" s="3463">
        <v>146</v>
      </c>
      <c r="BI31" s="3463">
        <v>146</v>
      </c>
      <c r="BJ31" s="3463">
        <v>146</v>
      </c>
      <c r="BK31" s="3560">
        <v>94</v>
      </c>
      <c r="BL31" s="3530">
        <v>88</v>
      </c>
      <c r="BM31" s="3531">
        <v>92</v>
      </c>
      <c r="BN31" s="3531">
        <v>110</v>
      </c>
      <c r="BO31" s="3531">
        <v>169</v>
      </c>
      <c r="BP31" s="3531">
        <v>178</v>
      </c>
      <c r="BQ31" s="3531">
        <v>182</v>
      </c>
      <c r="BR31" s="3531">
        <v>203</v>
      </c>
      <c r="BS31" s="3531">
        <v>98</v>
      </c>
      <c r="BT31" s="3532">
        <v>163</v>
      </c>
      <c r="BU31" s="3532">
        <v>160</v>
      </c>
      <c r="BV31" s="3532">
        <v>216</v>
      </c>
      <c r="BW31" s="3533">
        <v>139</v>
      </c>
      <c r="BX31" s="3534">
        <v>147</v>
      </c>
      <c r="BY31" s="3459">
        <v>131</v>
      </c>
      <c r="BZ31" s="3459">
        <v>146</v>
      </c>
      <c r="CA31" s="3459">
        <v>150</v>
      </c>
      <c r="CB31" s="3459">
        <v>161</v>
      </c>
      <c r="CC31" s="3459">
        <v>198</v>
      </c>
      <c r="CD31" s="3459">
        <v>154</v>
      </c>
      <c r="CE31" s="3459">
        <v>173</v>
      </c>
      <c r="CF31" s="3459">
        <v>155</v>
      </c>
      <c r="CG31" s="3459">
        <v>288</v>
      </c>
      <c r="CH31" s="3459">
        <v>181</v>
      </c>
      <c r="CI31" s="3461">
        <v>120</v>
      </c>
      <c r="CJ31" s="3535">
        <v>145</v>
      </c>
      <c r="CK31" s="3536">
        <v>146</v>
      </c>
      <c r="CL31" s="3536">
        <v>144</v>
      </c>
      <c r="CM31" s="3536">
        <v>156</v>
      </c>
      <c r="CN31" s="3536">
        <v>133</v>
      </c>
      <c r="CO31" s="3536">
        <v>125</v>
      </c>
      <c r="CP31" s="3536">
        <v>156</v>
      </c>
      <c r="CQ31" s="3536">
        <v>183</v>
      </c>
      <c r="CR31" s="3536">
        <v>249</v>
      </c>
      <c r="CS31" s="3536">
        <v>141</v>
      </c>
      <c r="CT31" s="3536">
        <v>221</v>
      </c>
      <c r="CU31" s="3537">
        <v>169</v>
      </c>
      <c r="CV31" s="3535">
        <v>176</v>
      </c>
      <c r="CW31" s="3536">
        <v>115</v>
      </c>
      <c r="CX31" s="3458">
        <v>180</v>
      </c>
      <c r="CY31" s="3458">
        <v>180</v>
      </c>
      <c r="CZ31" s="3458">
        <v>192</v>
      </c>
      <c r="DA31" s="3458">
        <v>170</v>
      </c>
      <c r="DB31" s="3458">
        <v>148</v>
      </c>
      <c r="DC31" s="3458">
        <v>190</v>
      </c>
      <c r="DD31" s="3458">
        <v>162</v>
      </c>
      <c r="DE31" s="3458">
        <v>176</v>
      </c>
      <c r="DF31" s="3458">
        <v>180</v>
      </c>
      <c r="DG31" s="3537">
        <v>130</v>
      </c>
      <c r="DH31" s="3538">
        <v>160</v>
      </c>
      <c r="DI31" s="3539">
        <v>120</v>
      </c>
      <c r="DJ31" s="3539">
        <v>153</v>
      </c>
      <c r="DK31" s="3540">
        <v>121</v>
      </c>
      <c r="DL31" s="3540">
        <v>126</v>
      </c>
      <c r="DM31" s="3540">
        <v>187</v>
      </c>
      <c r="DN31" s="3540">
        <v>148</v>
      </c>
      <c r="DO31" s="3540">
        <v>133</v>
      </c>
      <c r="DP31" s="2713">
        <v>126</v>
      </c>
      <c r="DQ31" s="3540">
        <v>231</v>
      </c>
      <c r="DR31" s="3540">
        <v>192</v>
      </c>
      <c r="DS31" s="3541">
        <v>155</v>
      </c>
      <c r="DT31" s="3542">
        <v>279</v>
      </c>
      <c r="DU31" s="3429">
        <v>182</v>
      </c>
      <c r="DV31" s="3429">
        <v>147</v>
      </c>
      <c r="DW31" s="3350">
        <v>152</v>
      </c>
      <c r="DX31" s="3350">
        <v>125</v>
      </c>
      <c r="DY31" s="3350">
        <v>152</v>
      </c>
      <c r="DZ31" s="3350">
        <v>203</v>
      </c>
      <c r="EA31" s="3350">
        <v>198</v>
      </c>
      <c r="EB31" s="3350">
        <v>213</v>
      </c>
      <c r="EC31" s="3350">
        <v>185</v>
      </c>
      <c r="ED31" s="3350">
        <v>205</v>
      </c>
      <c r="EE31" s="3349">
        <v>242</v>
      </c>
      <c r="EF31" s="2689">
        <v>240</v>
      </c>
      <c r="EG31" s="2688">
        <v>134</v>
      </c>
      <c r="EH31" s="2688">
        <v>197</v>
      </c>
      <c r="EI31" s="2688">
        <v>152</v>
      </c>
      <c r="EJ31" s="2688">
        <v>183</v>
      </c>
      <c r="EK31" s="2688">
        <v>238</v>
      </c>
      <c r="EL31" s="2688">
        <v>201</v>
      </c>
      <c r="EM31" s="2714">
        <v>184</v>
      </c>
      <c r="EN31" s="2714">
        <v>193</v>
      </c>
      <c r="EO31" s="2715">
        <v>217</v>
      </c>
      <c r="EP31" s="2715">
        <v>232</v>
      </c>
      <c r="EQ31" s="2716">
        <v>203</v>
      </c>
      <c r="ER31" s="1349">
        <v>191</v>
      </c>
      <c r="ES31" s="3543">
        <v>196</v>
      </c>
      <c r="ET31" s="3543">
        <v>245</v>
      </c>
      <c r="EU31" s="2717">
        <v>262</v>
      </c>
      <c r="EV31" s="2163">
        <v>175</v>
      </c>
      <c r="EW31" s="2163">
        <v>225</v>
      </c>
      <c r="EX31" s="2163">
        <v>197</v>
      </c>
      <c r="EY31" s="2163">
        <v>272</v>
      </c>
      <c r="EZ31" s="2163">
        <v>228</v>
      </c>
      <c r="FA31" s="2340">
        <v>183</v>
      </c>
      <c r="FB31" s="2340">
        <v>245</v>
      </c>
      <c r="FC31" s="2340">
        <v>178</v>
      </c>
      <c r="FD31" s="2765">
        <v>190</v>
      </c>
      <c r="FE31" s="2766">
        <v>181</v>
      </c>
      <c r="FF31" s="2766">
        <v>73</v>
      </c>
      <c r="FG31" s="2766"/>
      <c r="FH31" s="2766">
        <v>1</v>
      </c>
      <c r="FI31" s="2766">
        <v>2</v>
      </c>
      <c r="FJ31" s="2766">
        <v>8</v>
      </c>
      <c r="FK31" s="2766">
        <v>2</v>
      </c>
      <c r="FL31" s="2766">
        <v>19</v>
      </c>
      <c r="FM31" s="2766">
        <v>33</v>
      </c>
      <c r="FN31" s="2766">
        <v>23</v>
      </c>
      <c r="FO31" s="2767">
        <v>34</v>
      </c>
      <c r="FP31" s="2765">
        <v>57</v>
      </c>
      <c r="FQ31" s="2766">
        <v>25</v>
      </c>
      <c r="FR31" s="2766">
        <v>71</v>
      </c>
      <c r="FS31" s="2766">
        <v>33</v>
      </c>
      <c r="FT31" s="2766">
        <v>46</v>
      </c>
      <c r="FU31" s="2766">
        <v>53</v>
      </c>
      <c r="FV31" s="2766">
        <v>51</v>
      </c>
      <c r="FW31" s="2766">
        <v>64</v>
      </c>
      <c r="FX31" s="2766">
        <v>57</v>
      </c>
      <c r="FY31" s="2766">
        <v>95</v>
      </c>
      <c r="FZ31" s="2766">
        <v>84</v>
      </c>
      <c r="GA31" s="2767">
        <v>83</v>
      </c>
      <c r="GB31" s="4561"/>
      <c r="GC31" s="4557"/>
      <c r="GD31" s="4557"/>
      <c r="GE31" s="4557"/>
      <c r="GF31" s="4557"/>
      <c r="GG31" s="4557"/>
      <c r="GH31" s="4557"/>
      <c r="GI31" s="4557"/>
      <c r="GJ31" s="4557"/>
      <c r="GK31" s="4557"/>
      <c r="GL31" s="4557"/>
      <c r="GM31" s="4562"/>
      <c r="GN31" s="2764"/>
      <c r="GO31" s="2911">
        <v>254</v>
      </c>
      <c r="GP31" s="2912">
        <v>261</v>
      </c>
      <c r="GQ31" s="2912">
        <v>402</v>
      </c>
      <c r="GR31" s="2913">
        <v>369</v>
      </c>
      <c r="GS31" s="2914">
        <v>330</v>
      </c>
      <c r="GT31" s="2915">
        <v>351</v>
      </c>
      <c r="GU31" s="2915">
        <v>427</v>
      </c>
      <c r="GV31" s="2916">
        <v>406</v>
      </c>
      <c r="GW31" s="2917">
        <v>328</v>
      </c>
      <c r="GX31" s="2918">
        <v>388.5</v>
      </c>
      <c r="GY31" s="2919">
        <v>369</v>
      </c>
      <c r="GZ31" s="2919">
        <v>398</v>
      </c>
      <c r="HA31" s="2920">
        <v>353</v>
      </c>
      <c r="HB31" s="2921">
        <v>375</v>
      </c>
      <c r="HC31" s="2921">
        <v>333</v>
      </c>
      <c r="HD31" s="2922">
        <v>405</v>
      </c>
      <c r="HE31" s="2923">
        <v>432</v>
      </c>
      <c r="HF31" s="2924">
        <v>376</v>
      </c>
      <c r="HG31" s="2924">
        <v>398</v>
      </c>
      <c r="HH31" s="2925">
        <v>386</v>
      </c>
      <c r="HI31" s="2921">
        <v>290</v>
      </c>
      <c r="HJ31" s="2921">
        <v>529</v>
      </c>
      <c r="HK31" s="2921">
        <v>464</v>
      </c>
      <c r="HL31" s="2921">
        <v>515</v>
      </c>
      <c r="HM31" s="2926">
        <v>424</v>
      </c>
      <c r="HN31" s="2926">
        <v>509</v>
      </c>
      <c r="HO31" s="2926">
        <v>482</v>
      </c>
      <c r="HP31" s="2926">
        <v>589</v>
      </c>
      <c r="HQ31" s="2927">
        <v>435</v>
      </c>
      <c r="HR31" s="2927">
        <v>414</v>
      </c>
      <c r="HS31" s="2927">
        <f t="shared" si="32"/>
        <v>588</v>
      </c>
      <c r="HT31" s="2927">
        <v>531</v>
      </c>
      <c r="HU31" s="2928">
        <v>471</v>
      </c>
      <c r="HV31" s="2928">
        <f t="shared" si="33"/>
        <v>542</v>
      </c>
      <c r="HW31" s="2928">
        <f t="shared" si="34"/>
        <v>500</v>
      </c>
      <c r="HX31" s="2927">
        <f t="shared" si="35"/>
        <v>486</v>
      </c>
      <c r="HY31" s="2846">
        <f t="shared" si="36"/>
        <v>433</v>
      </c>
      <c r="HZ31" s="2846">
        <f t="shared" si="37"/>
        <v>434</v>
      </c>
      <c r="IA31" s="2846">
        <f t="shared" si="38"/>
        <v>436</v>
      </c>
      <c r="IB31" s="2846">
        <f t="shared" si="39"/>
        <v>578</v>
      </c>
      <c r="IC31" s="2921">
        <f t="shared" si="40"/>
        <v>608</v>
      </c>
      <c r="ID31" s="2921">
        <f t="shared" si="41"/>
        <v>429</v>
      </c>
      <c r="IE31" s="2921">
        <f t="shared" si="42"/>
        <v>614</v>
      </c>
      <c r="IF31" s="2921">
        <f t="shared" si="43"/>
        <v>632</v>
      </c>
      <c r="IG31" s="2929">
        <f t="shared" si="44"/>
        <v>571</v>
      </c>
      <c r="IH31" s="2926">
        <f t="shared" si="45"/>
        <v>573</v>
      </c>
      <c r="II31" s="2926">
        <f t="shared" si="46"/>
        <v>578</v>
      </c>
      <c r="IJ31" s="2926">
        <f t="shared" si="47"/>
        <v>652</v>
      </c>
      <c r="IK31" s="2930">
        <f t="shared" si="48"/>
        <v>632</v>
      </c>
      <c r="IL31" s="2931">
        <f t="shared" si="49"/>
        <v>662</v>
      </c>
      <c r="IM31" s="2931">
        <f t="shared" si="50"/>
        <v>697</v>
      </c>
      <c r="IN31" s="2931">
        <f t="shared" si="51"/>
        <v>606</v>
      </c>
      <c r="IO31" s="2932">
        <f t="shared" si="52"/>
        <v>444</v>
      </c>
      <c r="IP31" s="2933">
        <f t="shared" si="53"/>
        <v>3</v>
      </c>
      <c r="IQ31" s="2933">
        <f t="shared" si="88"/>
        <v>29</v>
      </c>
      <c r="IR31" s="2934">
        <f t="shared" si="55"/>
        <v>90</v>
      </c>
      <c r="IS31" s="2929">
        <f t="shared" si="56"/>
        <v>153</v>
      </c>
      <c r="IT31" s="2926">
        <f t="shared" si="57"/>
        <v>132</v>
      </c>
      <c r="IU31" s="2926">
        <f t="shared" si="58"/>
        <v>172</v>
      </c>
      <c r="IV31" s="2926">
        <f t="shared" si="59"/>
        <v>262</v>
      </c>
      <c r="IW31" s="4549">
        <f t="shared" si="76"/>
        <v>0</v>
      </c>
      <c r="IX31" s="4541">
        <f t="shared" si="77"/>
        <v>0</v>
      </c>
      <c r="IY31" s="4541">
        <f t="shared" si="78"/>
        <v>0</v>
      </c>
      <c r="IZ31" s="4550">
        <f t="shared" si="79"/>
        <v>0</v>
      </c>
      <c r="JA31" s="4545"/>
      <c r="JB31" s="3544">
        <v>1286</v>
      </c>
      <c r="JC31" s="3545">
        <v>1514</v>
      </c>
      <c r="JD31" s="3545">
        <v>1483.5</v>
      </c>
      <c r="JE31" s="3545">
        <v>1466</v>
      </c>
      <c r="JF31" s="3545">
        <v>1592</v>
      </c>
      <c r="JG31" s="3545">
        <v>1798</v>
      </c>
      <c r="JH31" s="3546">
        <v>2004</v>
      </c>
      <c r="JI31" s="3547">
        <v>1968</v>
      </c>
      <c r="JJ31" s="3547">
        <f t="shared" si="60"/>
        <v>1999</v>
      </c>
      <c r="JK31" s="3547">
        <f t="shared" si="61"/>
        <v>1852</v>
      </c>
      <c r="JL31" s="3547">
        <f t="shared" si="62"/>
        <v>2283</v>
      </c>
      <c r="JM31" s="3547">
        <f t="shared" si="63"/>
        <v>2374</v>
      </c>
      <c r="JN31" s="3548">
        <f t="shared" si="24"/>
        <v>2597</v>
      </c>
      <c r="JO31" s="3566">
        <f t="shared" si="64"/>
        <v>566</v>
      </c>
      <c r="JP31" s="3564">
        <f t="shared" si="80"/>
        <v>719</v>
      </c>
      <c r="JQ31" s="3564">
        <f t="shared" si="81"/>
        <v>719</v>
      </c>
      <c r="JS31" s="3765">
        <f t="shared" si="82"/>
        <v>719</v>
      </c>
      <c r="JT31" s="3765">
        <f t="shared" si="83"/>
        <v>719</v>
      </c>
      <c r="JV31" s="3551">
        <f t="shared" si="84"/>
        <v>668</v>
      </c>
      <c r="JW31" s="3552">
        <f t="shared" si="65"/>
        <v>2.9508019106920364E-3</v>
      </c>
      <c r="JX31" s="3552">
        <f t="shared" si="66"/>
        <v>3.4965409821252169E-3</v>
      </c>
      <c r="JY31" s="3552">
        <f t="shared" si="85"/>
        <v>3.455604075691412E-3</v>
      </c>
      <c r="JZ31" s="3552">
        <f t="shared" si="67"/>
        <v>3.7802037845705966E-3</v>
      </c>
      <c r="KA31" s="3552">
        <f t="shared" si="68"/>
        <v>2.9570496376830524E-3</v>
      </c>
      <c r="KB31" s="4575">
        <f t="shared" si="69"/>
        <v>2.5587552847727369E-3</v>
      </c>
      <c r="KC31" s="3565">
        <f t="shared" si="86"/>
        <v>2.5587552847727369E-3</v>
      </c>
      <c r="KD31" s="3552"/>
      <c r="KE31" s="3554">
        <f t="shared" si="70"/>
        <v>0.23272138228941674</v>
      </c>
      <c r="KF31" s="3555">
        <f t="shared" si="71"/>
        <v>-0.63930885529157666</v>
      </c>
      <c r="KG31" s="3555">
        <f t="shared" si="72"/>
        <v>3.985983355234346E-2</v>
      </c>
      <c r="KH31" s="3555">
        <f t="shared" si="73"/>
        <v>9.3934288121314324E-2</v>
      </c>
      <c r="KI31" s="3555">
        <f t="shared" si="74"/>
        <v>-0.78205621871390063</v>
      </c>
      <c r="KJ31" s="3556">
        <f t="shared" si="75"/>
        <v>-0.72314208702348859</v>
      </c>
      <c r="KK31" s="3557">
        <f t="shared" si="87"/>
        <v>0.27031802120141335</v>
      </c>
    </row>
    <row r="32" spans="1:321" ht="21.9" customHeight="1">
      <c r="A32" s="3568"/>
      <c r="B32" s="3231"/>
      <c r="C32" s="3567" t="s">
        <v>28</v>
      </c>
      <c r="D32" s="3516">
        <v>138</v>
      </c>
      <c r="E32" s="3517">
        <v>149</v>
      </c>
      <c r="F32" s="3517">
        <v>93</v>
      </c>
      <c r="G32" s="3517">
        <v>71</v>
      </c>
      <c r="H32" s="3517">
        <v>66</v>
      </c>
      <c r="I32" s="3517">
        <v>73</v>
      </c>
      <c r="J32" s="3517">
        <v>273</v>
      </c>
      <c r="K32" s="3517">
        <v>222</v>
      </c>
      <c r="L32" s="3517">
        <v>113</v>
      </c>
      <c r="M32" s="3517">
        <v>166</v>
      </c>
      <c r="N32" s="3517">
        <v>134</v>
      </c>
      <c r="O32" s="3518">
        <v>162</v>
      </c>
      <c r="P32" s="3519">
        <v>167</v>
      </c>
      <c r="Q32" s="3520">
        <v>188</v>
      </c>
      <c r="R32" s="3520">
        <v>94</v>
      </c>
      <c r="S32" s="3520">
        <v>113</v>
      </c>
      <c r="T32" s="3520">
        <v>105</v>
      </c>
      <c r="U32" s="3520">
        <v>120</v>
      </c>
      <c r="V32" s="3520">
        <v>255</v>
      </c>
      <c r="W32" s="3520">
        <v>170</v>
      </c>
      <c r="X32" s="3520">
        <v>131</v>
      </c>
      <c r="Y32" s="3520">
        <v>185</v>
      </c>
      <c r="Z32" s="3520">
        <v>164</v>
      </c>
      <c r="AA32" s="3521">
        <v>159</v>
      </c>
      <c r="AB32" s="3522">
        <v>134</v>
      </c>
      <c r="AC32" s="3523">
        <v>96</v>
      </c>
      <c r="AD32" s="3523">
        <v>90</v>
      </c>
      <c r="AE32" s="3523">
        <v>110</v>
      </c>
      <c r="AF32" s="3523">
        <v>119</v>
      </c>
      <c r="AG32" s="3523">
        <v>128</v>
      </c>
      <c r="AH32" s="3523">
        <v>272</v>
      </c>
      <c r="AI32" s="3523">
        <v>165</v>
      </c>
      <c r="AJ32" s="3523">
        <v>119</v>
      </c>
      <c r="AK32" s="3523">
        <v>146</v>
      </c>
      <c r="AL32" s="3523">
        <v>215</v>
      </c>
      <c r="AM32" s="3524">
        <v>170</v>
      </c>
      <c r="AN32" s="3525">
        <v>177</v>
      </c>
      <c r="AO32" s="3526">
        <v>92</v>
      </c>
      <c r="AP32" s="3526">
        <v>146</v>
      </c>
      <c r="AQ32" s="3526">
        <v>95</v>
      </c>
      <c r="AR32" s="3526">
        <v>91</v>
      </c>
      <c r="AS32" s="3526">
        <v>100</v>
      </c>
      <c r="AT32" s="3526">
        <v>236</v>
      </c>
      <c r="AU32" s="3526">
        <v>185</v>
      </c>
      <c r="AV32" s="3526">
        <v>102</v>
      </c>
      <c r="AW32" s="3526">
        <v>65</v>
      </c>
      <c r="AX32" s="3526">
        <v>181</v>
      </c>
      <c r="AY32" s="3527">
        <v>133</v>
      </c>
      <c r="AZ32" s="3463">
        <v>124</v>
      </c>
      <c r="BA32" s="3463">
        <v>128</v>
      </c>
      <c r="BB32" s="3463">
        <v>97</v>
      </c>
      <c r="BC32" s="3463">
        <v>97</v>
      </c>
      <c r="BD32" s="3463">
        <v>73</v>
      </c>
      <c r="BE32" s="3463">
        <v>87</v>
      </c>
      <c r="BF32" s="3463">
        <v>232</v>
      </c>
      <c r="BG32" s="3463">
        <v>210</v>
      </c>
      <c r="BH32" s="3463">
        <v>131</v>
      </c>
      <c r="BI32" s="3463">
        <v>157</v>
      </c>
      <c r="BJ32" s="3463">
        <v>200</v>
      </c>
      <c r="BK32" s="3560">
        <v>130</v>
      </c>
      <c r="BL32" s="3530">
        <v>157</v>
      </c>
      <c r="BM32" s="3531">
        <v>139</v>
      </c>
      <c r="BN32" s="3531">
        <v>112</v>
      </c>
      <c r="BO32" s="3531">
        <v>105</v>
      </c>
      <c r="BP32" s="3531">
        <v>107</v>
      </c>
      <c r="BQ32" s="3531">
        <v>110</v>
      </c>
      <c r="BR32" s="3531">
        <v>321</v>
      </c>
      <c r="BS32" s="3531">
        <v>252</v>
      </c>
      <c r="BT32" s="3532">
        <v>119</v>
      </c>
      <c r="BU32" s="3532">
        <v>185</v>
      </c>
      <c r="BV32" s="3532">
        <v>180</v>
      </c>
      <c r="BW32" s="3533">
        <v>215</v>
      </c>
      <c r="BX32" s="3534">
        <v>188</v>
      </c>
      <c r="BY32" s="3459">
        <v>155</v>
      </c>
      <c r="BZ32" s="3459">
        <v>124</v>
      </c>
      <c r="CA32" s="3459">
        <v>85</v>
      </c>
      <c r="CB32" s="3459">
        <v>98</v>
      </c>
      <c r="CC32" s="3459">
        <v>116</v>
      </c>
      <c r="CD32" s="3459">
        <v>334</v>
      </c>
      <c r="CE32" s="3459">
        <v>184</v>
      </c>
      <c r="CF32" s="3459">
        <v>116</v>
      </c>
      <c r="CG32" s="3459">
        <v>188</v>
      </c>
      <c r="CH32" s="3459">
        <v>217</v>
      </c>
      <c r="CI32" s="3461">
        <v>213</v>
      </c>
      <c r="CJ32" s="3535">
        <v>154</v>
      </c>
      <c r="CK32" s="3536">
        <v>218</v>
      </c>
      <c r="CL32" s="3536">
        <v>150</v>
      </c>
      <c r="CM32" s="3536">
        <v>102</v>
      </c>
      <c r="CN32" s="3536">
        <v>127</v>
      </c>
      <c r="CO32" s="3536">
        <v>148</v>
      </c>
      <c r="CP32" s="3536">
        <v>356</v>
      </c>
      <c r="CQ32" s="3536">
        <v>244</v>
      </c>
      <c r="CR32" s="3536">
        <v>139</v>
      </c>
      <c r="CS32" s="3536">
        <v>182</v>
      </c>
      <c r="CT32" s="3536">
        <v>216</v>
      </c>
      <c r="CU32" s="3537">
        <v>174</v>
      </c>
      <c r="CV32" s="3535">
        <v>141</v>
      </c>
      <c r="CW32" s="3536">
        <v>235</v>
      </c>
      <c r="CX32" s="3458">
        <v>158</v>
      </c>
      <c r="CY32" s="3458">
        <v>101</v>
      </c>
      <c r="CZ32" s="3458">
        <v>126</v>
      </c>
      <c r="DA32" s="3458">
        <v>105</v>
      </c>
      <c r="DB32" s="3458">
        <v>297</v>
      </c>
      <c r="DC32" s="3458">
        <v>231</v>
      </c>
      <c r="DD32" s="3458">
        <v>140</v>
      </c>
      <c r="DE32" s="3458">
        <v>165</v>
      </c>
      <c r="DF32" s="3458">
        <v>213</v>
      </c>
      <c r="DG32" s="3537">
        <v>154</v>
      </c>
      <c r="DH32" s="3538">
        <v>151</v>
      </c>
      <c r="DI32" s="3539">
        <v>183</v>
      </c>
      <c r="DJ32" s="3539">
        <v>129</v>
      </c>
      <c r="DK32" s="3540">
        <v>112</v>
      </c>
      <c r="DL32" s="3540">
        <v>87</v>
      </c>
      <c r="DM32" s="3540">
        <v>103</v>
      </c>
      <c r="DN32" s="3540">
        <v>117</v>
      </c>
      <c r="DO32" s="3540">
        <v>153</v>
      </c>
      <c r="DP32" s="2713">
        <v>140</v>
      </c>
      <c r="DQ32" s="3540">
        <v>189</v>
      </c>
      <c r="DR32" s="3540">
        <v>171</v>
      </c>
      <c r="DS32" s="3541">
        <v>137</v>
      </c>
      <c r="DT32" s="3542">
        <v>168</v>
      </c>
      <c r="DU32" s="3429">
        <v>142</v>
      </c>
      <c r="DV32" s="3429">
        <v>113</v>
      </c>
      <c r="DW32" s="3350">
        <v>157</v>
      </c>
      <c r="DX32" s="3350">
        <v>113</v>
      </c>
      <c r="DY32" s="3350">
        <v>102</v>
      </c>
      <c r="DZ32" s="3350">
        <v>264</v>
      </c>
      <c r="EA32" s="3350">
        <v>228</v>
      </c>
      <c r="EB32" s="3350">
        <v>135</v>
      </c>
      <c r="EC32" s="3350">
        <v>169</v>
      </c>
      <c r="ED32" s="3350">
        <v>191</v>
      </c>
      <c r="EE32" s="3349">
        <v>143</v>
      </c>
      <c r="EF32" s="2689">
        <v>187</v>
      </c>
      <c r="EG32" s="2688">
        <v>214</v>
      </c>
      <c r="EH32" s="2688">
        <v>150</v>
      </c>
      <c r="EI32" s="2688">
        <v>142</v>
      </c>
      <c r="EJ32" s="2688">
        <v>131</v>
      </c>
      <c r="EK32" s="2688">
        <v>131</v>
      </c>
      <c r="EL32" s="2688">
        <v>273</v>
      </c>
      <c r="EM32" s="2714">
        <v>208</v>
      </c>
      <c r="EN32" s="2714">
        <v>147</v>
      </c>
      <c r="EO32" s="2715">
        <v>236</v>
      </c>
      <c r="EP32" s="2715">
        <v>206</v>
      </c>
      <c r="EQ32" s="2716">
        <v>165</v>
      </c>
      <c r="ER32" s="1348">
        <v>195</v>
      </c>
      <c r="ES32" s="3543">
        <v>254</v>
      </c>
      <c r="ET32" s="3543">
        <v>168</v>
      </c>
      <c r="EU32" s="2717">
        <v>170</v>
      </c>
      <c r="EV32" s="2162">
        <v>155</v>
      </c>
      <c r="EW32" s="2162">
        <v>139</v>
      </c>
      <c r="EX32" s="2162">
        <v>329</v>
      </c>
      <c r="EY32" s="2162">
        <v>278</v>
      </c>
      <c r="EZ32" s="2162">
        <v>180</v>
      </c>
      <c r="FA32" s="2339">
        <v>169</v>
      </c>
      <c r="FB32" s="2339">
        <v>181</v>
      </c>
      <c r="FC32" s="2339">
        <v>202</v>
      </c>
      <c r="FD32" s="2772">
        <v>260</v>
      </c>
      <c r="FE32" s="2773">
        <v>232</v>
      </c>
      <c r="FF32" s="2773">
        <v>86</v>
      </c>
      <c r="FG32" s="2773"/>
      <c r="FH32" s="2773">
        <v>1</v>
      </c>
      <c r="FI32" s="2773">
        <v>1</v>
      </c>
      <c r="FJ32" s="2773">
        <v>7</v>
      </c>
      <c r="FK32" s="2773">
        <v>17</v>
      </c>
      <c r="FL32" s="2773">
        <v>8</v>
      </c>
      <c r="FM32" s="2773">
        <v>12</v>
      </c>
      <c r="FN32" s="2773">
        <v>21</v>
      </c>
      <c r="FO32" s="2774">
        <v>32</v>
      </c>
      <c r="FP32" s="2772">
        <v>25</v>
      </c>
      <c r="FQ32" s="2773">
        <v>18</v>
      </c>
      <c r="FR32" s="2773">
        <v>19</v>
      </c>
      <c r="FS32" s="2773">
        <v>23</v>
      </c>
      <c r="FT32" s="2773">
        <v>27</v>
      </c>
      <c r="FU32" s="2773">
        <v>40</v>
      </c>
      <c r="FV32" s="2773">
        <v>73</v>
      </c>
      <c r="FW32" s="2773">
        <v>91</v>
      </c>
      <c r="FX32" s="2773">
        <v>72</v>
      </c>
      <c r="FY32" s="2773">
        <v>94</v>
      </c>
      <c r="FZ32" s="2773">
        <v>105</v>
      </c>
      <c r="GA32" s="2774">
        <v>126</v>
      </c>
      <c r="GB32" s="4561"/>
      <c r="GC32" s="4557"/>
      <c r="GD32" s="4557"/>
      <c r="GE32" s="4557"/>
      <c r="GF32" s="4557"/>
      <c r="GG32" s="4557"/>
      <c r="GH32" s="4557"/>
      <c r="GI32" s="4557"/>
      <c r="GJ32" s="4557"/>
      <c r="GK32" s="4557"/>
      <c r="GL32" s="4557"/>
      <c r="GM32" s="4562"/>
      <c r="GN32" s="2764"/>
      <c r="GO32" s="2911">
        <v>380</v>
      </c>
      <c r="GP32" s="2912">
        <v>210</v>
      </c>
      <c r="GQ32" s="2912">
        <v>608</v>
      </c>
      <c r="GR32" s="2913">
        <v>462</v>
      </c>
      <c r="GS32" s="2914">
        <v>449</v>
      </c>
      <c r="GT32" s="2915">
        <v>338</v>
      </c>
      <c r="GU32" s="2915">
        <v>556</v>
      </c>
      <c r="GV32" s="2916">
        <v>508</v>
      </c>
      <c r="GW32" s="2917">
        <v>320</v>
      </c>
      <c r="GX32" s="2918">
        <v>357</v>
      </c>
      <c r="GY32" s="2919">
        <v>556</v>
      </c>
      <c r="GZ32" s="2919">
        <v>531</v>
      </c>
      <c r="HA32" s="2920">
        <v>415</v>
      </c>
      <c r="HB32" s="2921">
        <v>286</v>
      </c>
      <c r="HC32" s="2921">
        <v>523</v>
      </c>
      <c r="HD32" s="2922">
        <v>379</v>
      </c>
      <c r="HE32" s="2923">
        <v>349</v>
      </c>
      <c r="HF32" s="2924">
        <v>257</v>
      </c>
      <c r="HG32" s="2924">
        <v>573</v>
      </c>
      <c r="HH32" s="2925">
        <v>487</v>
      </c>
      <c r="HI32" s="2921">
        <v>408</v>
      </c>
      <c r="HJ32" s="2921">
        <v>322</v>
      </c>
      <c r="HK32" s="2921">
        <v>692</v>
      </c>
      <c r="HL32" s="2921">
        <v>580</v>
      </c>
      <c r="HM32" s="2926">
        <v>467</v>
      </c>
      <c r="HN32" s="2926">
        <v>299</v>
      </c>
      <c r="HO32" s="2926">
        <v>634</v>
      </c>
      <c r="HP32" s="2926">
        <v>618</v>
      </c>
      <c r="HQ32" s="2927">
        <v>522</v>
      </c>
      <c r="HR32" s="2927">
        <v>377</v>
      </c>
      <c r="HS32" s="2927">
        <f t="shared" si="32"/>
        <v>739</v>
      </c>
      <c r="HT32" s="2927">
        <v>572</v>
      </c>
      <c r="HU32" s="2928">
        <v>534</v>
      </c>
      <c r="HV32" s="2928">
        <f t="shared" si="33"/>
        <v>332</v>
      </c>
      <c r="HW32" s="2928">
        <f t="shared" si="34"/>
        <v>668</v>
      </c>
      <c r="HX32" s="2927">
        <f t="shared" si="35"/>
        <v>532</v>
      </c>
      <c r="HY32" s="2846">
        <f t="shared" si="36"/>
        <v>463</v>
      </c>
      <c r="HZ32" s="2846">
        <f t="shared" si="37"/>
        <v>302</v>
      </c>
      <c r="IA32" s="2846">
        <f t="shared" si="38"/>
        <v>407</v>
      </c>
      <c r="IB32" s="2846">
        <f t="shared" si="39"/>
        <v>497</v>
      </c>
      <c r="IC32" s="2921">
        <f t="shared" si="40"/>
        <v>423</v>
      </c>
      <c r="ID32" s="2921">
        <f t="shared" si="41"/>
        <v>372</v>
      </c>
      <c r="IE32" s="2921">
        <f t="shared" si="42"/>
        <v>627</v>
      </c>
      <c r="IF32" s="2921">
        <f t="shared" si="43"/>
        <v>503</v>
      </c>
      <c r="IG32" s="2929">
        <f t="shared" si="44"/>
        <v>551</v>
      </c>
      <c r="IH32" s="2926">
        <f t="shared" si="45"/>
        <v>404</v>
      </c>
      <c r="II32" s="2926">
        <f t="shared" si="46"/>
        <v>628</v>
      </c>
      <c r="IJ32" s="2926">
        <f t="shared" si="47"/>
        <v>607</v>
      </c>
      <c r="IK32" s="2930">
        <f t="shared" si="48"/>
        <v>617</v>
      </c>
      <c r="IL32" s="2931">
        <f t="shared" si="49"/>
        <v>464</v>
      </c>
      <c r="IM32" s="2931">
        <f t="shared" si="50"/>
        <v>787</v>
      </c>
      <c r="IN32" s="2931">
        <f t="shared" si="51"/>
        <v>552</v>
      </c>
      <c r="IO32" s="2932">
        <f t="shared" si="52"/>
        <v>578</v>
      </c>
      <c r="IP32" s="2933">
        <f t="shared" si="53"/>
        <v>2</v>
      </c>
      <c r="IQ32" s="2933">
        <f t="shared" si="88"/>
        <v>32</v>
      </c>
      <c r="IR32" s="2934">
        <f t="shared" si="55"/>
        <v>65</v>
      </c>
      <c r="IS32" s="2929">
        <f t="shared" si="56"/>
        <v>62</v>
      </c>
      <c r="IT32" s="2926">
        <f t="shared" si="57"/>
        <v>90</v>
      </c>
      <c r="IU32" s="2926">
        <f t="shared" si="58"/>
        <v>236</v>
      </c>
      <c r="IV32" s="2926">
        <f t="shared" si="59"/>
        <v>325</v>
      </c>
      <c r="IW32" s="4549">
        <f t="shared" si="76"/>
        <v>0</v>
      </c>
      <c r="IX32" s="4541">
        <f t="shared" si="77"/>
        <v>0</v>
      </c>
      <c r="IY32" s="4541">
        <f t="shared" si="78"/>
        <v>0</v>
      </c>
      <c r="IZ32" s="4550">
        <f t="shared" si="79"/>
        <v>0</v>
      </c>
      <c r="JA32" s="4545"/>
      <c r="JB32" s="3544">
        <v>1660</v>
      </c>
      <c r="JC32" s="3545">
        <v>1851</v>
      </c>
      <c r="JD32" s="3545">
        <v>1764</v>
      </c>
      <c r="JE32" s="3545">
        <v>1603</v>
      </c>
      <c r="JF32" s="3545">
        <v>1666</v>
      </c>
      <c r="JG32" s="3545">
        <v>2002</v>
      </c>
      <c r="JH32" s="3546">
        <v>2018</v>
      </c>
      <c r="JI32" s="3547">
        <v>2210</v>
      </c>
      <c r="JJ32" s="3547">
        <f t="shared" si="60"/>
        <v>2066</v>
      </c>
      <c r="JK32" s="3547">
        <f t="shared" si="61"/>
        <v>1672</v>
      </c>
      <c r="JL32" s="3547">
        <f t="shared" si="62"/>
        <v>1925</v>
      </c>
      <c r="JM32" s="3547">
        <f t="shared" si="63"/>
        <v>2190</v>
      </c>
      <c r="JN32" s="3548">
        <f t="shared" si="24"/>
        <v>2420</v>
      </c>
      <c r="JO32" s="3566">
        <f t="shared" si="64"/>
        <v>677</v>
      </c>
      <c r="JP32" s="3564">
        <f t="shared" si="80"/>
        <v>713</v>
      </c>
      <c r="JQ32" s="3564">
        <f t="shared" si="81"/>
        <v>713</v>
      </c>
      <c r="JS32" s="3765">
        <f t="shared" si="82"/>
        <v>713</v>
      </c>
      <c r="JT32" s="3765">
        <f t="shared" si="83"/>
        <v>713</v>
      </c>
      <c r="JV32" s="3551">
        <f t="shared" si="84"/>
        <v>701</v>
      </c>
      <c r="JW32" s="3552">
        <f t="shared" si="65"/>
        <v>2.66400690857294E-3</v>
      </c>
      <c r="JX32" s="3552">
        <f t="shared" si="66"/>
        <v>2.9482441483096988E-3</v>
      </c>
      <c r="JY32" s="3552">
        <f t="shared" si="85"/>
        <v>3.187772925764192E-3</v>
      </c>
      <c r="JZ32" s="3552">
        <f t="shared" si="67"/>
        <v>3.5225618631732169E-3</v>
      </c>
      <c r="KA32" s="3552">
        <f t="shared" si="68"/>
        <v>3.5369657327057004E-3</v>
      </c>
      <c r="KB32" s="4575">
        <f t="shared" si="69"/>
        <v>2.5374026676536323E-3</v>
      </c>
      <c r="KC32" s="3565">
        <f t="shared" si="86"/>
        <v>2.5374026676536323E-3</v>
      </c>
      <c r="KD32" s="3552"/>
      <c r="KE32" s="3554">
        <f t="shared" si="70"/>
        <v>0.15131578947368429</v>
      </c>
      <c r="KF32" s="3555">
        <f t="shared" si="71"/>
        <v>-0.58074162679425845</v>
      </c>
      <c r="KG32" s="3555">
        <f t="shared" si="72"/>
        <v>0.1376623376623376</v>
      </c>
      <c r="KH32" s="3555">
        <f t="shared" si="73"/>
        <v>0.10502283105022836</v>
      </c>
      <c r="KI32" s="3555">
        <f t="shared" si="74"/>
        <v>-0.72024793388429753</v>
      </c>
      <c r="KJ32" s="3556">
        <f t="shared" si="75"/>
        <v>-0.7053719008264463</v>
      </c>
      <c r="KK32" s="3557">
        <f t="shared" si="87"/>
        <v>5.3175775480059029E-2</v>
      </c>
    </row>
    <row r="33" spans="1:321" ht="21.9" customHeight="1">
      <c r="A33" s="3568"/>
      <c r="B33" s="3231"/>
      <c r="C33" s="3567" t="s">
        <v>50</v>
      </c>
      <c r="D33" s="3516">
        <v>339</v>
      </c>
      <c r="E33" s="3517">
        <v>210</v>
      </c>
      <c r="F33" s="3517">
        <v>197</v>
      </c>
      <c r="G33" s="3517">
        <v>159</v>
      </c>
      <c r="H33" s="3517">
        <v>91</v>
      </c>
      <c r="I33" s="3517">
        <v>219</v>
      </c>
      <c r="J33" s="3517">
        <v>149</v>
      </c>
      <c r="K33" s="3517">
        <v>85</v>
      </c>
      <c r="L33" s="3517">
        <v>129</v>
      </c>
      <c r="M33" s="3517">
        <v>258</v>
      </c>
      <c r="N33" s="3517">
        <v>319</v>
      </c>
      <c r="O33" s="3518">
        <v>367</v>
      </c>
      <c r="P33" s="3519">
        <v>226</v>
      </c>
      <c r="Q33" s="3520">
        <v>386</v>
      </c>
      <c r="R33" s="3520">
        <v>264</v>
      </c>
      <c r="S33" s="3520">
        <v>123</v>
      </c>
      <c r="T33" s="3520">
        <v>132</v>
      </c>
      <c r="U33" s="3520">
        <v>204</v>
      </c>
      <c r="V33" s="3520">
        <v>173</v>
      </c>
      <c r="W33" s="3520">
        <v>77</v>
      </c>
      <c r="X33" s="3520">
        <v>137</v>
      </c>
      <c r="Y33" s="3520">
        <v>325</v>
      </c>
      <c r="Z33" s="3520">
        <v>450</v>
      </c>
      <c r="AA33" s="3521">
        <v>328</v>
      </c>
      <c r="AB33" s="3522">
        <v>333</v>
      </c>
      <c r="AC33" s="3523">
        <v>256</v>
      </c>
      <c r="AD33" s="3523">
        <v>147</v>
      </c>
      <c r="AE33" s="3523">
        <v>149</v>
      </c>
      <c r="AF33" s="3523">
        <v>162</v>
      </c>
      <c r="AG33" s="3523">
        <v>175</v>
      </c>
      <c r="AH33" s="3523">
        <v>174</v>
      </c>
      <c r="AI33" s="3523">
        <v>70</v>
      </c>
      <c r="AJ33" s="3523">
        <v>125</v>
      </c>
      <c r="AK33" s="3523">
        <v>265</v>
      </c>
      <c r="AL33" s="3523">
        <v>391</v>
      </c>
      <c r="AM33" s="3524">
        <v>315</v>
      </c>
      <c r="AN33" s="3525">
        <v>395</v>
      </c>
      <c r="AO33" s="3526">
        <v>294</v>
      </c>
      <c r="AP33" s="3526">
        <v>272</v>
      </c>
      <c r="AQ33" s="3526">
        <v>88</v>
      </c>
      <c r="AR33" s="3526">
        <v>79</v>
      </c>
      <c r="AS33" s="3526">
        <v>166</v>
      </c>
      <c r="AT33" s="3526">
        <v>142</v>
      </c>
      <c r="AU33" s="3526">
        <v>83</v>
      </c>
      <c r="AV33" s="3526">
        <v>98</v>
      </c>
      <c r="AW33" s="3526">
        <v>145</v>
      </c>
      <c r="AX33" s="3526">
        <v>286</v>
      </c>
      <c r="AY33" s="3527">
        <v>256</v>
      </c>
      <c r="AZ33" s="3463">
        <v>277</v>
      </c>
      <c r="BA33" s="3463">
        <v>260</v>
      </c>
      <c r="BB33" s="3463">
        <v>183</v>
      </c>
      <c r="BC33" s="3463">
        <v>123</v>
      </c>
      <c r="BD33" s="3463">
        <v>86</v>
      </c>
      <c r="BE33" s="3463">
        <v>219</v>
      </c>
      <c r="BF33" s="3463">
        <v>105</v>
      </c>
      <c r="BG33" s="3463">
        <v>112</v>
      </c>
      <c r="BH33" s="3463">
        <v>111</v>
      </c>
      <c r="BI33" s="3463">
        <v>254</v>
      </c>
      <c r="BJ33" s="3463">
        <v>359</v>
      </c>
      <c r="BK33" s="3560">
        <v>276</v>
      </c>
      <c r="BL33" s="3530">
        <v>262</v>
      </c>
      <c r="BM33" s="3531">
        <v>289</v>
      </c>
      <c r="BN33" s="3531">
        <v>213</v>
      </c>
      <c r="BO33" s="3531">
        <v>112</v>
      </c>
      <c r="BP33" s="3531">
        <v>95</v>
      </c>
      <c r="BQ33" s="3531">
        <v>248</v>
      </c>
      <c r="BR33" s="3531">
        <v>156</v>
      </c>
      <c r="BS33" s="3531">
        <v>88</v>
      </c>
      <c r="BT33" s="3532">
        <v>131</v>
      </c>
      <c r="BU33" s="3532">
        <v>245</v>
      </c>
      <c r="BV33" s="3532">
        <v>457</v>
      </c>
      <c r="BW33" s="3533">
        <v>390</v>
      </c>
      <c r="BX33" s="3534">
        <v>285</v>
      </c>
      <c r="BY33" s="3459">
        <v>221</v>
      </c>
      <c r="BZ33" s="3459">
        <v>246</v>
      </c>
      <c r="CA33" s="3459">
        <v>101</v>
      </c>
      <c r="CB33" s="3459">
        <v>77</v>
      </c>
      <c r="CC33" s="3459">
        <v>202</v>
      </c>
      <c r="CD33" s="3459">
        <v>190</v>
      </c>
      <c r="CE33" s="3459">
        <v>55</v>
      </c>
      <c r="CF33" s="3459">
        <v>100</v>
      </c>
      <c r="CG33" s="3459">
        <v>284</v>
      </c>
      <c r="CH33" s="3459">
        <v>378</v>
      </c>
      <c r="CI33" s="3461">
        <v>396</v>
      </c>
      <c r="CJ33" s="3535">
        <v>313</v>
      </c>
      <c r="CK33" s="3536">
        <v>295</v>
      </c>
      <c r="CL33" s="3536">
        <v>198</v>
      </c>
      <c r="CM33" s="3536">
        <v>114</v>
      </c>
      <c r="CN33" s="3536">
        <v>95</v>
      </c>
      <c r="CO33" s="3536">
        <v>180</v>
      </c>
      <c r="CP33" s="3536">
        <v>145</v>
      </c>
      <c r="CQ33" s="3536">
        <v>101</v>
      </c>
      <c r="CR33" s="3536">
        <v>88</v>
      </c>
      <c r="CS33" s="3536">
        <v>305</v>
      </c>
      <c r="CT33" s="3536">
        <v>368</v>
      </c>
      <c r="CU33" s="3537">
        <v>385</v>
      </c>
      <c r="CV33" s="3535">
        <v>271</v>
      </c>
      <c r="CW33" s="3536">
        <v>281</v>
      </c>
      <c r="CX33" s="3458">
        <v>204</v>
      </c>
      <c r="CY33" s="3458">
        <v>122</v>
      </c>
      <c r="CZ33" s="3458">
        <v>83</v>
      </c>
      <c r="DA33" s="3458">
        <v>245</v>
      </c>
      <c r="DB33" s="3458">
        <v>168</v>
      </c>
      <c r="DC33" s="3458">
        <v>86</v>
      </c>
      <c r="DD33" s="3458">
        <v>149</v>
      </c>
      <c r="DE33" s="3458">
        <v>327</v>
      </c>
      <c r="DF33" s="3458">
        <v>370</v>
      </c>
      <c r="DG33" s="3537">
        <v>393</v>
      </c>
      <c r="DH33" s="3538">
        <v>261</v>
      </c>
      <c r="DI33" s="3539">
        <v>243</v>
      </c>
      <c r="DJ33" s="3539">
        <v>222</v>
      </c>
      <c r="DK33" s="3540">
        <v>135</v>
      </c>
      <c r="DL33" s="3540">
        <v>89</v>
      </c>
      <c r="DM33" s="3540">
        <v>230</v>
      </c>
      <c r="DN33" s="3540">
        <v>147</v>
      </c>
      <c r="DO33" s="3540">
        <v>63</v>
      </c>
      <c r="DP33" s="2713">
        <v>96</v>
      </c>
      <c r="DQ33" s="3540">
        <v>338</v>
      </c>
      <c r="DR33" s="3540">
        <v>256</v>
      </c>
      <c r="DS33" s="3541">
        <v>252</v>
      </c>
      <c r="DT33" s="3542">
        <v>197</v>
      </c>
      <c r="DU33" s="3429">
        <v>217</v>
      </c>
      <c r="DV33" s="3429">
        <v>144</v>
      </c>
      <c r="DW33" s="3350">
        <v>145</v>
      </c>
      <c r="DX33" s="3350">
        <v>75</v>
      </c>
      <c r="DY33" s="3350">
        <v>141</v>
      </c>
      <c r="DZ33" s="3350">
        <v>109</v>
      </c>
      <c r="EA33" s="3350">
        <v>77</v>
      </c>
      <c r="EB33" s="3350">
        <v>82</v>
      </c>
      <c r="EC33" s="3350">
        <v>232</v>
      </c>
      <c r="ED33" s="3350">
        <v>376</v>
      </c>
      <c r="EE33" s="3349">
        <v>299</v>
      </c>
      <c r="EF33" s="2689">
        <v>195</v>
      </c>
      <c r="EG33" s="2688">
        <v>235</v>
      </c>
      <c r="EH33" s="2688">
        <v>183</v>
      </c>
      <c r="EI33" s="2688">
        <v>113</v>
      </c>
      <c r="EJ33" s="2688">
        <v>75</v>
      </c>
      <c r="EK33" s="2688">
        <v>182</v>
      </c>
      <c r="EL33" s="2688">
        <v>155</v>
      </c>
      <c r="EM33" s="2714">
        <v>72</v>
      </c>
      <c r="EN33" s="2714">
        <v>97</v>
      </c>
      <c r="EO33" s="2715">
        <v>185</v>
      </c>
      <c r="EP33" s="2715">
        <v>290</v>
      </c>
      <c r="EQ33" s="2716">
        <v>273</v>
      </c>
      <c r="ER33" s="1348">
        <v>248</v>
      </c>
      <c r="ES33" s="3543">
        <v>226</v>
      </c>
      <c r="ET33" s="3543">
        <v>182</v>
      </c>
      <c r="EU33" s="2717">
        <v>104</v>
      </c>
      <c r="EV33" s="2162">
        <v>93</v>
      </c>
      <c r="EW33" s="2162">
        <v>256</v>
      </c>
      <c r="EX33" s="2162">
        <v>199</v>
      </c>
      <c r="EY33" s="2162">
        <v>90</v>
      </c>
      <c r="EZ33" s="2162">
        <v>89</v>
      </c>
      <c r="FA33" s="2338">
        <v>133</v>
      </c>
      <c r="FB33" s="2338">
        <v>278</v>
      </c>
      <c r="FC33" s="2338">
        <v>272</v>
      </c>
      <c r="FD33" s="2765">
        <v>263</v>
      </c>
      <c r="FE33" s="2766">
        <v>231</v>
      </c>
      <c r="FF33" s="2766">
        <v>68</v>
      </c>
      <c r="FG33" s="2766"/>
      <c r="FH33" s="2766">
        <v>3</v>
      </c>
      <c r="FI33" s="2766">
        <v>5</v>
      </c>
      <c r="FJ33" s="2766">
        <v>10</v>
      </c>
      <c r="FK33" s="2766">
        <v>9</v>
      </c>
      <c r="FL33" s="2766">
        <v>15</v>
      </c>
      <c r="FM33" s="2766">
        <v>16</v>
      </c>
      <c r="FN33" s="2766">
        <v>29</v>
      </c>
      <c r="FO33" s="2767">
        <v>37</v>
      </c>
      <c r="FP33" s="2765">
        <v>32</v>
      </c>
      <c r="FQ33" s="2766">
        <v>17</v>
      </c>
      <c r="FR33" s="2766">
        <v>20</v>
      </c>
      <c r="FS33" s="2766">
        <v>15</v>
      </c>
      <c r="FT33" s="2766">
        <v>24</v>
      </c>
      <c r="FU33" s="2766">
        <v>53</v>
      </c>
      <c r="FV33" s="2766">
        <v>55</v>
      </c>
      <c r="FW33" s="2766">
        <v>34</v>
      </c>
      <c r="FX33" s="2766">
        <v>45</v>
      </c>
      <c r="FY33" s="2766">
        <v>53</v>
      </c>
      <c r="FZ33" s="2766">
        <v>63</v>
      </c>
      <c r="GA33" s="2767">
        <v>227</v>
      </c>
      <c r="GB33" s="4561"/>
      <c r="GC33" s="4557"/>
      <c r="GD33" s="4557"/>
      <c r="GE33" s="4557"/>
      <c r="GF33" s="4557"/>
      <c r="GG33" s="4557"/>
      <c r="GH33" s="4557"/>
      <c r="GI33" s="4557"/>
      <c r="GJ33" s="4557"/>
      <c r="GK33" s="4557"/>
      <c r="GL33" s="4557"/>
      <c r="GM33" s="4562"/>
      <c r="GN33" s="2764"/>
      <c r="GO33" s="2911">
        <v>746</v>
      </c>
      <c r="GP33" s="2912">
        <v>469</v>
      </c>
      <c r="GQ33" s="2912">
        <v>363</v>
      </c>
      <c r="GR33" s="2913">
        <v>944</v>
      </c>
      <c r="GS33" s="2914">
        <v>876</v>
      </c>
      <c r="GT33" s="2915">
        <v>459</v>
      </c>
      <c r="GU33" s="2915">
        <v>387</v>
      </c>
      <c r="GV33" s="2916">
        <v>1103</v>
      </c>
      <c r="GW33" s="2917">
        <v>736</v>
      </c>
      <c r="GX33" s="2918">
        <v>486</v>
      </c>
      <c r="GY33" s="2919">
        <v>369</v>
      </c>
      <c r="GZ33" s="2919">
        <v>971</v>
      </c>
      <c r="HA33" s="2920">
        <v>961</v>
      </c>
      <c r="HB33" s="2921">
        <v>333</v>
      </c>
      <c r="HC33" s="2921">
        <v>323</v>
      </c>
      <c r="HD33" s="2922">
        <v>687</v>
      </c>
      <c r="HE33" s="2923">
        <v>720</v>
      </c>
      <c r="HF33" s="2924">
        <v>428</v>
      </c>
      <c r="HG33" s="2924">
        <v>328</v>
      </c>
      <c r="HH33" s="2925">
        <v>889</v>
      </c>
      <c r="HI33" s="2921">
        <v>764</v>
      </c>
      <c r="HJ33" s="2921">
        <v>455</v>
      </c>
      <c r="HK33" s="2921">
        <v>375</v>
      </c>
      <c r="HL33" s="2921">
        <v>1092</v>
      </c>
      <c r="HM33" s="2926">
        <v>752</v>
      </c>
      <c r="HN33" s="2926">
        <v>380</v>
      </c>
      <c r="HO33" s="2926">
        <v>345</v>
      </c>
      <c r="HP33" s="2926">
        <v>1058</v>
      </c>
      <c r="HQ33" s="2927">
        <v>806</v>
      </c>
      <c r="HR33" s="2927">
        <v>389</v>
      </c>
      <c r="HS33" s="2927">
        <f t="shared" si="32"/>
        <v>334</v>
      </c>
      <c r="HT33" s="2927">
        <v>1058</v>
      </c>
      <c r="HU33" s="2928">
        <v>756</v>
      </c>
      <c r="HV33" s="2928">
        <f t="shared" si="33"/>
        <v>450</v>
      </c>
      <c r="HW33" s="2928">
        <f t="shared" si="34"/>
        <v>403</v>
      </c>
      <c r="HX33" s="2927">
        <f t="shared" si="35"/>
        <v>1090</v>
      </c>
      <c r="HY33" s="2846">
        <f t="shared" si="36"/>
        <v>726</v>
      </c>
      <c r="HZ33" s="2846">
        <f t="shared" si="37"/>
        <v>454</v>
      </c>
      <c r="IA33" s="2846">
        <f t="shared" si="38"/>
        <v>462</v>
      </c>
      <c r="IB33" s="2846">
        <f t="shared" si="39"/>
        <v>846</v>
      </c>
      <c r="IC33" s="2921">
        <f t="shared" si="40"/>
        <v>558</v>
      </c>
      <c r="ID33" s="2921">
        <f t="shared" si="41"/>
        <v>361</v>
      </c>
      <c r="IE33" s="2921">
        <f t="shared" si="42"/>
        <v>268</v>
      </c>
      <c r="IF33" s="2921">
        <f t="shared" si="43"/>
        <v>907</v>
      </c>
      <c r="IG33" s="2929">
        <f t="shared" si="44"/>
        <v>613</v>
      </c>
      <c r="IH33" s="2926">
        <f t="shared" si="45"/>
        <v>370</v>
      </c>
      <c r="II33" s="2926">
        <f t="shared" si="46"/>
        <v>324</v>
      </c>
      <c r="IJ33" s="2926">
        <f t="shared" si="47"/>
        <v>748</v>
      </c>
      <c r="IK33" s="2930">
        <f t="shared" si="48"/>
        <v>656</v>
      </c>
      <c r="IL33" s="2931">
        <f t="shared" si="49"/>
        <v>453</v>
      </c>
      <c r="IM33" s="2931">
        <f t="shared" si="50"/>
        <v>378</v>
      </c>
      <c r="IN33" s="2931">
        <f t="shared" si="51"/>
        <v>683</v>
      </c>
      <c r="IO33" s="2932">
        <f t="shared" si="52"/>
        <v>562</v>
      </c>
      <c r="IP33" s="2933">
        <f t="shared" si="53"/>
        <v>8</v>
      </c>
      <c r="IQ33" s="2933">
        <f t="shared" si="88"/>
        <v>34</v>
      </c>
      <c r="IR33" s="2934">
        <f t="shared" si="55"/>
        <v>82</v>
      </c>
      <c r="IS33" s="2929">
        <f t="shared" si="56"/>
        <v>69</v>
      </c>
      <c r="IT33" s="2926">
        <f t="shared" si="57"/>
        <v>92</v>
      </c>
      <c r="IU33" s="2926">
        <f t="shared" si="58"/>
        <v>134</v>
      </c>
      <c r="IV33" s="2926">
        <f t="shared" si="59"/>
        <v>343</v>
      </c>
      <c r="IW33" s="4549">
        <f t="shared" si="76"/>
        <v>0</v>
      </c>
      <c r="IX33" s="4541">
        <f t="shared" si="77"/>
        <v>0</v>
      </c>
      <c r="IY33" s="4541">
        <f t="shared" si="78"/>
        <v>0</v>
      </c>
      <c r="IZ33" s="4550">
        <f t="shared" si="79"/>
        <v>0</v>
      </c>
      <c r="JA33" s="4545"/>
      <c r="JB33" s="3544">
        <v>2522</v>
      </c>
      <c r="JC33" s="3545">
        <v>2825</v>
      </c>
      <c r="JD33" s="3545">
        <v>2562</v>
      </c>
      <c r="JE33" s="3545">
        <v>2304</v>
      </c>
      <c r="JF33" s="3545">
        <v>2365</v>
      </c>
      <c r="JG33" s="3545">
        <v>2686</v>
      </c>
      <c r="JH33" s="3546">
        <v>2535</v>
      </c>
      <c r="JI33" s="3547">
        <v>2587</v>
      </c>
      <c r="JJ33" s="3547">
        <f t="shared" si="60"/>
        <v>2699</v>
      </c>
      <c r="JK33" s="3547">
        <f t="shared" si="61"/>
        <v>2332</v>
      </c>
      <c r="JL33" s="3547">
        <f t="shared" si="62"/>
        <v>2094</v>
      </c>
      <c r="JM33" s="3547">
        <f t="shared" si="63"/>
        <v>2055</v>
      </c>
      <c r="JN33" s="3548">
        <f t="shared" si="24"/>
        <v>2170</v>
      </c>
      <c r="JO33" s="3566">
        <f t="shared" si="64"/>
        <v>686</v>
      </c>
      <c r="JP33" s="3564">
        <f t="shared" si="80"/>
        <v>638</v>
      </c>
      <c r="JQ33" s="3564">
        <f t="shared" si="81"/>
        <v>638</v>
      </c>
      <c r="JS33" s="3765">
        <f t="shared" si="82"/>
        <v>638</v>
      </c>
      <c r="JT33" s="3765">
        <f t="shared" si="83"/>
        <v>638</v>
      </c>
      <c r="JV33" s="3551">
        <f t="shared" si="84"/>
        <v>654</v>
      </c>
      <c r="JW33" s="3552">
        <f t="shared" si="65"/>
        <v>3.7155885830096268E-3</v>
      </c>
      <c r="JX33" s="3552">
        <f t="shared" si="66"/>
        <v>3.2070770112002647E-3</v>
      </c>
      <c r="JY33" s="3552">
        <f t="shared" si="85"/>
        <v>2.9912663755458516E-3</v>
      </c>
      <c r="JZ33" s="3552">
        <f t="shared" si="67"/>
        <v>3.1586608442503638E-3</v>
      </c>
      <c r="KA33" s="3552">
        <f t="shared" si="68"/>
        <v>3.5839859566264556E-3</v>
      </c>
      <c r="KB33" s="4575">
        <f t="shared" si="69"/>
        <v>2.2704949536648208E-3</v>
      </c>
      <c r="KC33" s="3565">
        <f t="shared" si="86"/>
        <v>2.2704949536648208E-3</v>
      </c>
      <c r="KD33" s="3552"/>
      <c r="KE33" s="3554">
        <f t="shared" si="70"/>
        <v>-0.10205831903945106</v>
      </c>
      <c r="KF33" s="3555">
        <f t="shared" si="71"/>
        <v>-0.71955403087478564</v>
      </c>
      <c r="KG33" s="3555">
        <f t="shared" si="72"/>
        <v>-1.8624641833810851E-2</v>
      </c>
      <c r="KH33" s="3555">
        <f t="shared" si="73"/>
        <v>5.5961070559610748E-2</v>
      </c>
      <c r="KI33" s="3555">
        <f t="shared" si="74"/>
        <v>-0.68387096774193545</v>
      </c>
      <c r="KJ33" s="3556">
        <f t="shared" si="75"/>
        <v>-0.70599078341013821</v>
      </c>
      <c r="KK33" s="3557">
        <f t="shared" si="87"/>
        <v>-6.9970845481049593E-2</v>
      </c>
    </row>
    <row r="34" spans="1:321" ht="21.9" customHeight="1">
      <c r="A34" s="3568"/>
      <c r="B34" s="3231"/>
      <c r="C34" s="3285" t="s">
        <v>1508</v>
      </c>
      <c r="D34" s="3569"/>
      <c r="E34" s="3570"/>
      <c r="F34" s="3570"/>
      <c r="G34" s="3570"/>
      <c r="H34" s="3570"/>
      <c r="I34" s="3570"/>
      <c r="J34" s="3570"/>
      <c r="K34" s="3570"/>
      <c r="L34" s="3570"/>
      <c r="M34" s="3570"/>
      <c r="N34" s="3570"/>
      <c r="O34" s="3571"/>
      <c r="P34" s="3519"/>
      <c r="Q34" s="3520"/>
      <c r="R34" s="3520"/>
      <c r="S34" s="3520"/>
      <c r="T34" s="3520"/>
      <c r="U34" s="3520"/>
      <c r="V34" s="3520"/>
      <c r="W34" s="3520"/>
      <c r="X34" s="3520"/>
      <c r="Y34" s="3520"/>
      <c r="Z34" s="3520"/>
      <c r="AA34" s="3521"/>
      <c r="AB34" s="3522"/>
      <c r="AC34" s="3523"/>
      <c r="AD34" s="3523"/>
      <c r="AE34" s="3523"/>
      <c r="AF34" s="3523"/>
      <c r="AG34" s="3523"/>
      <c r="AH34" s="3523"/>
      <c r="AI34" s="3523"/>
      <c r="AJ34" s="3523"/>
      <c r="AK34" s="3523"/>
      <c r="AL34" s="3523"/>
      <c r="AM34" s="3524"/>
      <c r="AN34" s="3525"/>
      <c r="AO34" s="3526"/>
      <c r="AP34" s="3526"/>
      <c r="AQ34" s="3526"/>
      <c r="AR34" s="3526"/>
      <c r="AS34" s="3526"/>
      <c r="AT34" s="3526"/>
      <c r="AU34" s="3526"/>
      <c r="AV34" s="3526"/>
      <c r="AW34" s="3526"/>
      <c r="AX34" s="3526"/>
      <c r="AY34" s="3527"/>
      <c r="AZ34" s="3463"/>
      <c r="BA34" s="3463"/>
      <c r="BB34" s="3463"/>
      <c r="BC34" s="3463"/>
      <c r="BD34" s="3463"/>
      <c r="BE34" s="3463"/>
      <c r="BF34" s="3463"/>
      <c r="BG34" s="3463"/>
      <c r="BH34" s="3463"/>
      <c r="BI34" s="3463"/>
      <c r="BJ34" s="3463"/>
      <c r="BK34" s="3560"/>
      <c r="BL34" s="3530"/>
      <c r="BM34" s="3531"/>
      <c r="BN34" s="3531"/>
      <c r="BO34" s="3531"/>
      <c r="BP34" s="3531"/>
      <c r="BQ34" s="3531"/>
      <c r="BR34" s="3531"/>
      <c r="BS34" s="3531"/>
      <c r="BT34" s="3532"/>
      <c r="BU34" s="3532"/>
      <c r="BV34" s="3532"/>
      <c r="BW34" s="3533"/>
      <c r="BX34" s="3534"/>
      <c r="BY34" s="3459"/>
      <c r="BZ34" s="3459"/>
      <c r="CA34" s="3459"/>
      <c r="CB34" s="3459"/>
      <c r="CC34" s="3459"/>
      <c r="CD34" s="3459"/>
      <c r="CE34" s="3459"/>
      <c r="CF34" s="3459"/>
      <c r="CG34" s="3459"/>
      <c r="CH34" s="3459"/>
      <c r="CI34" s="3461"/>
      <c r="CJ34" s="3535"/>
      <c r="CK34" s="3536"/>
      <c r="CL34" s="3536"/>
      <c r="CM34" s="3536"/>
      <c r="CN34" s="3536"/>
      <c r="CO34" s="3536"/>
      <c r="CP34" s="3536"/>
      <c r="CQ34" s="3536"/>
      <c r="CR34" s="3536"/>
      <c r="CS34" s="3536"/>
      <c r="CT34" s="3536"/>
      <c r="CU34" s="3537"/>
      <c r="CV34" s="3535"/>
      <c r="CW34" s="3536"/>
      <c r="CX34" s="3458"/>
      <c r="CY34" s="3458"/>
      <c r="CZ34" s="3458"/>
      <c r="DA34" s="3458"/>
      <c r="DB34" s="3458"/>
      <c r="DC34" s="3458"/>
      <c r="DD34" s="3458"/>
      <c r="DE34" s="3458"/>
      <c r="DF34" s="3458"/>
      <c r="DG34" s="3537"/>
      <c r="DH34" s="3538"/>
      <c r="DI34" s="3539"/>
      <c r="DJ34" s="3539"/>
      <c r="DK34" s="3540"/>
      <c r="DL34" s="3540"/>
      <c r="DM34" s="3540"/>
      <c r="DN34" s="3540"/>
      <c r="DO34" s="3540"/>
      <c r="DP34" s="2713"/>
      <c r="DQ34" s="3540"/>
      <c r="DR34" s="3540"/>
      <c r="DS34" s="3541"/>
      <c r="DT34" s="3542"/>
      <c r="DU34" s="3429"/>
      <c r="DV34" s="3429"/>
      <c r="DW34" s="3350"/>
      <c r="DX34" s="3350"/>
      <c r="DY34" s="3350"/>
      <c r="DZ34" s="3350"/>
      <c r="EA34" s="3350"/>
      <c r="EB34" s="3350"/>
      <c r="EC34" s="3350"/>
      <c r="ED34" s="3350"/>
      <c r="EE34" s="3349"/>
      <c r="EF34" s="2689"/>
      <c r="EG34" s="2688"/>
      <c r="EH34" s="2688"/>
      <c r="EI34" s="2688"/>
      <c r="EJ34" s="2688"/>
      <c r="EK34" s="2688"/>
      <c r="EL34" s="2688"/>
      <c r="EM34" s="2714"/>
      <c r="EN34" s="2714"/>
      <c r="EO34" s="2715"/>
      <c r="EP34" s="2715"/>
      <c r="EQ34" s="2716"/>
      <c r="ER34" s="1349"/>
      <c r="ES34" s="3543"/>
      <c r="ET34" s="3543"/>
      <c r="EU34" s="2717"/>
      <c r="EV34" s="2163"/>
      <c r="EW34" s="2163"/>
      <c r="EX34" s="2163"/>
      <c r="EY34" s="2163"/>
      <c r="EZ34" s="2163"/>
      <c r="FA34" s="2340"/>
      <c r="FB34" s="2340"/>
      <c r="FC34" s="2340"/>
      <c r="FD34" s="2772"/>
      <c r="FE34" s="2773"/>
      <c r="FF34" s="2773"/>
      <c r="FG34" s="2773"/>
      <c r="FH34" s="2773"/>
      <c r="FI34" s="2773"/>
      <c r="FJ34" s="2773"/>
      <c r="FK34" s="2773"/>
      <c r="FL34" s="2773"/>
      <c r="FM34" s="2773"/>
      <c r="FN34" s="2773"/>
      <c r="FO34" s="2774"/>
      <c r="FP34" s="2772">
        <v>43</v>
      </c>
      <c r="FQ34" s="2773">
        <v>30</v>
      </c>
      <c r="FR34" s="2773">
        <v>25</v>
      </c>
      <c r="FS34" s="2773">
        <v>34</v>
      </c>
      <c r="FT34" s="2773">
        <v>25</v>
      </c>
      <c r="FU34" s="2773">
        <v>41</v>
      </c>
      <c r="FV34" s="2773">
        <v>50</v>
      </c>
      <c r="FW34" s="2773">
        <v>62</v>
      </c>
      <c r="FX34" s="2773">
        <v>48</v>
      </c>
      <c r="FY34" s="2773">
        <v>74</v>
      </c>
      <c r="FZ34" s="2773">
        <v>104</v>
      </c>
      <c r="GA34" s="2774">
        <v>79</v>
      </c>
      <c r="GB34" s="4561"/>
      <c r="GC34" s="4557"/>
      <c r="GD34" s="4557"/>
      <c r="GE34" s="4557"/>
      <c r="GF34" s="4557"/>
      <c r="GG34" s="4557"/>
      <c r="GH34" s="4557"/>
      <c r="GI34" s="4557"/>
      <c r="GJ34" s="4557"/>
      <c r="GK34" s="4557"/>
      <c r="GL34" s="4557"/>
      <c r="GM34" s="4562"/>
      <c r="GN34" s="2764"/>
      <c r="GO34" s="2911"/>
      <c r="GP34" s="2912"/>
      <c r="GQ34" s="2912"/>
      <c r="GR34" s="2913"/>
      <c r="GS34" s="2914"/>
      <c r="GT34" s="2915"/>
      <c r="GU34" s="2915"/>
      <c r="GV34" s="2916"/>
      <c r="GW34" s="2917"/>
      <c r="GX34" s="2918"/>
      <c r="GY34" s="2919"/>
      <c r="GZ34" s="2919"/>
      <c r="HA34" s="2920"/>
      <c r="HB34" s="2921"/>
      <c r="HC34" s="2921"/>
      <c r="HD34" s="2922"/>
      <c r="HE34" s="2923"/>
      <c r="HF34" s="2924"/>
      <c r="HG34" s="2924"/>
      <c r="HH34" s="2925"/>
      <c r="HI34" s="2921"/>
      <c r="HJ34" s="2921"/>
      <c r="HK34" s="2921"/>
      <c r="HL34" s="2921"/>
      <c r="HM34" s="2926"/>
      <c r="HN34" s="2926"/>
      <c r="HO34" s="2926"/>
      <c r="HP34" s="2926"/>
      <c r="HQ34" s="2927"/>
      <c r="HR34" s="2927"/>
      <c r="HS34" s="2927"/>
      <c r="HT34" s="2927"/>
      <c r="HU34" s="2928"/>
      <c r="HV34" s="2928"/>
      <c r="HW34" s="2928"/>
      <c r="HX34" s="2927"/>
      <c r="HY34" s="2846"/>
      <c r="HZ34" s="2846"/>
      <c r="IA34" s="2846"/>
      <c r="IB34" s="2846"/>
      <c r="IC34" s="2921"/>
      <c r="ID34" s="2921"/>
      <c r="IE34" s="2921"/>
      <c r="IF34" s="2921"/>
      <c r="IG34" s="2929"/>
      <c r="IH34" s="2926"/>
      <c r="II34" s="2926"/>
      <c r="IJ34" s="2926"/>
      <c r="IK34" s="2930"/>
      <c r="IL34" s="2931"/>
      <c r="IM34" s="2931"/>
      <c r="IN34" s="2931"/>
      <c r="IO34" s="2932"/>
      <c r="IP34" s="2933"/>
      <c r="IQ34" s="2933"/>
      <c r="IR34" s="2934"/>
      <c r="IS34" s="2929"/>
      <c r="IT34" s="2926"/>
      <c r="IU34" s="2926"/>
      <c r="IV34" s="2926">
        <f t="shared" si="59"/>
        <v>257</v>
      </c>
      <c r="IW34" s="4549">
        <f t="shared" si="76"/>
        <v>0</v>
      </c>
      <c r="IX34" s="4541">
        <f t="shared" si="77"/>
        <v>0</v>
      </c>
      <c r="IY34" s="4541">
        <f t="shared" si="78"/>
        <v>0</v>
      </c>
      <c r="IZ34" s="4550">
        <f t="shared" si="79"/>
        <v>0</v>
      </c>
      <c r="JA34" s="4545"/>
      <c r="JB34" s="3544"/>
      <c r="JC34" s="3545"/>
      <c r="JD34" s="3545"/>
      <c r="JE34" s="3545"/>
      <c r="JF34" s="3545"/>
      <c r="JG34" s="3545"/>
      <c r="JH34" s="3546"/>
      <c r="JI34" s="3547"/>
      <c r="JJ34" s="3547"/>
      <c r="JK34" s="3547"/>
      <c r="JL34" s="3547"/>
      <c r="JM34" s="3547"/>
      <c r="JN34" s="3548"/>
      <c r="JO34" s="3566"/>
      <c r="JP34" s="3564">
        <f t="shared" si="80"/>
        <v>615</v>
      </c>
      <c r="JQ34" s="3564">
        <f t="shared" si="81"/>
        <v>615</v>
      </c>
      <c r="JS34" s="3765">
        <f t="shared" si="82"/>
        <v>615</v>
      </c>
      <c r="JT34" s="3765">
        <f t="shared" si="83"/>
        <v>615</v>
      </c>
      <c r="JV34" s="3551">
        <f t="shared" si="84"/>
        <v>615</v>
      </c>
      <c r="JW34" s="3552"/>
      <c r="JX34" s="3552"/>
      <c r="JY34" s="3552"/>
      <c r="JZ34" s="3552"/>
      <c r="KA34" s="3552"/>
      <c r="KB34" s="4575">
        <f t="shared" si="69"/>
        <v>2.188643254708252E-3</v>
      </c>
      <c r="KC34" s="3565">
        <f t="shared" si="86"/>
        <v>2.188643254708252E-3</v>
      </c>
      <c r="KD34" s="3552"/>
      <c r="KE34" s="3554"/>
      <c r="KF34" s="3555"/>
      <c r="KG34" s="3555"/>
      <c r="KH34" s="3555"/>
      <c r="KI34" s="3555"/>
      <c r="KJ34" s="3556" t="str">
        <f>IF(JO34="","",JP34/JN34-1)</f>
        <v/>
      </c>
      <c r="KK34" s="3557" t="str">
        <f t="shared" si="87"/>
        <v/>
      </c>
    </row>
    <row r="35" spans="1:321" ht="21.9" customHeight="1">
      <c r="A35" s="3568"/>
      <c r="B35" s="3231"/>
      <c r="C35" s="3567" t="s">
        <v>30</v>
      </c>
      <c r="D35" s="3569">
        <v>164</v>
      </c>
      <c r="E35" s="3570">
        <v>248</v>
      </c>
      <c r="F35" s="3570">
        <v>234</v>
      </c>
      <c r="G35" s="3570">
        <v>208</v>
      </c>
      <c r="H35" s="3570">
        <v>139</v>
      </c>
      <c r="I35" s="3570">
        <v>167</v>
      </c>
      <c r="J35" s="3570">
        <v>217</v>
      </c>
      <c r="K35" s="3570">
        <v>310</v>
      </c>
      <c r="L35" s="3570">
        <v>201</v>
      </c>
      <c r="M35" s="3570">
        <v>197</v>
      </c>
      <c r="N35" s="3570">
        <v>288</v>
      </c>
      <c r="O35" s="3571">
        <v>260</v>
      </c>
      <c r="P35" s="3519">
        <v>271</v>
      </c>
      <c r="Q35" s="3520">
        <v>459</v>
      </c>
      <c r="R35" s="3520">
        <v>298</v>
      </c>
      <c r="S35" s="3520">
        <v>187</v>
      </c>
      <c r="T35" s="3520">
        <v>206</v>
      </c>
      <c r="U35" s="3520">
        <v>261</v>
      </c>
      <c r="V35" s="3520">
        <v>251</v>
      </c>
      <c r="W35" s="3520">
        <v>413</v>
      </c>
      <c r="X35" s="3520">
        <v>500</v>
      </c>
      <c r="Y35" s="3520">
        <v>268</v>
      </c>
      <c r="Z35" s="3520">
        <v>279</v>
      </c>
      <c r="AA35" s="3521">
        <v>284</v>
      </c>
      <c r="AB35" s="3522">
        <v>231</v>
      </c>
      <c r="AC35" s="3523">
        <v>272</v>
      </c>
      <c r="AD35" s="3523">
        <v>309</v>
      </c>
      <c r="AE35" s="3523">
        <v>217</v>
      </c>
      <c r="AF35" s="3523">
        <v>201.5</v>
      </c>
      <c r="AG35" s="3523">
        <v>186</v>
      </c>
      <c r="AH35" s="3523">
        <v>319</v>
      </c>
      <c r="AI35" s="3523">
        <v>287</v>
      </c>
      <c r="AJ35" s="3523">
        <v>355</v>
      </c>
      <c r="AK35" s="3523">
        <v>237</v>
      </c>
      <c r="AL35" s="3523">
        <v>212</v>
      </c>
      <c r="AM35" s="3524">
        <v>284</v>
      </c>
      <c r="AN35" s="3525">
        <v>214</v>
      </c>
      <c r="AO35" s="3526">
        <v>229</v>
      </c>
      <c r="AP35" s="3526">
        <v>253</v>
      </c>
      <c r="AQ35" s="3526">
        <v>222</v>
      </c>
      <c r="AR35" s="3526">
        <v>206</v>
      </c>
      <c r="AS35" s="3526">
        <v>292</v>
      </c>
      <c r="AT35" s="3526">
        <v>267</v>
      </c>
      <c r="AU35" s="3526">
        <v>293</v>
      </c>
      <c r="AV35" s="3526">
        <v>423</v>
      </c>
      <c r="AW35" s="3526">
        <v>147</v>
      </c>
      <c r="AX35" s="3526">
        <v>234</v>
      </c>
      <c r="AY35" s="3527">
        <v>268</v>
      </c>
      <c r="AZ35" s="3463">
        <v>162</v>
      </c>
      <c r="BA35" s="3463">
        <v>261</v>
      </c>
      <c r="BB35" s="3463">
        <v>238</v>
      </c>
      <c r="BC35" s="3463">
        <v>206</v>
      </c>
      <c r="BD35" s="3463">
        <v>181</v>
      </c>
      <c r="BE35" s="3463">
        <v>178</v>
      </c>
      <c r="BF35" s="3463">
        <v>207</v>
      </c>
      <c r="BG35" s="3463">
        <v>327</v>
      </c>
      <c r="BH35" s="3463">
        <v>363</v>
      </c>
      <c r="BI35" s="3463">
        <v>308</v>
      </c>
      <c r="BJ35" s="3463">
        <v>257</v>
      </c>
      <c r="BK35" s="3560">
        <v>318</v>
      </c>
      <c r="BL35" s="3530">
        <v>174</v>
      </c>
      <c r="BM35" s="3531">
        <v>210</v>
      </c>
      <c r="BN35" s="3531">
        <v>273</v>
      </c>
      <c r="BO35" s="3531">
        <v>245</v>
      </c>
      <c r="BP35" s="3531">
        <v>198</v>
      </c>
      <c r="BQ35" s="3531">
        <v>263</v>
      </c>
      <c r="BR35" s="3531">
        <v>300</v>
      </c>
      <c r="BS35" s="3531">
        <v>322</v>
      </c>
      <c r="BT35" s="3532">
        <v>392</v>
      </c>
      <c r="BU35" s="3532">
        <v>304</v>
      </c>
      <c r="BV35" s="3532">
        <v>226</v>
      </c>
      <c r="BW35" s="3533">
        <v>380</v>
      </c>
      <c r="BX35" s="3534">
        <v>246</v>
      </c>
      <c r="BY35" s="3459">
        <v>230</v>
      </c>
      <c r="BZ35" s="3459">
        <v>250</v>
      </c>
      <c r="CA35" s="3459">
        <v>268</v>
      </c>
      <c r="CB35" s="3459">
        <v>172</v>
      </c>
      <c r="CC35" s="3459">
        <v>227</v>
      </c>
      <c r="CD35" s="3459">
        <v>231</v>
      </c>
      <c r="CE35" s="3459">
        <v>305</v>
      </c>
      <c r="CF35" s="3459">
        <v>386</v>
      </c>
      <c r="CG35" s="3459">
        <v>233</v>
      </c>
      <c r="CH35" s="3459">
        <v>295</v>
      </c>
      <c r="CI35" s="3461">
        <v>399</v>
      </c>
      <c r="CJ35" s="3535">
        <v>275</v>
      </c>
      <c r="CK35" s="3536">
        <v>249</v>
      </c>
      <c r="CL35" s="3536">
        <v>305</v>
      </c>
      <c r="CM35" s="3536">
        <v>246</v>
      </c>
      <c r="CN35" s="3536">
        <v>181</v>
      </c>
      <c r="CO35" s="3536">
        <v>184</v>
      </c>
      <c r="CP35" s="3536">
        <v>215</v>
      </c>
      <c r="CQ35" s="3536">
        <v>314</v>
      </c>
      <c r="CR35" s="3536">
        <v>322</v>
      </c>
      <c r="CS35" s="3536">
        <v>214</v>
      </c>
      <c r="CT35" s="3536">
        <v>237</v>
      </c>
      <c r="CU35" s="3537">
        <v>326</v>
      </c>
      <c r="CV35" s="3535">
        <v>273</v>
      </c>
      <c r="CW35" s="3536">
        <v>301</v>
      </c>
      <c r="CX35" s="3458">
        <v>306</v>
      </c>
      <c r="CY35" s="3458">
        <v>203</v>
      </c>
      <c r="CZ35" s="3458">
        <v>196</v>
      </c>
      <c r="DA35" s="3458">
        <v>197</v>
      </c>
      <c r="DB35" s="3458">
        <v>197</v>
      </c>
      <c r="DC35" s="3458">
        <v>250</v>
      </c>
      <c r="DD35" s="3458">
        <v>472</v>
      </c>
      <c r="DE35" s="3458">
        <v>190</v>
      </c>
      <c r="DF35" s="3458">
        <v>234</v>
      </c>
      <c r="DG35" s="3537">
        <v>286</v>
      </c>
      <c r="DH35" s="3538">
        <v>237</v>
      </c>
      <c r="DI35" s="3539">
        <v>251</v>
      </c>
      <c r="DJ35" s="3539">
        <v>266</v>
      </c>
      <c r="DK35" s="3540">
        <v>190</v>
      </c>
      <c r="DL35" s="3540">
        <v>172</v>
      </c>
      <c r="DM35" s="3540">
        <v>158</v>
      </c>
      <c r="DN35" s="3540">
        <v>217</v>
      </c>
      <c r="DO35" s="3540">
        <v>207</v>
      </c>
      <c r="DP35" s="2713">
        <v>258</v>
      </c>
      <c r="DQ35" s="3540">
        <v>294</v>
      </c>
      <c r="DR35" s="3540">
        <v>242</v>
      </c>
      <c r="DS35" s="3541">
        <v>290</v>
      </c>
      <c r="DT35" s="3542">
        <v>219</v>
      </c>
      <c r="DU35" s="3429">
        <v>224</v>
      </c>
      <c r="DV35" s="3429">
        <v>359</v>
      </c>
      <c r="DW35" s="3350">
        <v>236</v>
      </c>
      <c r="DX35" s="3350">
        <v>164</v>
      </c>
      <c r="DY35" s="3350">
        <v>225</v>
      </c>
      <c r="DZ35" s="3350">
        <v>222</v>
      </c>
      <c r="EA35" s="3350">
        <v>330</v>
      </c>
      <c r="EB35" s="3350">
        <v>234</v>
      </c>
      <c r="EC35" s="3350">
        <v>240</v>
      </c>
      <c r="ED35" s="3350">
        <v>328</v>
      </c>
      <c r="EE35" s="3349">
        <v>327</v>
      </c>
      <c r="EF35" s="2689">
        <v>253</v>
      </c>
      <c r="EG35" s="2688">
        <v>276</v>
      </c>
      <c r="EH35" s="2688">
        <v>394</v>
      </c>
      <c r="EI35" s="2688">
        <v>291</v>
      </c>
      <c r="EJ35" s="2688">
        <v>230</v>
      </c>
      <c r="EK35" s="2688">
        <v>294</v>
      </c>
      <c r="EL35" s="2688">
        <v>286</v>
      </c>
      <c r="EM35" s="2714">
        <v>421</v>
      </c>
      <c r="EN35" s="2714">
        <v>364</v>
      </c>
      <c r="EO35" s="2715">
        <v>252</v>
      </c>
      <c r="EP35" s="2715">
        <v>303</v>
      </c>
      <c r="EQ35" s="2716">
        <v>333</v>
      </c>
      <c r="ER35" s="1348">
        <v>227</v>
      </c>
      <c r="ES35" s="3543">
        <v>338</v>
      </c>
      <c r="ET35" s="3543">
        <v>267</v>
      </c>
      <c r="EU35" s="2717">
        <v>344</v>
      </c>
      <c r="EV35" s="2162">
        <v>221</v>
      </c>
      <c r="EW35" s="2162">
        <v>258</v>
      </c>
      <c r="EX35" s="2162">
        <v>289</v>
      </c>
      <c r="EY35" s="2162">
        <v>311</v>
      </c>
      <c r="EZ35" s="2162">
        <v>403</v>
      </c>
      <c r="FA35" s="2338">
        <v>155</v>
      </c>
      <c r="FB35" s="2338">
        <v>261</v>
      </c>
      <c r="FC35" s="2338">
        <v>324</v>
      </c>
      <c r="FD35" s="2765">
        <v>334</v>
      </c>
      <c r="FE35" s="2766">
        <v>327</v>
      </c>
      <c r="FF35" s="2766">
        <v>121</v>
      </c>
      <c r="FG35" s="2766"/>
      <c r="FH35" s="2766"/>
      <c r="FI35" s="2766">
        <v>4</v>
      </c>
      <c r="FJ35" s="2766">
        <v>4</v>
      </c>
      <c r="FK35" s="2766">
        <v>5</v>
      </c>
      <c r="FL35" s="2766">
        <v>7</v>
      </c>
      <c r="FM35" s="2766">
        <v>15</v>
      </c>
      <c r="FN35" s="2766">
        <v>16</v>
      </c>
      <c r="FO35" s="2767">
        <v>29</v>
      </c>
      <c r="FP35" s="2765">
        <v>17</v>
      </c>
      <c r="FQ35" s="2766">
        <v>12</v>
      </c>
      <c r="FR35" s="2766">
        <v>11</v>
      </c>
      <c r="FS35" s="2766">
        <v>15</v>
      </c>
      <c r="FT35" s="2766">
        <v>9</v>
      </c>
      <c r="FU35" s="2766">
        <v>22</v>
      </c>
      <c r="FV35" s="2766">
        <v>28</v>
      </c>
      <c r="FW35" s="2766">
        <v>54</v>
      </c>
      <c r="FX35" s="2766">
        <v>29</v>
      </c>
      <c r="FY35" s="2766">
        <v>50</v>
      </c>
      <c r="FZ35" s="2766">
        <v>59</v>
      </c>
      <c r="GA35" s="2767">
        <v>53</v>
      </c>
      <c r="GB35" s="4561"/>
      <c r="GC35" s="4557"/>
      <c r="GD35" s="4557"/>
      <c r="GE35" s="4557"/>
      <c r="GF35" s="4557"/>
      <c r="GG35" s="4557"/>
      <c r="GH35" s="4557"/>
      <c r="GI35" s="4557"/>
      <c r="GJ35" s="4557"/>
      <c r="GK35" s="4557"/>
      <c r="GL35" s="4557"/>
      <c r="GM35" s="4562"/>
      <c r="GN35" s="2764"/>
      <c r="GO35" s="2911">
        <v>646</v>
      </c>
      <c r="GP35" s="2912">
        <v>514</v>
      </c>
      <c r="GQ35" s="2912">
        <v>728</v>
      </c>
      <c r="GR35" s="2913">
        <v>745</v>
      </c>
      <c r="GS35" s="2914">
        <v>1028</v>
      </c>
      <c r="GT35" s="2915">
        <v>654</v>
      </c>
      <c r="GU35" s="2915">
        <v>1164</v>
      </c>
      <c r="GV35" s="2916">
        <v>831</v>
      </c>
      <c r="GW35" s="2917">
        <v>812</v>
      </c>
      <c r="GX35" s="2918">
        <v>604.5</v>
      </c>
      <c r="GY35" s="2919">
        <v>961</v>
      </c>
      <c r="GZ35" s="2919">
        <v>733</v>
      </c>
      <c r="HA35" s="2920">
        <v>696</v>
      </c>
      <c r="HB35" s="2921">
        <v>720</v>
      </c>
      <c r="HC35" s="2921">
        <v>983</v>
      </c>
      <c r="HD35" s="2922">
        <v>649</v>
      </c>
      <c r="HE35" s="2923">
        <v>661</v>
      </c>
      <c r="HF35" s="2924">
        <v>565</v>
      </c>
      <c r="HG35" s="2924">
        <v>897</v>
      </c>
      <c r="HH35" s="2925">
        <v>883</v>
      </c>
      <c r="HI35" s="2921">
        <v>657</v>
      </c>
      <c r="HJ35" s="2921">
        <v>706</v>
      </c>
      <c r="HK35" s="2921">
        <v>1014</v>
      </c>
      <c r="HL35" s="2921">
        <v>910</v>
      </c>
      <c r="HM35" s="2926">
        <v>726</v>
      </c>
      <c r="HN35" s="2926">
        <v>667</v>
      </c>
      <c r="HO35" s="2926">
        <v>922</v>
      </c>
      <c r="HP35" s="2926">
        <v>927</v>
      </c>
      <c r="HQ35" s="2927">
        <v>829</v>
      </c>
      <c r="HR35" s="2927">
        <v>611</v>
      </c>
      <c r="HS35" s="2927">
        <f>+CP35+CQ35+CR35</f>
        <v>851</v>
      </c>
      <c r="HT35" s="2927">
        <v>777</v>
      </c>
      <c r="HU35" s="2928">
        <v>880</v>
      </c>
      <c r="HV35" s="2928">
        <f>+CY35+CZ35+DA35</f>
        <v>596</v>
      </c>
      <c r="HW35" s="2928">
        <f>+DB35+DC35+DD35</f>
        <v>919</v>
      </c>
      <c r="HX35" s="2927">
        <f>+DE35+DF35+DG35</f>
        <v>710</v>
      </c>
      <c r="HY35" s="2846">
        <f>+DH35+DI35+DJ35</f>
        <v>754</v>
      </c>
      <c r="HZ35" s="2846">
        <f>+DM35+DL35+DK35</f>
        <v>520</v>
      </c>
      <c r="IA35" s="2846">
        <f>+DS35+DO35+DN35</f>
        <v>714</v>
      </c>
      <c r="IB35" s="2846">
        <f>+DQ35+DR35+DS35</f>
        <v>826</v>
      </c>
      <c r="IC35" s="2921">
        <f>+DT35+DU35+DV35</f>
        <v>802</v>
      </c>
      <c r="ID35" s="2921">
        <f>+DW35+DX35+DY35</f>
        <v>625</v>
      </c>
      <c r="IE35" s="2921">
        <f>+DZ35+EA35+EB35</f>
        <v>786</v>
      </c>
      <c r="IF35" s="2921">
        <f>+EC35+ED35+EE35</f>
        <v>895</v>
      </c>
      <c r="IG35" s="2929">
        <f>EF35+EG35+EH35</f>
        <v>923</v>
      </c>
      <c r="IH35" s="2926">
        <f>EI35+EJ35+EK35</f>
        <v>815</v>
      </c>
      <c r="II35" s="2926">
        <f>EL35+EM35+EN35</f>
        <v>1071</v>
      </c>
      <c r="IJ35" s="2926">
        <f>EO35+EP35+EQ35</f>
        <v>888</v>
      </c>
      <c r="IK35" s="2930">
        <f>ER35+ES35+ET35</f>
        <v>832</v>
      </c>
      <c r="IL35" s="2931">
        <f>EU35+EV35+EW35</f>
        <v>823</v>
      </c>
      <c r="IM35" s="2931">
        <f>EX35+EY35+EZ35</f>
        <v>1003</v>
      </c>
      <c r="IN35" s="2931">
        <f>FA35+FB35+FC35</f>
        <v>740</v>
      </c>
      <c r="IO35" s="2932">
        <f>FD35+FE35+FF35</f>
        <v>782</v>
      </c>
      <c r="IP35" s="2933">
        <f>FG35+FH35+FI35</f>
        <v>4</v>
      </c>
      <c r="IQ35" s="2933">
        <f>FJ35+FK35+FL35</f>
        <v>16</v>
      </c>
      <c r="IR35" s="2934">
        <f>FM35+FN35+FO35</f>
        <v>60</v>
      </c>
      <c r="IS35" s="2929">
        <f>FP35+FQ35+FR35</f>
        <v>40</v>
      </c>
      <c r="IT35" s="2926">
        <f>FS35+FT35+FU35</f>
        <v>46</v>
      </c>
      <c r="IU35" s="2926">
        <f>FV35+FW35+FX35</f>
        <v>111</v>
      </c>
      <c r="IV35" s="2926">
        <f>FY35+FZ35+GA35</f>
        <v>162</v>
      </c>
      <c r="IW35" s="4549">
        <f t="shared" si="76"/>
        <v>0</v>
      </c>
      <c r="IX35" s="4541">
        <f t="shared" si="77"/>
        <v>0</v>
      </c>
      <c r="IY35" s="4541">
        <f t="shared" si="78"/>
        <v>0</v>
      </c>
      <c r="IZ35" s="4550">
        <f t="shared" si="79"/>
        <v>0</v>
      </c>
      <c r="JA35" s="4545"/>
      <c r="JB35" s="3544">
        <v>2633</v>
      </c>
      <c r="JC35" s="3545">
        <v>3677</v>
      </c>
      <c r="JD35" s="3545">
        <v>3110.5</v>
      </c>
      <c r="JE35" s="3545">
        <v>3048</v>
      </c>
      <c r="JF35" s="3545">
        <v>3006</v>
      </c>
      <c r="JG35" s="3545">
        <v>3287</v>
      </c>
      <c r="JH35" s="3546">
        <v>3242</v>
      </c>
      <c r="JI35" s="3547">
        <v>3068</v>
      </c>
      <c r="JJ35" s="3547">
        <f>SUM(CV35:DG35)</f>
        <v>3105</v>
      </c>
      <c r="JK35" s="3547">
        <f>SUM(DH35:DS35)</f>
        <v>2782</v>
      </c>
      <c r="JL35" s="3547">
        <f>SUM(DT35:EE35)</f>
        <v>3108</v>
      </c>
      <c r="JM35" s="3547">
        <f>SUM(EF35:EQ35)</f>
        <v>3697</v>
      </c>
      <c r="JN35" s="3548">
        <f>SUM(ER35:FC35)</f>
        <v>3398</v>
      </c>
      <c r="JO35" s="3566">
        <f>SUM(FD35:FO35)</f>
        <v>862</v>
      </c>
      <c r="JP35" s="3564">
        <f t="shared" si="80"/>
        <v>359</v>
      </c>
      <c r="JQ35" s="3564">
        <f t="shared" si="81"/>
        <v>359</v>
      </c>
      <c r="JS35" s="3765">
        <f t="shared" si="82"/>
        <v>359</v>
      </c>
      <c r="JT35" s="3765">
        <f t="shared" si="83"/>
        <v>359</v>
      </c>
      <c r="JV35" s="3551">
        <f t="shared" si="84"/>
        <v>526.66666666666663</v>
      </c>
      <c r="JW35" s="3552">
        <f>JK35/$JK$39</f>
        <v>4.4325760883073681E-3</v>
      </c>
      <c r="JX35" s="3552">
        <f>JL35/$JL$39</f>
        <v>4.7600741885436594E-3</v>
      </c>
      <c r="JY35" s="3552">
        <f>JM35/$JN$39</f>
        <v>5.3813682678311497E-3</v>
      </c>
      <c r="JZ35" s="3552">
        <f>JN35/$JN$39</f>
        <v>4.9461426491994179E-3</v>
      </c>
      <c r="KA35" s="3552">
        <f>JO35/$JO$39</f>
        <v>4.5034925577434473E-3</v>
      </c>
      <c r="KB35" s="4575">
        <f t="shared" si="69"/>
        <v>1.277598257626443E-3</v>
      </c>
      <c r="KC35" s="3565">
        <f t="shared" si="86"/>
        <v>1.277598257626443E-3</v>
      </c>
      <c r="KD35" s="3552"/>
      <c r="KE35" s="3554">
        <f>JL35/JK35-1</f>
        <v>0.11718188353702375</v>
      </c>
      <c r="KF35" s="3555">
        <f>JV35/JK35-1</f>
        <v>-0.81068775461298825</v>
      </c>
      <c r="KG35" s="3555">
        <f>JM35/JL35-1</f>
        <v>0.18951093951093956</v>
      </c>
      <c r="KH35" s="3555">
        <f>JN35/JM35-1</f>
        <v>-8.0876386259129074E-2</v>
      </c>
      <c r="KI35" s="3555">
        <f>JO35/JN35-1</f>
        <v>-0.74632136550912298</v>
      </c>
      <c r="KJ35" s="3556">
        <f>JP35/JN35-1</f>
        <v>-0.89434961742201291</v>
      </c>
      <c r="KK35" s="3557">
        <f t="shared" si="87"/>
        <v>-0.58352668213457082</v>
      </c>
      <c r="KM35" s="3231"/>
      <c r="KN35" s="3231"/>
      <c r="KO35" s="3231"/>
      <c r="KP35" s="3231"/>
      <c r="KQ35" s="3231"/>
      <c r="KR35" s="3231"/>
      <c r="KS35" s="3231"/>
      <c r="KT35" s="3231"/>
      <c r="KU35" s="3231"/>
      <c r="KV35" s="3231"/>
      <c r="KW35" s="3231"/>
      <c r="KX35" s="3231"/>
      <c r="KY35" s="3231"/>
      <c r="KZ35" s="3231"/>
      <c r="LA35" s="3231"/>
      <c r="LB35" s="3231"/>
      <c r="LC35" s="3231"/>
      <c r="LD35" s="3231"/>
      <c r="LE35" s="3231"/>
      <c r="LF35" s="3231"/>
      <c r="LG35" s="3231"/>
      <c r="LH35" s="3231"/>
      <c r="LI35" s="3231"/>
    </row>
    <row r="36" spans="1:321" ht="21.9" customHeight="1">
      <c r="A36" s="3568"/>
      <c r="B36" s="3231"/>
      <c r="C36" s="3567" t="s">
        <v>31</v>
      </c>
      <c r="D36" s="3569">
        <v>286</v>
      </c>
      <c r="E36" s="3570">
        <v>223</v>
      </c>
      <c r="F36" s="3570">
        <v>234</v>
      </c>
      <c r="G36" s="3570">
        <v>325</v>
      </c>
      <c r="H36" s="3570">
        <v>318</v>
      </c>
      <c r="I36" s="3570">
        <v>277</v>
      </c>
      <c r="J36" s="3570">
        <v>322</v>
      </c>
      <c r="K36" s="3570">
        <v>300</v>
      </c>
      <c r="L36" s="3570">
        <v>421</v>
      </c>
      <c r="M36" s="3570">
        <v>451</v>
      </c>
      <c r="N36" s="3570">
        <v>458</v>
      </c>
      <c r="O36" s="3571">
        <v>428</v>
      </c>
      <c r="P36" s="3519">
        <v>405</v>
      </c>
      <c r="Q36" s="3520">
        <v>516</v>
      </c>
      <c r="R36" s="3520">
        <v>459</v>
      </c>
      <c r="S36" s="3520">
        <v>570</v>
      </c>
      <c r="T36" s="3520">
        <v>475</v>
      </c>
      <c r="U36" s="3520">
        <v>319</v>
      </c>
      <c r="V36" s="3520">
        <v>354</v>
      </c>
      <c r="W36" s="3520">
        <v>498</v>
      </c>
      <c r="X36" s="3520">
        <v>495</v>
      </c>
      <c r="Y36" s="3520">
        <v>611</v>
      </c>
      <c r="Z36" s="3520">
        <v>484</v>
      </c>
      <c r="AA36" s="3521">
        <v>517</v>
      </c>
      <c r="AB36" s="3522">
        <v>373</v>
      </c>
      <c r="AC36" s="3523">
        <v>273</v>
      </c>
      <c r="AD36" s="3523">
        <v>366</v>
      </c>
      <c r="AE36" s="3523">
        <v>426</v>
      </c>
      <c r="AF36" s="3523">
        <v>404</v>
      </c>
      <c r="AG36" s="3523">
        <v>382</v>
      </c>
      <c r="AH36" s="3523">
        <v>369</v>
      </c>
      <c r="AI36" s="3523">
        <v>469</v>
      </c>
      <c r="AJ36" s="3523">
        <v>494</v>
      </c>
      <c r="AK36" s="3523">
        <v>512</v>
      </c>
      <c r="AL36" s="3523">
        <v>510</v>
      </c>
      <c r="AM36" s="3524">
        <v>568</v>
      </c>
      <c r="AN36" s="3525">
        <v>469</v>
      </c>
      <c r="AO36" s="3526">
        <v>260</v>
      </c>
      <c r="AP36" s="3526">
        <v>424</v>
      </c>
      <c r="AQ36" s="3526">
        <v>545</v>
      </c>
      <c r="AR36" s="3526">
        <v>529</v>
      </c>
      <c r="AS36" s="3526">
        <v>447</v>
      </c>
      <c r="AT36" s="3526">
        <v>422</v>
      </c>
      <c r="AU36" s="3526">
        <v>436</v>
      </c>
      <c r="AV36" s="3526">
        <v>464</v>
      </c>
      <c r="AW36" s="3526">
        <v>558</v>
      </c>
      <c r="AX36" s="3526">
        <v>513</v>
      </c>
      <c r="AY36" s="3527">
        <v>529</v>
      </c>
      <c r="AZ36" s="3463">
        <v>503</v>
      </c>
      <c r="BA36" s="3463">
        <v>295</v>
      </c>
      <c r="BB36" s="3463">
        <v>499</v>
      </c>
      <c r="BC36" s="3463">
        <v>579</v>
      </c>
      <c r="BD36" s="3463">
        <v>572</v>
      </c>
      <c r="BE36" s="3463">
        <v>431</v>
      </c>
      <c r="BF36" s="3463">
        <v>461</v>
      </c>
      <c r="BG36" s="3463">
        <v>457</v>
      </c>
      <c r="BH36" s="3463">
        <v>507</v>
      </c>
      <c r="BI36" s="3463">
        <v>654</v>
      </c>
      <c r="BJ36" s="3463">
        <v>660</v>
      </c>
      <c r="BK36" s="3560">
        <v>629</v>
      </c>
      <c r="BL36" s="3530">
        <v>536</v>
      </c>
      <c r="BM36" s="3531">
        <v>420</v>
      </c>
      <c r="BN36" s="3531">
        <v>480</v>
      </c>
      <c r="BO36" s="3531">
        <v>593</v>
      </c>
      <c r="BP36" s="3531">
        <v>610</v>
      </c>
      <c r="BQ36" s="3531">
        <v>556</v>
      </c>
      <c r="BR36" s="3531">
        <v>521</v>
      </c>
      <c r="BS36" s="3531">
        <v>484</v>
      </c>
      <c r="BT36" s="3532">
        <v>574</v>
      </c>
      <c r="BU36" s="3532">
        <v>718</v>
      </c>
      <c r="BV36" s="3532">
        <v>763</v>
      </c>
      <c r="BW36" s="3533">
        <v>706</v>
      </c>
      <c r="BX36" s="3534">
        <v>565</v>
      </c>
      <c r="BY36" s="3459">
        <v>412</v>
      </c>
      <c r="BZ36" s="3459">
        <v>599</v>
      </c>
      <c r="CA36" s="3459">
        <v>660</v>
      </c>
      <c r="CB36" s="3459">
        <v>613</v>
      </c>
      <c r="CC36" s="3459">
        <v>626</v>
      </c>
      <c r="CD36" s="3459">
        <v>532</v>
      </c>
      <c r="CE36" s="3459">
        <v>589</v>
      </c>
      <c r="CF36" s="3459">
        <v>750</v>
      </c>
      <c r="CG36" s="3459">
        <v>677</v>
      </c>
      <c r="CH36" s="3459">
        <v>706</v>
      </c>
      <c r="CI36" s="3461">
        <v>603</v>
      </c>
      <c r="CJ36" s="3535">
        <v>557</v>
      </c>
      <c r="CK36" s="3536">
        <v>399</v>
      </c>
      <c r="CL36" s="3536">
        <v>522</v>
      </c>
      <c r="CM36" s="3536">
        <v>690</v>
      </c>
      <c r="CN36" s="3536">
        <v>757</v>
      </c>
      <c r="CO36" s="3536">
        <v>705</v>
      </c>
      <c r="CP36" s="3536">
        <v>631</v>
      </c>
      <c r="CQ36" s="3536">
        <v>767</v>
      </c>
      <c r="CR36" s="3536">
        <v>753</v>
      </c>
      <c r="CS36" s="3536">
        <v>725</v>
      </c>
      <c r="CT36" s="3536">
        <v>711</v>
      </c>
      <c r="CU36" s="3537">
        <v>758</v>
      </c>
      <c r="CV36" s="3535">
        <v>729</v>
      </c>
      <c r="CW36" s="3536">
        <v>449</v>
      </c>
      <c r="CX36" s="3458">
        <v>579</v>
      </c>
      <c r="CY36" s="3458">
        <v>650</v>
      </c>
      <c r="CZ36" s="3458">
        <v>806</v>
      </c>
      <c r="DA36" s="3458">
        <v>606</v>
      </c>
      <c r="DB36" s="3458">
        <v>591</v>
      </c>
      <c r="DC36" s="3458">
        <v>464</v>
      </c>
      <c r="DD36" s="3458">
        <v>741</v>
      </c>
      <c r="DE36" s="3458">
        <v>750</v>
      </c>
      <c r="DF36" s="3458">
        <v>556</v>
      </c>
      <c r="DG36" s="3537">
        <v>690</v>
      </c>
      <c r="DH36" s="3538">
        <v>609</v>
      </c>
      <c r="DI36" s="3539">
        <v>395</v>
      </c>
      <c r="DJ36" s="3539">
        <v>546</v>
      </c>
      <c r="DK36" s="3540">
        <v>650</v>
      </c>
      <c r="DL36" s="3540">
        <v>636</v>
      </c>
      <c r="DM36" s="3540">
        <v>511</v>
      </c>
      <c r="DN36" s="3540">
        <v>541</v>
      </c>
      <c r="DO36" s="3540">
        <v>566</v>
      </c>
      <c r="DP36" s="2713">
        <v>611</v>
      </c>
      <c r="DQ36" s="3540">
        <v>811</v>
      </c>
      <c r="DR36" s="3540">
        <v>600</v>
      </c>
      <c r="DS36" s="3541">
        <v>536</v>
      </c>
      <c r="DT36" s="3542">
        <v>502</v>
      </c>
      <c r="DU36" s="3429">
        <v>379</v>
      </c>
      <c r="DV36" s="3429">
        <v>480</v>
      </c>
      <c r="DW36" s="3350">
        <v>624</v>
      </c>
      <c r="DX36" s="3350">
        <v>603</v>
      </c>
      <c r="DY36" s="3350">
        <v>484</v>
      </c>
      <c r="DZ36" s="3350">
        <v>514</v>
      </c>
      <c r="EA36" s="3350">
        <v>473</v>
      </c>
      <c r="EB36" s="3350">
        <v>733</v>
      </c>
      <c r="EC36" s="3350">
        <v>686</v>
      </c>
      <c r="ED36" s="3350">
        <v>593</v>
      </c>
      <c r="EE36" s="3349">
        <v>569</v>
      </c>
      <c r="EF36" s="2689">
        <v>523</v>
      </c>
      <c r="EG36" s="2688">
        <v>452</v>
      </c>
      <c r="EH36" s="2688">
        <v>441</v>
      </c>
      <c r="EI36" s="2688">
        <v>586</v>
      </c>
      <c r="EJ36" s="2688">
        <v>641</v>
      </c>
      <c r="EK36" s="2688">
        <v>594</v>
      </c>
      <c r="EL36" s="2688">
        <v>593</v>
      </c>
      <c r="EM36" s="2714">
        <v>523</v>
      </c>
      <c r="EN36" s="2714">
        <v>644</v>
      </c>
      <c r="EO36" s="2715">
        <v>673</v>
      </c>
      <c r="EP36" s="2715">
        <v>567</v>
      </c>
      <c r="EQ36" s="2716">
        <v>592</v>
      </c>
      <c r="ER36" s="1346">
        <v>571</v>
      </c>
      <c r="ES36" s="3543">
        <v>364</v>
      </c>
      <c r="ET36" s="3543">
        <v>471</v>
      </c>
      <c r="EU36" s="2717">
        <v>623</v>
      </c>
      <c r="EV36" s="2160">
        <v>642</v>
      </c>
      <c r="EW36" s="2160">
        <v>533</v>
      </c>
      <c r="EX36" s="2160">
        <v>547</v>
      </c>
      <c r="EY36" s="2160">
        <v>544</v>
      </c>
      <c r="EZ36" s="2160">
        <v>664</v>
      </c>
      <c r="FA36" s="2339">
        <v>547</v>
      </c>
      <c r="FB36" s="2339">
        <v>572</v>
      </c>
      <c r="FC36" s="2339">
        <v>604</v>
      </c>
      <c r="FD36" s="2772">
        <v>647</v>
      </c>
      <c r="FE36" s="2773">
        <v>431</v>
      </c>
      <c r="FF36" s="2773">
        <v>182</v>
      </c>
      <c r="FG36" s="2773">
        <v>2</v>
      </c>
      <c r="FH36" s="2773">
        <v>4</v>
      </c>
      <c r="FI36" s="2773">
        <v>5</v>
      </c>
      <c r="FJ36" s="2773">
        <v>7</v>
      </c>
      <c r="FK36" s="2773">
        <v>5</v>
      </c>
      <c r="FL36" s="2773">
        <v>7</v>
      </c>
      <c r="FM36" s="2773">
        <v>13</v>
      </c>
      <c r="FN36" s="2773">
        <v>30</v>
      </c>
      <c r="FO36" s="2774">
        <v>13</v>
      </c>
      <c r="FP36" s="2772">
        <v>12</v>
      </c>
      <c r="FQ36" s="2773">
        <v>4</v>
      </c>
      <c r="FR36" s="2773">
        <v>13</v>
      </c>
      <c r="FS36" s="2773">
        <v>17</v>
      </c>
      <c r="FT36" s="2773">
        <v>12</v>
      </c>
      <c r="FU36" s="2773">
        <v>32</v>
      </c>
      <c r="FV36" s="2773">
        <v>25</v>
      </c>
      <c r="FW36" s="2773">
        <v>26</v>
      </c>
      <c r="FX36" s="2773">
        <v>18</v>
      </c>
      <c r="FY36" s="2773">
        <v>21</v>
      </c>
      <c r="FZ36" s="2773">
        <v>38</v>
      </c>
      <c r="GA36" s="2774">
        <v>70</v>
      </c>
      <c r="GB36" s="4561"/>
      <c r="GC36" s="4557"/>
      <c r="GD36" s="4557"/>
      <c r="GE36" s="4557"/>
      <c r="GF36" s="4557"/>
      <c r="GG36" s="4557"/>
      <c r="GH36" s="4557"/>
      <c r="GI36" s="4557"/>
      <c r="GJ36" s="4557"/>
      <c r="GK36" s="4557"/>
      <c r="GL36" s="4557"/>
      <c r="GM36" s="4562"/>
      <c r="GN36" s="2764"/>
      <c r="GO36" s="2911">
        <v>743</v>
      </c>
      <c r="GP36" s="2912">
        <v>920</v>
      </c>
      <c r="GQ36" s="2912">
        <v>1043</v>
      </c>
      <c r="GR36" s="2913">
        <v>1337</v>
      </c>
      <c r="GS36" s="2914">
        <v>1380</v>
      </c>
      <c r="GT36" s="2915">
        <v>1364</v>
      </c>
      <c r="GU36" s="2915">
        <v>1347</v>
      </c>
      <c r="GV36" s="2916">
        <v>1612</v>
      </c>
      <c r="GW36" s="2917">
        <v>1012</v>
      </c>
      <c r="GX36" s="2918">
        <v>1212</v>
      </c>
      <c r="GY36" s="2919">
        <v>1332</v>
      </c>
      <c r="GZ36" s="2919">
        <v>1590</v>
      </c>
      <c r="HA36" s="2920">
        <v>1153</v>
      </c>
      <c r="HB36" s="2921">
        <v>1521</v>
      </c>
      <c r="HC36" s="2921">
        <v>1322</v>
      </c>
      <c r="HD36" s="2922">
        <v>1600</v>
      </c>
      <c r="HE36" s="2923">
        <v>1297</v>
      </c>
      <c r="HF36" s="2924">
        <v>1582</v>
      </c>
      <c r="HG36" s="2924">
        <v>1425</v>
      </c>
      <c r="HH36" s="2925">
        <v>1943</v>
      </c>
      <c r="HI36" s="2921">
        <v>1436</v>
      </c>
      <c r="HJ36" s="2921">
        <v>1759</v>
      </c>
      <c r="HK36" s="2921">
        <v>1579</v>
      </c>
      <c r="HL36" s="2921">
        <v>2187</v>
      </c>
      <c r="HM36" s="2926">
        <v>1576</v>
      </c>
      <c r="HN36" s="2926">
        <v>1899</v>
      </c>
      <c r="HO36" s="2926">
        <v>1871</v>
      </c>
      <c r="HP36" s="2926">
        <v>1986</v>
      </c>
      <c r="HQ36" s="2927">
        <v>1478</v>
      </c>
      <c r="HR36" s="2927">
        <v>2152</v>
      </c>
      <c r="HS36" s="2927">
        <f>+CP36+CQ36+CR36</f>
        <v>2151</v>
      </c>
      <c r="HT36" s="2927">
        <v>2194</v>
      </c>
      <c r="HU36" s="2928">
        <v>1757</v>
      </c>
      <c r="HV36" s="2928">
        <f>+CY36+CZ36+DA36</f>
        <v>2062</v>
      </c>
      <c r="HW36" s="2928">
        <f>+DB36+DC36+DD36</f>
        <v>1796</v>
      </c>
      <c r="HX36" s="2927">
        <f>+DE36+DF36+DG36</f>
        <v>1996</v>
      </c>
      <c r="HY36" s="2846">
        <f>+DH36+DI36+DJ36</f>
        <v>1550</v>
      </c>
      <c r="HZ36" s="2846">
        <f>+DM36+DL36+DK36</f>
        <v>1797</v>
      </c>
      <c r="IA36" s="2846">
        <f>+DS36+DO36+DN36</f>
        <v>1643</v>
      </c>
      <c r="IB36" s="2846">
        <f>+DQ36+DR36+DS36</f>
        <v>1947</v>
      </c>
      <c r="IC36" s="2921">
        <f>+DT36+DU36+DV36</f>
        <v>1361</v>
      </c>
      <c r="ID36" s="2921">
        <f>+DW36+DX36+DY36</f>
        <v>1711</v>
      </c>
      <c r="IE36" s="2921">
        <f>+DZ36+EA36+EB36</f>
        <v>1720</v>
      </c>
      <c r="IF36" s="2921">
        <f>+EC36+ED36+EE36</f>
        <v>1848</v>
      </c>
      <c r="IG36" s="2929">
        <f>EF36+EG36+EH36</f>
        <v>1416</v>
      </c>
      <c r="IH36" s="2926">
        <f>EI36+EJ36+EK36</f>
        <v>1821</v>
      </c>
      <c r="II36" s="2926">
        <f>EL36+EM36+EN36</f>
        <v>1760</v>
      </c>
      <c r="IJ36" s="2926">
        <f>EO36+EP36+EQ36</f>
        <v>1832</v>
      </c>
      <c r="IK36" s="2930">
        <f>ER36+ES36+ET36</f>
        <v>1406</v>
      </c>
      <c r="IL36" s="2931">
        <f>EU36+EV36+EW36</f>
        <v>1798</v>
      </c>
      <c r="IM36" s="2931">
        <f>EX36+EY36+EZ36</f>
        <v>1755</v>
      </c>
      <c r="IN36" s="2931">
        <f>FA36+FB36+FC36</f>
        <v>1723</v>
      </c>
      <c r="IO36" s="2932">
        <f>FD36+FE36+FF36</f>
        <v>1260</v>
      </c>
      <c r="IP36" s="2933">
        <f>FG36+FH36+FI36</f>
        <v>11</v>
      </c>
      <c r="IQ36" s="2933">
        <f>FJ36+FK36+FL36</f>
        <v>19</v>
      </c>
      <c r="IR36" s="2934">
        <f>FM36+FN36+FO36</f>
        <v>56</v>
      </c>
      <c r="IS36" s="2929">
        <f>FP36+FQ36+FR36</f>
        <v>29</v>
      </c>
      <c r="IT36" s="2926">
        <f>FS36+FT36+FU36</f>
        <v>61</v>
      </c>
      <c r="IU36" s="2926">
        <f>FV36+FW36+FX36</f>
        <v>69</v>
      </c>
      <c r="IV36" s="2926">
        <f>FY36+FZ36+GA36</f>
        <v>129</v>
      </c>
      <c r="IW36" s="4549">
        <f t="shared" si="76"/>
        <v>0</v>
      </c>
      <c r="IX36" s="4541">
        <f t="shared" si="77"/>
        <v>0</v>
      </c>
      <c r="IY36" s="4541">
        <f t="shared" si="78"/>
        <v>0</v>
      </c>
      <c r="IZ36" s="4550">
        <f t="shared" si="79"/>
        <v>0</v>
      </c>
      <c r="JA36" s="4545"/>
      <c r="JB36" s="3544">
        <v>4043</v>
      </c>
      <c r="JC36" s="3545">
        <v>5703</v>
      </c>
      <c r="JD36" s="3545">
        <v>5146</v>
      </c>
      <c r="JE36" s="3545">
        <v>5596</v>
      </c>
      <c r="JF36" s="3545">
        <v>6247</v>
      </c>
      <c r="JG36" s="3545">
        <v>6961</v>
      </c>
      <c r="JH36" s="3546">
        <v>7332</v>
      </c>
      <c r="JI36" s="3547">
        <v>7975</v>
      </c>
      <c r="JJ36" s="3547">
        <f>SUM(CV36:DG36)</f>
        <v>7611</v>
      </c>
      <c r="JK36" s="3547">
        <f>SUM(DH36:DS36)</f>
        <v>7012</v>
      </c>
      <c r="JL36" s="3547">
        <f>SUM(DT36:EE36)</f>
        <v>6640</v>
      </c>
      <c r="JM36" s="3547">
        <f>SUM(EF36:EQ36)</f>
        <v>6829</v>
      </c>
      <c r="JN36" s="3548">
        <f>SUM(ER36:FC36)</f>
        <v>6682</v>
      </c>
      <c r="JO36" s="3566">
        <f>SUM(FD36:FO36)</f>
        <v>1346</v>
      </c>
      <c r="JP36" s="3564">
        <f t="shared" si="80"/>
        <v>288</v>
      </c>
      <c r="JQ36" s="3564">
        <f t="shared" si="81"/>
        <v>288</v>
      </c>
      <c r="JS36" s="3765">
        <f t="shared" si="82"/>
        <v>288</v>
      </c>
      <c r="JT36" s="3765">
        <f t="shared" si="83"/>
        <v>288</v>
      </c>
      <c r="JV36" s="3551">
        <f t="shared" si="84"/>
        <v>640.66666666666663</v>
      </c>
      <c r="JW36" s="3552">
        <f>JK36/$JK$39</f>
        <v>1.1172258638106133E-2</v>
      </c>
      <c r="JX36" s="3552">
        <f>JL36/$JL$39</f>
        <v>1.0169527867416312E-2</v>
      </c>
      <c r="JY36" s="3552">
        <f>JM36/$JN$39</f>
        <v>9.9403202328966524E-3</v>
      </c>
      <c r="JZ36" s="3552">
        <f>JN36/$JN$39</f>
        <v>9.726346433770015E-3</v>
      </c>
      <c r="KA36" s="3552">
        <f>JO36/$JO$39</f>
        <v>7.0321357108151742E-3</v>
      </c>
      <c r="KB36" s="4575">
        <f t="shared" si="69"/>
        <v>1.0249256217170352E-3</v>
      </c>
      <c r="KC36" s="3565">
        <f t="shared" si="86"/>
        <v>1.0249256217170352E-3</v>
      </c>
      <c r="KD36" s="3552"/>
      <c r="KE36" s="3554">
        <f>JL36/JK36-1</f>
        <v>-5.3051911009697639E-2</v>
      </c>
      <c r="KF36" s="3555">
        <f>JV36/JK36-1</f>
        <v>-0.90863281992774292</v>
      </c>
      <c r="KG36" s="3555">
        <f>JM36/JL36-1</f>
        <v>2.8463855421686723E-2</v>
      </c>
      <c r="KH36" s="3555">
        <f>JN36/JM36-1</f>
        <v>-2.1525845658222242E-2</v>
      </c>
      <c r="KI36" s="3555">
        <f>JO36/JN36-1</f>
        <v>-0.79856330439988032</v>
      </c>
      <c r="KJ36" s="3556">
        <f>JP36/JN36-1</f>
        <v>-0.9568991319964083</v>
      </c>
      <c r="KK36" s="3557">
        <f t="shared" si="87"/>
        <v>-0.78603268945022287</v>
      </c>
      <c r="KM36" s="3231"/>
      <c r="KN36" s="3231"/>
      <c r="KO36" s="3231"/>
      <c r="KP36" s="3231"/>
      <c r="KQ36" s="3231"/>
      <c r="KR36" s="3231"/>
      <c r="KS36" s="3231"/>
      <c r="KT36" s="3231"/>
      <c r="KU36" s="3231"/>
      <c r="KV36" s="3231"/>
      <c r="KW36" s="3231"/>
      <c r="KX36" s="3231"/>
      <c r="KY36" s="3231"/>
      <c r="KZ36" s="3231"/>
      <c r="LA36" s="3231"/>
      <c r="LB36" s="3231"/>
      <c r="LC36" s="3231"/>
      <c r="LD36" s="3231"/>
      <c r="LE36" s="3231"/>
      <c r="LF36" s="3231"/>
      <c r="LG36" s="3231"/>
      <c r="LH36" s="3231"/>
      <c r="LI36" s="3231"/>
    </row>
    <row r="37" spans="1:321" ht="21" customHeight="1">
      <c r="A37" s="3568"/>
      <c r="B37" s="3231"/>
      <c r="C37" s="3567" t="s">
        <v>27</v>
      </c>
      <c r="D37" s="3569">
        <v>265</v>
      </c>
      <c r="E37" s="3570">
        <v>307</v>
      </c>
      <c r="F37" s="3570">
        <v>216</v>
      </c>
      <c r="G37" s="3570">
        <v>119</v>
      </c>
      <c r="H37" s="3570">
        <v>65</v>
      </c>
      <c r="I37" s="3570">
        <v>98</v>
      </c>
      <c r="J37" s="3570">
        <v>294</v>
      </c>
      <c r="K37" s="3570">
        <v>80</v>
      </c>
      <c r="L37" s="3570">
        <v>155</v>
      </c>
      <c r="M37" s="3570">
        <v>283</v>
      </c>
      <c r="N37" s="3570">
        <v>162</v>
      </c>
      <c r="O37" s="3571">
        <v>88</v>
      </c>
      <c r="P37" s="3519">
        <v>219</v>
      </c>
      <c r="Q37" s="3520">
        <v>477</v>
      </c>
      <c r="R37" s="3520">
        <v>222</v>
      </c>
      <c r="S37" s="3520">
        <v>110</v>
      </c>
      <c r="T37" s="3520">
        <v>92</v>
      </c>
      <c r="U37" s="3520">
        <v>159</v>
      </c>
      <c r="V37" s="3520">
        <v>307</v>
      </c>
      <c r="W37" s="3520">
        <v>107</v>
      </c>
      <c r="X37" s="3520">
        <v>148</v>
      </c>
      <c r="Y37" s="3520">
        <v>279</v>
      </c>
      <c r="Z37" s="3520">
        <v>201</v>
      </c>
      <c r="AA37" s="3521">
        <v>148</v>
      </c>
      <c r="AB37" s="3522">
        <v>203</v>
      </c>
      <c r="AC37" s="3523">
        <v>261</v>
      </c>
      <c r="AD37" s="3523">
        <v>206</v>
      </c>
      <c r="AE37" s="3523">
        <v>168</v>
      </c>
      <c r="AF37" s="3523">
        <v>175.5</v>
      </c>
      <c r="AG37" s="3523">
        <v>183</v>
      </c>
      <c r="AH37" s="3523">
        <v>252</v>
      </c>
      <c r="AI37" s="3523">
        <v>99</v>
      </c>
      <c r="AJ37" s="3523">
        <v>98</v>
      </c>
      <c r="AK37" s="3523">
        <v>238</v>
      </c>
      <c r="AL37" s="3523">
        <v>202</v>
      </c>
      <c r="AM37" s="3524">
        <v>115</v>
      </c>
      <c r="AN37" s="3525">
        <v>178</v>
      </c>
      <c r="AO37" s="3526">
        <v>251</v>
      </c>
      <c r="AP37" s="3526">
        <v>200</v>
      </c>
      <c r="AQ37" s="3526">
        <v>92</v>
      </c>
      <c r="AR37" s="3526">
        <v>87</v>
      </c>
      <c r="AS37" s="3526">
        <v>128</v>
      </c>
      <c r="AT37" s="3526">
        <v>283</v>
      </c>
      <c r="AU37" s="3526">
        <v>77</v>
      </c>
      <c r="AV37" s="3526">
        <v>113</v>
      </c>
      <c r="AW37" s="3526">
        <v>172</v>
      </c>
      <c r="AX37" s="3526">
        <v>246</v>
      </c>
      <c r="AY37" s="3527">
        <v>112</v>
      </c>
      <c r="AZ37" s="3463">
        <v>213</v>
      </c>
      <c r="BA37" s="3463">
        <v>406</v>
      </c>
      <c r="BB37" s="3463">
        <v>152</v>
      </c>
      <c r="BC37" s="3463">
        <v>116</v>
      </c>
      <c r="BD37" s="3463">
        <v>60</v>
      </c>
      <c r="BE37" s="3463">
        <v>122</v>
      </c>
      <c r="BF37" s="3463">
        <v>217</v>
      </c>
      <c r="BG37" s="3463">
        <v>88</v>
      </c>
      <c r="BH37" s="3463">
        <v>138</v>
      </c>
      <c r="BI37" s="3463">
        <v>226</v>
      </c>
      <c r="BJ37" s="3463">
        <v>103</v>
      </c>
      <c r="BK37" s="3560">
        <v>150</v>
      </c>
      <c r="BL37" s="3530">
        <v>250</v>
      </c>
      <c r="BM37" s="3531">
        <v>287</v>
      </c>
      <c r="BN37" s="3531">
        <v>177</v>
      </c>
      <c r="BO37" s="3531">
        <v>87</v>
      </c>
      <c r="BP37" s="3531">
        <v>81</v>
      </c>
      <c r="BQ37" s="3531">
        <v>96</v>
      </c>
      <c r="BR37" s="3531">
        <v>200</v>
      </c>
      <c r="BS37" s="3531">
        <v>61</v>
      </c>
      <c r="BT37" s="3532">
        <v>166</v>
      </c>
      <c r="BU37" s="3532">
        <v>157</v>
      </c>
      <c r="BV37" s="3532">
        <v>166</v>
      </c>
      <c r="BW37" s="3533">
        <v>70</v>
      </c>
      <c r="BX37" s="3534">
        <v>234</v>
      </c>
      <c r="BY37" s="3459">
        <v>196</v>
      </c>
      <c r="BZ37" s="3459">
        <v>222</v>
      </c>
      <c r="CA37" s="3459">
        <v>104</v>
      </c>
      <c r="CB37" s="3459">
        <v>71</v>
      </c>
      <c r="CC37" s="3459">
        <v>101</v>
      </c>
      <c r="CD37" s="3459">
        <v>269</v>
      </c>
      <c r="CE37" s="3459">
        <v>67</v>
      </c>
      <c r="CF37" s="3459">
        <v>95</v>
      </c>
      <c r="CG37" s="3459">
        <v>146</v>
      </c>
      <c r="CH37" s="3459">
        <v>239</v>
      </c>
      <c r="CI37" s="3461">
        <v>112</v>
      </c>
      <c r="CJ37" s="3535">
        <v>252</v>
      </c>
      <c r="CK37" s="3536">
        <v>231</v>
      </c>
      <c r="CL37" s="3536">
        <v>180</v>
      </c>
      <c r="CM37" s="3536">
        <v>128</v>
      </c>
      <c r="CN37" s="3536">
        <v>77</v>
      </c>
      <c r="CO37" s="3536">
        <v>117</v>
      </c>
      <c r="CP37" s="3536">
        <v>176</v>
      </c>
      <c r="CQ37" s="3536">
        <v>98</v>
      </c>
      <c r="CR37" s="3536">
        <v>126</v>
      </c>
      <c r="CS37" s="3536">
        <v>196</v>
      </c>
      <c r="CT37" s="3536">
        <v>187</v>
      </c>
      <c r="CU37" s="3537">
        <v>137</v>
      </c>
      <c r="CV37" s="3535">
        <v>133</v>
      </c>
      <c r="CW37" s="3536">
        <v>234</v>
      </c>
      <c r="CX37" s="3458">
        <v>242</v>
      </c>
      <c r="CY37" s="3458">
        <v>102</v>
      </c>
      <c r="CZ37" s="3458">
        <v>65</v>
      </c>
      <c r="DA37" s="3458">
        <v>124</v>
      </c>
      <c r="DB37" s="3458">
        <v>224</v>
      </c>
      <c r="DC37" s="3458">
        <v>70</v>
      </c>
      <c r="DD37" s="3458">
        <v>93</v>
      </c>
      <c r="DE37" s="3458">
        <v>185</v>
      </c>
      <c r="DF37" s="3458">
        <v>146</v>
      </c>
      <c r="DG37" s="3537">
        <v>117</v>
      </c>
      <c r="DH37" s="3538">
        <v>180</v>
      </c>
      <c r="DI37" s="3539">
        <v>228</v>
      </c>
      <c r="DJ37" s="3539">
        <v>313</v>
      </c>
      <c r="DK37" s="3540">
        <v>108</v>
      </c>
      <c r="DL37" s="3540">
        <v>75</v>
      </c>
      <c r="DM37" s="3540">
        <v>154</v>
      </c>
      <c r="DN37" s="3540">
        <v>248</v>
      </c>
      <c r="DO37" s="3540">
        <v>76</v>
      </c>
      <c r="DP37" s="2713">
        <v>99</v>
      </c>
      <c r="DQ37" s="3540">
        <v>209</v>
      </c>
      <c r="DR37" s="3540">
        <v>114</v>
      </c>
      <c r="DS37" s="3541">
        <v>97</v>
      </c>
      <c r="DT37" s="3542">
        <v>165</v>
      </c>
      <c r="DU37" s="3429">
        <v>265</v>
      </c>
      <c r="DV37" s="3429">
        <v>226</v>
      </c>
      <c r="DW37" s="3350">
        <v>167</v>
      </c>
      <c r="DX37" s="3350">
        <v>67</v>
      </c>
      <c r="DY37" s="3350">
        <v>147</v>
      </c>
      <c r="DZ37" s="3350">
        <v>267</v>
      </c>
      <c r="EA37" s="3350">
        <v>116</v>
      </c>
      <c r="EB37" s="3350">
        <v>166</v>
      </c>
      <c r="EC37" s="3350">
        <v>230</v>
      </c>
      <c r="ED37" s="3350">
        <v>154</v>
      </c>
      <c r="EE37" s="3349">
        <v>150</v>
      </c>
      <c r="EF37" s="2689">
        <v>202</v>
      </c>
      <c r="EG37" s="2688">
        <v>365</v>
      </c>
      <c r="EH37" s="2688">
        <v>309</v>
      </c>
      <c r="EI37" s="2688">
        <v>194</v>
      </c>
      <c r="EJ37" s="2688">
        <v>79</v>
      </c>
      <c r="EK37" s="2688">
        <v>144</v>
      </c>
      <c r="EL37" s="2688">
        <v>268</v>
      </c>
      <c r="EM37" s="2714">
        <v>88</v>
      </c>
      <c r="EN37" s="2714">
        <v>172</v>
      </c>
      <c r="EO37" s="2715">
        <v>309</v>
      </c>
      <c r="EP37" s="2715">
        <v>189</v>
      </c>
      <c r="EQ37" s="2716">
        <v>154</v>
      </c>
      <c r="ER37" s="1348">
        <v>229</v>
      </c>
      <c r="ES37" s="3543">
        <v>408</v>
      </c>
      <c r="ET37" s="3543">
        <v>247</v>
      </c>
      <c r="EU37" s="2717">
        <v>255</v>
      </c>
      <c r="EV37" s="2162">
        <v>103</v>
      </c>
      <c r="EW37" s="2162">
        <v>140</v>
      </c>
      <c r="EX37" s="2162">
        <v>343</v>
      </c>
      <c r="EY37" s="2162">
        <v>141</v>
      </c>
      <c r="EZ37" s="2162">
        <v>242</v>
      </c>
      <c r="FA37" s="2339">
        <v>175</v>
      </c>
      <c r="FB37" s="2339">
        <v>177</v>
      </c>
      <c r="FC37" s="2339">
        <v>150</v>
      </c>
      <c r="FD37" s="2765">
        <v>283</v>
      </c>
      <c r="FE37" s="2766">
        <v>504</v>
      </c>
      <c r="FF37" s="2766">
        <v>137</v>
      </c>
      <c r="FG37" s="2766">
        <v>2</v>
      </c>
      <c r="FH37" s="2766">
        <v>2</v>
      </c>
      <c r="FI37" s="2766">
        <v>4</v>
      </c>
      <c r="FJ37" s="2766">
        <v>7</v>
      </c>
      <c r="FK37" s="2766">
        <v>2</v>
      </c>
      <c r="FL37" s="2766">
        <v>11</v>
      </c>
      <c r="FM37" s="2766">
        <v>16</v>
      </c>
      <c r="FN37" s="2766">
        <v>7</v>
      </c>
      <c r="FO37" s="2767">
        <v>15</v>
      </c>
      <c r="FP37" s="4391">
        <v>10</v>
      </c>
      <c r="FQ37" s="4392">
        <v>7</v>
      </c>
      <c r="FR37" s="4392">
        <v>9</v>
      </c>
      <c r="FS37" s="4392">
        <v>4</v>
      </c>
      <c r="FT37" s="4392">
        <v>13</v>
      </c>
      <c r="FU37" s="4392">
        <v>11</v>
      </c>
      <c r="FV37" s="4392">
        <v>31</v>
      </c>
      <c r="FW37" s="4392">
        <v>25</v>
      </c>
      <c r="FX37" s="4392">
        <v>44</v>
      </c>
      <c r="FY37" s="4392">
        <v>192</v>
      </c>
      <c r="FZ37" s="4392">
        <v>152</v>
      </c>
      <c r="GA37" s="4554">
        <v>107</v>
      </c>
      <c r="GB37" s="4561"/>
      <c r="GC37" s="4557"/>
      <c r="GD37" s="4557"/>
      <c r="GE37" s="4557"/>
      <c r="GF37" s="4557"/>
      <c r="GG37" s="4557"/>
      <c r="GH37" s="4557"/>
      <c r="GI37" s="4557"/>
      <c r="GJ37" s="4557"/>
      <c r="GK37" s="4557"/>
      <c r="GL37" s="4557"/>
      <c r="GM37" s="4562"/>
      <c r="GN37" s="2764"/>
      <c r="GO37" s="2911">
        <v>788</v>
      </c>
      <c r="GP37" s="2912">
        <v>282</v>
      </c>
      <c r="GQ37" s="2912">
        <v>529</v>
      </c>
      <c r="GR37" s="2913">
        <v>533</v>
      </c>
      <c r="GS37" s="2914">
        <v>918</v>
      </c>
      <c r="GT37" s="2915">
        <v>361</v>
      </c>
      <c r="GU37" s="2915">
        <v>562</v>
      </c>
      <c r="GV37" s="2916">
        <v>628</v>
      </c>
      <c r="GW37" s="2917">
        <v>670</v>
      </c>
      <c r="GX37" s="2918">
        <v>526.5</v>
      </c>
      <c r="GY37" s="2919">
        <v>449</v>
      </c>
      <c r="GZ37" s="2919">
        <v>555</v>
      </c>
      <c r="HA37" s="2920">
        <v>629</v>
      </c>
      <c r="HB37" s="2921">
        <v>307</v>
      </c>
      <c r="HC37" s="2921">
        <v>473</v>
      </c>
      <c r="HD37" s="2922">
        <v>530</v>
      </c>
      <c r="HE37" s="2923">
        <v>771</v>
      </c>
      <c r="HF37" s="2924">
        <v>298</v>
      </c>
      <c r="HG37" s="2924">
        <v>443</v>
      </c>
      <c r="HH37" s="2925">
        <v>479</v>
      </c>
      <c r="HI37" s="2921">
        <v>714</v>
      </c>
      <c r="HJ37" s="2921">
        <v>264</v>
      </c>
      <c r="HK37" s="2921">
        <v>427</v>
      </c>
      <c r="HL37" s="2921">
        <v>393</v>
      </c>
      <c r="HM37" s="2926">
        <v>652</v>
      </c>
      <c r="HN37" s="2926">
        <v>276</v>
      </c>
      <c r="HO37" s="2926">
        <v>431</v>
      </c>
      <c r="HP37" s="2926">
        <v>497</v>
      </c>
      <c r="HQ37" s="2927">
        <v>663</v>
      </c>
      <c r="HR37" s="2927">
        <v>322</v>
      </c>
      <c r="HS37" s="2927">
        <f>+CP37+CQ37+CR37</f>
        <v>400</v>
      </c>
      <c r="HT37" s="2927">
        <v>520</v>
      </c>
      <c r="HU37" s="2928">
        <v>609</v>
      </c>
      <c r="HV37" s="2928">
        <f>+CY37+CZ37+DA37</f>
        <v>291</v>
      </c>
      <c r="HW37" s="2928">
        <f>+DB37+DC37+DD37</f>
        <v>387</v>
      </c>
      <c r="HX37" s="2927">
        <f>+DE37+DF37+DG37</f>
        <v>448</v>
      </c>
      <c r="HY37" s="2846">
        <f>+DH37+DI37+DJ37</f>
        <v>721</v>
      </c>
      <c r="HZ37" s="2846">
        <f>+DM37+DL37+DK37</f>
        <v>337</v>
      </c>
      <c r="IA37" s="2846">
        <f>+DS37+DO37+DN37</f>
        <v>421</v>
      </c>
      <c r="IB37" s="2846">
        <f>+DQ37+DR37+DS37</f>
        <v>420</v>
      </c>
      <c r="IC37" s="2921">
        <f>+DT37+DU37+DV37</f>
        <v>656</v>
      </c>
      <c r="ID37" s="2921">
        <f>+DW37+DX37+DY37</f>
        <v>381</v>
      </c>
      <c r="IE37" s="2921">
        <f>+DZ37+EA37+EB37</f>
        <v>549</v>
      </c>
      <c r="IF37" s="2921">
        <f>+EC37+ED37+EE37</f>
        <v>534</v>
      </c>
      <c r="IG37" s="2929">
        <f>EF37+EG37+EH37</f>
        <v>876</v>
      </c>
      <c r="IH37" s="2926">
        <f>EI37+EJ37+EK37</f>
        <v>417</v>
      </c>
      <c r="II37" s="2926">
        <f>EL37+EM37+EN37</f>
        <v>528</v>
      </c>
      <c r="IJ37" s="2926">
        <f>EO37+EP37+EQ37</f>
        <v>652</v>
      </c>
      <c r="IK37" s="2930">
        <f>ER37+ES37+ET37</f>
        <v>884</v>
      </c>
      <c r="IL37" s="2931">
        <f>EU37+EV37+EW37</f>
        <v>498</v>
      </c>
      <c r="IM37" s="2931">
        <f>EX37+EY37+EZ37</f>
        <v>726</v>
      </c>
      <c r="IN37" s="2931">
        <f>FA37+FB37+FC37</f>
        <v>502</v>
      </c>
      <c r="IO37" s="2932">
        <f>FD37+FE37+FF37</f>
        <v>924</v>
      </c>
      <c r="IP37" s="2933">
        <f>FG37+FH37+FI37</f>
        <v>8</v>
      </c>
      <c r="IQ37" s="2933">
        <f>FJ37+FK37+FL37</f>
        <v>20</v>
      </c>
      <c r="IR37" s="2934">
        <f>FM37+FN37+FO37</f>
        <v>38</v>
      </c>
      <c r="IS37" s="2929">
        <f>FP37+FQ37+FR37</f>
        <v>26</v>
      </c>
      <c r="IT37" s="2926">
        <f>FS37+FT37+FU37</f>
        <v>28</v>
      </c>
      <c r="IU37" s="2926">
        <f>FV37+FW37+FX37</f>
        <v>100</v>
      </c>
      <c r="IV37" s="2926">
        <f>FY37+FZ37+GA37</f>
        <v>451</v>
      </c>
      <c r="IW37" s="4549">
        <f t="shared" si="76"/>
        <v>0</v>
      </c>
      <c r="IX37" s="4541">
        <f t="shared" si="77"/>
        <v>0</v>
      </c>
      <c r="IY37" s="4541">
        <f t="shared" si="78"/>
        <v>0</v>
      </c>
      <c r="IZ37" s="4550">
        <f t="shared" si="79"/>
        <v>0</v>
      </c>
      <c r="JA37" s="4545"/>
      <c r="JB37" s="3544">
        <v>2132</v>
      </c>
      <c r="JC37" s="3545">
        <v>2469</v>
      </c>
      <c r="JD37" s="3545">
        <v>2200.5</v>
      </c>
      <c r="JE37" s="3545">
        <v>1939</v>
      </c>
      <c r="JF37" s="3545">
        <v>1991</v>
      </c>
      <c r="JG37" s="3545">
        <v>1798</v>
      </c>
      <c r="JH37" s="3546">
        <v>1856</v>
      </c>
      <c r="JI37" s="3547">
        <v>1905</v>
      </c>
      <c r="JJ37" s="3547">
        <f>SUM(CV37:DG37)</f>
        <v>1735</v>
      </c>
      <c r="JK37" s="3547">
        <f>SUM(DH37:DS37)</f>
        <v>1901</v>
      </c>
      <c r="JL37" s="3547">
        <f>SUM(DT37:EE37)</f>
        <v>2120</v>
      </c>
      <c r="JM37" s="3547">
        <f>SUM(EF37:EQ37)</f>
        <v>2473</v>
      </c>
      <c r="JN37" s="3548">
        <f>SUM(ER37:FC37)</f>
        <v>2610</v>
      </c>
      <c r="JO37" s="3566">
        <f>SUM(FD37:FO37)</f>
        <v>990</v>
      </c>
      <c r="JP37" s="3564">
        <f t="shared" si="80"/>
        <v>605</v>
      </c>
      <c r="JQ37" s="3564">
        <f t="shared" si="81"/>
        <v>605</v>
      </c>
      <c r="JS37" s="3765">
        <f t="shared" si="82"/>
        <v>605</v>
      </c>
      <c r="JT37" s="3765">
        <f t="shared" si="83"/>
        <v>605</v>
      </c>
      <c r="JV37" s="3551">
        <f t="shared" si="84"/>
        <v>733.33333333333337</v>
      </c>
      <c r="JW37" s="3552">
        <f>JK37/$JK$39</f>
        <v>3.0288738834911236E-3</v>
      </c>
      <c r="JX37" s="3552">
        <f>JL37/$JL$39</f>
        <v>3.246897451644967E-3</v>
      </c>
      <c r="JY37" s="3552">
        <f>JM37/$JN$39</f>
        <v>3.5997088791848617E-3</v>
      </c>
      <c r="JZ37" s="3552">
        <f>JN37/$JN$39</f>
        <v>3.799126637554585E-3</v>
      </c>
      <c r="KA37" s="3552">
        <f>JO37/$JO$39</f>
        <v>5.1722246312830775E-3</v>
      </c>
      <c r="KB37" s="4575">
        <f t="shared" si="69"/>
        <v>2.1530555595097437E-3</v>
      </c>
      <c r="KC37" s="3565">
        <f t="shared" si="86"/>
        <v>2.1530555595097437E-3</v>
      </c>
      <c r="KD37" s="3552"/>
      <c r="KE37" s="3554">
        <f>JL37/JK37-1</f>
        <v>0.11520252498684913</v>
      </c>
      <c r="KF37" s="3555">
        <f>JV37/JK37-1</f>
        <v>-0.61423812028756797</v>
      </c>
      <c r="KG37" s="3555">
        <f>JM37/JL37-1</f>
        <v>0.16650943396226414</v>
      </c>
      <c r="KH37" s="3555">
        <f>JN37/JM37-1</f>
        <v>5.539830165790538E-2</v>
      </c>
      <c r="KI37" s="3555">
        <f>JO37/JN37-1</f>
        <v>-0.62068965517241381</v>
      </c>
      <c r="KJ37" s="3556">
        <f>JP37/JN37-1</f>
        <v>-0.76819923371647514</v>
      </c>
      <c r="KK37" s="3557">
        <f t="shared" si="87"/>
        <v>-0.38888888888888884</v>
      </c>
      <c r="KM37" s="3231"/>
      <c r="KN37" s="3231"/>
      <c r="KO37" s="3231"/>
      <c r="KP37" s="3231"/>
      <c r="KQ37" s="3231"/>
      <c r="KR37" s="3231"/>
      <c r="KS37" s="3231"/>
      <c r="KT37" s="3231"/>
      <c r="KU37" s="3231"/>
      <c r="KV37" s="3231"/>
      <c r="KW37" s="3231"/>
      <c r="KX37" s="3231"/>
      <c r="KY37" s="3231"/>
      <c r="KZ37" s="3231"/>
      <c r="LA37" s="3231"/>
      <c r="LB37" s="3231"/>
      <c r="LC37" s="3231"/>
      <c r="LD37" s="3231"/>
      <c r="LE37" s="3231"/>
      <c r="LF37" s="3231"/>
      <c r="LG37" s="3231"/>
      <c r="LH37" s="3231"/>
      <c r="LI37" s="3231"/>
    </row>
    <row r="38" spans="1:321" ht="21" customHeight="1" thickBot="1">
      <c r="A38" s="3568"/>
      <c r="B38" s="3231"/>
      <c r="C38" s="3572" t="s">
        <v>51</v>
      </c>
      <c r="D38" s="3573">
        <v>1352</v>
      </c>
      <c r="E38" s="3574">
        <v>1073</v>
      </c>
      <c r="F38" s="3574">
        <v>1228</v>
      </c>
      <c r="G38" s="3574">
        <v>1130</v>
      </c>
      <c r="H38" s="3574">
        <v>1032</v>
      </c>
      <c r="I38" s="3574">
        <v>1214</v>
      </c>
      <c r="J38" s="3574">
        <v>1621</v>
      </c>
      <c r="K38" s="3574">
        <v>1503</v>
      </c>
      <c r="L38" s="3574">
        <v>1581</v>
      </c>
      <c r="M38" s="3574">
        <v>1686</v>
      </c>
      <c r="N38" s="3574">
        <v>1465</v>
      </c>
      <c r="O38" s="3575">
        <v>1267</v>
      </c>
      <c r="P38" s="3576">
        <v>1457</v>
      </c>
      <c r="Q38" s="3577">
        <v>1912</v>
      </c>
      <c r="R38" s="3577">
        <v>1681</v>
      </c>
      <c r="S38" s="3577">
        <v>1419</v>
      </c>
      <c r="T38" s="3577">
        <v>1507</v>
      </c>
      <c r="U38" s="3577">
        <v>1667</v>
      </c>
      <c r="V38" s="3577">
        <v>1856</v>
      </c>
      <c r="W38" s="3577">
        <v>2105</v>
      </c>
      <c r="X38" s="3577">
        <v>1931</v>
      </c>
      <c r="Y38" s="3577">
        <v>2079</v>
      </c>
      <c r="Z38" s="3577">
        <v>2062</v>
      </c>
      <c r="AA38" s="3578">
        <v>1753</v>
      </c>
      <c r="AB38" s="3579">
        <v>1691</v>
      </c>
      <c r="AC38" s="3580">
        <v>1564</v>
      </c>
      <c r="AD38" s="3580">
        <v>1837</v>
      </c>
      <c r="AE38" s="3580">
        <v>1902</v>
      </c>
      <c r="AF38" s="3580">
        <v>1950.5</v>
      </c>
      <c r="AG38" s="3580">
        <v>1999</v>
      </c>
      <c r="AH38" s="3580">
        <v>2276</v>
      </c>
      <c r="AI38" s="3580">
        <v>2179</v>
      </c>
      <c r="AJ38" s="3580">
        <v>1873</v>
      </c>
      <c r="AK38" s="3580">
        <v>2115</v>
      </c>
      <c r="AL38" s="3580">
        <v>1922</v>
      </c>
      <c r="AM38" s="3581">
        <v>1842</v>
      </c>
      <c r="AN38" s="3582">
        <v>2005</v>
      </c>
      <c r="AO38" s="3583">
        <v>2148</v>
      </c>
      <c r="AP38" s="3583">
        <v>2032</v>
      </c>
      <c r="AQ38" s="3583">
        <v>1797</v>
      </c>
      <c r="AR38" s="3583">
        <v>1836</v>
      </c>
      <c r="AS38" s="3583">
        <v>2056</v>
      </c>
      <c r="AT38" s="3583">
        <v>2157</v>
      </c>
      <c r="AU38" s="3583">
        <v>2080</v>
      </c>
      <c r="AV38" s="3583">
        <v>1869</v>
      </c>
      <c r="AW38" s="3583">
        <v>3234</v>
      </c>
      <c r="AX38" s="3583">
        <v>2064</v>
      </c>
      <c r="AY38" s="3584">
        <v>1947</v>
      </c>
      <c r="AZ38" s="3463">
        <v>2161</v>
      </c>
      <c r="BA38" s="3463">
        <v>1925</v>
      </c>
      <c r="BB38" s="3463">
        <v>2397</v>
      </c>
      <c r="BC38" s="3463">
        <v>2132</v>
      </c>
      <c r="BD38" s="3463">
        <v>1881</v>
      </c>
      <c r="BE38" s="3463">
        <v>1933</v>
      </c>
      <c r="BF38" s="3463">
        <v>1785</v>
      </c>
      <c r="BG38" s="3463">
        <v>1871</v>
      </c>
      <c r="BH38" s="3463">
        <v>1793</v>
      </c>
      <c r="BI38" s="3463">
        <v>1900</v>
      </c>
      <c r="BJ38" s="3463">
        <v>2198</v>
      </c>
      <c r="BK38" s="3560">
        <v>1731</v>
      </c>
      <c r="BL38" s="3585">
        <v>2292</v>
      </c>
      <c r="BM38" s="3586">
        <v>1667</v>
      </c>
      <c r="BN38" s="3586">
        <v>1785</v>
      </c>
      <c r="BO38" s="3586">
        <v>1717</v>
      </c>
      <c r="BP38" s="3586">
        <v>2030</v>
      </c>
      <c r="BQ38" s="3586">
        <v>2417</v>
      </c>
      <c r="BR38" s="3586">
        <v>2406</v>
      </c>
      <c r="BS38" s="3586">
        <v>2181</v>
      </c>
      <c r="BT38" s="3587">
        <v>2263</v>
      </c>
      <c r="BU38" s="3587">
        <v>2409</v>
      </c>
      <c r="BV38" s="3587">
        <v>2762</v>
      </c>
      <c r="BW38" s="3588">
        <v>2408</v>
      </c>
      <c r="BX38" s="3589">
        <v>2705</v>
      </c>
      <c r="BY38" s="3590">
        <v>2224</v>
      </c>
      <c r="BZ38" s="3590">
        <v>3674</v>
      </c>
      <c r="CA38" s="3590">
        <v>2902</v>
      </c>
      <c r="CB38" s="3590">
        <v>2693</v>
      </c>
      <c r="CC38" s="3590">
        <v>3260</v>
      </c>
      <c r="CD38" s="3590">
        <v>2875</v>
      </c>
      <c r="CE38" s="3590">
        <v>2875</v>
      </c>
      <c r="CF38" s="3590">
        <v>2838</v>
      </c>
      <c r="CG38" s="3590">
        <v>3163</v>
      </c>
      <c r="CH38" s="3590">
        <v>3258</v>
      </c>
      <c r="CI38" s="3591">
        <v>3987</v>
      </c>
      <c r="CJ38" s="3592">
        <v>1464</v>
      </c>
      <c r="CK38" s="3593">
        <v>2663</v>
      </c>
      <c r="CL38" s="3593">
        <v>2765</v>
      </c>
      <c r="CM38" s="3593">
        <v>2718</v>
      </c>
      <c r="CN38" s="3593">
        <v>2898</v>
      </c>
      <c r="CO38" s="3593">
        <v>1850</v>
      </c>
      <c r="CP38" s="3593">
        <v>3517</v>
      </c>
      <c r="CQ38" s="3593">
        <v>3243</v>
      </c>
      <c r="CR38" s="3593">
        <v>4230</v>
      </c>
      <c r="CS38" s="3593">
        <v>4080</v>
      </c>
      <c r="CT38" s="3593">
        <v>4657</v>
      </c>
      <c r="CU38" s="3594">
        <v>4249</v>
      </c>
      <c r="CV38" s="3592">
        <v>4365</v>
      </c>
      <c r="CW38" s="3593">
        <v>4265</v>
      </c>
      <c r="CX38" s="3595">
        <v>4529</v>
      </c>
      <c r="CY38" s="3595">
        <v>4893</v>
      </c>
      <c r="CZ38" s="3595">
        <v>4695</v>
      </c>
      <c r="DA38" s="3595">
        <v>4155</v>
      </c>
      <c r="DB38" s="3595">
        <v>4388</v>
      </c>
      <c r="DC38" s="3595">
        <v>2823</v>
      </c>
      <c r="DD38" s="3595">
        <v>3036</v>
      </c>
      <c r="DE38" s="3595">
        <v>2822</v>
      </c>
      <c r="DF38" s="3595">
        <v>3131</v>
      </c>
      <c r="DG38" s="3594">
        <v>2609</v>
      </c>
      <c r="DH38" s="3596">
        <v>2637</v>
      </c>
      <c r="DI38" s="3597">
        <v>2682</v>
      </c>
      <c r="DJ38" s="3597">
        <v>2560</v>
      </c>
      <c r="DK38" s="3598">
        <v>2027</v>
      </c>
      <c r="DL38" s="3598">
        <v>2406</v>
      </c>
      <c r="DM38" s="3598">
        <v>2378</v>
      </c>
      <c r="DN38" s="3598">
        <v>2754</v>
      </c>
      <c r="DO38" s="3598">
        <v>2485</v>
      </c>
      <c r="DP38" s="3599">
        <v>2655</v>
      </c>
      <c r="DQ38" s="3598">
        <v>5694</v>
      </c>
      <c r="DR38" s="3598">
        <v>3499</v>
      </c>
      <c r="DS38" s="3600">
        <v>3813</v>
      </c>
      <c r="DT38" s="3601">
        <v>3249</v>
      </c>
      <c r="DU38" s="3602">
        <v>2963</v>
      </c>
      <c r="DV38" s="3602">
        <v>3245</v>
      </c>
      <c r="DW38" s="3603">
        <v>3320</v>
      </c>
      <c r="DX38" s="3603">
        <v>3212</v>
      </c>
      <c r="DY38" s="3603">
        <v>3871</v>
      </c>
      <c r="DZ38" s="3603">
        <v>4324</v>
      </c>
      <c r="EA38" s="3603">
        <v>3626</v>
      </c>
      <c r="EB38" s="3603">
        <v>3420</v>
      </c>
      <c r="EC38" s="3603">
        <v>3792</v>
      </c>
      <c r="ED38" s="3603">
        <v>4114</v>
      </c>
      <c r="EE38" s="3604">
        <v>4059</v>
      </c>
      <c r="EF38" s="2718">
        <f>53007-SUM(EF6:EF36)</f>
        <v>3772</v>
      </c>
      <c r="EG38" s="2719">
        <f>52567-SUM(EG6:EG36)</f>
        <v>3859</v>
      </c>
      <c r="EH38" s="2719">
        <f>58154-SUM(EH6:EH36)</f>
        <v>4148</v>
      </c>
      <c r="EI38" s="2719">
        <f>47644-SUM(EI6:EI36)</f>
        <v>4045</v>
      </c>
      <c r="EJ38" s="2719">
        <f>53921-SUM(EJ6:EJ36)</f>
        <v>3961</v>
      </c>
      <c r="EK38" s="2719">
        <f>70620-SUM(EK6:EK36)</f>
        <v>4383</v>
      </c>
      <c r="EL38" s="2719">
        <f>72893-SUM(EL6:EL36)</f>
        <v>4569</v>
      </c>
      <c r="EM38" s="2719">
        <v>3635</v>
      </c>
      <c r="EN38" s="2719">
        <v>3911</v>
      </c>
      <c r="EO38" s="2719">
        <v>4054</v>
      </c>
      <c r="EP38" s="2719">
        <f>54720-49952</f>
        <v>4768</v>
      </c>
      <c r="EQ38" s="2720">
        <f>71516-67031</f>
        <v>4485</v>
      </c>
      <c r="ER38" s="1350">
        <f>52976-49111+2</f>
        <v>3867</v>
      </c>
      <c r="ES38" s="1351">
        <v>3871</v>
      </c>
      <c r="ET38" s="1351">
        <f>54669-SUM(ET6:ET36)+1</f>
        <v>4776</v>
      </c>
      <c r="EU38" s="1351">
        <f>4834-5</f>
        <v>4829</v>
      </c>
      <c r="EV38" s="2164">
        <v>3586</v>
      </c>
      <c r="EW38" s="2164">
        <v>6971</v>
      </c>
      <c r="EX38" s="2164">
        <v>6736</v>
      </c>
      <c r="EY38" s="2164">
        <v>1079</v>
      </c>
      <c r="EZ38" s="2164">
        <v>3112</v>
      </c>
      <c r="FA38" s="1351">
        <f>'Llegadas '!N13-SUM('Llegadas x nacionalidad'!FA6:FA36)</f>
        <v>2871</v>
      </c>
      <c r="FB38" s="1351">
        <f>'Llegadas '!N14-SUM('Llegadas x nacionalidad'!FB6:FB36)</f>
        <v>3411</v>
      </c>
      <c r="FC38" s="1351">
        <f>'Llegadas '!N15-SUM('Llegadas x nacionalidad'!FC6:FC36)</f>
        <v>3238</v>
      </c>
      <c r="FD38" s="2679">
        <f>'Llegadas '!O4-SUM('Llegadas x nacionalidad'!FD6:FD36)</f>
        <v>3730</v>
      </c>
      <c r="FE38" s="2341">
        <f>'Llegadas '!O5-SUM('Llegadas x nacionalidad'!FE6:FE36)</f>
        <v>3423</v>
      </c>
      <c r="FF38" s="2341">
        <f>'Llegadas '!O6-SUM('Llegadas x nacionalidad'!FF6:FF36)</f>
        <v>1257</v>
      </c>
      <c r="FG38" s="2341">
        <f>'Llegadas '!O7-SUM('Llegadas x nacionalidad'!FG6:FG36)</f>
        <v>25</v>
      </c>
      <c r="FH38" s="2341">
        <f>'Llegadas '!O8-SUM('Llegadas x nacionalidad'!FH6:FH36)</f>
        <v>42</v>
      </c>
      <c r="FI38" s="2341">
        <f>'Llegadas '!O9-SUM('Llegadas x nacionalidad'!FI6:FI36)</f>
        <v>85</v>
      </c>
      <c r="FJ38" s="2341">
        <f>'Llegadas '!O10-SUM('Llegadas x nacionalidad'!FJ6:FJ36)</f>
        <v>167</v>
      </c>
      <c r="FK38" s="2341">
        <f>'Llegadas '!O11-SUM('Llegadas x nacionalidad'!FK6:FK36)</f>
        <v>199</v>
      </c>
      <c r="FL38" s="2341">
        <f>'Llegadas '!O12-SUM('Llegadas x nacionalidad'!FL6:FL36)</f>
        <v>267</v>
      </c>
      <c r="FM38" s="2341">
        <f>'Llegadas '!O13-SUM('Llegadas x nacionalidad'!FM6:FM36)</f>
        <v>437</v>
      </c>
      <c r="FN38" s="2341">
        <f>'Llegadas '!O14-SUM('Llegadas x nacionalidad'!FN6:FN36)</f>
        <v>540</v>
      </c>
      <c r="FO38" s="2341">
        <f>'Llegadas '!O15-SUM('Llegadas x nacionalidad'!FO6:FO36)</f>
        <v>811</v>
      </c>
      <c r="FP38" s="2681">
        <f>'Llegadas '!$P$4-SUM('Llegadas x nacionalidad'!FP7:FP37)</f>
        <v>652</v>
      </c>
      <c r="FQ38" s="2680">
        <f>'Llegadas '!$P$5-SUM('Llegadas x nacionalidad'!FQ7:FQ37)</f>
        <v>552</v>
      </c>
      <c r="FR38" s="2680">
        <f>'Llegadas '!$P$6-SUM('Llegadas x nacionalidad'!FR7:FR37)</f>
        <v>674</v>
      </c>
      <c r="FS38" s="2680">
        <f>'Llegadas '!$P$7-SUM('Llegadas x nacionalidad'!FS7:FS37)</f>
        <v>692</v>
      </c>
      <c r="FT38" s="2680">
        <f>'Llegadas '!$P$8-SUM('Llegadas x nacionalidad'!FT7:FT37)</f>
        <v>691</v>
      </c>
      <c r="FU38" s="2680">
        <f>'Llegadas '!$P$9-SUM('Llegadas x nacionalidad'!FU7:FU37)</f>
        <v>864</v>
      </c>
      <c r="FV38" s="2680">
        <f>'Llegadas '!$P$10-SUM('Llegadas x nacionalidad'!FV7:FV37)</f>
        <v>1244</v>
      </c>
      <c r="FW38" s="2680">
        <f>'Llegadas '!$P$11-SUM('Llegadas x nacionalidad'!FW7:FW37)</f>
        <v>1282</v>
      </c>
      <c r="FX38" s="2680">
        <f>'Llegadas '!$P$12-SUM('Llegadas x nacionalidad'!FX7:FX37)</f>
        <v>1576</v>
      </c>
      <c r="FY38" s="2680">
        <f>'Llegadas '!$P$13-SUM('Llegadas x nacionalidad'!FY7:FY37)</f>
        <v>1624</v>
      </c>
      <c r="FZ38" s="2680">
        <f>'Llegadas '!$P$14-SUM('Llegadas x nacionalidad'!FZ7:FZ37)</f>
        <v>2233</v>
      </c>
      <c r="GA38" s="2341">
        <f>'Llegadas '!$P$15-SUM('Llegadas x nacionalidad'!GA7:GA37)</f>
        <v>1734</v>
      </c>
      <c r="GB38" s="4563">
        <f>'Llegadas '!$Q$4-SUM('Llegadas x nacionalidad'!GB7:GB37)</f>
        <v>18431</v>
      </c>
      <c r="GC38" s="4558">
        <f>'Llegadas '!$Q$5-SUM('Llegadas x nacionalidad'!GC7:GC37)</f>
        <v>14253</v>
      </c>
      <c r="GD38" s="4558">
        <f>'Llegadas '!$Q$6-SUM('Llegadas x nacionalidad'!GD7:GD37)</f>
        <v>19509</v>
      </c>
      <c r="GE38" s="4558">
        <f>'Llegadas '!$Q$7-SUM('Llegadas x nacionalidad'!GE7:GE37)</f>
        <v>18525</v>
      </c>
      <c r="GF38" s="4558">
        <f>'Llegadas '!$Q$8-SUM('Llegadas x nacionalidad'!GF7:GF37)</f>
        <v>20413</v>
      </c>
      <c r="GG38" s="4558">
        <f>'Llegadas '!$Q$9-SUM('Llegadas x nacionalidad'!GG7:GG37)</f>
        <v>31716</v>
      </c>
      <c r="GH38" s="4558">
        <f>'Llegadas '!$Q$10-SUM('Llegadas x nacionalidad'!GH7:GH37)</f>
        <v>42025</v>
      </c>
      <c r="GI38" s="4558">
        <f>'Llegadas '!$Q$11-SUM('Llegadas x nacionalidad'!GI7:GI37)</f>
        <v>38472</v>
      </c>
      <c r="GJ38" s="4558">
        <f>'Llegadas '!$Q$12-SUM('Llegadas x nacionalidad'!GJ7:GJ37)</f>
        <v>35385</v>
      </c>
      <c r="GK38" s="4558">
        <f>'Llegadas '!$Q$13-SUM('Llegadas x nacionalidad'!GK7:GK37)</f>
        <v>41233</v>
      </c>
      <c r="GL38" s="4558">
        <f>'Llegadas '!$Q$14-SUM('Llegadas x nacionalidad'!GL7:GL37)</f>
        <v>48322</v>
      </c>
      <c r="GM38" s="4564">
        <f>'Llegadas '!$Q$15-SUM('Llegadas x nacionalidad'!GM7:GM37)</f>
        <v>52712</v>
      </c>
      <c r="GN38" s="2764"/>
      <c r="GO38" s="2935">
        <v>3653</v>
      </c>
      <c r="GP38" s="2936">
        <v>3376</v>
      </c>
      <c r="GQ38" s="2936">
        <v>4705</v>
      </c>
      <c r="GR38" s="2937">
        <v>4418</v>
      </c>
      <c r="GS38" s="2938">
        <v>5050</v>
      </c>
      <c r="GT38" s="2939">
        <v>4593</v>
      </c>
      <c r="GU38" s="2939">
        <v>5892</v>
      </c>
      <c r="GV38" s="2940">
        <v>5894</v>
      </c>
      <c r="GW38" s="2941">
        <v>5092</v>
      </c>
      <c r="GX38" s="2918">
        <v>5851.5</v>
      </c>
      <c r="GY38" s="2942">
        <v>6328</v>
      </c>
      <c r="GZ38" s="2942">
        <v>5879</v>
      </c>
      <c r="HA38" s="2920">
        <v>6185</v>
      </c>
      <c r="HB38" s="2921">
        <v>5689</v>
      </c>
      <c r="HC38" s="2921">
        <v>6106</v>
      </c>
      <c r="HD38" s="2922">
        <v>7245</v>
      </c>
      <c r="HE38" s="2923">
        <v>6483</v>
      </c>
      <c r="HF38" s="2924">
        <v>5946</v>
      </c>
      <c r="HG38" s="2924">
        <v>5449</v>
      </c>
      <c r="HH38" s="2925">
        <v>5829</v>
      </c>
      <c r="HI38" s="2921">
        <v>5744</v>
      </c>
      <c r="HJ38" s="2921">
        <v>6164</v>
      </c>
      <c r="HK38" s="2921">
        <v>6850</v>
      </c>
      <c r="HL38" s="2921">
        <v>7579</v>
      </c>
      <c r="HM38" s="2926">
        <v>8603</v>
      </c>
      <c r="HN38" s="2926">
        <v>8855</v>
      </c>
      <c r="HO38" s="2926">
        <v>8588</v>
      </c>
      <c r="HP38" s="2926">
        <v>10408</v>
      </c>
      <c r="HQ38" s="2927">
        <v>6892</v>
      </c>
      <c r="HR38" s="2927">
        <v>7466</v>
      </c>
      <c r="HS38" s="2927">
        <f>+CP38+CQ38+CR38</f>
        <v>10990</v>
      </c>
      <c r="HT38" s="2927">
        <v>12986</v>
      </c>
      <c r="HU38" s="2928">
        <v>13159</v>
      </c>
      <c r="HV38" s="2928">
        <f>+CY38+CZ38+DA38</f>
        <v>13743</v>
      </c>
      <c r="HW38" s="2928">
        <f>+DB38+DC38+DD38</f>
        <v>10247</v>
      </c>
      <c r="HX38" s="2927">
        <f>+DE38+DF38+DG38</f>
        <v>8562</v>
      </c>
      <c r="HY38" s="2846">
        <f>+DH38+DI38+DJ38</f>
        <v>7879</v>
      </c>
      <c r="HZ38" s="2846">
        <f>+DM38+DL38+DK38</f>
        <v>6811</v>
      </c>
      <c r="IA38" s="2846">
        <f>+DS38+DO38+DN38</f>
        <v>9052</v>
      </c>
      <c r="IB38" s="2846">
        <f>+DQ38+DR38+DS38</f>
        <v>13006</v>
      </c>
      <c r="IC38" s="2921">
        <f>+DT38+DU38+DV38</f>
        <v>9457</v>
      </c>
      <c r="ID38" s="2921">
        <f>+DW38+DX38+DY38</f>
        <v>10403</v>
      </c>
      <c r="IE38" s="2921">
        <f>+DZ38+EA38+EB38</f>
        <v>11370</v>
      </c>
      <c r="IF38" s="2921">
        <f>+EC38+ED38+EE38</f>
        <v>11965</v>
      </c>
      <c r="IG38" s="2929">
        <f>EF38+EG38+EH38</f>
        <v>11779</v>
      </c>
      <c r="IH38" s="2926">
        <f>EI38+EJ38+EK38</f>
        <v>12389</v>
      </c>
      <c r="II38" s="2926">
        <f>EL38+EM38+EN38</f>
        <v>12115</v>
      </c>
      <c r="IJ38" s="2926">
        <f>EO38+EP38+EQ38</f>
        <v>13307</v>
      </c>
      <c r="IK38" s="2930">
        <f t="shared" si="16"/>
        <v>12514</v>
      </c>
      <c r="IL38" s="2931">
        <f t="shared" si="17"/>
        <v>15386</v>
      </c>
      <c r="IM38" s="2931">
        <f t="shared" si="18"/>
        <v>10927</v>
      </c>
      <c r="IN38" s="2931">
        <f t="shared" si="19"/>
        <v>9520</v>
      </c>
      <c r="IO38" s="2932">
        <f t="shared" ref="IO38:IO39" si="89">FD38+FE38+FF38</f>
        <v>8410</v>
      </c>
      <c r="IP38" s="2933">
        <f t="shared" ref="IP38:IP39" si="90">FG38+FH38+FI38</f>
        <v>152</v>
      </c>
      <c r="IQ38" s="2933">
        <f t="shared" ref="IQ38:IQ39" si="91">FJ38+FK38+FL38</f>
        <v>633</v>
      </c>
      <c r="IR38" s="2934">
        <f t="shared" ref="IR38:IR39" si="92">FM38+FN38+FO38</f>
        <v>1788</v>
      </c>
      <c r="IS38" s="2929">
        <f t="shared" ref="IS38" si="93">FP38+FQ38+FR38</f>
        <v>1878</v>
      </c>
      <c r="IT38" s="2926">
        <f t="shared" ref="IT38" si="94">FS38+FT38+FU38</f>
        <v>2247</v>
      </c>
      <c r="IU38" s="2926">
        <f t="shared" ref="IU38" si="95">FV38+FW38+FX38</f>
        <v>4102</v>
      </c>
      <c r="IV38" s="2926">
        <f t="shared" ref="IV38" si="96">FY38+FZ38+GA38</f>
        <v>5591</v>
      </c>
      <c r="IW38" s="4549">
        <f t="shared" si="76"/>
        <v>52193</v>
      </c>
      <c r="IX38" s="4541">
        <f t="shared" si="77"/>
        <v>70654</v>
      </c>
      <c r="IY38" s="4541">
        <f t="shared" si="78"/>
        <v>115882</v>
      </c>
      <c r="IZ38" s="4550">
        <f t="shared" si="79"/>
        <v>142267</v>
      </c>
      <c r="JA38" s="4545"/>
      <c r="JB38" s="3605">
        <v>16152</v>
      </c>
      <c r="JC38" s="3606">
        <v>21429</v>
      </c>
      <c r="JD38" s="3606">
        <v>23150.5</v>
      </c>
      <c r="JE38" s="3606">
        <v>25225</v>
      </c>
      <c r="JF38" s="3606">
        <v>23707</v>
      </c>
      <c r="JG38" s="3606">
        <v>26337</v>
      </c>
      <c r="JH38" s="3607">
        <f>36454+28</f>
        <v>36482</v>
      </c>
      <c r="JI38" s="3608">
        <v>38334</v>
      </c>
      <c r="JJ38" s="3608">
        <f t="shared" si="20"/>
        <v>45711</v>
      </c>
      <c r="JK38" s="3608">
        <f t="shared" si="21"/>
        <v>35590</v>
      </c>
      <c r="JL38" s="3608">
        <f>SUM(DT38:EE38)+12</f>
        <v>43207</v>
      </c>
      <c r="JM38" s="3608">
        <f t="shared" si="23"/>
        <v>49590</v>
      </c>
      <c r="JN38" s="3609">
        <f>684390-SUM(JN6:JN36)</f>
        <v>50208</v>
      </c>
      <c r="JO38" s="3610">
        <f>SUM(FD38:FO38)</f>
        <v>10983</v>
      </c>
      <c r="JP38" s="3564">
        <f t="shared" si="80"/>
        <v>13818</v>
      </c>
      <c r="JQ38" s="3564">
        <f t="shared" si="81"/>
        <v>13818</v>
      </c>
      <c r="JS38" s="3763">
        <f t="shared" si="82"/>
        <v>13818</v>
      </c>
      <c r="JT38" s="3763">
        <f t="shared" si="83"/>
        <v>13818</v>
      </c>
      <c r="JV38" s="3611">
        <f t="shared" si="84"/>
        <v>12873</v>
      </c>
      <c r="JW38" s="3552">
        <f>JK38/$JK$39</f>
        <v>5.6705745141214674E-2</v>
      </c>
      <c r="JX38" s="3552">
        <f>JL38/$JL$39</f>
        <v>6.6173914242086837E-2</v>
      </c>
      <c r="JY38" s="3552">
        <f>JM38/$JN$39</f>
        <v>7.2183406113537116E-2</v>
      </c>
      <c r="JZ38" s="3552">
        <f>JN38/$JN$39</f>
        <v>7.3082969432314404E-2</v>
      </c>
      <c r="KA38" s="3552">
        <f t="shared" ref="KA38" si="97">JO38/$JO$39</f>
        <v>5.7380346591294991E-2</v>
      </c>
      <c r="KB38" s="4575">
        <f t="shared" ref="KB38" si="98">JP38/$JP$39</f>
        <v>4.9175077225298583E-2</v>
      </c>
      <c r="KC38" s="3565">
        <f t="shared" si="86"/>
        <v>4.9175077225298583E-2</v>
      </c>
      <c r="KD38" s="3552"/>
      <c r="KE38" s="3612">
        <f>JL38/JK38-1</f>
        <v>0.21402079235740379</v>
      </c>
      <c r="KF38" s="3613">
        <f>JV38/JK38-1</f>
        <v>-0.63829727451531326</v>
      </c>
      <c r="KG38" s="3613">
        <f>JM38/JL38-1</f>
        <v>0.14773069178605325</v>
      </c>
      <c r="KH38" s="3613">
        <f>JN38/JM38-1</f>
        <v>1.2462189957652692E-2</v>
      </c>
      <c r="KI38" s="3613">
        <f t="shared" ref="KI38" si="99">JO38/JN38-1</f>
        <v>-0.78125</v>
      </c>
      <c r="KJ38" s="3556">
        <f t="shared" ref="KJ38:KJ39" si="100">JP38/JN38-1</f>
        <v>-0.7247848948374761</v>
      </c>
      <c r="KK38" s="3557">
        <f t="shared" si="87"/>
        <v>0.25812619502868062</v>
      </c>
    </row>
    <row r="39" spans="1:321" ht="21" customHeight="1" thickBot="1">
      <c r="A39" s="3614"/>
      <c r="B39" s="3615"/>
      <c r="C39" s="3616" t="s">
        <v>52</v>
      </c>
      <c r="D39" s="3617">
        <v>29447</v>
      </c>
      <c r="E39" s="3618">
        <v>29249</v>
      </c>
      <c r="F39" s="3618">
        <v>32536</v>
      </c>
      <c r="G39" s="3618">
        <v>26929</v>
      </c>
      <c r="H39" s="3618">
        <v>28526</v>
      </c>
      <c r="I39" s="3618">
        <v>41105</v>
      </c>
      <c r="J39" s="3618">
        <v>49933</v>
      </c>
      <c r="K39" s="3618">
        <v>42244</v>
      </c>
      <c r="L39" s="3618">
        <v>31407</v>
      </c>
      <c r="M39" s="3618">
        <v>33891</v>
      </c>
      <c r="N39" s="3618">
        <v>35806</v>
      </c>
      <c r="O39" s="3619">
        <v>36780</v>
      </c>
      <c r="P39" s="3620">
        <v>34991</v>
      </c>
      <c r="Q39" s="3621">
        <v>46490</v>
      </c>
      <c r="R39" s="3621">
        <v>36805</v>
      </c>
      <c r="S39" s="3621">
        <v>31105</v>
      </c>
      <c r="T39" s="3621">
        <v>35598</v>
      </c>
      <c r="U39" s="3621">
        <v>45584</v>
      </c>
      <c r="V39" s="3621">
        <v>50484</v>
      </c>
      <c r="W39" s="3621">
        <v>43576</v>
      </c>
      <c r="X39" s="3621">
        <v>34318</v>
      </c>
      <c r="Y39" s="3621">
        <v>36977</v>
      </c>
      <c r="Z39" s="3621">
        <v>38290</v>
      </c>
      <c r="AA39" s="3622">
        <v>37281</v>
      </c>
      <c r="AB39" s="3623">
        <v>35904</v>
      </c>
      <c r="AC39" s="3624">
        <v>32995</v>
      </c>
      <c r="AD39" s="3624">
        <v>34242</v>
      </c>
      <c r="AE39" s="3624">
        <v>33161</v>
      </c>
      <c r="AF39" s="3624">
        <v>32773</v>
      </c>
      <c r="AG39" s="3624">
        <v>46796</v>
      </c>
      <c r="AH39" s="3624">
        <v>50069</v>
      </c>
      <c r="AI39" s="3624">
        <v>44378</v>
      </c>
      <c r="AJ39" s="3624">
        <v>33494</v>
      </c>
      <c r="AK39" s="3624">
        <v>35959</v>
      </c>
      <c r="AL39" s="3624">
        <v>38401</v>
      </c>
      <c r="AM39" s="3625">
        <v>43693</v>
      </c>
      <c r="AN39" s="3626">
        <v>38603</v>
      </c>
      <c r="AO39" s="3627">
        <v>39843</v>
      </c>
      <c r="AP39" s="3627">
        <v>38029</v>
      </c>
      <c r="AQ39" s="3627">
        <v>31598</v>
      </c>
      <c r="AR39" s="3627">
        <v>37116</v>
      </c>
      <c r="AS39" s="3627">
        <v>46093</v>
      </c>
      <c r="AT39" s="3627">
        <v>49766</v>
      </c>
      <c r="AU39" s="3627">
        <v>42481</v>
      </c>
      <c r="AV39" s="3627">
        <v>33003</v>
      </c>
      <c r="AW39" s="3627">
        <v>38298</v>
      </c>
      <c r="AX39" s="3627">
        <v>38171</v>
      </c>
      <c r="AY39" s="3628">
        <v>41220</v>
      </c>
      <c r="AZ39" s="3629">
        <v>37463</v>
      </c>
      <c r="BA39" s="3629">
        <v>35978</v>
      </c>
      <c r="BB39" s="3629">
        <v>39415</v>
      </c>
      <c r="BC39" s="3629">
        <v>35949</v>
      </c>
      <c r="BD39" s="3629">
        <v>38023</v>
      </c>
      <c r="BE39" s="3629">
        <v>47844</v>
      </c>
      <c r="BF39" s="3629">
        <v>51152</v>
      </c>
      <c r="BG39" s="3629">
        <v>43036</v>
      </c>
      <c r="BH39" s="3629">
        <v>34628</v>
      </c>
      <c r="BI39" s="3629">
        <v>38582</v>
      </c>
      <c r="BJ39" s="3629">
        <v>41073</v>
      </c>
      <c r="BK39" s="3630">
        <v>44235</v>
      </c>
      <c r="BL39" s="3631">
        <v>37773</v>
      </c>
      <c r="BM39" s="3632">
        <v>35654</v>
      </c>
      <c r="BN39" s="3632">
        <v>40663</v>
      </c>
      <c r="BO39" s="3632">
        <v>36524</v>
      </c>
      <c r="BP39" s="3632">
        <v>40720</v>
      </c>
      <c r="BQ39" s="3632">
        <v>54166</v>
      </c>
      <c r="BR39" s="3632">
        <v>56168</v>
      </c>
      <c r="BS39" s="3632">
        <v>46212</v>
      </c>
      <c r="BT39" s="3633">
        <v>39747</v>
      </c>
      <c r="BU39" s="3633">
        <v>44864</v>
      </c>
      <c r="BV39" s="3633">
        <v>46422</v>
      </c>
      <c r="BW39" s="3634">
        <v>54545</v>
      </c>
      <c r="BX39" s="3635">
        <v>46137</v>
      </c>
      <c r="BY39" s="3636">
        <v>43174</v>
      </c>
      <c r="BZ39" s="3636">
        <v>49027</v>
      </c>
      <c r="CA39" s="3636">
        <v>41634</v>
      </c>
      <c r="CB39" s="3636">
        <v>48103</v>
      </c>
      <c r="CC39" s="3636">
        <v>61054</v>
      </c>
      <c r="CD39" s="3636">
        <v>64119</v>
      </c>
      <c r="CE39" s="3636">
        <v>52709</v>
      </c>
      <c r="CF39" s="3636">
        <v>49386</v>
      </c>
      <c r="CG39" s="3636">
        <v>52967</v>
      </c>
      <c r="CH39" s="3636">
        <v>56261</v>
      </c>
      <c r="CI39" s="3637">
        <v>64359</v>
      </c>
      <c r="CJ39" s="3638">
        <v>51688</v>
      </c>
      <c r="CK39" s="3639">
        <v>53622</v>
      </c>
      <c r="CL39" s="3639">
        <v>51748</v>
      </c>
      <c r="CM39" s="3639">
        <v>49570</v>
      </c>
      <c r="CN39" s="3639">
        <v>52174</v>
      </c>
      <c r="CO39" s="3639">
        <v>58795</v>
      </c>
      <c r="CP39" s="3639">
        <v>71099</v>
      </c>
      <c r="CQ39" s="3639">
        <v>57790</v>
      </c>
      <c r="CR39" s="3639">
        <v>55854</v>
      </c>
      <c r="CS39" s="3639">
        <v>59469</v>
      </c>
      <c r="CT39" s="3639">
        <v>63257</v>
      </c>
      <c r="CU39" s="3640">
        <v>77949</v>
      </c>
      <c r="CV39" s="3635">
        <v>58224</v>
      </c>
      <c r="CW39" s="3636">
        <v>53321</v>
      </c>
      <c r="CX39" s="3637">
        <v>59393</v>
      </c>
      <c r="CY39" s="3637">
        <v>53854</v>
      </c>
      <c r="CZ39" s="3637">
        <v>56638</v>
      </c>
      <c r="DA39" s="3637">
        <v>67138</v>
      </c>
      <c r="DB39" s="3637">
        <v>73006</v>
      </c>
      <c r="DC39" s="3637">
        <v>52994</v>
      </c>
      <c r="DD39" s="3637">
        <v>51643</v>
      </c>
      <c r="DE39" s="3637">
        <v>56449</v>
      </c>
      <c r="DF39" s="3637">
        <v>61342</v>
      </c>
      <c r="DG39" s="3641">
        <v>68875</v>
      </c>
      <c r="DH39" s="3642">
        <v>52833</v>
      </c>
      <c r="DI39" s="3643">
        <v>51438</v>
      </c>
      <c r="DJ39" s="3643">
        <v>54420</v>
      </c>
      <c r="DK39" s="3644">
        <v>40983</v>
      </c>
      <c r="DL39" s="3644">
        <v>46162</v>
      </c>
      <c r="DM39" s="3644">
        <v>61277</v>
      </c>
      <c r="DN39" s="3644">
        <v>66352</v>
      </c>
      <c r="DO39" s="3644">
        <v>47805</v>
      </c>
      <c r="DP39" s="3645">
        <f>SUM(DP6:DP38)</f>
        <v>40169</v>
      </c>
      <c r="DQ39" s="3644">
        <v>53831</v>
      </c>
      <c r="DR39" s="3644">
        <v>48311</v>
      </c>
      <c r="DS39" s="3646">
        <v>64045</v>
      </c>
      <c r="DT39" s="3647">
        <v>50617</v>
      </c>
      <c r="DU39" s="3648">
        <v>47432</v>
      </c>
      <c r="DV39" s="3648">
        <v>53030</v>
      </c>
      <c r="DW39" s="3649">
        <v>50212</v>
      </c>
      <c r="DX39" s="3649">
        <v>47035</v>
      </c>
      <c r="DY39" s="3649">
        <v>65878</v>
      </c>
      <c r="DZ39" s="3649">
        <v>70150</v>
      </c>
      <c r="EA39" s="3649">
        <v>51198</v>
      </c>
      <c r="EB39" s="3649">
        <v>45357</v>
      </c>
      <c r="EC39" s="3649">
        <v>49733</v>
      </c>
      <c r="ED39" s="3649">
        <v>52215</v>
      </c>
      <c r="EE39" s="3648">
        <v>70062</v>
      </c>
      <c r="EF39" s="3650">
        <f>SUM(EF6:EF38)</f>
        <v>53209</v>
      </c>
      <c r="EG39" s="3647">
        <f t="shared" ref="EG39:EQ39" si="101">SUM(EG6:EG38)</f>
        <v>52932</v>
      </c>
      <c r="EH39" s="3647">
        <f t="shared" si="101"/>
        <v>58463</v>
      </c>
      <c r="EI39" s="3647">
        <f t="shared" si="101"/>
        <v>47838</v>
      </c>
      <c r="EJ39" s="3647">
        <f t="shared" si="101"/>
        <v>54000</v>
      </c>
      <c r="EK39" s="3647">
        <f t="shared" si="101"/>
        <v>70764</v>
      </c>
      <c r="EL39" s="3647">
        <f t="shared" si="101"/>
        <v>73161</v>
      </c>
      <c r="EM39" s="3647">
        <f t="shared" si="101"/>
        <v>54375</v>
      </c>
      <c r="EN39" s="3647">
        <f t="shared" si="101"/>
        <v>50018</v>
      </c>
      <c r="EO39" s="3647">
        <f t="shared" si="101"/>
        <v>53057</v>
      </c>
      <c r="EP39" s="3647">
        <f t="shared" si="101"/>
        <v>54720</v>
      </c>
      <c r="EQ39" s="3647">
        <f t="shared" si="101"/>
        <v>71516</v>
      </c>
      <c r="ER39" s="3650">
        <f>SUM(ER6:ER38)</f>
        <v>52978</v>
      </c>
      <c r="ES39" s="3650">
        <f t="shared" ref="ES39:GM39" si="102">SUM(ES6:ES38)</f>
        <v>51944</v>
      </c>
      <c r="ET39" s="3650">
        <f t="shared" si="102"/>
        <v>54917</v>
      </c>
      <c r="EU39" s="3650">
        <f t="shared" si="102"/>
        <v>53311</v>
      </c>
      <c r="EV39" s="3650">
        <f t="shared" si="102"/>
        <v>53992</v>
      </c>
      <c r="EW39" s="3650">
        <f t="shared" si="102"/>
        <v>70733</v>
      </c>
      <c r="EX39" s="3650">
        <f t="shared" si="102"/>
        <v>76918</v>
      </c>
      <c r="EY39" s="3650">
        <f t="shared" si="102"/>
        <v>57411</v>
      </c>
      <c r="EZ39" s="3650">
        <f t="shared" si="102"/>
        <v>52806</v>
      </c>
      <c r="FA39" s="3650">
        <f t="shared" si="102"/>
        <v>42601</v>
      </c>
      <c r="FB39" s="3650">
        <f t="shared" si="102"/>
        <v>53170</v>
      </c>
      <c r="FC39" s="3650">
        <f t="shared" si="102"/>
        <v>64358</v>
      </c>
      <c r="FD39" s="2943">
        <f t="shared" si="102"/>
        <v>58083</v>
      </c>
      <c r="FE39" s="2943">
        <f t="shared" si="102"/>
        <v>55403</v>
      </c>
      <c r="FF39" s="2943">
        <f t="shared" si="102"/>
        <v>22343</v>
      </c>
      <c r="FG39" s="2943">
        <f t="shared" si="102"/>
        <v>381</v>
      </c>
      <c r="FH39" s="2943">
        <f t="shared" si="102"/>
        <v>652</v>
      </c>
      <c r="FI39" s="2943">
        <f t="shared" si="102"/>
        <v>1435</v>
      </c>
      <c r="FJ39" s="2943">
        <f t="shared" si="102"/>
        <v>3662</v>
      </c>
      <c r="FK39" s="2943">
        <f t="shared" si="102"/>
        <v>4555</v>
      </c>
      <c r="FL39" s="2943">
        <f t="shared" si="102"/>
        <v>5719</v>
      </c>
      <c r="FM39" s="2943">
        <f t="shared" si="102"/>
        <v>9079</v>
      </c>
      <c r="FN39" s="2943">
        <f t="shared" si="102"/>
        <v>11560</v>
      </c>
      <c r="FO39" s="2944">
        <f t="shared" si="102"/>
        <v>18535</v>
      </c>
      <c r="FP39" s="2943">
        <f>SUM(FP6:FP38)</f>
        <v>14237</v>
      </c>
      <c r="FQ39" s="2943">
        <f t="shared" si="102"/>
        <v>10895</v>
      </c>
      <c r="FR39" s="2943">
        <f t="shared" si="102"/>
        <v>13935</v>
      </c>
      <c r="FS39" s="2943">
        <f t="shared" si="102"/>
        <v>13232</v>
      </c>
      <c r="FT39" s="2943">
        <f t="shared" si="102"/>
        <v>15295</v>
      </c>
      <c r="FU39" s="2943">
        <f t="shared" si="102"/>
        <v>22654</v>
      </c>
      <c r="FV39" s="2943">
        <f t="shared" si="102"/>
        <v>30018</v>
      </c>
      <c r="FW39" s="2943">
        <f t="shared" si="102"/>
        <v>27480</v>
      </c>
      <c r="FX39" s="2943">
        <f t="shared" si="102"/>
        <v>25275</v>
      </c>
      <c r="FY39" s="2943">
        <f t="shared" si="102"/>
        <v>29775</v>
      </c>
      <c r="FZ39" s="2943">
        <f t="shared" si="102"/>
        <v>35230</v>
      </c>
      <c r="GA39" s="2944">
        <f t="shared" si="102"/>
        <v>42970</v>
      </c>
      <c r="GB39" s="4555">
        <f t="shared" si="102"/>
        <v>18431</v>
      </c>
      <c r="GC39" s="4555">
        <f t="shared" si="102"/>
        <v>14253</v>
      </c>
      <c r="GD39" s="4555">
        <f t="shared" si="102"/>
        <v>19509</v>
      </c>
      <c r="GE39" s="4555">
        <f t="shared" si="102"/>
        <v>18525</v>
      </c>
      <c r="GF39" s="4555">
        <f t="shared" si="102"/>
        <v>20413</v>
      </c>
      <c r="GG39" s="4555">
        <f t="shared" si="102"/>
        <v>31716</v>
      </c>
      <c r="GH39" s="4555">
        <f t="shared" si="102"/>
        <v>42025</v>
      </c>
      <c r="GI39" s="4555">
        <f t="shared" si="102"/>
        <v>38472</v>
      </c>
      <c r="GJ39" s="4555">
        <f t="shared" si="102"/>
        <v>35385</v>
      </c>
      <c r="GK39" s="4555">
        <f t="shared" si="102"/>
        <v>41233</v>
      </c>
      <c r="GL39" s="4555">
        <f t="shared" si="102"/>
        <v>48322</v>
      </c>
      <c r="GM39" s="4555">
        <f t="shared" si="102"/>
        <v>52712</v>
      </c>
      <c r="GN39" s="2945"/>
      <c r="GO39" s="2946">
        <v>91232</v>
      </c>
      <c r="GP39" s="2947">
        <v>96560</v>
      </c>
      <c r="GQ39" s="2947">
        <v>123584</v>
      </c>
      <c r="GR39" s="2948">
        <v>106477</v>
      </c>
      <c r="GS39" s="2949">
        <v>118286</v>
      </c>
      <c r="GT39" s="2950">
        <v>112287</v>
      </c>
      <c r="GU39" s="2950">
        <v>128378</v>
      </c>
      <c r="GV39" s="2951">
        <v>112548</v>
      </c>
      <c r="GW39" s="2952">
        <v>103141</v>
      </c>
      <c r="GX39" s="2953">
        <v>112730</v>
      </c>
      <c r="GY39" s="2953">
        <v>127941</v>
      </c>
      <c r="GZ39" s="2953">
        <v>118053</v>
      </c>
      <c r="HA39" s="2954">
        <v>116475</v>
      </c>
      <c r="HB39" s="2955">
        <v>114807</v>
      </c>
      <c r="HC39" s="2955">
        <v>125250</v>
      </c>
      <c r="HD39" s="2956">
        <v>117689</v>
      </c>
      <c r="HE39" s="2957">
        <v>112856</v>
      </c>
      <c r="HF39" s="2958">
        <v>121816</v>
      </c>
      <c r="HG39" s="2958">
        <v>128816</v>
      </c>
      <c r="HH39" s="2959">
        <v>123890</v>
      </c>
      <c r="HI39" s="2955">
        <v>114090</v>
      </c>
      <c r="HJ39" s="2955">
        <v>131410</v>
      </c>
      <c r="HK39" s="2955">
        <v>142127</v>
      </c>
      <c r="HL39" s="2955">
        <v>145831</v>
      </c>
      <c r="HM39" s="2960">
        <v>138338</v>
      </c>
      <c r="HN39" s="2960">
        <v>150791</v>
      </c>
      <c r="HO39" s="2960">
        <v>166214</v>
      </c>
      <c r="HP39" s="2960">
        <v>173587</v>
      </c>
      <c r="HQ39" s="2961">
        <v>157058</v>
      </c>
      <c r="HR39" s="2961">
        <v>160539</v>
      </c>
      <c r="HS39" s="2961">
        <f>+CP39+CQ39+CR39</f>
        <v>184743</v>
      </c>
      <c r="HT39" s="2961">
        <v>200675</v>
      </c>
      <c r="HU39" s="2962">
        <v>170938</v>
      </c>
      <c r="HV39" s="2962">
        <f>+CY39+CZ39+DA39</f>
        <v>177630</v>
      </c>
      <c r="HW39" s="2962">
        <f>+DB39+DC39+DD39</f>
        <v>177643</v>
      </c>
      <c r="HX39" s="2961">
        <f>+DE39+DF39+DG39</f>
        <v>186666</v>
      </c>
      <c r="HY39" s="2963">
        <f>+DH39+DI39+DJ39</f>
        <v>158691</v>
      </c>
      <c r="HZ39" s="2963">
        <f>+DM39+DL39+DK39</f>
        <v>148422</v>
      </c>
      <c r="IA39" s="2963">
        <f>+DS39+DO39+DN39</f>
        <v>178202</v>
      </c>
      <c r="IB39" s="2963">
        <f>+DQ39+DR39+DS39</f>
        <v>166187</v>
      </c>
      <c r="IC39" s="2955">
        <f>+DT39+DU39+DV39</f>
        <v>151079</v>
      </c>
      <c r="ID39" s="2955">
        <f>+DW39+DX39+DY39</f>
        <v>163125</v>
      </c>
      <c r="IE39" s="2955">
        <f>+DZ39+EA39+EB39</f>
        <v>166705</v>
      </c>
      <c r="IF39" s="2955">
        <f>+EC39+ED39+EE39</f>
        <v>172010</v>
      </c>
      <c r="IG39" s="2964">
        <f>EF39+EG39+EH39</f>
        <v>164604</v>
      </c>
      <c r="IH39" s="2960">
        <f>EI39+EJ39+EK39</f>
        <v>172602</v>
      </c>
      <c r="II39" s="2960">
        <f>EL39+EM39+EN39</f>
        <v>177554</v>
      </c>
      <c r="IJ39" s="2960">
        <f>EO39+EP39+EQ39</f>
        <v>179293</v>
      </c>
      <c r="IK39" s="2965">
        <f t="shared" si="16"/>
        <v>159839</v>
      </c>
      <c r="IL39" s="2966">
        <f t="shared" si="17"/>
        <v>178036</v>
      </c>
      <c r="IM39" s="2966">
        <f t="shared" si="18"/>
        <v>187135</v>
      </c>
      <c r="IN39" s="2966">
        <f t="shared" si="19"/>
        <v>160129</v>
      </c>
      <c r="IO39" s="2967">
        <f t="shared" si="89"/>
        <v>135829</v>
      </c>
      <c r="IP39" s="2968">
        <f t="shared" si="90"/>
        <v>2468</v>
      </c>
      <c r="IQ39" s="2968">
        <f t="shared" si="91"/>
        <v>13936</v>
      </c>
      <c r="IR39" s="2969">
        <f t="shared" si="92"/>
        <v>39174</v>
      </c>
      <c r="IS39" s="2964">
        <f>FP39+FQ39+FR39</f>
        <v>39067</v>
      </c>
      <c r="IT39" s="2960">
        <f>FS39+FT39+FU39</f>
        <v>51181</v>
      </c>
      <c r="IU39" s="2960">
        <f>FV39+FW39+FX39</f>
        <v>82773</v>
      </c>
      <c r="IV39" s="2960">
        <f>FY39+FZ39+GA39</f>
        <v>107975</v>
      </c>
      <c r="IW39" s="4551">
        <f t="shared" ref="IW39" si="103">GB39+GC39+GD39</f>
        <v>52193</v>
      </c>
      <c r="IX39" s="4542">
        <f t="shared" ref="IX39" si="104">GE39+GF39+GG39</f>
        <v>70654</v>
      </c>
      <c r="IY39" s="4542">
        <f t="shared" ref="IY39" si="105">GH39+GI39+GJ39</f>
        <v>115882</v>
      </c>
      <c r="IZ39" s="4552">
        <f t="shared" ref="IZ39" si="106">GK39+GL39+GM39</f>
        <v>142267</v>
      </c>
      <c r="JA39" s="4546"/>
      <c r="JB39" s="3651">
        <f>SUM(JB6:JB38)</f>
        <v>417853</v>
      </c>
      <c r="JC39" s="3651">
        <f>SUM(JC6:JC38)</f>
        <v>471499</v>
      </c>
      <c r="JD39" s="3652">
        <v>461865</v>
      </c>
      <c r="JE39" s="3652">
        <f>SUM(JE6:JE38)</f>
        <v>474221</v>
      </c>
      <c r="JF39" s="3652">
        <f t="shared" ref="JF39:JM39" si="107">SUM(JF6:JF38)</f>
        <v>487378</v>
      </c>
      <c r="JG39" s="3652">
        <f t="shared" si="107"/>
        <v>533458</v>
      </c>
      <c r="JH39" s="3652">
        <f t="shared" si="107"/>
        <v>628958</v>
      </c>
      <c r="JI39" s="3652">
        <f t="shared" si="107"/>
        <v>703015</v>
      </c>
      <c r="JJ39" s="3652">
        <f t="shared" si="107"/>
        <v>712877</v>
      </c>
      <c r="JK39" s="3652">
        <f t="shared" si="107"/>
        <v>627626</v>
      </c>
      <c r="JL39" s="3652">
        <f t="shared" si="107"/>
        <v>652931</v>
      </c>
      <c r="JM39" s="3652">
        <f t="shared" si="107"/>
        <v>694053</v>
      </c>
      <c r="JN39" s="3653">
        <f>SUM(JN6:JN38)</f>
        <v>687000</v>
      </c>
      <c r="JO39" s="3654">
        <f>SUM(JO6:JO38)</f>
        <v>191407</v>
      </c>
      <c r="JP39" s="3654">
        <f>SUM(JP7:JP38)</f>
        <v>280996</v>
      </c>
      <c r="JQ39" s="3654">
        <f>SUM(JQ7:JQ38)</f>
        <v>280996</v>
      </c>
      <c r="JS39" s="3766">
        <f>SUM(JS7:JS38)</f>
        <v>280996</v>
      </c>
      <c r="JT39" s="5743">
        <f>SUM(JT7:JT38)</f>
        <v>280996</v>
      </c>
      <c r="JV39" s="3656">
        <f t="shared" si="84"/>
        <v>251133</v>
      </c>
      <c r="JW39" s="3657"/>
      <c r="JX39" s="3657"/>
      <c r="JY39" s="3657"/>
      <c r="JZ39" s="3657"/>
      <c r="KA39" s="3657"/>
      <c r="KB39" s="3657"/>
      <c r="KC39" s="3657"/>
      <c r="KD39" s="3657"/>
      <c r="KE39" s="3658">
        <f>JL39/JK39-1</f>
        <v>4.0318597381242993E-2</v>
      </c>
      <c r="KF39" s="3658">
        <f>JV39/JK39-1</f>
        <v>-0.59986839296013872</v>
      </c>
      <c r="KG39" s="3659">
        <f>JM39/JL39-1</f>
        <v>6.2980621229502098E-2</v>
      </c>
      <c r="KH39" s="3659">
        <f>JN39/JM39-1</f>
        <v>-1.0162048143297464E-2</v>
      </c>
      <c r="KI39" s="3659">
        <f>JO39/JN39-1</f>
        <v>-0.72138719068413393</v>
      </c>
      <c r="KJ39" s="3660">
        <f t="shared" si="100"/>
        <v>-0.59098107714701609</v>
      </c>
      <c r="KK39" s="3661">
        <f>JP39/JO39-1</f>
        <v>0.4680549823151714</v>
      </c>
    </row>
    <row r="40" spans="1:321" ht="21" customHeight="1" thickBot="1">
      <c r="A40" s="3662"/>
      <c r="B40" s="3471"/>
      <c r="C40" s="3663" t="s">
        <v>478</v>
      </c>
      <c r="D40" s="2761"/>
      <c r="E40" s="2730"/>
      <c r="F40" s="2730"/>
      <c r="G40" s="2725"/>
      <c r="H40" s="2730"/>
      <c r="I40" s="2730"/>
      <c r="J40" s="2730"/>
      <c r="K40" s="2730"/>
      <c r="L40" s="2730"/>
      <c r="M40" s="2725"/>
      <c r="N40" s="2730"/>
      <c r="O40" s="2730"/>
      <c r="P40" s="2730"/>
      <c r="Q40" s="2730"/>
      <c r="R40" s="2730"/>
      <c r="S40" s="2725"/>
      <c r="T40" s="2730"/>
      <c r="U40" s="2730"/>
      <c r="V40" s="2730"/>
      <c r="W40" s="2730"/>
      <c r="X40" s="2730"/>
      <c r="Y40" s="2730"/>
      <c r="Z40" s="2730"/>
      <c r="AA40" s="2730"/>
      <c r="AB40" s="2730">
        <v>0</v>
      </c>
      <c r="AC40" s="2730">
        <v>0</v>
      </c>
      <c r="AD40" s="2730">
        <v>0</v>
      </c>
      <c r="AE40" s="2730">
        <v>0</v>
      </c>
      <c r="AF40" s="2730">
        <v>0</v>
      </c>
      <c r="AG40" s="2730">
        <v>0</v>
      </c>
      <c r="AH40" s="2730">
        <v>0</v>
      </c>
      <c r="AI40" s="2730">
        <v>0</v>
      </c>
      <c r="AJ40" s="2730">
        <v>0</v>
      </c>
      <c r="AK40" s="2730">
        <v>0</v>
      </c>
      <c r="AL40" s="2730">
        <v>0</v>
      </c>
      <c r="AM40" s="2730">
        <v>0</v>
      </c>
      <c r="AN40" s="2730"/>
      <c r="AO40" s="2730"/>
      <c r="AP40" s="2730"/>
      <c r="AQ40" s="2730"/>
      <c r="AR40" s="2730"/>
      <c r="AS40" s="2730"/>
      <c r="AT40" s="2730"/>
      <c r="AU40" s="2730"/>
      <c r="AV40" s="2730"/>
      <c r="AW40" s="2730"/>
      <c r="AX40" s="2730">
        <v>0</v>
      </c>
      <c r="AY40" s="2730">
        <v>0</v>
      </c>
      <c r="AZ40" s="2730">
        <v>0</v>
      </c>
      <c r="BA40" s="2730">
        <v>0</v>
      </c>
      <c r="BB40" s="2730">
        <v>0</v>
      </c>
      <c r="BC40" s="2730"/>
      <c r="BD40" s="2730">
        <v>0</v>
      </c>
      <c r="BE40" s="2730">
        <v>0</v>
      </c>
      <c r="BF40" s="2730"/>
      <c r="BG40" s="2730">
        <v>0</v>
      </c>
      <c r="BH40" s="2730"/>
      <c r="BI40" s="2730">
        <v>0</v>
      </c>
      <c r="BJ40" s="2730">
        <v>0</v>
      </c>
      <c r="BK40" s="2730">
        <v>0</v>
      </c>
      <c r="BL40" s="2730">
        <v>0</v>
      </c>
      <c r="BM40" s="2730"/>
      <c r="BN40" s="2730"/>
      <c r="BO40" s="2730"/>
      <c r="BP40" s="2730"/>
      <c r="BQ40" s="2730"/>
      <c r="BR40" s="2730"/>
      <c r="BS40" s="2730"/>
      <c r="BT40" s="2730">
        <v>0</v>
      </c>
      <c r="BU40" s="2730"/>
      <c r="BV40" s="2730"/>
      <c r="BW40" s="2730"/>
      <c r="BX40" s="2730"/>
      <c r="BY40" s="2730"/>
      <c r="BZ40" s="2730"/>
      <c r="CA40" s="2730"/>
      <c r="CB40" s="2730"/>
      <c r="CC40" s="2730">
        <v>5607</v>
      </c>
      <c r="CD40" s="2730"/>
      <c r="CE40" s="2730"/>
      <c r="CF40" s="2730"/>
      <c r="CG40" s="2730"/>
      <c r="CH40" s="2730"/>
      <c r="CI40" s="2730"/>
      <c r="CJ40" s="2730"/>
      <c r="CK40" s="2730"/>
      <c r="CL40" s="2730"/>
      <c r="CM40" s="2730"/>
      <c r="CN40" s="2730"/>
      <c r="CO40" s="2730"/>
      <c r="CP40" s="2730"/>
      <c r="CQ40" s="2730"/>
      <c r="CR40" s="2730"/>
      <c r="CS40" s="2730"/>
      <c r="CT40" s="2730"/>
      <c r="CU40" s="2730"/>
      <c r="CV40" s="2730"/>
      <c r="CW40" s="2730"/>
      <c r="CX40" s="2730"/>
      <c r="CY40" s="2730"/>
      <c r="CZ40" s="2730"/>
      <c r="DA40" s="2730"/>
      <c r="DB40" s="2730"/>
      <c r="DC40" s="2730"/>
      <c r="DD40" s="2730"/>
      <c r="DE40" s="2730"/>
      <c r="DF40" s="2730"/>
      <c r="DG40" s="2730"/>
      <c r="DH40" s="3476">
        <v>0</v>
      </c>
      <c r="DI40" s="3476">
        <v>0</v>
      </c>
      <c r="DJ40" s="3476">
        <v>0</v>
      </c>
      <c r="DK40" s="3476">
        <v>0</v>
      </c>
      <c r="DL40" s="3476">
        <v>0</v>
      </c>
      <c r="DM40" s="3476">
        <v>0</v>
      </c>
      <c r="DN40" s="3476">
        <v>0</v>
      </c>
      <c r="DO40" s="3476">
        <v>0</v>
      </c>
      <c r="DP40" s="3476">
        <v>0</v>
      </c>
      <c r="DQ40" s="3476">
        <v>0</v>
      </c>
      <c r="DR40" s="3476">
        <v>0</v>
      </c>
      <c r="DS40" s="3476">
        <v>0</v>
      </c>
      <c r="DT40" s="3476">
        <v>0</v>
      </c>
      <c r="DU40" s="3476">
        <v>0</v>
      </c>
      <c r="DV40" s="3476">
        <v>0</v>
      </c>
      <c r="DW40" s="3476">
        <v>0</v>
      </c>
      <c r="DX40" s="3476">
        <v>0</v>
      </c>
      <c r="DY40" s="3476">
        <v>0</v>
      </c>
      <c r="DZ40" s="3476"/>
      <c r="EA40" s="3476"/>
      <c r="EB40" s="3476"/>
      <c r="EC40" s="3476"/>
      <c r="ED40" s="3476"/>
      <c r="EE40" s="3476"/>
      <c r="EF40" s="3664">
        <f>EF39/DT39-1</f>
        <v>5.1208092142955852E-2</v>
      </c>
      <c r="EG40" s="3665">
        <f t="shared" ref="EG40:EQ40" si="108">EG39/DU39-1</f>
        <v>0.11595547309833032</v>
      </c>
      <c r="EH40" s="3665">
        <f t="shared" si="108"/>
        <v>0.10245144257967187</v>
      </c>
      <c r="EI40" s="3665">
        <f t="shared" si="108"/>
        <v>-4.7279534772564302E-2</v>
      </c>
      <c r="EJ40" s="3665">
        <f t="shared" si="108"/>
        <v>0.14808121611565861</v>
      </c>
      <c r="EK40" s="3665">
        <f t="shared" si="108"/>
        <v>7.416740034609437E-2</v>
      </c>
      <c r="EL40" s="3665">
        <f t="shared" si="108"/>
        <v>4.2922309337134701E-2</v>
      </c>
      <c r="EM40" s="3665">
        <f t="shared" si="108"/>
        <v>6.2053205203328243E-2</v>
      </c>
      <c r="EN40" s="3665">
        <f t="shared" si="108"/>
        <v>0.10276252838591615</v>
      </c>
      <c r="EO40" s="3665">
        <f t="shared" si="108"/>
        <v>6.6836909094565078E-2</v>
      </c>
      <c r="EP40" s="3666">
        <f t="shared" si="108"/>
        <v>4.797471990807245E-2</v>
      </c>
      <c r="EQ40" s="3665">
        <f t="shared" si="108"/>
        <v>2.0753047300962058E-2</v>
      </c>
      <c r="ER40" s="3664">
        <f t="shared" ref="ER40:FC40" si="109">ER39/EF39-1</f>
        <v>-4.3413708207258317E-3</v>
      </c>
      <c r="ES40" s="3665">
        <f t="shared" si="109"/>
        <v>-1.8665457568200705E-2</v>
      </c>
      <c r="ET40" s="3665">
        <f>ET39/EH39-1</f>
        <v>-6.0653746814224418E-2</v>
      </c>
      <c r="EU40" s="3665">
        <f t="shared" si="109"/>
        <v>0.11440695681257584</v>
      </c>
      <c r="EV40" s="3665">
        <f t="shared" si="109"/>
        <v>-1.481481481481195E-4</v>
      </c>
      <c r="EW40" s="3665">
        <f t="shared" si="109"/>
        <v>-4.3807585778077307E-4</v>
      </c>
      <c r="EX40" s="3665">
        <f t="shared" si="109"/>
        <v>5.1352496548707549E-2</v>
      </c>
      <c r="EY40" s="3665">
        <f t="shared" si="109"/>
        <v>5.5834482758620796E-2</v>
      </c>
      <c r="EZ40" s="3665">
        <f t="shared" si="109"/>
        <v>5.5739933623895288E-2</v>
      </c>
      <c r="FA40" s="3665">
        <f t="shared" si="109"/>
        <v>-0.1970710745047779</v>
      </c>
      <c r="FB40" s="3666">
        <f t="shared" si="109"/>
        <v>-2.8326023391812893E-2</v>
      </c>
      <c r="FC40" s="3667">
        <f t="shared" si="109"/>
        <v>-0.10008949046367244</v>
      </c>
      <c r="FD40" s="2779">
        <f t="shared" ref="FD40" si="110">FD39/ER39-1</f>
        <v>9.6360753520329245E-2</v>
      </c>
      <c r="FE40" s="2779">
        <f t="shared" ref="FE40" si="111">FE39/ES39-1</f>
        <v>6.6590944093639415E-2</v>
      </c>
      <c r="FF40" s="2779">
        <f t="shared" ref="FF40" si="112">FF39/ET39-1</f>
        <v>-0.5931496622175283</v>
      </c>
      <c r="FG40" s="2779">
        <f t="shared" ref="FG40" si="113">FG39/EU39-1</f>
        <v>-0.99285325730149498</v>
      </c>
      <c r="FH40" s="2779">
        <f t="shared" ref="FH40" si="114">FH39/EV39-1</f>
        <v>-0.98792413690917169</v>
      </c>
      <c r="FI40" s="2779">
        <f t="shared" ref="FI40" si="115">FI39/EW39-1</f>
        <v>-0.97971243973817035</v>
      </c>
      <c r="FJ40" s="2779">
        <f t="shared" ref="FJ40" si="116">FJ39/EX39-1</f>
        <v>-0.95239085779661459</v>
      </c>
      <c r="FK40" s="2779">
        <f t="shared" ref="FK40" si="117">FK39/EY39-1</f>
        <v>-0.92065980387033841</v>
      </c>
      <c r="FL40" s="2779">
        <f t="shared" ref="FL40" si="118">FL39/EZ39-1</f>
        <v>-0.89169791311593383</v>
      </c>
      <c r="FM40" s="2779">
        <f t="shared" ref="FM40" si="119">FM39/FA39-1</f>
        <v>-0.78688293702025769</v>
      </c>
      <c r="FN40" s="2779">
        <f t="shared" ref="FN40" si="120">FN39/FB39-1</f>
        <v>-0.78258416400225694</v>
      </c>
      <c r="FO40" s="2779">
        <f t="shared" ref="FO40" si="121">FO39/FC39-1</f>
        <v>-0.71200161596071965</v>
      </c>
      <c r="FP40" s="2780">
        <f t="shared" ref="FP40" si="122">FP39/FD39-1</f>
        <v>-0.75488525041750598</v>
      </c>
      <c r="FQ40" s="2780">
        <f t="shared" ref="FQ40" si="123">FQ39/FE39-1</f>
        <v>-0.80334999909752181</v>
      </c>
      <c r="FR40" s="2780">
        <f t="shared" ref="FR40" si="124">FR39/FF39-1</f>
        <v>-0.37631472944546396</v>
      </c>
      <c r="FS40" s="2780">
        <f t="shared" ref="FS40" si="125">FS39/FG39-1</f>
        <v>33.729658792650916</v>
      </c>
      <c r="FT40" s="2780">
        <f t="shared" ref="FT40" si="126">FT39/FH39-1</f>
        <v>22.458588957055216</v>
      </c>
      <c r="FU40" s="2780">
        <f t="shared" ref="FU40" si="127">FU39/FI39-1</f>
        <v>14.786759581881533</v>
      </c>
      <c r="FV40" s="2780">
        <f t="shared" ref="FV40" si="128">FV39/FJ39-1</f>
        <v>7.1971600218459866</v>
      </c>
      <c r="FW40" s="2780">
        <f t="shared" ref="FW40" si="129">FW39/FK39-1</f>
        <v>5.0329308452250272</v>
      </c>
      <c r="FX40" s="2780">
        <f t="shared" ref="FX40" si="130">FX39/FL39-1</f>
        <v>3.419478929882847</v>
      </c>
      <c r="FY40" s="2780">
        <f t="shared" ref="FY40" si="131">FY39/FM39-1</f>
        <v>2.2795462055292433</v>
      </c>
      <c r="FZ40" s="2780">
        <f t="shared" ref="FZ40" si="132">FZ39/FN39-1</f>
        <v>2.0475778546712804</v>
      </c>
      <c r="GA40" s="2780">
        <f t="shared" ref="GA40" si="133">GA39/FO39-1</f>
        <v>1.3183166981386565</v>
      </c>
      <c r="GB40" s="4567">
        <f t="shared" ref="GB40" si="134">GB39/FP39-1</f>
        <v>0.29458453325841116</v>
      </c>
      <c r="GC40" s="4568">
        <f t="shared" ref="GC40" si="135">GC39/FQ39-1</f>
        <v>0.30821477742083525</v>
      </c>
      <c r="GD40" s="4568">
        <f t="shared" ref="GD40" si="136">GD39/FR39-1</f>
        <v>0.39999999999999991</v>
      </c>
      <c r="GE40" s="4568">
        <f t="shared" ref="GE40" si="137">GE39/FS39-1</f>
        <v>0.40001511487303509</v>
      </c>
      <c r="GF40" s="4568">
        <f t="shared" ref="GF40" si="138">GF39/FT39-1</f>
        <v>0.33461915658711994</v>
      </c>
      <c r="GG40" s="4568">
        <f t="shared" ref="GG40" si="139">GG39/FU39-1</f>
        <v>0.40001765692592928</v>
      </c>
      <c r="GH40" s="4568">
        <f t="shared" ref="GH40" si="140">GH39/FV39-1</f>
        <v>0.39999333733093478</v>
      </c>
      <c r="GI40" s="4568">
        <f t="shared" ref="GI40" si="141">GI39/FW39-1</f>
        <v>0.39999999999999991</v>
      </c>
      <c r="GJ40" s="4568">
        <f t="shared" ref="GJ40" si="142">GJ39/FX39-1</f>
        <v>0.39999999999999991</v>
      </c>
      <c r="GK40" s="4568">
        <f t="shared" ref="GK40" si="143">GK39/FY39-1</f>
        <v>0.38481947942905115</v>
      </c>
      <c r="GL40" s="4568">
        <f t="shared" ref="GL40" si="144">GL39/FZ39-1</f>
        <v>0.37161510076639237</v>
      </c>
      <c r="GM40" s="4569">
        <f t="shared" ref="GM40" si="145">GM39/GA39-1</f>
        <v>0.22671631370723766</v>
      </c>
      <c r="GN40" s="2781"/>
      <c r="GO40" s="2737">
        <v>0</v>
      </c>
      <c r="GP40" s="2737">
        <v>0</v>
      </c>
      <c r="GQ40" s="2737">
        <v>0</v>
      </c>
      <c r="GR40" s="2737">
        <v>0</v>
      </c>
      <c r="GS40" s="2738">
        <f>GS39/GO39-1</f>
        <v>0.29654068747807782</v>
      </c>
      <c r="GT40" s="2738">
        <f t="shared" ref="GT40" si="146">GT39/GP39-1</f>
        <v>0.16287282518641266</v>
      </c>
      <c r="GU40" s="2738">
        <f t="shared" ref="GU40" si="147">GU39/GQ39-1</f>
        <v>3.8791429311237691E-2</v>
      </c>
      <c r="GV40" s="2738">
        <f t="shared" ref="GV40" si="148">GV39/GR39-1</f>
        <v>5.7017008368004385E-2</v>
      </c>
      <c r="GW40" s="2738">
        <f t="shared" ref="GW40" si="149">GW39/GS39-1</f>
        <v>-0.12803713034509578</v>
      </c>
      <c r="GX40" s="2738">
        <f t="shared" ref="GX40" si="150">GX39/GT39-1</f>
        <v>3.9452474462760012E-3</v>
      </c>
      <c r="GY40" s="2738">
        <f t="shared" ref="GY40" si="151">GY39/GU39-1</f>
        <v>-3.4040100328717182E-3</v>
      </c>
      <c r="GZ40" s="2738">
        <f t="shared" ref="GZ40" si="152">GZ39/GV39-1</f>
        <v>4.8912464015353541E-2</v>
      </c>
      <c r="HA40" s="2738">
        <f t="shared" ref="HA40" si="153">HA39/GW39-1</f>
        <v>0.12927933605452724</v>
      </c>
      <c r="HB40" s="2738">
        <f t="shared" ref="HB40" si="154">HB39/GX39-1</f>
        <v>1.8424554244655278E-2</v>
      </c>
      <c r="HC40" s="2738">
        <f t="shared" ref="HC40" si="155">HC39/GY39-1</f>
        <v>-2.1033132459493009E-2</v>
      </c>
      <c r="HD40" s="2738">
        <f t="shared" ref="HD40" si="156">HD39/GZ39-1</f>
        <v>-3.0833608633410448E-3</v>
      </c>
      <c r="HE40" s="2738">
        <f t="shared" ref="HE40" si="157">HE39/HA39-1</f>
        <v>-3.1071045288688537E-2</v>
      </c>
      <c r="HF40" s="2738">
        <f t="shared" ref="HF40" si="158">HF39/HB39-1</f>
        <v>6.1050284390324672E-2</v>
      </c>
      <c r="HG40" s="2738">
        <f t="shared" ref="HG40" si="159">HG39/HC39-1</f>
        <v>2.8471057884231543E-2</v>
      </c>
      <c r="HH40" s="2738">
        <f t="shared" ref="HH40" si="160">HH39/HD39-1</f>
        <v>5.2689716116204544E-2</v>
      </c>
      <c r="HI40" s="2738">
        <f t="shared" ref="HI40" si="161">HI39/HE39-1</f>
        <v>1.093428794215634E-2</v>
      </c>
      <c r="HJ40" s="2738">
        <f t="shared" ref="HJ40" si="162">HJ39/HF39-1</f>
        <v>7.8758127011230084E-2</v>
      </c>
      <c r="HK40" s="2738">
        <f t="shared" ref="HK40" si="163">HK39/HG39-1</f>
        <v>0.10333343684014418</v>
      </c>
      <c r="HL40" s="2738">
        <f t="shared" ref="HL40" si="164">HL39/HH39-1</f>
        <v>0.17710065380579554</v>
      </c>
      <c r="HM40" s="2738">
        <f t="shared" ref="HM40" si="165">HM39/HI39-1</f>
        <v>0.21253396441405914</v>
      </c>
      <c r="HN40" s="2738">
        <f t="shared" ref="HN40" si="166">HN39/HJ39-1</f>
        <v>0.14748497070238176</v>
      </c>
      <c r="HO40" s="2738">
        <f t="shared" ref="HO40" si="167">HO39/HK39-1</f>
        <v>0.16947518768425418</v>
      </c>
      <c r="HP40" s="2738">
        <f t="shared" ref="HP40" si="168">HP39/HL39-1</f>
        <v>0.19032990242129588</v>
      </c>
      <c r="HQ40" s="2738">
        <f t="shared" ref="HQ40" si="169">HQ39/HM39-1</f>
        <v>0.1353207361679365</v>
      </c>
      <c r="HR40" s="2738">
        <f t="shared" ref="HR40" si="170">HR39/HN39-1</f>
        <v>6.4645767983500413E-2</v>
      </c>
      <c r="HS40" s="2738">
        <f t="shared" ref="HS40" si="171">HS39/HO39-1</f>
        <v>0.11147677090979102</v>
      </c>
      <c r="HT40" s="2738">
        <f t="shared" ref="HT40" si="172">HT39/HP39-1</f>
        <v>0.15604855202290491</v>
      </c>
      <c r="HU40" s="2738">
        <f t="shared" ref="HU40" si="173">HU39/HQ39-1</f>
        <v>8.8374995224694164E-2</v>
      </c>
      <c r="HV40" s="2738">
        <f t="shared" ref="HV40" si="174">HV39/HR39-1</f>
        <v>0.10646011249602894</v>
      </c>
      <c r="HW40" s="2738">
        <f t="shared" ref="HW40" si="175">HW39/HS39-1</f>
        <v>-3.8431767374136006E-2</v>
      </c>
      <c r="HX40" s="2738">
        <f t="shared" ref="HX40" si="176">HX39/HT39-1</f>
        <v>-6.9809393297620481E-2</v>
      </c>
      <c r="HY40" s="2738">
        <f t="shared" ref="HY40" si="177">HY39/HU39-1</f>
        <v>-7.1645859902420783E-2</v>
      </c>
      <c r="HZ40" s="2738">
        <f t="shared" ref="HZ40" si="178">HZ39/HV39-1</f>
        <v>-0.16443168383718965</v>
      </c>
      <c r="IA40" s="2738">
        <f t="shared" ref="IA40" si="179">IA39/HW39-1</f>
        <v>3.14676063790853E-3</v>
      </c>
      <c r="IB40" s="2738">
        <f t="shared" ref="IB40" si="180">IB39/HX39-1</f>
        <v>-0.10970932039043002</v>
      </c>
      <c r="IC40" s="2738">
        <f t="shared" ref="IC40" si="181">IC39/HY39-1</f>
        <v>-4.7967433565860751E-2</v>
      </c>
      <c r="ID40" s="2738">
        <f t="shared" ref="ID40" si="182">ID39/HZ39-1</f>
        <v>9.9062133645955397E-2</v>
      </c>
      <c r="IE40" s="2738">
        <f t="shared" ref="IE40" si="183">IE39/IA39-1</f>
        <v>-6.451667209122236E-2</v>
      </c>
      <c r="IF40" s="2738">
        <f t="shared" ref="IF40" si="184">IF39/IB39-1</f>
        <v>3.5038841786662056E-2</v>
      </c>
      <c r="IG40" s="2738">
        <f t="shared" ref="IG40" si="185">IG39/IC39-1</f>
        <v>8.9522700044347703E-2</v>
      </c>
      <c r="IH40" s="2738">
        <f t="shared" ref="IH40" si="186">IH39/ID39-1</f>
        <v>5.8096551724137857E-2</v>
      </c>
      <c r="II40" s="2738">
        <f t="shared" ref="II40" si="187">II39/IE39-1</f>
        <v>6.5079031822680822E-2</v>
      </c>
      <c r="IJ40" s="2738">
        <f t="shared" ref="IJ40" si="188">IJ39/IF39-1</f>
        <v>4.2340561595256121E-2</v>
      </c>
      <c r="IK40" s="2738">
        <f t="shared" ref="IK40" si="189">IK39/IG39-1</f>
        <v>-2.8948263711695899E-2</v>
      </c>
      <c r="IL40" s="2738">
        <f t="shared" ref="IL40" si="190">IL39/IH39-1</f>
        <v>3.1482833339127048E-2</v>
      </c>
      <c r="IM40" s="2738">
        <f t="shared" ref="IM40" si="191">IM39/II39-1</f>
        <v>5.3961048469761241E-2</v>
      </c>
      <c r="IN40" s="2738">
        <f t="shared" ref="IN40" si="192">IN39/IJ39-1</f>
        <v>-0.10688649305884779</v>
      </c>
      <c r="IO40" s="2738">
        <f t="shared" ref="IO40" si="193">IO39/IK39-1</f>
        <v>-0.15021365248781582</v>
      </c>
      <c r="IP40" s="2738">
        <f t="shared" ref="IP40" si="194">IP39/IL39-1</f>
        <v>-0.98613763508503893</v>
      </c>
      <c r="IQ40" s="2738">
        <f t="shared" ref="IQ40" si="195">IQ39/IM39-1</f>
        <v>-0.92552969781174022</v>
      </c>
      <c r="IR40" s="2738">
        <f t="shared" ref="IR40" si="196">IR39/IN39-1</f>
        <v>-0.75535974120865057</v>
      </c>
      <c r="IS40" s="2738">
        <f t="shared" ref="IS40" si="197">IS39/IO39-1</f>
        <v>-0.71238100847388997</v>
      </c>
      <c r="IT40" s="2738">
        <f t="shared" ref="IT40" si="198">IT39/IP39-1</f>
        <v>19.737844408427875</v>
      </c>
      <c r="IU40" s="2738">
        <f t="shared" ref="IU40" si="199">IU39/IQ39-1</f>
        <v>4.9395091848450061</v>
      </c>
      <c r="IV40" s="2738">
        <f t="shared" ref="IV40" si="200">IV39/IR39-1</f>
        <v>1.756292438862511</v>
      </c>
      <c r="IW40" s="2738">
        <f t="shared" ref="IW40" si="201">IW39/IS39-1</f>
        <v>0.33598689430977546</v>
      </c>
      <c r="IX40" s="2738">
        <f t="shared" ref="IX40" si="202">IX39/IT39-1</f>
        <v>0.38047322248490656</v>
      </c>
      <c r="IY40" s="2738">
        <f t="shared" ref="IY40" si="203">IY39/IU39-1</f>
        <v>0.39999758375315619</v>
      </c>
      <c r="IZ40" s="2738">
        <f t="shared" ref="IZ40" si="204">IZ39/IV39-1</f>
        <v>0.31759203519333168</v>
      </c>
      <c r="JA40" s="2970"/>
      <c r="JB40" s="3668"/>
      <c r="JC40" s="3669">
        <f t="shared" ref="JC40:JM40" si="205">JC39/JB39-1</f>
        <v>0.12838486261915083</v>
      </c>
      <c r="JD40" s="3669">
        <f t="shared" si="205"/>
        <v>-2.0432705053457179E-2</v>
      </c>
      <c r="JE40" s="3669">
        <f t="shared" si="205"/>
        <v>2.6752406006083973E-2</v>
      </c>
      <c r="JF40" s="3669">
        <f t="shared" si="205"/>
        <v>2.7744448263573362E-2</v>
      </c>
      <c r="JG40" s="3669">
        <f t="shared" si="205"/>
        <v>9.4546737850292883E-2</v>
      </c>
      <c r="JH40" s="3669">
        <f t="shared" si="205"/>
        <v>0.17902065392214572</v>
      </c>
      <c r="JI40" s="3669">
        <f t="shared" si="205"/>
        <v>0.11774554103771639</v>
      </c>
      <c r="JJ40" s="3669">
        <f t="shared" si="205"/>
        <v>1.4028150181717214E-2</v>
      </c>
      <c r="JK40" s="3669">
        <f t="shared" si="205"/>
        <v>-0.11958724997439951</v>
      </c>
      <c r="JL40" s="3669">
        <f t="shared" si="205"/>
        <v>4.0318597381242993E-2</v>
      </c>
      <c r="JM40" s="3669">
        <f t="shared" si="205"/>
        <v>6.2980621229502098E-2</v>
      </c>
      <c r="JN40" s="3669">
        <f t="shared" ref="JN40" si="206">JN39/JM39-1</f>
        <v>-1.0162048143297464E-2</v>
      </c>
      <c r="JO40" s="3670">
        <f t="shared" ref="JO40:JQ40" si="207">JO39/JN39-1</f>
        <v>-0.72138719068413393</v>
      </c>
      <c r="JP40" s="3670">
        <f t="shared" si="207"/>
        <v>0.4680549823151714</v>
      </c>
      <c r="JQ40" s="3670">
        <f t="shared" si="207"/>
        <v>0</v>
      </c>
      <c r="JS40" s="3769"/>
      <c r="JT40" s="3769"/>
      <c r="JV40" s="2723"/>
      <c r="JW40" s="2723"/>
      <c r="JX40" s="2723"/>
      <c r="JY40" s="2723"/>
      <c r="JZ40" s="2723"/>
      <c r="KA40" s="2723"/>
      <c r="KB40" s="2723"/>
      <c r="KC40" s="3262"/>
      <c r="KD40" s="2723"/>
      <c r="KE40" s="2723"/>
      <c r="KF40" s="2723"/>
      <c r="KG40" s="2723"/>
      <c r="KH40" s="2723"/>
      <c r="KI40" s="2723"/>
      <c r="KJ40" s="2723"/>
      <c r="KK40" s="2723"/>
    </row>
    <row r="41" spans="1:321" ht="21" customHeight="1">
      <c r="A41" s="3671"/>
      <c r="B41" s="3671"/>
      <c r="C41" s="3671"/>
      <c r="D41" s="3671"/>
      <c r="E41" s="3671"/>
      <c r="F41" s="3671"/>
      <c r="G41" s="3671"/>
      <c r="H41" s="3671"/>
      <c r="I41" s="3671"/>
      <c r="J41" s="3671"/>
      <c r="K41" s="3671"/>
      <c r="L41" s="3671"/>
      <c r="M41" s="3671"/>
      <c r="N41" s="3671"/>
      <c r="O41" s="3671"/>
      <c r="P41" s="3671"/>
      <c r="Q41" s="3671"/>
      <c r="R41" s="3671"/>
      <c r="S41" s="3671"/>
      <c r="T41" s="3671"/>
      <c r="U41" s="3671"/>
      <c r="V41" s="3671"/>
      <c r="W41" s="3671"/>
      <c r="X41" s="3671"/>
      <c r="Y41" s="3671"/>
      <c r="Z41" s="3671"/>
      <c r="AA41" s="3671"/>
      <c r="AB41" s="3671"/>
      <c r="AC41" s="3671"/>
      <c r="AD41" s="3671"/>
      <c r="AE41" s="3671"/>
      <c r="AF41" s="3671"/>
      <c r="AG41" s="3671"/>
      <c r="AH41" s="3671"/>
      <c r="AI41" s="3671"/>
      <c r="AJ41" s="3671"/>
      <c r="AK41" s="3671"/>
      <c r="AL41" s="3671"/>
      <c r="AM41" s="3671"/>
      <c r="AN41" s="3671"/>
      <c r="AO41" s="3671"/>
      <c r="AP41" s="3671"/>
      <c r="AQ41" s="3671"/>
      <c r="AR41" s="3671"/>
      <c r="AS41" s="3671"/>
      <c r="AT41" s="3671"/>
      <c r="AU41" s="3671"/>
      <c r="AV41" s="3671"/>
      <c r="AW41" s="3671"/>
      <c r="AX41" s="3671"/>
      <c r="AY41" s="3671"/>
      <c r="AZ41" s="3671"/>
      <c r="BA41" s="3671"/>
      <c r="BB41" s="3671"/>
      <c r="BC41" s="3671"/>
      <c r="BD41" s="3671"/>
      <c r="BE41" s="3671"/>
      <c r="BF41" s="3671"/>
      <c r="BG41" s="3671"/>
      <c r="BH41" s="3671"/>
      <c r="BI41" s="3671"/>
      <c r="BJ41" s="3671"/>
      <c r="BK41" s="3671"/>
      <c r="BL41" s="3671"/>
      <c r="BM41" s="3671"/>
      <c r="BN41" s="3671"/>
      <c r="BO41" s="3671"/>
      <c r="BP41" s="3671"/>
      <c r="BQ41" s="3671"/>
      <c r="BR41" s="3671"/>
      <c r="BS41" s="3671"/>
      <c r="BT41" s="3671"/>
      <c r="BU41" s="3671"/>
      <c r="BV41" s="3671"/>
      <c r="BW41" s="3671"/>
      <c r="BX41" s="3671"/>
      <c r="BY41" s="3671"/>
      <c r="BZ41" s="3671"/>
      <c r="CA41" s="3671"/>
      <c r="CB41" s="3671"/>
      <c r="CC41" s="3671"/>
      <c r="CD41" s="3671"/>
      <c r="CE41" s="3671"/>
      <c r="CF41" s="3671"/>
      <c r="CG41" s="3671"/>
      <c r="CH41" s="3671"/>
      <c r="CI41" s="3671"/>
      <c r="CJ41" s="3671"/>
      <c r="CK41" s="3671"/>
      <c r="CL41" s="3671"/>
      <c r="CM41" s="3671"/>
      <c r="CN41" s="3671"/>
      <c r="CO41" s="3671"/>
      <c r="CP41" s="3671"/>
      <c r="CQ41" s="3671"/>
      <c r="CR41" s="3671"/>
      <c r="CS41" s="3671"/>
      <c r="CT41" s="3671"/>
      <c r="CU41" s="3671"/>
      <c r="CV41" s="3671"/>
      <c r="CW41" s="3671"/>
      <c r="CX41" s="3671"/>
      <c r="CY41" s="3671"/>
      <c r="CZ41" s="3671"/>
      <c r="DA41" s="3671"/>
      <c r="DB41" s="3671"/>
      <c r="DC41" s="3671"/>
      <c r="DD41" s="3671"/>
      <c r="DE41" s="3671"/>
      <c r="DF41" s="3671"/>
      <c r="DG41" s="3671"/>
      <c r="DH41" s="3672"/>
      <c r="DI41" s="3672"/>
      <c r="DJ41" s="3672"/>
      <c r="DK41" s="3672"/>
      <c r="DL41" s="3672"/>
      <c r="DM41" s="3672"/>
      <c r="DN41" s="3672"/>
      <c r="DO41" s="3672"/>
      <c r="DP41" s="3672"/>
      <c r="DQ41" s="3672"/>
      <c r="DR41" s="3672"/>
      <c r="DS41" s="3672"/>
      <c r="DT41" s="3672"/>
      <c r="DU41" s="3672"/>
      <c r="DV41" s="3672"/>
      <c r="DW41" s="3672"/>
      <c r="DX41" s="3672"/>
      <c r="DY41" s="3672"/>
      <c r="DZ41" s="3672"/>
      <c r="EA41" s="3672"/>
      <c r="EB41" s="3672"/>
      <c r="EC41" s="3672"/>
      <c r="ED41" s="3672"/>
      <c r="EE41" s="3672"/>
      <c r="EF41" s="3673"/>
      <c r="EG41" s="3674"/>
      <c r="EH41" s="3674"/>
      <c r="EI41" s="3674"/>
      <c r="EJ41" s="3674"/>
      <c r="EK41" s="3674"/>
      <c r="EL41" s="3674"/>
      <c r="EM41" s="3674"/>
      <c r="EN41" s="3674"/>
      <c r="EO41" s="3674"/>
      <c r="EP41" s="3674"/>
      <c r="EQ41" s="3674"/>
      <c r="ER41" s="3673"/>
      <c r="ES41" s="3674"/>
      <c r="ET41" s="3674"/>
      <c r="EU41" s="3674"/>
      <c r="EV41" s="3674"/>
      <c r="EW41" s="3674"/>
      <c r="EX41" s="3674"/>
      <c r="EY41" s="3674"/>
      <c r="EZ41" s="3674"/>
      <c r="FA41" s="3674"/>
      <c r="FB41" s="3674"/>
      <c r="FC41" s="3675"/>
      <c r="FD41" s="2739"/>
      <c r="FE41" s="2739"/>
      <c r="FF41" s="2739"/>
      <c r="FG41" s="2739"/>
      <c r="FH41" s="2739"/>
      <c r="FI41" s="2739"/>
      <c r="FJ41" s="2739"/>
      <c r="FK41" s="2739"/>
      <c r="FL41" s="2739"/>
      <c r="FM41" s="2739"/>
      <c r="FN41" s="2739"/>
      <c r="FO41" s="2739"/>
      <c r="FP41" s="2740"/>
      <c r="FQ41" s="2740"/>
      <c r="FR41" s="2740"/>
      <c r="FS41" s="2740"/>
      <c r="FT41" s="2740"/>
      <c r="FU41" s="2740"/>
      <c r="FV41" s="2740"/>
      <c r="FW41" s="2740"/>
      <c r="FX41" s="2740"/>
      <c r="FY41" s="2740"/>
      <c r="FZ41" s="2740"/>
      <c r="GA41" s="2740"/>
      <c r="GB41" s="2740"/>
      <c r="GC41" s="2740"/>
      <c r="GD41" s="2740"/>
      <c r="GE41" s="2740"/>
      <c r="GF41" s="2740"/>
      <c r="GG41" s="2740"/>
      <c r="GH41" s="2740"/>
      <c r="GI41" s="2740"/>
      <c r="GJ41" s="2740"/>
      <c r="GK41" s="2740"/>
      <c r="GL41" s="2740"/>
      <c r="GM41" s="2740"/>
      <c r="GN41" s="2741"/>
      <c r="GO41" s="2741"/>
      <c r="GP41" s="2741"/>
      <c r="GQ41" s="2741"/>
      <c r="GR41" s="2741"/>
      <c r="GS41" s="2741"/>
      <c r="GT41" s="2741"/>
      <c r="GU41" s="2741"/>
      <c r="GV41" s="2741"/>
      <c r="GW41" s="2741"/>
      <c r="GX41" s="2741"/>
      <c r="GY41" s="2741"/>
      <c r="GZ41" s="2741"/>
      <c r="HA41" s="2741"/>
      <c r="HB41" s="2741"/>
      <c r="HC41" s="2741"/>
      <c r="HD41" s="2741"/>
      <c r="HE41" s="2741"/>
      <c r="HF41" s="2741"/>
      <c r="HG41" s="2741"/>
      <c r="HH41" s="2741"/>
      <c r="HI41" s="2741"/>
      <c r="HJ41" s="2741"/>
      <c r="HK41" s="2741"/>
      <c r="HL41" s="2741"/>
      <c r="HM41" s="2741"/>
      <c r="HN41" s="2741"/>
      <c r="HO41" s="2741"/>
      <c r="HP41" s="2741"/>
      <c r="HQ41" s="2741"/>
      <c r="HR41" s="2741"/>
      <c r="HS41" s="2741"/>
      <c r="HT41" s="2741"/>
      <c r="HU41" s="2741"/>
      <c r="HV41" s="2741"/>
      <c r="HW41" s="2741"/>
      <c r="HX41" s="2741"/>
      <c r="HY41" s="2741"/>
      <c r="HZ41" s="2741"/>
      <c r="IA41" s="2741"/>
      <c r="IB41" s="2741"/>
      <c r="IC41" s="2741"/>
      <c r="ID41" s="2741"/>
      <c r="IE41" s="2741"/>
      <c r="IF41" s="2741"/>
      <c r="IG41" s="2741"/>
      <c r="IH41" s="2741"/>
      <c r="II41" s="2741"/>
      <c r="IJ41" s="2741"/>
      <c r="IK41" s="2741"/>
      <c r="IL41" s="2741"/>
      <c r="IM41" s="2741"/>
      <c r="IN41" s="2741"/>
      <c r="IO41" s="2741"/>
      <c r="IP41" s="2741"/>
      <c r="IQ41" s="2741"/>
      <c r="IR41" s="2741"/>
      <c r="IS41" s="2741"/>
      <c r="IT41" s="2741"/>
      <c r="IU41" s="2741"/>
      <c r="IV41" s="2741"/>
      <c r="IW41" s="2741"/>
      <c r="IX41" s="2741"/>
      <c r="IY41" s="2741"/>
      <c r="IZ41" s="2741"/>
      <c r="JA41" s="2741"/>
      <c r="JB41" s="3676"/>
      <c r="JC41" s="3676"/>
      <c r="JD41" s="3676"/>
      <c r="JE41" s="3676"/>
      <c r="JF41" s="3676"/>
      <c r="JG41" s="3676"/>
      <c r="JH41" s="3676"/>
      <c r="JI41" s="3676"/>
      <c r="JJ41" s="3676"/>
      <c r="JK41" s="3677"/>
      <c r="JL41" s="3677"/>
      <c r="JM41" s="3677"/>
      <c r="JN41" s="3677"/>
      <c r="JO41" s="3678"/>
      <c r="JP41" s="3678"/>
      <c r="JQ41" s="3678"/>
      <c r="JS41" s="3769"/>
      <c r="JT41" s="3769"/>
      <c r="JV41" s="2723"/>
      <c r="JW41" s="2723"/>
      <c r="JX41" s="2723"/>
      <c r="JY41" s="2723"/>
      <c r="JZ41" s="2723"/>
      <c r="KA41" s="2723"/>
      <c r="KB41" s="2723"/>
      <c r="KC41" s="3262"/>
      <c r="KD41" s="2723"/>
      <c r="KE41" s="2723"/>
      <c r="KF41" s="2723"/>
      <c r="KG41" s="2723"/>
      <c r="KH41" s="2723"/>
      <c r="KI41" s="2723"/>
      <c r="KJ41" s="2723"/>
      <c r="KK41" s="2723"/>
    </row>
    <row r="42" spans="1:321" s="3689" customFormat="1" ht="29.4" thickBot="1">
      <c r="A42" s="3680"/>
      <c r="B42" s="3680"/>
      <c r="C42" s="3681" t="s">
        <v>1101</v>
      </c>
      <c r="D42" s="3682"/>
      <c r="E42" s="3682"/>
      <c r="F42" s="3682"/>
      <c r="G42" s="3682"/>
      <c r="H42" s="3682"/>
      <c r="I42" s="3682"/>
      <c r="J42" s="3682"/>
      <c r="K42" s="3682"/>
      <c r="L42" s="3682"/>
      <c r="M42" s="3682"/>
      <c r="N42" s="3682"/>
      <c r="O42" s="3682"/>
      <c r="P42" s="3682"/>
      <c r="Q42" s="3682"/>
      <c r="R42" s="3682"/>
      <c r="S42" s="3682"/>
      <c r="T42" s="3682"/>
      <c r="U42" s="3682"/>
      <c r="V42" s="3682"/>
      <c r="W42" s="3682"/>
      <c r="X42" s="3682"/>
      <c r="Y42" s="3682"/>
      <c r="Z42" s="3682"/>
      <c r="AA42" s="3682"/>
      <c r="AB42" s="3682"/>
      <c r="AC42" s="3682"/>
      <c r="AD42" s="3682"/>
      <c r="AE42" s="3682"/>
      <c r="AF42" s="3682"/>
      <c r="AG42" s="3682"/>
      <c r="AH42" s="3682"/>
      <c r="AI42" s="3682"/>
      <c r="AJ42" s="3682"/>
      <c r="AK42" s="3682"/>
      <c r="AL42" s="3682"/>
      <c r="AM42" s="3682"/>
      <c r="AN42" s="3682"/>
      <c r="AO42" s="3682"/>
      <c r="AP42" s="3682"/>
      <c r="AQ42" s="3682"/>
      <c r="AR42" s="3682"/>
      <c r="AS42" s="3682"/>
      <c r="AT42" s="3682"/>
      <c r="AU42" s="3682"/>
      <c r="AV42" s="3682"/>
      <c r="AW42" s="3682"/>
      <c r="AX42" s="3682"/>
      <c r="AY42" s="3682"/>
      <c r="AZ42" s="3682"/>
      <c r="BA42" s="3682"/>
      <c r="BB42" s="3682"/>
      <c r="BC42" s="3682"/>
      <c r="BD42" s="3682"/>
      <c r="BE42" s="3682"/>
      <c r="BF42" s="3682"/>
      <c r="BG42" s="3682"/>
      <c r="BH42" s="3682"/>
      <c r="BI42" s="3682"/>
      <c r="BJ42" s="3682"/>
      <c r="BK42" s="3682"/>
      <c r="BL42" s="3682"/>
      <c r="BM42" s="3682"/>
      <c r="BN42" s="3682"/>
      <c r="BO42" s="3682"/>
      <c r="BP42" s="3682"/>
      <c r="BQ42" s="3682"/>
      <c r="BR42" s="3682"/>
      <c r="BS42" s="3682"/>
      <c r="BT42" s="3682"/>
      <c r="BU42" s="3682"/>
      <c r="BV42" s="3682"/>
      <c r="BW42" s="3682"/>
      <c r="BX42" s="3682"/>
      <c r="BY42" s="3682"/>
      <c r="BZ42" s="3682"/>
      <c r="CA42" s="3682"/>
      <c r="CB42" s="3682"/>
      <c r="CC42" s="3682"/>
      <c r="CD42" s="3682"/>
      <c r="CE42" s="3682"/>
      <c r="CF42" s="3682"/>
      <c r="CG42" s="3682"/>
      <c r="CH42" s="3682"/>
      <c r="CI42" s="3682"/>
      <c r="CJ42" s="3682"/>
      <c r="CK42" s="3682"/>
      <c r="CL42" s="3682"/>
      <c r="CM42" s="3682"/>
      <c r="CN42" s="3682"/>
      <c r="CO42" s="3682"/>
      <c r="CP42" s="3682"/>
      <c r="CQ42" s="3682"/>
      <c r="CR42" s="3682"/>
      <c r="CS42" s="3682"/>
      <c r="CT42" s="3682"/>
      <c r="CU42" s="3682"/>
      <c r="CV42" s="3682"/>
      <c r="CW42" s="3682"/>
      <c r="CX42" s="3682"/>
      <c r="CY42" s="3682"/>
      <c r="CZ42" s="3682"/>
      <c r="DA42" s="3682"/>
      <c r="DB42" s="3682"/>
      <c r="DC42" s="3682"/>
      <c r="DD42" s="3682"/>
      <c r="DE42" s="3682"/>
      <c r="DF42" s="3682"/>
      <c r="DG42" s="3682"/>
      <c r="DH42" s="3683"/>
      <c r="DI42" s="3683"/>
      <c r="DJ42" s="3683"/>
      <c r="DK42" s="3683"/>
      <c r="DL42" s="3683"/>
      <c r="DM42" s="3683"/>
      <c r="DN42" s="3683"/>
      <c r="DO42" s="3683"/>
      <c r="DP42" s="3684" t="s">
        <v>1115</v>
      </c>
      <c r="DQ42" s="3683"/>
      <c r="DR42" s="3683"/>
      <c r="DS42" s="3683"/>
      <c r="DT42" s="3683"/>
      <c r="DU42" s="3683"/>
      <c r="DV42" s="3683"/>
      <c r="DW42" s="3683"/>
      <c r="DX42" s="3683"/>
      <c r="DY42" s="3683"/>
      <c r="DZ42" s="3683"/>
      <c r="EA42" s="3683"/>
      <c r="EB42" s="3683"/>
      <c r="EC42" s="3683"/>
      <c r="ED42" s="3683"/>
      <c r="EE42" s="3683"/>
      <c r="EF42" s="3685"/>
      <c r="EG42" s="3683"/>
      <c r="EH42" s="3683"/>
      <c r="EI42" s="3683"/>
      <c r="EJ42" s="3683"/>
      <c r="EK42" s="3683"/>
      <c r="EL42" s="3683"/>
      <c r="EM42" s="3683"/>
      <c r="EN42" s="3683"/>
      <c r="EO42" s="3683"/>
      <c r="EP42" s="3683"/>
      <c r="EQ42" s="3683"/>
      <c r="ER42" s="3685">
        <f>ER39-'Llegadas '!N4</f>
        <v>0</v>
      </c>
      <c r="ES42" s="3683">
        <f>ES39-'Llegadas '!N5</f>
        <v>0</v>
      </c>
      <c r="ET42" s="3683">
        <f>ET39-'Llegadas '!N6</f>
        <v>247</v>
      </c>
      <c r="EU42" s="3683">
        <f>EU39-'Llegadas '!N7</f>
        <v>0</v>
      </c>
      <c r="EV42" s="3683">
        <f>EV39-'Llegadas '!N8</f>
        <v>0</v>
      </c>
      <c r="EW42" s="3683">
        <f>EW39-'Llegadas '!N9</f>
        <v>0</v>
      </c>
      <c r="EX42" s="3683">
        <f>EX39-'Llegadas '!N10</f>
        <v>0</v>
      </c>
      <c r="EY42" s="3683">
        <f>EY39-'Llegadas '!N11</f>
        <v>0</v>
      </c>
      <c r="EZ42" s="3683">
        <f>EZ39-'Llegadas '!N12</f>
        <v>0</v>
      </c>
      <c r="FA42" s="3683">
        <f>FA39-'Llegadas '!N13</f>
        <v>175</v>
      </c>
      <c r="FB42" s="3683">
        <f>FB39-'Llegadas '!N14</f>
        <v>177</v>
      </c>
      <c r="FC42" s="3686">
        <f>FC39-'Llegadas '!N15</f>
        <v>150</v>
      </c>
      <c r="FD42" s="3687">
        <f>FD39-'Llegadas '!O4</f>
        <v>283</v>
      </c>
      <c r="FE42" s="3687">
        <f>FE39-'Llegadas '!O5</f>
        <v>504</v>
      </c>
      <c r="FF42" s="3687">
        <f>FF39-'Llegadas '!O6</f>
        <v>137</v>
      </c>
      <c r="FG42" s="3687">
        <f>FG39-'Llegadas '!O7</f>
        <v>2</v>
      </c>
      <c r="FH42" s="3687">
        <f>FH39-'Llegadas '!O8</f>
        <v>2</v>
      </c>
      <c r="FI42" s="3687">
        <f>FI39-'Llegadas '!O9</f>
        <v>4</v>
      </c>
      <c r="FJ42" s="3687">
        <f>FJ39-'Llegadas '!O10</f>
        <v>7</v>
      </c>
      <c r="FK42" s="3687">
        <f>FK39-'Llegadas '!O11</f>
        <v>2</v>
      </c>
      <c r="FL42" s="3687">
        <f>FL39-'Llegadas '!O12</f>
        <v>11</v>
      </c>
      <c r="FM42" s="3687">
        <f>FM39-'Llegadas '!O13</f>
        <v>16</v>
      </c>
      <c r="FN42" s="3687">
        <f>FN39-'Llegadas '!O14</f>
        <v>7</v>
      </c>
      <c r="FO42" s="3687">
        <f>FO39-'Llegadas '!O15</f>
        <v>15</v>
      </c>
      <c r="FP42" s="3688">
        <f>FP39-'Llegadas '!P4</f>
        <v>0</v>
      </c>
      <c r="FQ42" s="3688">
        <f>FQ39-'Llegadas '!P5</f>
        <v>0</v>
      </c>
      <c r="FR42" s="3688">
        <f>FR39-'Llegadas '!P6</f>
        <v>0</v>
      </c>
      <c r="FS42" s="3688">
        <f>FS39-'Llegadas '!P7</f>
        <v>0</v>
      </c>
      <c r="FT42" s="3688">
        <f>FT39-'Llegadas '!P8</f>
        <v>0</v>
      </c>
      <c r="FU42" s="3688">
        <f>FU39-'Llegadas '!P9</f>
        <v>0</v>
      </c>
      <c r="FV42" s="3688">
        <f>FV39-'Llegadas '!P10</f>
        <v>0</v>
      </c>
      <c r="FW42" s="3688">
        <f>FW39-'Llegadas '!P11</f>
        <v>0</v>
      </c>
      <c r="FX42" s="3688">
        <f>FX39-'Llegadas '!P12</f>
        <v>0</v>
      </c>
      <c r="FY42" s="3688">
        <f>FY39-'Llegadas '!P13</f>
        <v>0</v>
      </c>
      <c r="FZ42" s="3688">
        <f>FZ39-'Llegadas '!P14</f>
        <v>0</v>
      </c>
      <c r="GA42" s="3688">
        <f>GA39-'Llegadas '!P15</f>
        <v>0</v>
      </c>
      <c r="GB42" s="3688"/>
      <c r="GC42" s="3688"/>
      <c r="GD42" s="3688"/>
      <c r="GE42" s="3688"/>
      <c r="GF42" s="3688"/>
      <c r="GG42" s="3688"/>
      <c r="GH42" s="3688"/>
      <c r="GI42" s="3688"/>
      <c r="GJ42" s="3688"/>
      <c r="GK42" s="3688"/>
      <c r="GL42" s="3688"/>
      <c r="GM42" s="3688"/>
      <c r="GO42" s="3690"/>
      <c r="GP42" s="3682"/>
      <c r="GQ42" s="3682"/>
      <c r="GR42" s="3682"/>
      <c r="GS42" s="3682"/>
      <c r="GT42" s="3682"/>
      <c r="GU42" s="3682"/>
      <c r="GV42" s="3682"/>
      <c r="GW42" s="3682"/>
      <c r="GX42" s="3682"/>
      <c r="GY42" s="3682"/>
      <c r="GZ42" s="3682"/>
      <c r="HA42" s="3682"/>
      <c r="HB42" s="3682"/>
      <c r="HC42" s="3682"/>
      <c r="HD42" s="3682"/>
      <c r="HE42" s="3682"/>
      <c r="HF42" s="3682"/>
      <c r="HG42" s="3682"/>
      <c r="HH42" s="3682"/>
      <c r="HI42" s="3682"/>
      <c r="HJ42" s="3690"/>
      <c r="HK42" s="3690"/>
      <c r="HL42" s="3690"/>
      <c r="HM42" s="3690"/>
      <c r="HN42" s="3690"/>
      <c r="HO42" s="3690"/>
      <c r="HP42" s="3690"/>
      <c r="HQ42" s="3690"/>
      <c r="HR42" s="3690"/>
      <c r="HS42" s="3690"/>
      <c r="HT42" s="3690"/>
      <c r="HU42" s="3690"/>
      <c r="HV42" s="3690"/>
      <c r="HW42" s="3690"/>
      <c r="HX42" s="3690"/>
      <c r="HY42" s="3691"/>
      <c r="HZ42" s="3691"/>
      <c r="IA42" s="3691"/>
      <c r="IB42" s="3691"/>
      <c r="IC42" s="3691"/>
      <c r="ID42" s="3691"/>
      <c r="IE42" s="3691"/>
      <c r="IF42" s="3690"/>
      <c r="IG42" s="3690"/>
      <c r="IH42" s="3690"/>
      <c r="II42" s="3690"/>
      <c r="IJ42" s="3690"/>
      <c r="IK42" s="3690"/>
      <c r="IL42" s="3690"/>
      <c r="IM42" s="3690"/>
      <c r="IN42" s="3690"/>
      <c r="IP42" s="3690"/>
      <c r="IQ42" s="3690"/>
      <c r="IR42" s="3690"/>
      <c r="IS42" s="3690"/>
      <c r="IT42" s="3690"/>
      <c r="IU42" s="3690"/>
      <c r="IV42" s="3690"/>
      <c r="IW42" s="3690"/>
      <c r="IX42" s="3690"/>
      <c r="IY42" s="3690"/>
      <c r="IZ42" s="3690"/>
      <c r="JA42" s="3682"/>
      <c r="JB42" s="3682">
        <f>SUM(JB6:JB38)</f>
        <v>417853</v>
      </c>
      <c r="JC42" s="3682">
        <f>SUM(JC6:JC38)</f>
        <v>471499</v>
      </c>
      <c r="JD42" s="3682">
        <f>SUM(JD6:JD38)</f>
        <v>469070.5</v>
      </c>
      <c r="JE42" s="3682">
        <f t="shared" ref="JE42:JL42" si="208">SUM(JE6:JE38)</f>
        <v>474221</v>
      </c>
      <c r="JF42" s="3682">
        <f t="shared" si="208"/>
        <v>487378</v>
      </c>
      <c r="JG42" s="3682">
        <f t="shared" si="208"/>
        <v>533458</v>
      </c>
      <c r="JH42" s="3682">
        <f t="shared" si="208"/>
        <v>628958</v>
      </c>
      <c r="JI42" s="3682">
        <f t="shared" si="208"/>
        <v>703015</v>
      </c>
      <c r="JJ42" s="3682">
        <f t="shared" si="208"/>
        <v>712877</v>
      </c>
      <c r="JK42" s="3682">
        <f t="shared" si="208"/>
        <v>627626</v>
      </c>
      <c r="JL42" s="3682">
        <f t="shared" si="208"/>
        <v>652931</v>
      </c>
      <c r="JM42" s="3682">
        <f>SUM(JM6:JM38)</f>
        <v>694053</v>
      </c>
      <c r="JN42" s="4574">
        <f>'Llegadas '!N16-SUM(JN6:JN38)</f>
        <v>-2610</v>
      </c>
      <c r="JO42" s="4574">
        <f>'Llegadas '!O16-SUM(JO6:JO38)</f>
        <v>-990</v>
      </c>
      <c r="JP42" s="4574">
        <f>'Llegadas '!P16-SUM(JP6:JP38)</f>
        <v>0</v>
      </c>
      <c r="JQ42" s="4574">
        <f>'Llegadas '!Q16-SUM(JQ6:JQ38)</f>
        <v>100000</v>
      </c>
      <c r="JR42"/>
      <c r="JS42" s="3770"/>
      <c r="JT42" s="3770"/>
      <c r="JV42" s="3693"/>
      <c r="JW42" s="3693"/>
      <c r="JX42" s="3693"/>
      <c r="JY42" s="3693"/>
      <c r="JZ42" s="3693"/>
      <c r="KC42" s="3693"/>
      <c r="KD42" s="3693"/>
      <c r="KE42" s="3693"/>
      <c r="KF42" s="3693"/>
      <c r="KG42" s="3693"/>
      <c r="KH42" s="3693"/>
      <c r="KI42" s="3693"/>
      <c r="KJ42" s="3693"/>
      <c r="KK42" s="3693"/>
    </row>
    <row r="43" spans="1:321" ht="15" thickBot="1">
      <c r="A43" s="3558"/>
      <c r="B43" s="3514"/>
      <c r="C43" s="3694" t="s">
        <v>1511</v>
      </c>
      <c r="D43" s="3695">
        <f t="shared" ref="D43:AI43" si="209">D6+D7+D8+D9+D10+D11+D12+D13+D14+D15+D16+D18+D19+D20+D21++D25+D30+D33</f>
        <v>25223</v>
      </c>
      <c r="E43" s="3696">
        <f t="shared" si="209"/>
        <v>25575</v>
      </c>
      <c r="F43" s="3696">
        <f t="shared" si="209"/>
        <v>28529</v>
      </c>
      <c r="G43" s="3696">
        <f t="shared" si="209"/>
        <v>23319</v>
      </c>
      <c r="H43" s="3696">
        <f t="shared" si="209"/>
        <v>25215</v>
      </c>
      <c r="I43" s="3696">
        <f t="shared" si="209"/>
        <v>37095</v>
      </c>
      <c r="J43" s="3696">
        <f t="shared" si="209"/>
        <v>43127</v>
      </c>
      <c r="K43" s="3696">
        <f t="shared" si="209"/>
        <v>36568</v>
      </c>
      <c r="L43" s="3696">
        <f t="shared" si="209"/>
        <v>26032</v>
      </c>
      <c r="M43" s="3696">
        <f t="shared" si="209"/>
        <v>28031</v>
      </c>
      <c r="N43" s="3696">
        <f t="shared" si="209"/>
        <v>30467</v>
      </c>
      <c r="O43" s="3697">
        <f t="shared" si="209"/>
        <v>32274</v>
      </c>
      <c r="P43" s="3698">
        <f t="shared" si="209"/>
        <v>29871</v>
      </c>
      <c r="Q43" s="3699">
        <f t="shared" si="209"/>
        <v>39436</v>
      </c>
      <c r="R43" s="3699">
        <f t="shared" si="209"/>
        <v>31587</v>
      </c>
      <c r="S43" s="3699">
        <f t="shared" si="209"/>
        <v>26201</v>
      </c>
      <c r="T43" s="3699">
        <f t="shared" si="209"/>
        <v>30740</v>
      </c>
      <c r="U43" s="3699">
        <f t="shared" si="209"/>
        <v>40181</v>
      </c>
      <c r="V43" s="3699">
        <f t="shared" si="209"/>
        <v>42208</v>
      </c>
      <c r="W43" s="3699">
        <f t="shared" si="209"/>
        <v>36240</v>
      </c>
      <c r="X43" s="3699">
        <f t="shared" si="209"/>
        <v>27538</v>
      </c>
      <c r="Y43" s="3699">
        <f t="shared" si="209"/>
        <v>30018</v>
      </c>
      <c r="Z43" s="3699">
        <f t="shared" si="209"/>
        <v>31075</v>
      </c>
      <c r="AA43" s="3700">
        <f t="shared" si="209"/>
        <v>31119</v>
      </c>
      <c r="AB43" s="3701">
        <f t="shared" si="209"/>
        <v>29538</v>
      </c>
      <c r="AC43" s="3702">
        <f t="shared" si="209"/>
        <v>27409</v>
      </c>
      <c r="AD43" s="3702">
        <f t="shared" si="209"/>
        <v>27968</v>
      </c>
      <c r="AE43" s="3702">
        <f t="shared" si="209"/>
        <v>26393</v>
      </c>
      <c r="AF43" s="3702">
        <f t="shared" si="209"/>
        <v>33078.5</v>
      </c>
      <c r="AG43" s="3702">
        <f t="shared" si="209"/>
        <v>39764</v>
      </c>
      <c r="AH43" s="3702">
        <f t="shared" si="209"/>
        <v>40525</v>
      </c>
      <c r="AI43" s="3702">
        <f t="shared" si="209"/>
        <v>36328</v>
      </c>
      <c r="AJ43" s="3702">
        <f t="shared" ref="AJ43:BO43" si="210">AJ6+AJ7+AJ8+AJ9+AJ10+AJ11+AJ12+AJ13+AJ14+AJ15+AJ16+AJ18+AJ19+AJ20+AJ21++AJ25+AJ30+AJ33</f>
        <v>26540</v>
      </c>
      <c r="AK43" s="3702">
        <f t="shared" si="210"/>
        <v>28612</v>
      </c>
      <c r="AL43" s="3702">
        <f t="shared" si="210"/>
        <v>31163</v>
      </c>
      <c r="AM43" s="3702">
        <f t="shared" si="210"/>
        <v>36967</v>
      </c>
      <c r="AN43" s="3703">
        <f t="shared" si="210"/>
        <v>31497</v>
      </c>
      <c r="AO43" s="3703">
        <f t="shared" si="210"/>
        <v>33059</v>
      </c>
      <c r="AP43" s="3703">
        <f t="shared" si="210"/>
        <v>31226</v>
      </c>
      <c r="AQ43" s="3703">
        <f t="shared" si="210"/>
        <v>25375</v>
      </c>
      <c r="AR43" s="3703">
        <f t="shared" si="210"/>
        <v>31224</v>
      </c>
      <c r="AS43" s="3703">
        <f t="shared" si="210"/>
        <v>39677</v>
      </c>
      <c r="AT43" s="3703">
        <f t="shared" si="210"/>
        <v>41304</v>
      </c>
      <c r="AU43" s="3703">
        <f t="shared" si="210"/>
        <v>35234</v>
      </c>
      <c r="AV43" s="3703">
        <f t="shared" si="210"/>
        <v>26878</v>
      </c>
      <c r="AW43" s="3703">
        <f t="shared" si="210"/>
        <v>30192</v>
      </c>
      <c r="AX43" s="3703">
        <f t="shared" si="210"/>
        <v>30952</v>
      </c>
      <c r="AY43" s="3704">
        <f t="shared" si="210"/>
        <v>34737</v>
      </c>
      <c r="AZ43" s="3705">
        <f t="shared" si="210"/>
        <v>31054</v>
      </c>
      <c r="BA43" s="3706">
        <f t="shared" si="210"/>
        <v>30185</v>
      </c>
      <c r="BB43" s="3706">
        <f t="shared" si="210"/>
        <v>33003</v>
      </c>
      <c r="BC43" s="3706">
        <f t="shared" si="210"/>
        <v>29803</v>
      </c>
      <c r="BD43" s="3706">
        <f t="shared" si="210"/>
        <v>32422</v>
      </c>
      <c r="BE43" s="3706">
        <f t="shared" si="210"/>
        <v>42021</v>
      </c>
      <c r="BF43" s="3706">
        <f t="shared" si="210"/>
        <v>43385</v>
      </c>
      <c r="BG43" s="3706">
        <f t="shared" si="210"/>
        <v>36171</v>
      </c>
      <c r="BH43" s="3706">
        <f t="shared" si="210"/>
        <v>28547</v>
      </c>
      <c r="BI43" s="3706">
        <f t="shared" si="210"/>
        <v>31450</v>
      </c>
      <c r="BJ43" s="3706">
        <f t="shared" si="210"/>
        <v>33596</v>
      </c>
      <c r="BK43" s="3707">
        <f t="shared" si="210"/>
        <v>37697</v>
      </c>
      <c r="BL43" s="3708">
        <f t="shared" si="210"/>
        <v>31735</v>
      </c>
      <c r="BM43" s="3709">
        <f t="shared" si="210"/>
        <v>30414</v>
      </c>
      <c r="BN43" s="3709">
        <f t="shared" si="210"/>
        <v>34869</v>
      </c>
      <c r="BO43" s="3709">
        <f t="shared" si="210"/>
        <v>30389</v>
      </c>
      <c r="BP43" s="3709">
        <f t="shared" ref="BP43:CU43" si="211">BP6+BP7+BP8+BP9+BP10+BP11+BP12+BP13+BP14+BP15+BP16+BP18+BP19+BP20+BP21++BP25+BP30+BP33</f>
        <v>34466</v>
      </c>
      <c r="BQ43" s="3709">
        <f t="shared" si="211"/>
        <v>46627</v>
      </c>
      <c r="BR43" s="3709">
        <f t="shared" si="211"/>
        <v>46948</v>
      </c>
      <c r="BS43" s="3709">
        <f t="shared" si="211"/>
        <v>38644</v>
      </c>
      <c r="BT43" s="3710">
        <f t="shared" si="211"/>
        <v>32439</v>
      </c>
      <c r="BU43" s="3710">
        <f t="shared" si="211"/>
        <v>36780</v>
      </c>
      <c r="BV43" s="3710">
        <f t="shared" si="211"/>
        <v>38152</v>
      </c>
      <c r="BW43" s="3711">
        <f t="shared" si="211"/>
        <v>46617</v>
      </c>
      <c r="BX43" s="3712">
        <f t="shared" si="211"/>
        <v>38561</v>
      </c>
      <c r="BY43" s="3713">
        <f t="shared" si="211"/>
        <v>36966</v>
      </c>
      <c r="BZ43" s="3713">
        <f t="shared" si="211"/>
        <v>40684</v>
      </c>
      <c r="CA43" s="3713">
        <f t="shared" si="211"/>
        <v>33908</v>
      </c>
      <c r="CB43" s="3713">
        <f t="shared" si="211"/>
        <v>40529</v>
      </c>
      <c r="CC43" s="3713">
        <f t="shared" si="211"/>
        <v>52589</v>
      </c>
      <c r="CD43" s="3713">
        <f t="shared" si="211"/>
        <v>54069</v>
      </c>
      <c r="CE43" s="3713">
        <f t="shared" si="211"/>
        <v>44019</v>
      </c>
      <c r="CF43" s="3713">
        <f t="shared" si="211"/>
        <v>40913</v>
      </c>
      <c r="CG43" s="3713">
        <f t="shared" si="211"/>
        <v>43755</v>
      </c>
      <c r="CH43" s="3713">
        <f t="shared" si="211"/>
        <v>46361</v>
      </c>
      <c r="CI43" s="3714">
        <f t="shared" si="211"/>
        <v>53482</v>
      </c>
      <c r="CJ43" s="3715">
        <f t="shared" si="211"/>
        <v>44823</v>
      </c>
      <c r="CK43" s="3716">
        <f t="shared" si="211"/>
        <v>45898</v>
      </c>
      <c r="CL43" s="3716">
        <f t="shared" si="211"/>
        <v>43976</v>
      </c>
      <c r="CM43" s="3716">
        <f t="shared" si="211"/>
        <v>40675</v>
      </c>
      <c r="CN43" s="3716">
        <f t="shared" si="211"/>
        <v>43359</v>
      </c>
      <c r="CO43" s="3716">
        <f t="shared" si="211"/>
        <v>50508</v>
      </c>
      <c r="CP43" s="3716">
        <f t="shared" si="211"/>
        <v>59022</v>
      </c>
      <c r="CQ43" s="3716">
        <f t="shared" si="211"/>
        <v>47308</v>
      </c>
      <c r="CR43" s="3716">
        <f t="shared" si="211"/>
        <v>44357</v>
      </c>
      <c r="CS43" s="3716">
        <f t="shared" si="211"/>
        <v>46870</v>
      </c>
      <c r="CT43" s="3716">
        <f t="shared" si="211"/>
        <v>49675</v>
      </c>
      <c r="CU43" s="3717">
        <f t="shared" si="211"/>
        <v>63922</v>
      </c>
      <c r="CV43" s="3718">
        <f t="shared" ref="CV43:EA43" si="212">CV6+CV7+CV8+CV9+CV10+CV11+CV12+CV13+CV14+CV15+CV16+CV18+CV19+CV20+CV21++CV25+CV30+CV33</f>
        <v>45886</v>
      </c>
      <c r="CW43" s="3719">
        <f t="shared" si="212"/>
        <v>41889</v>
      </c>
      <c r="CX43" s="3720">
        <f t="shared" si="212"/>
        <v>46178</v>
      </c>
      <c r="CY43" s="3720">
        <f t="shared" si="212"/>
        <v>40587</v>
      </c>
      <c r="CZ43" s="3720">
        <f t="shared" si="212"/>
        <v>43709</v>
      </c>
      <c r="DA43" s="3720">
        <f t="shared" si="212"/>
        <v>54164</v>
      </c>
      <c r="DB43" s="3720">
        <f t="shared" si="212"/>
        <v>58111</v>
      </c>
      <c r="DC43" s="3720">
        <f t="shared" si="212"/>
        <v>42213</v>
      </c>
      <c r="DD43" s="3721">
        <f t="shared" si="212"/>
        <v>38295</v>
      </c>
      <c r="DE43" s="3721">
        <f t="shared" si="212"/>
        <v>43082</v>
      </c>
      <c r="DF43" s="3722">
        <f t="shared" si="212"/>
        <v>44444</v>
      </c>
      <c r="DG43" s="3722">
        <f t="shared" si="212"/>
        <v>56700</v>
      </c>
      <c r="DH43" s="3723">
        <f t="shared" si="212"/>
        <v>44510</v>
      </c>
      <c r="DI43" s="3724">
        <f t="shared" si="212"/>
        <v>42725</v>
      </c>
      <c r="DJ43" s="3724">
        <f t="shared" si="212"/>
        <v>46769</v>
      </c>
      <c r="DK43" s="3724">
        <f t="shared" si="212"/>
        <v>34898</v>
      </c>
      <c r="DL43" s="3724">
        <f t="shared" si="212"/>
        <v>39845</v>
      </c>
      <c r="DM43" s="3724">
        <f t="shared" si="212"/>
        <v>54495</v>
      </c>
      <c r="DN43" s="3724">
        <f t="shared" si="212"/>
        <v>56875</v>
      </c>
      <c r="DO43" s="3724">
        <f t="shared" si="212"/>
        <v>40664</v>
      </c>
      <c r="DP43" s="3724">
        <f t="shared" si="212"/>
        <v>32651</v>
      </c>
      <c r="DQ43" s="3724">
        <f t="shared" si="212"/>
        <v>42121</v>
      </c>
      <c r="DR43" s="3724">
        <f t="shared" si="212"/>
        <v>40102</v>
      </c>
      <c r="DS43" s="3725">
        <f t="shared" si="212"/>
        <v>55562</v>
      </c>
      <c r="DT43" s="3726">
        <f t="shared" si="212"/>
        <v>42539</v>
      </c>
      <c r="DU43" s="3727">
        <f t="shared" si="212"/>
        <v>40236</v>
      </c>
      <c r="DV43" s="3727">
        <f t="shared" si="212"/>
        <v>45260</v>
      </c>
      <c r="DW43" s="3727">
        <f t="shared" si="212"/>
        <v>41780</v>
      </c>
      <c r="DX43" s="3727">
        <f t="shared" si="212"/>
        <v>39545</v>
      </c>
      <c r="DY43" s="3727">
        <f t="shared" si="212"/>
        <v>57437</v>
      </c>
      <c r="DZ43" s="3727">
        <f t="shared" si="212"/>
        <v>59137</v>
      </c>
      <c r="EA43" s="3727">
        <f t="shared" si="212"/>
        <v>42564</v>
      </c>
      <c r="EB43" s="3727">
        <f t="shared" ref="EB43:FC43" si="213">EB6+EB7+EB8+EB9+EB10+EB11+EB12+EB13+EB14+EB15+EB16+EB18+EB19+EB20+EB21++EB25+EB30+EB33</f>
        <v>36952</v>
      </c>
      <c r="EC43" s="3727">
        <f t="shared" si="213"/>
        <v>40853</v>
      </c>
      <c r="ED43" s="3727">
        <f t="shared" si="213"/>
        <v>42917</v>
      </c>
      <c r="EE43" s="3728">
        <f t="shared" si="213"/>
        <v>60551</v>
      </c>
      <c r="EF43" s="3729">
        <f t="shared" si="213"/>
        <v>44549</v>
      </c>
      <c r="EG43" s="3729">
        <f t="shared" si="213"/>
        <v>44308</v>
      </c>
      <c r="EH43" s="3729">
        <f t="shared" si="213"/>
        <v>49426</v>
      </c>
      <c r="EI43" s="3729">
        <f t="shared" si="213"/>
        <v>39021</v>
      </c>
      <c r="EJ43" s="3729">
        <f t="shared" si="213"/>
        <v>45549</v>
      </c>
      <c r="EK43" s="3729">
        <f t="shared" si="213"/>
        <v>61329</v>
      </c>
      <c r="EL43" s="3729">
        <f t="shared" si="213"/>
        <v>61035</v>
      </c>
      <c r="EM43" s="3729">
        <f t="shared" si="213"/>
        <v>45323</v>
      </c>
      <c r="EN43" s="3729">
        <f t="shared" si="213"/>
        <v>40910</v>
      </c>
      <c r="EO43" s="3729">
        <f t="shared" si="213"/>
        <v>43322</v>
      </c>
      <c r="EP43" s="3729">
        <f t="shared" si="213"/>
        <v>44417</v>
      </c>
      <c r="EQ43" s="3729">
        <f t="shared" si="213"/>
        <v>61487</v>
      </c>
      <c r="ER43" s="3730">
        <f t="shared" si="213"/>
        <v>44090</v>
      </c>
      <c r="ES43" s="3731">
        <f t="shared" si="213"/>
        <v>43328</v>
      </c>
      <c r="ET43" s="3731">
        <f t="shared" si="213"/>
        <v>45456</v>
      </c>
      <c r="EU43" s="3731">
        <f t="shared" si="213"/>
        <v>43183</v>
      </c>
      <c r="EV43" s="3731">
        <f t="shared" si="213"/>
        <v>44957</v>
      </c>
      <c r="EW43" s="3731">
        <f t="shared" si="213"/>
        <v>57774</v>
      </c>
      <c r="EX43" s="3731">
        <f t="shared" si="213"/>
        <v>61253</v>
      </c>
      <c r="EY43" s="3731">
        <f t="shared" si="213"/>
        <v>49034</v>
      </c>
      <c r="EZ43" s="3731">
        <f t="shared" si="213"/>
        <v>42505</v>
      </c>
      <c r="FA43" s="3731">
        <f t="shared" si="213"/>
        <v>34520</v>
      </c>
      <c r="FB43" s="3731">
        <f t="shared" si="213"/>
        <v>43420</v>
      </c>
      <c r="FC43" s="3732">
        <f t="shared" si="213"/>
        <v>54336</v>
      </c>
      <c r="FD43" s="2971">
        <f>FD7+FD8+FD9+FD10+FD11+FD12+FD13+FD14+FD16+FD18+FD19+FD21</f>
        <v>43270</v>
      </c>
      <c r="FE43" s="2971">
        <f t="shared" ref="FE43:IB43" si="214">FE7+FE8+FE9+FE10+FE11+FE12+FE13+FE14+FE16+FE18+FE19+FE21</f>
        <v>42138</v>
      </c>
      <c r="FF43" s="2971">
        <f t="shared" si="214"/>
        <v>16866</v>
      </c>
      <c r="FG43" s="2971">
        <f t="shared" si="214"/>
        <v>237</v>
      </c>
      <c r="FH43" s="2971">
        <f t="shared" si="214"/>
        <v>365</v>
      </c>
      <c r="FI43" s="2971">
        <f t="shared" si="214"/>
        <v>930</v>
      </c>
      <c r="FJ43" s="2971">
        <f t="shared" si="214"/>
        <v>2880</v>
      </c>
      <c r="FK43" s="2971">
        <f t="shared" si="214"/>
        <v>3603</v>
      </c>
      <c r="FL43" s="2971">
        <f t="shared" si="214"/>
        <v>4796</v>
      </c>
      <c r="FM43" s="2971">
        <f t="shared" si="214"/>
        <v>7690</v>
      </c>
      <c r="FN43" s="2971">
        <f t="shared" si="214"/>
        <v>9532</v>
      </c>
      <c r="FO43" s="2971">
        <f t="shared" si="214"/>
        <v>15204</v>
      </c>
      <c r="FP43" s="2971">
        <f t="shared" si="214"/>
        <v>11220</v>
      </c>
      <c r="FQ43" s="2971">
        <f t="shared" si="214"/>
        <v>8929</v>
      </c>
      <c r="FR43" s="2971">
        <f t="shared" si="214"/>
        <v>11623</v>
      </c>
      <c r="FS43" s="2971">
        <f t="shared" si="214"/>
        <v>10846</v>
      </c>
      <c r="FT43" s="2971">
        <f t="shared" si="214"/>
        <v>13044</v>
      </c>
      <c r="FU43" s="2971">
        <f t="shared" si="214"/>
        <v>19378</v>
      </c>
      <c r="FV43" s="2971">
        <f t="shared" si="214"/>
        <v>25330</v>
      </c>
      <c r="FW43" s="2971">
        <f t="shared" si="214"/>
        <v>23130</v>
      </c>
      <c r="FX43" s="2971">
        <f t="shared" si="214"/>
        <v>20609</v>
      </c>
      <c r="FY43" s="2971">
        <f t="shared" si="214"/>
        <v>24117</v>
      </c>
      <c r="FZ43" s="2971">
        <f t="shared" si="214"/>
        <v>28228</v>
      </c>
      <c r="GA43" s="2971">
        <f t="shared" si="214"/>
        <v>35749</v>
      </c>
      <c r="GB43" s="2971">
        <f t="shared" ref="GB43:GM43" si="215">GB7+GB8+GB9+GB10+GB11+GB12+GB13+GB14+GB16+GB18+GB19+GB21</f>
        <v>0</v>
      </c>
      <c r="GC43" s="2971">
        <f t="shared" si="215"/>
        <v>0</v>
      </c>
      <c r="GD43" s="2971">
        <f t="shared" si="215"/>
        <v>0</v>
      </c>
      <c r="GE43" s="2971">
        <f t="shared" si="215"/>
        <v>0</v>
      </c>
      <c r="GF43" s="2971">
        <f t="shared" si="215"/>
        <v>0</v>
      </c>
      <c r="GG43" s="2971">
        <f t="shared" si="215"/>
        <v>0</v>
      </c>
      <c r="GH43" s="2971">
        <f t="shared" si="215"/>
        <v>0</v>
      </c>
      <c r="GI43" s="2971">
        <f t="shared" si="215"/>
        <v>0</v>
      </c>
      <c r="GJ43" s="2971">
        <f t="shared" si="215"/>
        <v>0</v>
      </c>
      <c r="GK43" s="2971">
        <f t="shared" si="215"/>
        <v>0</v>
      </c>
      <c r="GL43" s="2971">
        <f t="shared" si="215"/>
        <v>0</v>
      </c>
      <c r="GM43" s="2971">
        <f t="shared" si="215"/>
        <v>0</v>
      </c>
      <c r="GN43" s="2972">
        <f t="shared" si="214"/>
        <v>0</v>
      </c>
      <c r="GO43" s="2973">
        <f t="shared" si="214"/>
        <v>58682</v>
      </c>
      <c r="GP43" s="2973">
        <f t="shared" si="214"/>
        <v>63503</v>
      </c>
      <c r="GQ43" s="2973">
        <f t="shared" si="214"/>
        <v>79147</v>
      </c>
      <c r="GR43" s="2973">
        <f t="shared" si="214"/>
        <v>68647</v>
      </c>
      <c r="GS43" s="2973">
        <f t="shared" si="214"/>
        <v>80367</v>
      </c>
      <c r="GT43" s="2973">
        <f t="shared" si="214"/>
        <v>79992</v>
      </c>
      <c r="GU43" s="2973">
        <f t="shared" si="214"/>
        <v>89883</v>
      </c>
      <c r="GV43" s="2973">
        <f t="shared" si="214"/>
        <v>77419</v>
      </c>
      <c r="GW43" s="2973">
        <f t="shared" si="214"/>
        <v>71191</v>
      </c>
      <c r="GX43" s="2973">
        <f t="shared" si="214"/>
        <v>84081</v>
      </c>
      <c r="GY43" s="2973">
        <f t="shared" si="214"/>
        <v>82706</v>
      </c>
      <c r="GZ43" s="2973">
        <f t="shared" si="214"/>
        <v>74642</v>
      </c>
      <c r="HA43" s="2973">
        <f t="shared" si="214"/>
        <v>75791</v>
      </c>
      <c r="HB43" s="2973">
        <f t="shared" si="214"/>
        <v>77733</v>
      </c>
      <c r="HC43" s="2973">
        <f t="shared" si="214"/>
        <v>82440</v>
      </c>
      <c r="HD43" s="2973">
        <f t="shared" si="214"/>
        <v>74779</v>
      </c>
      <c r="HE43" s="2973">
        <f t="shared" si="214"/>
        <v>75640</v>
      </c>
      <c r="HF43" s="2973">
        <f t="shared" si="214"/>
        <v>84794</v>
      </c>
      <c r="HG43" s="2973">
        <f t="shared" si="214"/>
        <v>88858</v>
      </c>
      <c r="HH43" s="2973">
        <f t="shared" si="214"/>
        <v>84425</v>
      </c>
      <c r="HI43" s="2973">
        <f t="shared" si="214"/>
        <v>76858</v>
      </c>
      <c r="HJ43" s="2973">
        <f t="shared" si="214"/>
        <v>95593</v>
      </c>
      <c r="HK43" s="2973">
        <f t="shared" si="214"/>
        <v>101602</v>
      </c>
      <c r="HL43" s="2973">
        <f t="shared" si="214"/>
        <v>101210</v>
      </c>
      <c r="HM43" s="2973">
        <f t="shared" si="214"/>
        <v>95985</v>
      </c>
      <c r="HN43" s="2973">
        <f t="shared" si="214"/>
        <v>105593</v>
      </c>
      <c r="HO43" s="2973">
        <f t="shared" si="214"/>
        <v>115546</v>
      </c>
      <c r="HP43" s="2973">
        <f t="shared" si="214"/>
        <v>117240</v>
      </c>
      <c r="HQ43" s="2973">
        <f t="shared" si="214"/>
        <v>109164</v>
      </c>
      <c r="HR43" s="2973">
        <f t="shared" si="214"/>
        <v>113196</v>
      </c>
      <c r="HS43" s="2973">
        <f t="shared" si="214"/>
        <v>125646</v>
      </c>
      <c r="HT43" s="2973">
        <f t="shared" si="214"/>
        <v>129910</v>
      </c>
      <c r="HU43" s="2973">
        <f t="shared" si="214"/>
        <v>106219</v>
      </c>
      <c r="HV43" s="2973">
        <f t="shared" si="214"/>
        <v>111360</v>
      </c>
      <c r="HW43" s="2973">
        <f t="shared" si="214"/>
        <v>108303</v>
      </c>
      <c r="HX43" s="2973">
        <f t="shared" si="214"/>
        <v>109679</v>
      </c>
      <c r="HY43" s="2973">
        <f t="shared" si="214"/>
        <v>102815</v>
      </c>
      <c r="HZ43" s="2973">
        <f t="shared" si="214"/>
        <v>102206</v>
      </c>
      <c r="IA43" s="2973">
        <f t="shared" si="214"/>
        <v>109972</v>
      </c>
      <c r="IB43" s="2973">
        <f t="shared" si="214"/>
        <v>92991</v>
      </c>
      <c r="IC43" s="2973">
        <f t="shared" ref="IC43:JJ43" si="216">IC7+IC8+IC9+IC10+IC11+IC12+IC13+IC14+IC16+IC18+IC19+IC21</f>
        <v>89551</v>
      </c>
      <c r="ID43" s="2973">
        <f t="shared" si="216"/>
        <v>96184</v>
      </c>
      <c r="IE43" s="2973">
        <f t="shared" si="216"/>
        <v>92151</v>
      </c>
      <c r="IF43" s="2973">
        <f t="shared" si="216"/>
        <v>89840</v>
      </c>
      <c r="IG43" s="2973">
        <f t="shared" si="216"/>
        <v>94106</v>
      </c>
      <c r="IH43" s="2973">
        <f t="shared" si="216"/>
        <v>99924</v>
      </c>
      <c r="II43" s="2973">
        <f t="shared" si="216"/>
        <v>95987</v>
      </c>
      <c r="IJ43" s="2973">
        <f t="shared" si="216"/>
        <v>92308</v>
      </c>
      <c r="IK43" s="2973">
        <f t="shared" si="216"/>
        <v>89778</v>
      </c>
      <c r="IL43" s="2973">
        <f t="shared" si="216"/>
        <v>116249</v>
      </c>
      <c r="IM43" s="2973">
        <f t="shared" si="216"/>
        <v>138901</v>
      </c>
      <c r="IN43" s="2973">
        <f t="shared" si="216"/>
        <v>120786</v>
      </c>
      <c r="IO43" s="2973">
        <f t="shared" si="216"/>
        <v>102274</v>
      </c>
      <c r="IP43" s="2973">
        <f t="shared" si="216"/>
        <v>1532</v>
      </c>
      <c r="IQ43" s="2973">
        <f t="shared" si="216"/>
        <v>130448</v>
      </c>
      <c r="IR43" s="2973">
        <f t="shared" si="216"/>
        <v>32426</v>
      </c>
      <c r="IS43" s="2973">
        <f t="shared" si="216"/>
        <v>31772</v>
      </c>
      <c r="IT43" s="2973">
        <f t="shared" si="216"/>
        <v>43268</v>
      </c>
      <c r="IU43" s="2973">
        <f t="shared" si="216"/>
        <v>69069</v>
      </c>
      <c r="IV43" s="2973">
        <f t="shared" si="216"/>
        <v>88094</v>
      </c>
      <c r="IW43" s="2973">
        <f t="shared" ref="IW43:IZ43" si="217">IW7+IW8+IW9+IW10+IW11+IW12+IW13+IW14+IW16+IW18+IW19+IW21</f>
        <v>0</v>
      </c>
      <c r="IX43" s="2973">
        <f t="shared" si="217"/>
        <v>0</v>
      </c>
      <c r="IY43" s="2973">
        <f t="shared" si="217"/>
        <v>0</v>
      </c>
      <c r="IZ43" s="2973">
        <f t="shared" si="217"/>
        <v>0</v>
      </c>
      <c r="JA43" s="2973">
        <f t="shared" si="216"/>
        <v>0</v>
      </c>
      <c r="JB43" s="3733">
        <f t="shared" si="216"/>
        <v>269979</v>
      </c>
      <c r="JC43" s="3733">
        <f t="shared" si="216"/>
        <v>327661</v>
      </c>
      <c r="JD43" s="3733">
        <f t="shared" si="216"/>
        <v>312620</v>
      </c>
      <c r="JE43" s="3733">
        <f t="shared" si="216"/>
        <v>310743</v>
      </c>
      <c r="JF43" s="3733">
        <f t="shared" si="216"/>
        <v>333717</v>
      </c>
      <c r="JG43" s="3733">
        <f t="shared" si="216"/>
        <v>375263</v>
      </c>
      <c r="JH43" s="3733">
        <f t="shared" si="216"/>
        <v>434364</v>
      </c>
      <c r="JI43" s="3733">
        <f t="shared" si="216"/>
        <v>477916</v>
      </c>
      <c r="JJ43" s="3733">
        <f t="shared" si="216"/>
        <v>435561</v>
      </c>
      <c r="JK43" s="3734">
        <f>JK7+JK8+JK9+JK10+JK11+JK12+JK13+JK14+JK16+JK18+JK19+JK21+JK22+JK25</f>
        <v>429616</v>
      </c>
      <c r="JL43" s="3734">
        <f t="shared" ref="JL43:JS43" si="218">JL7+JL8+JL9+JL10+JL11+JL12+JL13+JL14+JL16+JL18+JL19+JL21+JL22+JL25</f>
        <v>394893</v>
      </c>
      <c r="JM43" s="3734">
        <f t="shared" si="218"/>
        <v>412410</v>
      </c>
      <c r="JN43" s="3734">
        <f t="shared" si="218"/>
        <v>498104</v>
      </c>
      <c r="JO43" s="3734">
        <f t="shared" si="218"/>
        <v>156333</v>
      </c>
      <c r="JP43" s="3734">
        <f t="shared" si="218"/>
        <v>238053</v>
      </c>
      <c r="JQ43" s="3736">
        <f>JQ7+JQ8+JQ9+JQ10+JQ11+JQ12+JQ13+JQ14+JQ16+JQ18+JQ19+JQ21+JQ22+JQ25</f>
        <v>238053</v>
      </c>
      <c r="JS43" s="3734">
        <f t="shared" si="218"/>
        <v>238053</v>
      </c>
      <c r="JT43" s="3734">
        <f t="shared" ref="JT43" si="219">JT7+JT8+JT9+JT10+JT11+JT12+JT13+JT14+JT16+JT18+JT19+JT21+JT22+JT25</f>
        <v>238053</v>
      </c>
      <c r="JV43" s="2723"/>
      <c r="JW43" s="2723"/>
      <c r="JX43" s="2723"/>
      <c r="JY43" s="2723"/>
      <c r="JZ43" s="2723"/>
      <c r="KA43" s="2723"/>
      <c r="KB43" s="2723"/>
      <c r="KC43" s="3262"/>
      <c r="KD43" s="2723"/>
      <c r="KE43" s="2723"/>
      <c r="KF43" s="2723"/>
      <c r="KG43" s="2723"/>
      <c r="KH43" s="2723"/>
      <c r="KI43" s="2723"/>
      <c r="KJ43" s="2723"/>
      <c r="KK43" s="2723"/>
      <c r="KM43" s="3737"/>
      <c r="KN43" s="3737"/>
      <c r="KO43" s="3737"/>
      <c r="KP43" s="3737"/>
      <c r="KQ43" s="3737"/>
      <c r="KR43" s="3737"/>
      <c r="KS43" s="3737"/>
      <c r="KT43" s="3737"/>
      <c r="KU43" s="3737"/>
      <c r="KV43" s="3737"/>
      <c r="KW43" s="3737"/>
      <c r="KX43" s="3737"/>
      <c r="KY43" s="3737"/>
      <c r="KZ43" s="3737"/>
      <c r="LA43" s="3737"/>
      <c r="LB43" s="3737"/>
      <c r="LC43" s="3737"/>
      <c r="LD43" s="3737"/>
      <c r="LE43" s="3737"/>
      <c r="LF43" s="3737"/>
      <c r="LG43" s="3737"/>
      <c r="LH43" s="3737"/>
      <c r="LI43" s="3737"/>
    </row>
    <row r="44" spans="1:321" ht="15" thickBot="1">
      <c r="A44" s="3558"/>
      <c r="B44" s="3514"/>
      <c r="C44" s="3694" t="s">
        <v>1550</v>
      </c>
      <c r="D44" s="3738"/>
      <c r="E44" s="3738"/>
      <c r="F44" s="3738"/>
      <c r="G44" s="3738"/>
      <c r="H44" s="3738"/>
      <c r="I44" s="3738"/>
      <c r="J44" s="3738"/>
      <c r="K44" s="3738"/>
      <c r="L44" s="3738"/>
      <c r="M44" s="3738"/>
      <c r="N44" s="3738"/>
      <c r="O44" s="3738"/>
      <c r="P44" s="3739"/>
      <c r="Q44" s="3739"/>
      <c r="R44" s="3739"/>
      <c r="S44" s="3739"/>
      <c r="T44" s="3739"/>
      <c r="U44" s="3739"/>
      <c r="V44" s="3739"/>
      <c r="W44" s="3739"/>
      <c r="X44" s="3739"/>
      <c r="Y44" s="3739"/>
      <c r="Z44" s="3739"/>
      <c r="AA44" s="3739"/>
      <c r="AB44" s="3740"/>
      <c r="AC44" s="3740"/>
      <c r="AD44" s="3740"/>
      <c r="AE44" s="3740"/>
      <c r="AF44" s="3740"/>
      <c r="AG44" s="3740"/>
      <c r="AH44" s="3740"/>
      <c r="AI44" s="3740"/>
      <c r="AJ44" s="3740"/>
      <c r="AK44" s="3740"/>
      <c r="AL44" s="3740"/>
      <c r="AM44" s="3740"/>
      <c r="AN44" s="3741"/>
      <c r="AO44" s="3741"/>
      <c r="AP44" s="3741"/>
      <c r="AQ44" s="3741"/>
      <c r="AR44" s="3741"/>
      <c r="AS44" s="3741"/>
      <c r="AT44" s="3741"/>
      <c r="AU44" s="3741"/>
      <c r="AV44" s="3741"/>
      <c r="AW44" s="3741"/>
      <c r="AX44" s="3741"/>
      <c r="AY44" s="3741"/>
      <c r="AZ44" s="3742"/>
      <c r="BA44" s="3742"/>
      <c r="BB44" s="3742"/>
      <c r="BC44" s="3742"/>
      <c r="BD44" s="3742"/>
      <c r="BE44" s="3742"/>
      <c r="BF44" s="3742"/>
      <c r="BG44" s="3742"/>
      <c r="BH44" s="3742"/>
      <c r="BI44" s="3742"/>
      <c r="BJ44" s="3742"/>
      <c r="BK44" s="3742"/>
      <c r="BL44" s="3743"/>
      <c r="BM44" s="3743"/>
      <c r="BN44" s="3743"/>
      <c r="BO44" s="3743"/>
      <c r="BP44" s="3743"/>
      <c r="BQ44" s="3743"/>
      <c r="BR44" s="3743"/>
      <c r="BS44" s="3743"/>
      <c r="BT44" s="3743"/>
      <c r="BU44" s="3743"/>
      <c r="BV44" s="3743"/>
      <c r="BW44" s="3743"/>
      <c r="BX44" s="3742"/>
      <c r="BY44" s="3742"/>
      <c r="BZ44" s="3742"/>
      <c r="CA44" s="3742"/>
      <c r="CB44" s="3742"/>
      <c r="CC44" s="3742"/>
      <c r="CD44" s="3742"/>
      <c r="CE44" s="3742"/>
      <c r="CF44" s="3742"/>
      <c r="CG44" s="3742"/>
      <c r="CH44" s="3742"/>
      <c r="CI44" s="3742"/>
      <c r="CJ44" s="3744"/>
      <c r="CK44" s="3744"/>
      <c r="CL44" s="3744"/>
      <c r="CM44" s="3744"/>
      <c r="CN44" s="3744"/>
      <c r="CO44" s="3744"/>
      <c r="CP44" s="3744"/>
      <c r="CQ44" s="3744"/>
      <c r="CR44" s="3744"/>
      <c r="CS44" s="3744"/>
      <c r="CT44" s="3744"/>
      <c r="CU44" s="3744"/>
      <c r="CV44" s="3738"/>
      <c r="CW44" s="3738"/>
      <c r="CX44" s="3738"/>
      <c r="CY44" s="3738"/>
      <c r="CZ44" s="3738"/>
      <c r="DA44" s="3738"/>
      <c r="DB44" s="3738"/>
      <c r="DC44" s="3738"/>
      <c r="DD44" s="3738"/>
      <c r="DE44" s="3738"/>
      <c r="DF44" s="3738"/>
      <c r="DG44" s="3738"/>
      <c r="DH44" s="3745"/>
      <c r="DI44" s="3745"/>
      <c r="DJ44" s="3745"/>
      <c r="DK44" s="3745"/>
      <c r="DL44" s="3745"/>
      <c r="DM44" s="3745"/>
      <c r="DN44" s="3745"/>
      <c r="DO44" s="3745"/>
      <c r="DP44" s="3745"/>
      <c r="DQ44" s="3745"/>
      <c r="DR44" s="3745"/>
      <c r="DS44" s="3745"/>
      <c r="DT44" s="3746"/>
      <c r="DU44" s="3746"/>
      <c r="DV44" s="3746"/>
      <c r="DW44" s="3746"/>
      <c r="DX44" s="3746"/>
      <c r="DY44" s="3746"/>
      <c r="DZ44" s="3746"/>
      <c r="EA44" s="3746"/>
      <c r="EB44" s="3746"/>
      <c r="EC44" s="3746"/>
      <c r="ED44" s="3746"/>
      <c r="EE44" s="3746"/>
      <c r="EF44" s="3729"/>
      <c r="EG44" s="3729"/>
      <c r="EH44" s="3729"/>
      <c r="EI44" s="3729"/>
      <c r="EJ44" s="3729"/>
      <c r="EK44" s="3729"/>
      <c r="EL44" s="3729"/>
      <c r="EM44" s="3729"/>
      <c r="EN44" s="3729"/>
      <c r="EO44" s="3729"/>
      <c r="EP44" s="3729"/>
      <c r="EQ44" s="3729"/>
      <c r="ER44" s="3747"/>
      <c r="ES44" s="3748"/>
      <c r="ET44" s="3748"/>
      <c r="EU44" s="3748"/>
      <c r="EV44" s="3748"/>
      <c r="EW44" s="3748"/>
      <c r="EX44" s="3748"/>
      <c r="EY44" s="3748"/>
      <c r="EZ44" s="3748"/>
      <c r="FA44" s="3748"/>
      <c r="FB44" s="3748"/>
      <c r="FC44" s="3749"/>
      <c r="FD44" s="3220">
        <f>FD39-FD43</f>
        <v>14813</v>
      </c>
      <c r="FE44" s="3220">
        <f t="shared" ref="FE44:IB44" si="220">FE39-FE43</f>
        <v>13265</v>
      </c>
      <c r="FF44" s="3220">
        <f t="shared" si="220"/>
        <v>5477</v>
      </c>
      <c r="FG44" s="3220">
        <f t="shared" si="220"/>
        <v>144</v>
      </c>
      <c r="FH44" s="3220">
        <f t="shared" si="220"/>
        <v>287</v>
      </c>
      <c r="FI44" s="3220">
        <f t="shared" si="220"/>
        <v>505</v>
      </c>
      <c r="FJ44" s="3220">
        <f t="shared" si="220"/>
        <v>782</v>
      </c>
      <c r="FK44" s="3220">
        <f t="shared" si="220"/>
        <v>952</v>
      </c>
      <c r="FL44" s="3220">
        <f t="shared" si="220"/>
        <v>923</v>
      </c>
      <c r="FM44" s="3220">
        <f t="shared" si="220"/>
        <v>1389</v>
      </c>
      <c r="FN44" s="3220">
        <f t="shared" si="220"/>
        <v>2028</v>
      </c>
      <c r="FO44" s="3220">
        <f t="shared" si="220"/>
        <v>3331</v>
      </c>
      <c r="FP44" s="3220">
        <f t="shared" si="220"/>
        <v>3017</v>
      </c>
      <c r="FQ44" s="3220">
        <f t="shared" si="220"/>
        <v>1966</v>
      </c>
      <c r="FR44" s="3220">
        <f t="shared" si="220"/>
        <v>2312</v>
      </c>
      <c r="FS44" s="3220">
        <f t="shared" si="220"/>
        <v>2386</v>
      </c>
      <c r="FT44" s="3220">
        <f t="shared" si="220"/>
        <v>2251</v>
      </c>
      <c r="FU44" s="3220">
        <f t="shared" si="220"/>
        <v>3276</v>
      </c>
      <c r="FV44" s="3220">
        <f t="shared" si="220"/>
        <v>4688</v>
      </c>
      <c r="FW44" s="3220">
        <f t="shared" si="220"/>
        <v>4350</v>
      </c>
      <c r="FX44" s="3220">
        <f t="shared" si="220"/>
        <v>4666</v>
      </c>
      <c r="FY44" s="3220">
        <f t="shared" si="220"/>
        <v>5658</v>
      </c>
      <c r="FZ44" s="3220">
        <f t="shared" si="220"/>
        <v>7002</v>
      </c>
      <c r="GA44" s="3220">
        <f t="shared" si="220"/>
        <v>7221</v>
      </c>
      <c r="GB44" s="3220">
        <f t="shared" ref="GB44:GM44" si="221">GB39-GB43</f>
        <v>18431</v>
      </c>
      <c r="GC44" s="3220">
        <f t="shared" si="221"/>
        <v>14253</v>
      </c>
      <c r="GD44" s="3220">
        <f t="shared" si="221"/>
        <v>19509</v>
      </c>
      <c r="GE44" s="3220">
        <f t="shared" si="221"/>
        <v>18525</v>
      </c>
      <c r="GF44" s="3220">
        <f t="shared" si="221"/>
        <v>20413</v>
      </c>
      <c r="GG44" s="3220">
        <f t="shared" si="221"/>
        <v>31716</v>
      </c>
      <c r="GH44" s="3220">
        <f t="shared" si="221"/>
        <v>42025</v>
      </c>
      <c r="GI44" s="3220">
        <f t="shared" si="221"/>
        <v>38472</v>
      </c>
      <c r="GJ44" s="3220">
        <f t="shared" si="221"/>
        <v>35385</v>
      </c>
      <c r="GK44" s="3220">
        <f t="shared" si="221"/>
        <v>41233</v>
      </c>
      <c r="GL44" s="3220">
        <f t="shared" si="221"/>
        <v>48322</v>
      </c>
      <c r="GM44" s="3220">
        <f t="shared" si="221"/>
        <v>52712</v>
      </c>
      <c r="GN44" s="2972">
        <f t="shared" si="220"/>
        <v>0</v>
      </c>
      <c r="GO44" s="2973">
        <f t="shared" si="220"/>
        <v>32550</v>
      </c>
      <c r="GP44" s="2973">
        <f t="shared" si="220"/>
        <v>33057</v>
      </c>
      <c r="GQ44" s="2973">
        <f t="shared" si="220"/>
        <v>44437</v>
      </c>
      <c r="GR44" s="2973">
        <f t="shared" si="220"/>
        <v>37830</v>
      </c>
      <c r="GS44" s="2973">
        <f t="shared" si="220"/>
        <v>37919</v>
      </c>
      <c r="GT44" s="2973">
        <f t="shared" si="220"/>
        <v>32295</v>
      </c>
      <c r="GU44" s="2973">
        <f t="shared" si="220"/>
        <v>38495</v>
      </c>
      <c r="GV44" s="2973">
        <f t="shared" si="220"/>
        <v>35129</v>
      </c>
      <c r="GW44" s="2973">
        <f t="shared" si="220"/>
        <v>31950</v>
      </c>
      <c r="GX44" s="2973">
        <f t="shared" si="220"/>
        <v>28649</v>
      </c>
      <c r="GY44" s="2973">
        <f t="shared" si="220"/>
        <v>45235</v>
      </c>
      <c r="GZ44" s="2973">
        <f t="shared" si="220"/>
        <v>43411</v>
      </c>
      <c r="HA44" s="2973">
        <f t="shared" si="220"/>
        <v>40684</v>
      </c>
      <c r="HB44" s="2973">
        <f t="shared" si="220"/>
        <v>37074</v>
      </c>
      <c r="HC44" s="2973">
        <f t="shared" si="220"/>
        <v>42810</v>
      </c>
      <c r="HD44" s="2973">
        <f t="shared" si="220"/>
        <v>42910</v>
      </c>
      <c r="HE44" s="2973">
        <f t="shared" si="220"/>
        <v>37216</v>
      </c>
      <c r="HF44" s="2973">
        <f t="shared" si="220"/>
        <v>37022</v>
      </c>
      <c r="HG44" s="2973">
        <f t="shared" si="220"/>
        <v>39958</v>
      </c>
      <c r="HH44" s="2973">
        <f t="shared" si="220"/>
        <v>39465</v>
      </c>
      <c r="HI44" s="2973">
        <f t="shared" si="220"/>
        <v>37232</v>
      </c>
      <c r="HJ44" s="2973">
        <f t="shared" si="220"/>
        <v>35817</v>
      </c>
      <c r="HK44" s="2973">
        <f t="shared" si="220"/>
        <v>40525</v>
      </c>
      <c r="HL44" s="2973">
        <f t="shared" si="220"/>
        <v>44621</v>
      </c>
      <c r="HM44" s="2973">
        <f t="shared" si="220"/>
        <v>42353</v>
      </c>
      <c r="HN44" s="2973">
        <f t="shared" si="220"/>
        <v>45198</v>
      </c>
      <c r="HO44" s="2973">
        <f t="shared" si="220"/>
        <v>50668</v>
      </c>
      <c r="HP44" s="2973">
        <f t="shared" si="220"/>
        <v>56347</v>
      </c>
      <c r="HQ44" s="2973">
        <f t="shared" si="220"/>
        <v>47894</v>
      </c>
      <c r="HR44" s="2973">
        <f t="shared" si="220"/>
        <v>47343</v>
      </c>
      <c r="HS44" s="2973">
        <f t="shared" si="220"/>
        <v>59097</v>
      </c>
      <c r="HT44" s="2973">
        <f t="shared" si="220"/>
        <v>70765</v>
      </c>
      <c r="HU44" s="2973">
        <f t="shared" si="220"/>
        <v>64719</v>
      </c>
      <c r="HV44" s="2973">
        <f t="shared" si="220"/>
        <v>66270</v>
      </c>
      <c r="HW44" s="2973">
        <f t="shared" si="220"/>
        <v>69340</v>
      </c>
      <c r="HX44" s="2973">
        <f t="shared" si="220"/>
        <v>76987</v>
      </c>
      <c r="HY44" s="2973">
        <f t="shared" si="220"/>
        <v>55876</v>
      </c>
      <c r="HZ44" s="2973">
        <f t="shared" si="220"/>
        <v>46216</v>
      </c>
      <c r="IA44" s="2973">
        <f t="shared" si="220"/>
        <v>68230</v>
      </c>
      <c r="IB44" s="2973">
        <f t="shared" si="220"/>
        <v>73196</v>
      </c>
      <c r="IC44" s="2973">
        <f t="shared" ref="IC44:JP44" si="222">IC39-IC43</f>
        <v>61528</v>
      </c>
      <c r="ID44" s="2973">
        <f t="shared" si="222"/>
        <v>66941</v>
      </c>
      <c r="IE44" s="2973">
        <f t="shared" si="222"/>
        <v>74554</v>
      </c>
      <c r="IF44" s="2973">
        <f t="shared" si="222"/>
        <v>82170</v>
      </c>
      <c r="IG44" s="2973">
        <f t="shared" si="222"/>
        <v>70498</v>
      </c>
      <c r="IH44" s="2973">
        <f t="shared" si="222"/>
        <v>72678</v>
      </c>
      <c r="II44" s="2973">
        <f t="shared" si="222"/>
        <v>81567</v>
      </c>
      <c r="IJ44" s="2973">
        <f t="shared" si="222"/>
        <v>86985</v>
      </c>
      <c r="IK44" s="2973">
        <f t="shared" si="222"/>
        <v>70061</v>
      </c>
      <c r="IL44" s="2973">
        <f t="shared" si="222"/>
        <v>61787</v>
      </c>
      <c r="IM44" s="2973">
        <f t="shared" si="222"/>
        <v>48234</v>
      </c>
      <c r="IN44" s="2973">
        <f t="shared" si="222"/>
        <v>39343</v>
      </c>
      <c r="IO44" s="2973">
        <f t="shared" si="222"/>
        <v>33555</v>
      </c>
      <c r="IP44" s="2973">
        <f t="shared" si="222"/>
        <v>936</v>
      </c>
      <c r="IQ44" s="2973">
        <f t="shared" si="222"/>
        <v>-116512</v>
      </c>
      <c r="IR44" s="2973">
        <f t="shared" si="222"/>
        <v>6748</v>
      </c>
      <c r="IS44" s="2973">
        <f t="shared" si="222"/>
        <v>7295</v>
      </c>
      <c r="IT44" s="2973">
        <f t="shared" si="222"/>
        <v>7913</v>
      </c>
      <c r="IU44" s="2973">
        <f t="shared" si="222"/>
        <v>13704</v>
      </c>
      <c r="IV44" s="2973">
        <f t="shared" si="222"/>
        <v>19881</v>
      </c>
      <c r="IW44" s="2973">
        <f t="shared" ref="IW44:IZ44" si="223">IW39-IW43</f>
        <v>52193</v>
      </c>
      <c r="IX44" s="2973">
        <f t="shared" si="223"/>
        <v>70654</v>
      </c>
      <c r="IY44" s="2973">
        <f t="shared" si="223"/>
        <v>115882</v>
      </c>
      <c r="IZ44" s="2973">
        <f t="shared" si="223"/>
        <v>142267</v>
      </c>
      <c r="JA44" s="2973">
        <f t="shared" si="222"/>
        <v>0</v>
      </c>
      <c r="JB44" s="3733">
        <f t="shared" si="222"/>
        <v>147874</v>
      </c>
      <c r="JC44" s="3733">
        <f t="shared" si="222"/>
        <v>143838</v>
      </c>
      <c r="JD44" s="3733">
        <f t="shared" si="222"/>
        <v>149245</v>
      </c>
      <c r="JE44" s="3733">
        <f t="shared" si="222"/>
        <v>163478</v>
      </c>
      <c r="JF44" s="3733">
        <f t="shared" si="222"/>
        <v>153661</v>
      </c>
      <c r="JG44" s="3733">
        <f t="shared" si="222"/>
        <v>158195</v>
      </c>
      <c r="JH44" s="3733">
        <f t="shared" si="222"/>
        <v>194594</v>
      </c>
      <c r="JI44" s="3733">
        <f t="shared" si="222"/>
        <v>225099</v>
      </c>
      <c r="JJ44" s="3733">
        <f t="shared" si="222"/>
        <v>277316</v>
      </c>
      <c r="JK44" s="3750">
        <f t="shared" si="222"/>
        <v>198010</v>
      </c>
      <c r="JL44" s="3729">
        <f t="shared" si="222"/>
        <v>258038</v>
      </c>
      <c r="JM44" s="3729">
        <f t="shared" si="222"/>
        <v>281643</v>
      </c>
      <c r="JN44" s="3729">
        <f t="shared" si="222"/>
        <v>188896</v>
      </c>
      <c r="JO44" s="3751">
        <f t="shared" si="222"/>
        <v>35074</v>
      </c>
      <c r="JP44" s="3751">
        <f t="shared" si="222"/>
        <v>42943</v>
      </c>
      <c r="JQ44" s="3761">
        <f t="shared" ref="JQ44" si="224">JQ39-JQ43</f>
        <v>42943</v>
      </c>
      <c r="JS44" s="3772">
        <f t="shared" ref="JS44:JT44" si="225">JS39-JS43</f>
        <v>42943</v>
      </c>
      <c r="JT44" s="3772">
        <f t="shared" si="225"/>
        <v>42943</v>
      </c>
      <c r="JV44" s="2723"/>
      <c r="JW44" s="2723"/>
      <c r="JX44" s="2723"/>
      <c r="JY44" s="2723"/>
      <c r="JZ44" s="2723"/>
      <c r="KA44" s="2723"/>
      <c r="KB44" s="2723"/>
      <c r="KC44" s="3262"/>
      <c r="KD44" s="2723"/>
      <c r="KE44" s="2723"/>
      <c r="KF44" s="2723"/>
      <c r="KG44" s="2723"/>
      <c r="KH44" s="2723"/>
      <c r="KI44" s="2723"/>
      <c r="KJ44" s="2723"/>
      <c r="KK44" s="2723"/>
      <c r="KM44" s="3737"/>
      <c r="KN44" s="3737"/>
      <c r="KO44" s="3737"/>
      <c r="KP44" s="3737"/>
      <c r="KQ44" s="3737"/>
      <c r="KR44" s="3737"/>
      <c r="KS44" s="3737"/>
      <c r="KT44" s="3737"/>
      <c r="KU44" s="3737"/>
      <c r="KV44" s="3737"/>
      <c r="KW44" s="3737"/>
      <c r="KX44" s="3737"/>
      <c r="KY44" s="3737"/>
      <c r="KZ44" s="3737"/>
      <c r="LA44" s="3737"/>
      <c r="LB44" s="3737"/>
      <c r="LC44" s="3737"/>
      <c r="LD44" s="3737"/>
      <c r="LE44" s="3737"/>
      <c r="LF44" s="3737"/>
      <c r="LG44" s="3737"/>
      <c r="LH44" s="3737"/>
      <c r="LI44" s="3737"/>
    </row>
    <row r="45" spans="1:321" ht="15" thickBot="1">
      <c r="A45" s="3752"/>
      <c r="B45" s="3752"/>
      <c r="C45" s="3753" t="s">
        <v>503</v>
      </c>
      <c r="D45" s="3754"/>
      <c r="E45" s="2737"/>
      <c r="F45" s="2737"/>
      <c r="G45" s="3755"/>
      <c r="H45" s="2737"/>
      <c r="I45" s="2737"/>
      <c r="J45" s="2737"/>
      <c r="K45" s="2737"/>
      <c r="L45" s="2737"/>
      <c r="M45" s="3755"/>
      <c r="N45" s="2737"/>
      <c r="O45" s="2737"/>
      <c r="P45" s="2738">
        <f>P43/D43-1</f>
        <v>0.18427625579827933</v>
      </c>
      <c r="Q45" s="2738">
        <f t="shared" ref="Q45:CB45" si="226">Q43/E43-1</f>
        <v>0.54197458455522973</v>
      </c>
      <c r="R45" s="2738">
        <f t="shared" si="226"/>
        <v>0.10718917592625044</v>
      </c>
      <c r="S45" s="2738">
        <f t="shared" si="226"/>
        <v>0.1235902054118958</v>
      </c>
      <c r="T45" s="2738">
        <f t="shared" si="226"/>
        <v>0.21911560579020417</v>
      </c>
      <c r="U45" s="2738">
        <f t="shared" si="226"/>
        <v>8.3191804825448079E-2</v>
      </c>
      <c r="V45" s="2738">
        <f t="shared" si="226"/>
        <v>-2.1309156676791785E-2</v>
      </c>
      <c r="W45" s="2738">
        <f t="shared" si="226"/>
        <v>-8.9695908991468398E-3</v>
      </c>
      <c r="X45" s="2738">
        <f t="shared" si="226"/>
        <v>5.785187461585739E-2</v>
      </c>
      <c r="Y45" s="2738">
        <f t="shared" si="226"/>
        <v>7.0885805001605462E-2</v>
      </c>
      <c r="Z45" s="2738">
        <f t="shared" si="226"/>
        <v>1.9956017986674013E-2</v>
      </c>
      <c r="AA45" s="2738">
        <f t="shared" si="226"/>
        <v>-3.5787321063394661E-2</v>
      </c>
      <c r="AB45" s="2738">
        <f t="shared" si="226"/>
        <v>-1.1147936125338931E-2</v>
      </c>
      <c r="AC45" s="2738">
        <f t="shared" si="226"/>
        <v>-0.3049751496094939</v>
      </c>
      <c r="AD45" s="2738">
        <f t="shared" si="226"/>
        <v>-0.11457245069174027</v>
      </c>
      <c r="AE45" s="2738">
        <f t="shared" si="226"/>
        <v>7.3279645815045313E-3</v>
      </c>
      <c r="AF45" s="2738">
        <f t="shared" si="226"/>
        <v>7.6073519843851578E-2</v>
      </c>
      <c r="AG45" s="2738">
        <f t="shared" si="226"/>
        <v>-1.0378039371842451E-2</v>
      </c>
      <c r="AH45" s="2738">
        <f t="shared" si="226"/>
        <v>-3.9873957543593685E-2</v>
      </c>
      <c r="AI45" s="2738">
        <f t="shared" si="226"/>
        <v>2.4282560706401224E-3</v>
      </c>
      <c r="AJ45" s="2738">
        <f t="shared" si="226"/>
        <v>-3.6240830851913763E-2</v>
      </c>
      <c r="AK45" s="2738">
        <f t="shared" si="226"/>
        <v>-4.6838563528549537E-2</v>
      </c>
      <c r="AL45" s="2738">
        <f t="shared" si="226"/>
        <v>2.8318584070796682E-3</v>
      </c>
      <c r="AM45" s="2738">
        <f t="shared" si="226"/>
        <v>0.18792377647096625</v>
      </c>
      <c r="AN45" s="2738">
        <f t="shared" si="226"/>
        <v>6.632134877107454E-2</v>
      </c>
      <c r="AO45" s="2738">
        <f t="shared" si="226"/>
        <v>0.20613667043671779</v>
      </c>
      <c r="AP45" s="2738">
        <f t="shared" si="226"/>
        <v>0.11649027459954242</v>
      </c>
      <c r="AQ45" s="2738">
        <f t="shared" si="226"/>
        <v>-3.8570833175463171E-2</v>
      </c>
      <c r="AR45" s="2738">
        <f t="shared" si="226"/>
        <v>-5.6063606269933675E-2</v>
      </c>
      <c r="AS45" s="2738">
        <f t="shared" si="226"/>
        <v>-2.1879086611005238E-3</v>
      </c>
      <c r="AT45" s="2738">
        <f t="shared" si="226"/>
        <v>1.922270203578047E-2</v>
      </c>
      <c r="AU45" s="2738">
        <f t="shared" si="226"/>
        <v>-3.0114512221977585E-2</v>
      </c>
      <c r="AV45" s="2738">
        <f t="shared" si="226"/>
        <v>1.2735493594574265E-2</v>
      </c>
      <c r="AW45" s="2738">
        <f t="shared" si="226"/>
        <v>5.5221585348804725E-2</v>
      </c>
      <c r="AX45" s="2738">
        <f t="shared" si="226"/>
        <v>-6.7708500465295529E-3</v>
      </c>
      <c r="AY45" s="2738">
        <f t="shared" si="226"/>
        <v>-6.0324072821705821E-2</v>
      </c>
      <c r="AZ45" s="2738">
        <f t="shared" si="226"/>
        <v>-1.4064831571260705E-2</v>
      </c>
      <c r="BA45" s="2738">
        <f t="shared" si="226"/>
        <v>-8.6935478992105075E-2</v>
      </c>
      <c r="BB45" s="2738">
        <f t="shared" si="226"/>
        <v>5.6907705117530183E-2</v>
      </c>
      <c r="BC45" s="2738">
        <f t="shared" si="226"/>
        <v>0.17450246305418715</v>
      </c>
      <c r="BD45" s="2738">
        <f t="shared" si="226"/>
        <v>3.8367922111196551E-2</v>
      </c>
      <c r="BE45" s="2738">
        <f t="shared" si="226"/>
        <v>5.907704715578288E-2</v>
      </c>
      <c r="BF45" s="2738">
        <f t="shared" si="226"/>
        <v>5.038252953709077E-2</v>
      </c>
      <c r="BG45" s="2738">
        <f t="shared" si="226"/>
        <v>2.6593631151728525E-2</v>
      </c>
      <c r="BH45" s="2738">
        <f t="shared" si="226"/>
        <v>6.2095394002529947E-2</v>
      </c>
      <c r="BI45" s="2738">
        <f t="shared" si="226"/>
        <v>4.1666666666666741E-2</v>
      </c>
      <c r="BJ45" s="2738">
        <f t="shared" si="226"/>
        <v>8.542258981648998E-2</v>
      </c>
      <c r="BK45" s="2738">
        <f t="shared" si="226"/>
        <v>8.5211733886058072E-2</v>
      </c>
      <c r="BL45" s="2738">
        <f t="shared" si="226"/>
        <v>2.1929542087975706E-2</v>
      </c>
      <c r="BM45" s="2738">
        <f t="shared" si="226"/>
        <v>7.5865496107339059E-3</v>
      </c>
      <c r="BN45" s="2738">
        <f t="shared" si="226"/>
        <v>5.6540314516862145E-2</v>
      </c>
      <c r="BO45" s="2738">
        <f t="shared" si="226"/>
        <v>1.9662450088917316E-2</v>
      </c>
      <c r="BP45" s="2738">
        <f t="shared" si="226"/>
        <v>6.304361236197642E-2</v>
      </c>
      <c r="BQ45" s="2738">
        <f t="shared" si="226"/>
        <v>0.10961186073629858</v>
      </c>
      <c r="BR45" s="2738">
        <f t="shared" si="226"/>
        <v>8.21251584649072E-2</v>
      </c>
      <c r="BS45" s="2738">
        <f t="shared" si="226"/>
        <v>6.8369688424428476E-2</v>
      </c>
      <c r="BT45" s="2738">
        <f t="shared" si="226"/>
        <v>0.13633656776543934</v>
      </c>
      <c r="BU45" s="2738">
        <f t="shared" si="226"/>
        <v>0.16947535771065181</v>
      </c>
      <c r="BV45" s="2738">
        <f t="shared" si="226"/>
        <v>0.13561138230741765</v>
      </c>
      <c r="BW45" s="2738">
        <f t="shared" si="226"/>
        <v>0.23662360400031823</v>
      </c>
      <c r="BX45" s="2738">
        <f t="shared" si="226"/>
        <v>0.2150937450764141</v>
      </c>
      <c r="BY45" s="2738">
        <f t="shared" si="226"/>
        <v>0.21542710593805481</v>
      </c>
      <c r="BZ45" s="2738">
        <f t="shared" si="226"/>
        <v>0.16676704235854189</v>
      </c>
      <c r="CA45" s="2738">
        <f t="shared" si="226"/>
        <v>0.11579847971305401</v>
      </c>
      <c r="CB45" s="2738">
        <f t="shared" si="226"/>
        <v>0.17591249347182725</v>
      </c>
      <c r="CC45" s="2738">
        <f t="shared" ref="CC45:EE45" si="227">CC43/BQ43-1</f>
        <v>0.12786582881163278</v>
      </c>
      <c r="CD45" s="2738">
        <f t="shared" si="227"/>
        <v>0.15167845275624092</v>
      </c>
      <c r="CE45" s="2738">
        <f t="shared" si="227"/>
        <v>0.13909015629851984</v>
      </c>
      <c r="CF45" s="2738">
        <f t="shared" si="227"/>
        <v>0.26122876784117888</v>
      </c>
      <c r="CG45" s="2738">
        <f t="shared" si="227"/>
        <v>0.18964110929853173</v>
      </c>
      <c r="CH45" s="2738">
        <f t="shared" si="227"/>
        <v>0.21516565317676672</v>
      </c>
      <c r="CI45" s="2738">
        <f t="shared" si="227"/>
        <v>0.14726387369414584</v>
      </c>
      <c r="CJ45" s="2738">
        <f t="shared" si="227"/>
        <v>0.16239205414797331</v>
      </c>
      <c r="CK45" s="2738">
        <f t="shared" si="227"/>
        <v>0.24162744143266779</v>
      </c>
      <c r="CL45" s="2738">
        <f t="shared" si="227"/>
        <v>8.0916330744272846E-2</v>
      </c>
      <c r="CM45" s="2738">
        <f t="shared" si="227"/>
        <v>0.1995694231449805</v>
      </c>
      <c r="CN45" s="2738">
        <f t="shared" si="227"/>
        <v>6.9826543956179599E-2</v>
      </c>
      <c r="CO45" s="2738">
        <f t="shared" si="227"/>
        <v>-3.9571012949476181E-2</v>
      </c>
      <c r="CP45" s="2738">
        <f t="shared" si="227"/>
        <v>9.1605171170171529E-2</v>
      </c>
      <c r="CQ45" s="2738">
        <f t="shared" si="227"/>
        <v>7.4717735523296858E-2</v>
      </c>
      <c r="CR45" s="2738">
        <f t="shared" si="227"/>
        <v>8.4178622931586622E-2</v>
      </c>
      <c r="CS45" s="2738">
        <f t="shared" si="227"/>
        <v>7.1191863786995713E-2</v>
      </c>
      <c r="CT45" s="2738">
        <f t="shared" si="227"/>
        <v>7.1482496063501655E-2</v>
      </c>
      <c r="CU45" s="2738">
        <f t="shared" si="227"/>
        <v>0.19520586365506154</v>
      </c>
      <c r="CV45" s="2738">
        <f t="shared" si="227"/>
        <v>2.3715503201481303E-2</v>
      </c>
      <c r="CW45" s="2738">
        <f t="shared" si="227"/>
        <v>-8.7345853849840949E-2</v>
      </c>
      <c r="CX45" s="2738">
        <f t="shared" si="227"/>
        <v>5.0072766963798365E-2</v>
      </c>
      <c r="CY45" s="2738">
        <f t="shared" si="227"/>
        <v>-2.1634910878918223E-3</v>
      </c>
      <c r="CZ45" s="2738">
        <f t="shared" si="227"/>
        <v>8.0721418851910087E-3</v>
      </c>
      <c r="DA45" s="2738">
        <f t="shared" si="227"/>
        <v>7.2384572740952002E-2</v>
      </c>
      <c r="DB45" s="2738">
        <f t="shared" si="227"/>
        <v>-1.5434922571244569E-2</v>
      </c>
      <c r="DC45" s="2738">
        <f t="shared" si="227"/>
        <v>-0.1076984865139089</v>
      </c>
      <c r="DD45" s="2738">
        <f t="shared" si="227"/>
        <v>-0.13666388619609082</v>
      </c>
      <c r="DE45" s="2738">
        <f t="shared" si="227"/>
        <v>-8.0819287390655026E-2</v>
      </c>
      <c r="DF45" s="2738">
        <f t="shared" si="227"/>
        <v>-0.10530447911424257</v>
      </c>
      <c r="DG45" s="2738">
        <f t="shared" si="227"/>
        <v>-0.11298144613748007</v>
      </c>
      <c r="DH45" s="2738">
        <f t="shared" si="227"/>
        <v>-2.9987359979078532E-2</v>
      </c>
      <c r="DI45" s="2738">
        <f t="shared" si="227"/>
        <v>1.9957506744013864E-2</v>
      </c>
      <c r="DJ45" s="2738">
        <f t="shared" si="227"/>
        <v>1.2798302221837199E-2</v>
      </c>
      <c r="DK45" s="2738">
        <f t="shared" si="227"/>
        <v>-0.14016803409958856</v>
      </c>
      <c r="DL45" s="2738">
        <f t="shared" si="227"/>
        <v>-8.840284609576976E-2</v>
      </c>
      <c r="DM45" s="2738">
        <f t="shared" si="227"/>
        <v>6.111070083450354E-3</v>
      </c>
      <c r="DN45" s="2738">
        <f t="shared" si="227"/>
        <v>-2.1269639138889351E-2</v>
      </c>
      <c r="DO45" s="2738">
        <f t="shared" si="227"/>
        <v>-3.6694857034562767E-2</v>
      </c>
      <c r="DP45" s="2738">
        <f t="shared" si="227"/>
        <v>-0.1473821647734691</v>
      </c>
      <c r="DQ45" s="2738">
        <f t="shared" si="227"/>
        <v>-2.2306299614688219E-2</v>
      </c>
      <c r="DR45" s="2738">
        <f t="shared" si="227"/>
        <v>-9.7695976959769615E-2</v>
      </c>
      <c r="DS45" s="2738">
        <f t="shared" si="227"/>
        <v>-2.0070546737213424E-2</v>
      </c>
      <c r="DT45" s="2738">
        <f t="shared" si="227"/>
        <v>-4.4282183778926121E-2</v>
      </c>
      <c r="DU45" s="2738">
        <f t="shared" si="227"/>
        <v>-5.8256290228203667E-2</v>
      </c>
      <c r="DV45" s="2738">
        <f t="shared" si="227"/>
        <v>-3.2264961833693206E-2</v>
      </c>
      <c r="DW45" s="2738">
        <f t="shared" si="227"/>
        <v>0.19720327812482097</v>
      </c>
      <c r="DX45" s="2738">
        <f t="shared" si="227"/>
        <v>-7.5291755552766571E-3</v>
      </c>
      <c r="DY45" s="2738">
        <f t="shared" si="227"/>
        <v>5.398660427562163E-2</v>
      </c>
      <c r="DZ45" s="2738">
        <f t="shared" si="227"/>
        <v>3.9771428571428569E-2</v>
      </c>
      <c r="EA45" s="2738">
        <f t="shared" si="227"/>
        <v>4.6724375368876636E-2</v>
      </c>
      <c r="EB45" s="2738">
        <f t="shared" si="227"/>
        <v>0.13172644023153968</v>
      </c>
      <c r="EC45" s="2738">
        <f t="shared" si="227"/>
        <v>-3.0103748723914414E-2</v>
      </c>
      <c r="ED45" s="2738">
        <f t="shared" si="227"/>
        <v>7.0196000199491237E-2</v>
      </c>
      <c r="EE45" s="2738">
        <f t="shared" si="227"/>
        <v>8.9791584176235562E-2</v>
      </c>
      <c r="EF45" s="3756">
        <f t="shared" ref="EF45:EQ45" si="228">EF43/DT43-1</f>
        <v>4.7250758127835635E-2</v>
      </c>
      <c r="EG45" s="2738">
        <f t="shared" si="228"/>
        <v>0.10120290287304901</v>
      </c>
      <c r="EH45" s="2738">
        <f t="shared" si="228"/>
        <v>9.2045956694653208E-2</v>
      </c>
      <c r="EI45" s="2738">
        <f t="shared" si="228"/>
        <v>-6.6036381043561465E-2</v>
      </c>
      <c r="EJ45" s="2738">
        <f t="shared" si="228"/>
        <v>0.15182703249462648</v>
      </c>
      <c r="EK45" s="2738">
        <f t="shared" si="228"/>
        <v>6.7761199226979096E-2</v>
      </c>
      <c r="EL45" s="2738">
        <f t="shared" si="228"/>
        <v>3.2094965926577235E-2</v>
      </c>
      <c r="EM45" s="2738">
        <f t="shared" si="228"/>
        <v>6.4820035710929425E-2</v>
      </c>
      <c r="EN45" s="2738">
        <f t="shared" si="228"/>
        <v>0.1071119289889586</v>
      </c>
      <c r="EO45" s="2738">
        <f t="shared" si="228"/>
        <v>6.0436198076028624E-2</v>
      </c>
      <c r="EP45" s="2738">
        <f t="shared" si="228"/>
        <v>3.4951184845166239E-2</v>
      </c>
      <c r="EQ45" s="2738">
        <f t="shared" si="228"/>
        <v>1.5458043632640361E-2</v>
      </c>
      <c r="ER45" s="3756">
        <f>ER43/EF43-1</f>
        <v>-1.0303261577139788E-2</v>
      </c>
      <c r="ES45" s="2738">
        <f t="shared" ref="ES45:FC45" si="229">ES43/EG43-1</f>
        <v>-2.2117901959014197E-2</v>
      </c>
      <c r="ET45" s="2738">
        <f t="shared" si="229"/>
        <v>-8.0322097681382321E-2</v>
      </c>
      <c r="EU45" s="2738">
        <f t="shared" si="229"/>
        <v>0.10666051613233907</v>
      </c>
      <c r="EV45" s="2738">
        <f t="shared" si="229"/>
        <v>-1.2996992250104311E-2</v>
      </c>
      <c r="EW45" s="2738">
        <f t="shared" si="229"/>
        <v>-5.7966051949322472E-2</v>
      </c>
      <c r="EX45" s="2738">
        <f t="shared" si="229"/>
        <v>3.5717211436061547E-3</v>
      </c>
      <c r="EY45" s="2738">
        <f t="shared" si="229"/>
        <v>8.1878957703594102E-2</v>
      </c>
      <c r="EZ45" s="2738">
        <f t="shared" si="229"/>
        <v>3.8988022488389174E-2</v>
      </c>
      <c r="FA45" s="2738">
        <f t="shared" si="229"/>
        <v>-0.20317621531785235</v>
      </c>
      <c r="FB45" s="2738">
        <f t="shared" si="229"/>
        <v>-2.2446360627687567E-2</v>
      </c>
      <c r="FC45" s="2742">
        <f t="shared" si="229"/>
        <v>-0.11630100671686694</v>
      </c>
      <c r="FD45" s="2742">
        <f t="shared" ref="FD45" si="230">FD43/ER43-1</f>
        <v>-1.8598321614878621E-2</v>
      </c>
      <c r="FE45" s="2742">
        <f t="shared" ref="FE45" si="231">FE43/ES43-1</f>
        <v>-2.746491875923196E-2</v>
      </c>
      <c r="FF45" s="2742">
        <f t="shared" ref="FF45" si="232">FF43/ET43-1</f>
        <v>-0.62895987328405489</v>
      </c>
      <c r="FG45" s="2742">
        <f t="shared" ref="FG45" si="233">FG43/EU43-1</f>
        <v>-0.99451172915267583</v>
      </c>
      <c r="FH45" s="2742">
        <f t="shared" ref="FH45" si="234">FH43/EV43-1</f>
        <v>-0.99188113085837581</v>
      </c>
      <c r="FI45" s="2742">
        <f t="shared" ref="FI45" si="235">FI43/EW43-1</f>
        <v>-0.98390279364419986</v>
      </c>
      <c r="FJ45" s="2742">
        <f t="shared" ref="FJ45" si="236">FJ43/EX43-1</f>
        <v>-0.95298189476433803</v>
      </c>
      <c r="FK45" s="2742">
        <f t="shared" ref="FK45" si="237">FK43/EY43-1</f>
        <v>-0.92652037361830564</v>
      </c>
      <c r="FL45" s="2742">
        <f t="shared" ref="FL45" si="238">FL43/EZ43-1</f>
        <v>-0.88716621573932475</v>
      </c>
      <c r="FM45" s="2742">
        <f t="shared" ref="FM45" si="239">FM43/FA43-1</f>
        <v>-0.77723059096176128</v>
      </c>
      <c r="FN45" s="2742">
        <f t="shared" ref="FN45" si="240">FN43/FB43-1</f>
        <v>-0.78046982957162592</v>
      </c>
      <c r="FO45" s="2742">
        <f t="shared" ref="FO45" si="241">FO43/FC43-1</f>
        <v>-0.72018551236749118</v>
      </c>
      <c r="FP45" s="2742">
        <f t="shared" ref="FP45" si="242">FP43/FD43-1</f>
        <v>-0.74069794314767745</v>
      </c>
      <c r="FQ45" s="2742">
        <f t="shared" ref="FQ45" si="243">FQ43/FE43-1</f>
        <v>-0.78810100147135609</v>
      </c>
      <c r="FR45" s="2742">
        <f t="shared" ref="FR45" si="244">FR43/FF43-1</f>
        <v>-0.31086208941064863</v>
      </c>
      <c r="FS45" s="2742">
        <f t="shared" ref="FS45" si="245">FS43/FG43-1</f>
        <v>44.763713080168777</v>
      </c>
      <c r="FT45" s="2742">
        <f t="shared" ref="FT45" si="246">FT43/FH43-1</f>
        <v>34.736986301369861</v>
      </c>
      <c r="FU45" s="2742">
        <f t="shared" ref="FU45" si="247">FU43/FI43-1</f>
        <v>19.836559139784946</v>
      </c>
      <c r="FV45" s="2742">
        <f t="shared" ref="FV45" si="248">FV43/FJ43-1</f>
        <v>7.7951388888888893</v>
      </c>
      <c r="FW45" s="2742">
        <f t="shared" ref="FW45" si="249">FW43/FK43-1</f>
        <v>5.4196502914238138</v>
      </c>
      <c r="FX45" s="2742">
        <f t="shared" ref="FX45" si="250">FX43/FL43-1</f>
        <v>3.2971226021684741</v>
      </c>
      <c r="FY45" s="2742">
        <f t="shared" ref="FY45" si="251">FY43/FM43-1</f>
        <v>2.1361508452535762</v>
      </c>
      <c r="FZ45" s="2742">
        <f t="shared" ref="FZ45" si="252">FZ43/FN43-1</f>
        <v>1.9613932018464122</v>
      </c>
      <c r="GA45" s="2742">
        <f t="shared" ref="GA45" si="253">GA43/FO43-1</f>
        <v>1.3512891344383058</v>
      </c>
      <c r="GB45" s="2742">
        <f t="shared" ref="GB45" si="254">GB43/FP43-1</f>
        <v>-1</v>
      </c>
      <c r="GC45" s="2742">
        <f t="shared" ref="GC45" si="255">GC43/FQ43-1</f>
        <v>-1</v>
      </c>
      <c r="GD45" s="2742">
        <f t="shared" ref="GD45" si="256">GD43/FR43-1</f>
        <v>-1</v>
      </c>
      <c r="GE45" s="2742">
        <f t="shared" ref="GE45" si="257">GE43/FS43-1</f>
        <v>-1</v>
      </c>
      <c r="GF45" s="2742">
        <f t="shared" ref="GF45" si="258">GF43/FT43-1</f>
        <v>-1</v>
      </c>
      <c r="GG45" s="2742">
        <f t="shared" ref="GG45" si="259">GG43/FU43-1</f>
        <v>-1</v>
      </c>
      <c r="GH45" s="2742">
        <f t="shared" ref="GH45" si="260">GH43/FV43-1</f>
        <v>-1</v>
      </c>
      <c r="GI45" s="2742">
        <f t="shared" ref="GI45" si="261">GI43/FW43-1</f>
        <v>-1</v>
      </c>
      <c r="GJ45" s="2742">
        <f t="shared" ref="GJ45" si="262">GJ43/FX43-1</f>
        <v>-1</v>
      </c>
      <c r="GK45" s="2742">
        <f t="shared" ref="GK45" si="263">GK43/FY43-1</f>
        <v>-1</v>
      </c>
      <c r="GL45" s="2742">
        <f t="shared" ref="GL45" si="264">GL43/FZ43-1</f>
        <v>-1</v>
      </c>
      <c r="GM45" s="2742">
        <f t="shared" ref="GM45" si="265">GM43/GA43-1</f>
        <v>-1</v>
      </c>
      <c r="GN45" s="2743"/>
      <c r="GO45" s="2737">
        <v>0</v>
      </c>
      <c r="GP45" s="2737">
        <v>0</v>
      </c>
      <c r="GQ45" s="2737">
        <v>0</v>
      </c>
      <c r="GR45" s="2737">
        <v>0</v>
      </c>
      <c r="GS45" s="2738">
        <f>GS43/GO43-1</f>
        <v>0.36953409904229573</v>
      </c>
      <c r="GT45" s="2738">
        <f t="shared" ref="GT45:IF45" si="266">GT43/GP43-1</f>
        <v>0.25965702407760261</v>
      </c>
      <c r="GU45" s="2738">
        <f t="shared" si="266"/>
        <v>0.13564632898277895</v>
      </c>
      <c r="GV45" s="2738">
        <f t="shared" si="266"/>
        <v>0.12778417119466257</v>
      </c>
      <c r="GW45" s="2738">
        <f t="shared" si="266"/>
        <v>-0.11417621660631849</v>
      </c>
      <c r="GX45" s="2738">
        <f t="shared" si="266"/>
        <v>5.1117611761176018E-2</v>
      </c>
      <c r="GY45" s="2738">
        <f t="shared" si="266"/>
        <v>-7.9848247165759889E-2</v>
      </c>
      <c r="GZ45" s="2738">
        <f t="shared" si="266"/>
        <v>-3.5869747736343771E-2</v>
      </c>
      <c r="HA45" s="2738">
        <f t="shared" si="266"/>
        <v>6.4614909187959091E-2</v>
      </c>
      <c r="HB45" s="2738">
        <f t="shared" si="266"/>
        <v>-7.549862632461557E-2</v>
      </c>
      <c r="HC45" s="2738">
        <f t="shared" si="266"/>
        <v>-3.2162116412352004E-3</v>
      </c>
      <c r="HD45" s="2738">
        <f t="shared" si="266"/>
        <v>1.8354277752472559E-3</v>
      </c>
      <c r="HE45" s="2738">
        <f t="shared" si="266"/>
        <v>-1.9923209879800785E-3</v>
      </c>
      <c r="HF45" s="2738">
        <f t="shared" si="266"/>
        <v>9.0836581631996705E-2</v>
      </c>
      <c r="HG45" s="2738">
        <f t="shared" si="266"/>
        <v>7.7850557981562263E-2</v>
      </c>
      <c r="HH45" s="2738">
        <f t="shared" si="266"/>
        <v>0.12899343398547725</v>
      </c>
      <c r="HI45" s="2738">
        <f t="shared" si="266"/>
        <v>1.6102591221575979E-2</v>
      </c>
      <c r="HJ45" s="2738">
        <f t="shared" si="266"/>
        <v>0.12735570913036298</v>
      </c>
      <c r="HK45" s="2738">
        <f t="shared" si="266"/>
        <v>0.14341983839384187</v>
      </c>
      <c r="HL45" s="2738">
        <f t="shared" si="266"/>
        <v>0.19881551673082609</v>
      </c>
      <c r="HM45" s="2738">
        <f t="shared" si="266"/>
        <v>0.24886153686018364</v>
      </c>
      <c r="HN45" s="2738">
        <f t="shared" si="266"/>
        <v>0.10461017020074692</v>
      </c>
      <c r="HO45" s="2738">
        <f t="shared" si="266"/>
        <v>0.13724139288596682</v>
      </c>
      <c r="HP45" s="2738">
        <f t="shared" si="266"/>
        <v>0.15838355893686384</v>
      </c>
      <c r="HQ45" s="2738">
        <f t="shared" si="266"/>
        <v>0.13730270354742924</v>
      </c>
      <c r="HR45" s="2738">
        <f t="shared" si="266"/>
        <v>7.2002878978720153E-2</v>
      </c>
      <c r="HS45" s="2738">
        <f t="shared" si="266"/>
        <v>8.7411074377304221E-2</v>
      </c>
      <c r="HT45" s="2738">
        <f t="shared" si="266"/>
        <v>0.10806891845786426</v>
      </c>
      <c r="HU45" s="2738">
        <f t="shared" si="266"/>
        <v>-2.6977758235315674E-2</v>
      </c>
      <c r="HV45" s="2738">
        <f t="shared" si="266"/>
        <v>-1.6219654404749262E-2</v>
      </c>
      <c r="HW45" s="2738">
        <f t="shared" si="266"/>
        <v>-0.13803065756172106</v>
      </c>
      <c r="HX45" s="2738">
        <f t="shared" si="266"/>
        <v>-0.15573089061658074</v>
      </c>
      <c r="HY45" s="2738">
        <f t="shared" si="266"/>
        <v>-3.2046997241548136E-2</v>
      </c>
      <c r="HZ45" s="2738">
        <f t="shared" si="266"/>
        <v>-8.2201867816091956E-2</v>
      </c>
      <c r="IA45" s="2738">
        <f t="shared" si="266"/>
        <v>1.5410468777411479E-2</v>
      </c>
      <c r="IB45" s="2738">
        <f t="shared" si="266"/>
        <v>-0.15215310132295157</v>
      </c>
      <c r="IC45" s="2738">
        <f t="shared" si="266"/>
        <v>-0.12900841316928469</v>
      </c>
      <c r="ID45" s="2738">
        <f t="shared" si="266"/>
        <v>-5.8920219947948271E-2</v>
      </c>
      <c r="IE45" s="2738">
        <f t="shared" si="266"/>
        <v>-0.16205034008656749</v>
      </c>
      <c r="IF45" s="2738">
        <f t="shared" si="266"/>
        <v>-3.3884999623619461E-2</v>
      </c>
      <c r="IG45" s="2738">
        <f t="shared" ref="IG45" si="267">IG43/IC43-1</f>
        <v>5.0864870297372411E-2</v>
      </c>
      <c r="IH45" s="2738">
        <f t="shared" ref="IH45" si="268">IH43/ID43-1</f>
        <v>3.8883806038426449E-2</v>
      </c>
      <c r="II45" s="2738">
        <f t="shared" ref="II45" si="269">II43/IE43-1</f>
        <v>4.1627329057742246E-2</v>
      </c>
      <c r="IJ45" s="2738">
        <f t="shared" ref="IJ45" si="270">IJ43/IF43-1</f>
        <v>2.7471059661620556E-2</v>
      </c>
      <c r="IK45" s="2738">
        <f t="shared" ref="IK45" si="271">IK43/IG43-1</f>
        <v>-4.5990691348054336E-2</v>
      </c>
      <c r="IL45" s="2738">
        <f t="shared" ref="IL45" si="272">IL43/IH43-1</f>
        <v>0.16337416436491736</v>
      </c>
      <c r="IM45" s="2738">
        <f t="shared" ref="IM45" si="273">IM43/II43-1</f>
        <v>0.44708137560294614</v>
      </c>
      <c r="IN45" s="2738">
        <f t="shared" ref="IN45" si="274">IN43/IJ43-1</f>
        <v>0.3085106382978724</v>
      </c>
      <c r="IO45" s="2738">
        <f t="shared" ref="IO45" si="275">IO43/IK43-1</f>
        <v>0.13918777428768747</v>
      </c>
      <c r="IP45" s="2738">
        <f t="shared" ref="IP45" si="276">IP43/IL43-1</f>
        <v>-0.98682139201197427</v>
      </c>
      <c r="IQ45" s="2738">
        <f t="shared" ref="IQ45" si="277">IQ43/IM43-1</f>
        <v>-6.0856293331221556E-2</v>
      </c>
      <c r="IR45" s="2738">
        <f t="shared" ref="IR45" si="278">IR43/IN43-1</f>
        <v>-0.73154173496928454</v>
      </c>
      <c r="IS45" s="2738">
        <f t="shared" ref="IS45" si="279">IS43/IO43-1</f>
        <v>-0.68934431038191524</v>
      </c>
      <c r="IT45" s="2738">
        <f t="shared" ref="IT45" si="280">IT43/IP43-1</f>
        <v>27.242819843342037</v>
      </c>
      <c r="IU45" s="2738">
        <f t="shared" ref="IU45" si="281">IU43/IQ43-1</f>
        <v>-0.47052465350177852</v>
      </c>
      <c r="IV45" s="2738">
        <f t="shared" ref="IV45" si="282">IV43/IR43-1</f>
        <v>1.7167704928144083</v>
      </c>
      <c r="IW45" s="2738">
        <f>IW43/IS43-1</f>
        <v>-1</v>
      </c>
      <c r="IX45" s="2738">
        <f t="shared" ref="IX45" si="283">IX43/IT43-1</f>
        <v>-1</v>
      </c>
      <c r="IY45" s="2738">
        <f t="shared" ref="IY45" si="284">IY43/IU43-1</f>
        <v>-1</v>
      </c>
      <c r="IZ45" s="2738">
        <f t="shared" ref="IZ45" si="285">IZ43/IV43-1</f>
        <v>-1</v>
      </c>
      <c r="JA45" s="2974"/>
      <c r="JB45" s="3757"/>
      <c r="JC45" s="3757">
        <f t="shared" ref="JC45:JM45" si="286">JC43/JB43-1</f>
        <v>0.21365365454350149</v>
      </c>
      <c r="JD45" s="3757">
        <f t="shared" si="286"/>
        <v>-4.5904150936486143E-2</v>
      </c>
      <c r="JE45" s="3757">
        <f t="shared" si="286"/>
        <v>-6.0040944277397479E-3</v>
      </c>
      <c r="JF45" s="3757">
        <f t="shared" si="286"/>
        <v>7.3932477964105292E-2</v>
      </c>
      <c r="JG45" s="3757">
        <f t="shared" si="286"/>
        <v>0.12449470659271178</v>
      </c>
      <c r="JH45" s="3757">
        <f t="shared" si="286"/>
        <v>0.15749221212856046</v>
      </c>
      <c r="JI45" s="3758">
        <f t="shared" si="286"/>
        <v>0.10026613623596803</v>
      </c>
      <c r="JJ45" s="3758">
        <f t="shared" si="286"/>
        <v>-8.8624360766327182E-2</v>
      </c>
      <c r="JK45" s="3759">
        <f t="shared" si="286"/>
        <v>-1.3649064080576534E-2</v>
      </c>
      <c r="JL45" s="3758">
        <f t="shared" si="286"/>
        <v>-8.0823339912852399E-2</v>
      </c>
      <c r="JM45" s="3758">
        <f t="shared" si="286"/>
        <v>4.4358851638291785E-2</v>
      </c>
      <c r="JN45" s="3758">
        <f>JN43/JM43-1</f>
        <v>0.20778836594650962</v>
      </c>
      <c r="JO45" s="3760">
        <f>JO43/JN43-1</f>
        <v>-0.68614385750766904</v>
      </c>
      <c r="JP45" s="3760">
        <f>JP43/JO43-1</f>
        <v>0.52273032565101407</v>
      </c>
      <c r="JQ45" s="3760">
        <f>JQ43/JP43-1</f>
        <v>0</v>
      </c>
      <c r="JS45" s="3760"/>
      <c r="JT45" s="3760">
        <f>JT43/JS43-1</f>
        <v>0</v>
      </c>
      <c r="JV45" s="2723"/>
      <c r="JW45" s="2723"/>
      <c r="JX45" s="2723"/>
      <c r="JY45" s="2723"/>
      <c r="JZ45" s="2723"/>
      <c r="KA45" s="2723"/>
      <c r="KB45" s="2723"/>
      <c r="KC45" s="3262"/>
      <c r="KD45" s="2723"/>
      <c r="KE45" s="2723"/>
      <c r="KF45" s="2723"/>
      <c r="KG45" s="2723"/>
      <c r="KH45" s="2723"/>
      <c r="KI45" s="2723"/>
      <c r="KJ45" s="2723"/>
      <c r="KK45" s="2723"/>
      <c r="KM45" s="3480"/>
      <c r="KN45" s="3480"/>
      <c r="KO45" s="3480"/>
      <c r="KP45" s="3480"/>
      <c r="KQ45" s="3480"/>
      <c r="KR45" s="3480"/>
      <c r="KS45" s="3480"/>
      <c r="KT45" s="3480"/>
      <c r="KU45" s="3480"/>
      <c r="KV45" s="3480"/>
      <c r="KW45" s="3480"/>
      <c r="KX45" s="3480"/>
      <c r="KY45" s="3480"/>
      <c r="KZ45" s="3480"/>
      <c r="LA45" s="3480"/>
      <c r="LB45" s="3480"/>
      <c r="LC45" s="3480"/>
      <c r="LD45" s="3480"/>
      <c r="LE45" s="3480"/>
      <c r="LF45" s="3480"/>
      <c r="LG45" s="3480"/>
      <c r="LH45" s="3480"/>
      <c r="LI45" s="3480"/>
    </row>
    <row r="46" spans="1:321" ht="46.8">
      <c r="FX46" s="4346" t="s">
        <v>1771</v>
      </c>
      <c r="FY46" s="5376" t="s">
        <v>1798</v>
      </c>
      <c r="FZ46" s="5376"/>
    </row>
  </sheetData>
  <sortState xmlns:xlrd2="http://schemas.microsoft.com/office/spreadsheetml/2017/richdata2" ref="A7:LI37">
    <sortCondition descending="1" ref="JP7:JP37"/>
  </sortState>
  <mergeCells count="41">
    <mergeCell ref="FY46:FZ46"/>
    <mergeCell ref="KC2:KC4"/>
    <mergeCell ref="KK2:KK4"/>
    <mergeCell ref="KJ2:KJ4"/>
    <mergeCell ref="IC2:IF2"/>
    <mergeCell ref="HA2:HD2"/>
    <mergeCell ref="JX2:JX4"/>
    <mergeCell ref="JW2:JW4"/>
    <mergeCell ref="HE2:HH2"/>
    <mergeCell ref="HI2:HL2"/>
    <mergeCell ref="HM2:HP2"/>
    <mergeCell ref="HQ2:HT2"/>
    <mergeCell ref="HU2:HX2"/>
    <mergeCell ref="JV2:JV4"/>
    <mergeCell ref="KI2:KI4"/>
    <mergeCell ref="KH2:KH4"/>
    <mergeCell ref="JZ2:JZ4"/>
    <mergeCell ref="IG2:IJ2"/>
    <mergeCell ref="KG2:KG4"/>
    <mergeCell ref="KE2:KE4"/>
    <mergeCell ref="GO2:GR2"/>
    <mergeCell ref="GS2:GV2"/>
    <mergeCell ref="GW2:GZ2"/>
    <mergeCell ref="HY2:IB2"/>
    <mergeCell ref="IK2:IN2"/>
    <mergeCell ref="KB2:KB4"/>
    <mergeCell ref="KA2:KA4"/>
    <mergeCell ref="KF2:KF4"/>
    <mergeCell ref="JY2:JY4"/>
    <mergeCell ref="D2:O2"/>
    <mergeCell ref="P2:AA2"/>
    <mergeCell ref="AB2:AM2"/>
    <mergeCell ref="DT2:EE2"/>
    <mergeCell ref="EF2:EQ2"/>
    <mergeCell ref="CV2:DG2"/>
    <mergeCell ref="DH2:DS2"/>
    <mergeCell ref="AN2:AY2"/>
    <mergeCell ref="AZ2:BK2"/>
    <mergeCell ref="BL2:BW2"/>
    <mergeCell ref="BX2:CI2"/>
    <mergeCell ref="CJ2:CU2"/>
  </mergeCells>
  <phoneticPr fontId="11" type="noConversion"/>
  <conditionalFormatting sqref="KF6">
    <cfRule type="cellIs" dxfId="46" priority="46" operator="greaterThan">
      <formula>0</formula>
    </cfRule>
    <cfRule type="top10" dxfId="45" priority="48" rank="10"/>
  </conditionalFormatting>
  <conditionalFormatting sqref="KE6">
    <cfRule type="cellIs" dxfId="44" priority="45" operator="greaterThan">
      <formula>0</formula>
    </cfRule>
  </conditionalFormatting>
  <conditionalFormatting sqref="KG6">
    <cfRule type="cellIs" dxfId="43" priority="42" operator="greaterThan">
      <formula>0</formula>
    </cfRule>
    <cfRule type="top10" dxfId="42" priority="43" rank="10"/>
  </conditionalFormatting>
  <conditionalFormatting sqref="KC6">
    <cfRule type="cellIs" dxfId="41" priority="32" operator="greaterThan">
      <formula>0</formula>
    </cfRule>
    <cfRule type="top10" dxfId="40" priority="33" rank="10"/>
  </conditionalFormatting>
  <conditionalFormatting sqref="KH6">
    <cfRule type="cellIs" dxfId="39" priority="23" operator="greaterThan">
      <formula>0</formula>
    </cfRule>
    <cfRule type="top10" dxfId="38" priority="24" rank="10"/>
  </conditionalFormatting>
  <conditionalFormatting sqref="KC7:KC38">
    <cfRule type="top10" dxfId="37" priority="11" rank="10"/>
  </conditionalFormatting>
  <conditionalFormatting sqref="KI6 KK6">
    <cfRule type="cellIs" dxfId="36" priority="8" operator="greaterThan">
      <formula>0</formula>
    </cfRule>
    <cfRule type="top10" dxfId="35" priority="9" rank="10"/>
  </conditionalFormatting>
  <conditionalFormatting sqref="KJ6">
    <cfRule type="cellIs" dxfId="34" priority="3" operator="greaterThan">
      <formula>0</formula>
    </cfRule>
    <cfRule type="top10" dxfId="33" priority="4" rank="10"/>
  </conditionalFormatting>
  <conditionalFormatting sqref="KE40:KE45 KE2:KE6">
    <cfRule type="top10" dxfId="32" priority="85" rank="10"/>
  </conditionalFormatting>
  <conditionalFormatting sqref="KF40:KF45 KF2:KF6">
    <cfRule type="top10" dxfId="31" priority="88" rank="10"/>
  </conditionalFormatting>
  <conditionalFormatting sqref="KG40:KG45 KG2:KG6">
    <cfRule type="top10" dxfId="30" priority="91" rank="10"/>
  </conditionalFormatting>
  <conditionalFormatting sqref="KC40:KC45 KC2:KC6">
    <cfRule type="top10" dxfId="29" priority="94" rank="10"/>
  </conditionalFormatting>
  <conditionalFormatting sqref="KH40:KH45 KH2:KH6">
    <cfRule type="top10" dxfId="28" priority="97" rank="10"/>
  </conditionalFormatting>
  <conditionalFormatting sqref="KI40:KI45 KI2:KI6 KK2:KK6 KK40:KK45">
    <cfRule type="top10" dxfId="27" priority="100" rank="10"/>
  </conditionalFormatting>
  <conditionalFormatting sqref="KJ40:KJ45 KJ2:KJ6">
    <cfRule type="top10" dxfId="26" priority="106" rank="10"/>
  </conditionalFormatting>
  <printOptions horizontalCentered="1" verticalCentered="1"/>
  <pageMargins left="0.39370078740157483" right="0.11811023622047245" top="0.51181102362204722" bottom="0.43307086614173229" header="0" footer="0"/>
  <pageSetup paperSize="9" scale="61" orientation="landscape" verticalDpi="597" r:id="rId1"/>
  <headerFooter alignWithMargins="0"/>
  <rowBreaks count="1" manualBreakCount="1">
    <brk id="41" max="16383" man="1"/>
  </rowBreak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36"/>
  <sheetViews>
    <sheetView showGridLines="0" zoomScale="70" zoomScaleNormal="70" workbookViewId="0">
      <selection activeCell="L33" sqref="B1:L33"/>
    </sheetView>
  </sheetViews>
  <sheetFormatPr baseColWidth="10" defaultColWidth="11.44140625" defaultRowHeight="14.4"/>
  <cols>
    <col min="1" max="1" width="3" customWidth="1"/>
    <col min="2" max="2" width="23.5546875" customWidth="1"/>
    <col min="3" max="3" width="14" customWidth="1"/>
    <col min="4" max="4" width="17.77734375" customWidth="1"/>
    <col min="5" max="5" width="23.5546875" customWidth="1"/>
    <col min="6" max="7" width="20.6640625" customWidth="1"/>
    <col min="8" max="9" width="20.6640625" hidden="1" customWidth="1"/>
    <col min="10" max="10" width="18.33203125" bestFit="1" customWidth="1"/>
    <col min="11" max="12" width="23.5546875" customWidth="1"/>
    <col min="226" max="226" width="0" hidden="1" customWidth="1"/>
  </cols>
  <sheetData>
    <row r="1" spans="1:13">
      <c r="A1" s="158"/>
      <c r="B1" s="2672"/>
      <c r="C1" s="2670"/>
      <c r="D1" s="2670"/>
      <c r="E1" s="2670"/>
      <c r="F1" s="2670"/>
      <c r="G1" s="2670"/>
      <c r="H1" s="254"/>
      <c r="I1" s="254"/>
      <c r="J1" s="2666"/>
      <c r="K1" s="2666"/>
      <c r="L1" s="2667"/>
      <c r="M1" s="158"/>
    </row>
    <row r="2" spans="1:13">
      <c r="A2" s="158"/>
      <c r="B2" s="2673"/>
      <c r="C2" s="2671"/>
      <c r="D2" s="2671"/>
      <c r="E2" s="2671"/>
      <c r="F2" s="2671"/>
      <c r="G2" s="2671"/>
      <c r="H2" s="1099"/>
      <c r="I2" s="1099"/>
      <c r="J2" s="2668"/>
      <c r="K2" s="2668"/>
      <c r="L2" s="2669"/>
      <c r="M2" s="158"/>
    </row>
    <row r="3" spans="1:13">
      <c r="A3" s="158"/>
      <c r="B3" s="2673"/>
      <c r="C3" s="2671"/>
      <c r="D3" s="2671"/>
      <c r="E3" s="2671"/>
      <c r="F3" s="2671"/>
      <c r="G3" s="2671"/>
      <c r="H3" s="1099"/>
      <c r="I3" s="1099"/>
      <c r="J3" s="2668"/>
      <c r="K3" s="2668"/>
      <c r="L3" s="2669"/>
      <c r="M3" s="158"/>
    </row>
    <row r="4" spans="1:13">
      <c r="A4" s="158"/>
      <c r="B4" s="2673"/>
      <c r="C4" s="2671"/>
      <c r="D4" s="2671"/>
      <c r="E4" s="2671"/>
      <c r="F4" s="2671"/>
      <c r="G4" s="2671"/>
      <c r="H4" s="1099"/>
      <c r="I4" s="1099"/>
      <c r="J4" s="2668"/>
      <c r="K4" s="2668"/>
      <c r="L4" s="2669"/>
      <c r="M4" s="158"/>
    </row>
    <row r="5" spans="1:13">
      <c r="A5" s="158"/>
      <c r="B5" s="2673"/>
      <c r="C5" s="2671"/>
      <c r="D5" s="2671"/>
      <c r="E5" s="2671"/>
      <c r="F5" s="2671"/>
      <c r="G5" s="2671"/>
      <c r="H5" s="1099"/>
      <c r="I5" s="1099"/>
      <c r="J5" s="2668"/>
      <c r="K5" s="2668"/>
      <c r="L5" s="2669"/>
      <c r="M5" s="158"/>
    </row>
    <row r="6" spans="1:13">
      <c r="A6" s="158"/>
      <c r="B6" s="2673"/>
      <c r="C6" s="2671"/>
      <c r="D6" s="2671"/>
      <c r="E6" s="2671"/>
      <c r="F6" s="2671"/>
      <c r="G6" s="2671"/>
      <c r="H6" s="1099"/>
      <c r="I6" s="1099"/>
      <c r="J6" s="2668"/>
      <c r="K6" s="2668"/>
      <c r="L6" s="2669"/>
      <c r="M6" s="158"/>
    </row>
    <row r="7" spans="1:13">
      <c r="A7" s="158"/>
      <c r="B7" s="2673"/>
      <c r="C7" s="2671"/>
      <c r="D7" s="2671"/>
      <c r="E7" s="2671"/>
      <c r="F7" s="2674"/>
      <c r="G7" s="2671"/>
      <c r="H7" s="1099"/>
      <c r="I7" s="1099"/>
      <c r="J7" s="2668"/>
      <c r="K7" s="2668"/>
      <c r="L7" s="2669"/>
      <c r="M7" s="158"/>
    </row>
    <row r="8" spans="1:13">
      <c r="A8" s="158"/>
      <c r="B8" s="2673"/>
      <c r="C8" s="2671"/>
      <c r="D8" s="2671"/>
      <c r="E8" s="2671"/>
      <c r="F8" s="2671"/>
      <c r="G8" s="2671"/>
      <c r="H8" s="1099"/>
      <c r="I8" s="1099"/>
      <c r="J8" s="2668"/>
      <c r="K8" s="2668"/>
      <c r="L8" s="2669"/>
      <c r="M8" s="158"/>
    </row>
    <row r="9" spans="1:13" ht="15" thickBot="1">
      <c r="A9" s="158"/>
      <c r="B9" s="2675"/>
      <c r="C9" s="2676"/>
      <c r="D9" s="2676"/>
      <c r="E9" s="2676"/>
      <c r="F9" s="2676"/>
      <c r="G9" s="2676"/>
      <c r="H9" s="1906"/>
      <c r="I9" s="1906"/>
      <c r="J9" s="2677"/>
      <c r="K9" s="2677"/>
      <c r="L9" s="2678"/>
      <c r="M9" s="158"/>
    </row>
    <row r="10" spans="1:13" ht="46.2" customHeight="1" thickBot="1">
      <c r="A10" s="158"/>
      <c r="B10" s="5401" t="str">
        <f>'Llegadas '!A1</f>
        <v>Llegadas internacionales de turistas no residentes (#)</v>
      </c>
      <c r="C10" s="5398" t="s">
        <v>905</v>
      </c>
      <c r="D10" s="5400"/>
      <c r="E10" s="5400"/>
      <c r="F10" s="5400"/>
      <c r="G10" s="5400"/>
      <c r="H10" s="5400"/>
      <c r="I10" s="5399"/>
      <c r="J10" s="5403" t="str">
        <f>'Sugeridos-estancia-gasto'!A2</f>
        <v>Estadía promedio en ciudad del turismo de recreación en estancia corta y media (1 a 15 días)</v>
      </c>
      <c r="K10" s="5404"/>
      <c r="L10" s="5405"/>
      <c r="M10" s="158"/>
    </row>
    <row r="11" spans="1:13" ht="60.75" customHeight="1" thickBot="1">
      <c r="A11" s="604"/>
      <c r="B11" s="5402"/>
      <c r="C11" s="5398" t="str">
        <f>'TOH (hist) '!A1</f>
        <v>Tasa de ocupación hotelera (TOH) - (%)</v>
      </c>
      <c r="D11" s="5399"/>
      <c r="E11" s="2572" t="str">
        <f>'Estancia hotelera'!B2</f>
        <v>Estancia media hotelera DMQ (noches)</v>
      </c>
      <c r="F11" s="2575" t="s">
        <v>903</v>
      </c>
      <c r="G11" s="2575" t="s">
        <v>904</v>
      </c>
      <c r="H11" s="2573" t="s">
        <v>1127</v>
      </c>
      <c r="I11" s="2574" t="s">
        <v>1128</v>
      </c>
      <c r="J11" s="2584" t="str">
        <f>'Sugeridos-estancia-gasto'!A5</f>
        <v>Estancia ciudad (días)</v>
      </c>
      <c r="K11" s="2591" t="str">
        <f>'Sugeridos-estancia-gasto'!A7</f>
        <v>Gasto medio diario (USD)</v>
      </c>
      <c r="L11" s="2598" t="str">
        <f>'Sugeridos-estancia-gasto'!A6</f>
        <v>Gasto medio turista (USD)</v>
      </c>
      <c r="M11" s="604"/>
    </row>
    <row r="12" spans="1:13" ht="18" hidden="1">
      <c r="A12" s="604"/>
      <c r="B12" s="2551">
        <f>'Llegadas '!J3</f>
        <v>2015</v>
      </c>
      <c r="C12" s="5406">
        <f>'TOH (hist) '!K3</f>
        <v>2015</v>
      </c>
      <c r="D12" s="5407"/>
      <c r="E12" s="2566">
        <f>'Estancia hotelera'!M4</f>
        <v>2015</v>
      </c>
      <c r="F12" s="2576"/>
      <c r="G12" s="2576"/>
      <c r="H12" s="1093"/>
      <c r="I12" s="1096"/>
      <c r="J12" s="2585" t="str">
        <f>'Sugeridos-estancia-gasto'!I4</f>
        <v xml:space="preserve"> agosto 2015</v>
      </c>
      <c r="K12" s="2592" t="str">
        <f>'Sugeridos-estancia-gasto'!I4</f>
        <v xml:space="preserve"> agosto 2015</v>
      </c>
      <c r="L12" s="2599" t="str">
        <f>'Sugeridos-estancia-gasto'!I4</f>
        <v xml:space="preserve"> agosto 2015</v>
      </c>
      <c r="M12" s="604"/>
    </row>
    <row r="13" spans="1:13" ht="18" hidden="1">
      <c r="A13" s="604"/>
      <c r="B13" s="2552">
        <f>'Llegadas '!J16</f>
        <v>712877</v>
      </c>
      <c r="C13" s="5396">
        <f>'TOH (hist) '!K5</f>
        <v>52.646506184060037</v>
      </c>
      <c r="D13" s="5397"/>
      <c r="E13" s="2567">
        <f>'Estancia hotelera'!M19</f>
        <v>1.5855894194982867</v>
      </c>
      <c r="F13" s="2577"/>
      <c r="G13" s="2577"/>
      <c r="H13" s="1094"/>
      <c r="I13" s="1097"/>
      <c r="J13" s="2586">
        <f>'Sugeridos-estancia-gasto'!I5</f>
        <v>5.92</v>
      </c>
      <c r="K13" s="2593">
        <f>'Sugeridos-estancia-gasto'!I7</f>
        <v>75</v>
      </c>
      <c r="L13" s="2600">
        <f>'Sugeridos-estancia-gasto'!I6</f>
        <v>446</v>
      </c>
      <c r="M13" s="604"/>
    </row>
    <row r="14" spans="1:13" ht="18" hidden="1">
      <c r="A14" s="604"/>
      <c r="B14" s="2553"/>
      <c r="C14" s="5396"/>
      <c r="D14" s="5397"/>
      <c r="E14" s="2568"/>
      <c r="F14" s="2578"/>
      <c r="G14" s="2578"/>
      <c r="H14" s="2539"/>
      <c r="I14" s="2540"/>
      <c r="J14" s="2587"/>
      <c r="K14" s="2594"/>
      <c r="L14" s="2601"/>
      <c r="M14" s="604"/>
    </row>
    <row r="15" spans="1:13" ht="18" hidden="1">
      <c r="A15" s="604"/>
      <c r="B15" s="2554">
        <f>'Llegadas '!K3</f>
        <v>2016</v>
      </c>
      <c r="C15" s="5394">
        <f>'TOH (hist) '!L3</f>
        <v>2016</v>
      </c>
      <c r="D15" s="5395"/>
      <c r="E15" s="2569">
        <f>'Estancia hotelera'!N4</f>
        <v>2016</v>
      </c>
      <c r="F15" s="2579"/>
      <c r="G15" s="2579"/>
      <c r="H15" s="2541">
        <v>2016</v>
      </c>
      <c r="I15" s="2541">
        <v>2016</v>
      </c>
      <c r="J15" s="2588" t="str">
        <f>'Sugeridos-estancia-gasto'!J4</f>
        <v xml:space="preserve"> diciembre 2016</v>
      </c>
      <c r="K15" s="2595" t="str">
        <f>J15</f>
        <v xml:space="preserve"> diciembre 2016</v>
      </c>
      <c r="L15" s="2602" t="str">
        <f>'Sugeridos-estancia-gasto'!J4</f>
        <v xml:space="preserve"> diciembre 2016</v>
      </c>
      <c r="M15" s="604"/>
    </row>
    <row r="16" spans="1:13" ht="18" hidden="1">
      <c r="A16" s="604"/>
      <c r="B16" s="2552">
        <f>'Llegadas '!K16</f>
        <v>627626</v>
      </c>
      <c r="C16" s="5396">
        <f>'TOH (hist) '!L5</f>
        <v>46.512730614023319</v>
      </c>
      <c r="D16" s="5397"/>
      <c r="E16" s="2567">
        <f>'Estancia hotelera'!N19</f>
        <v>1.5566332188277681</v>
      </c>
      <c r="F16" s="2577"/>
      <c r="G16" s="2577"/>
      <c r="H16" s="1095">
        <f>SUM('[4]Aloj-Hab-Plazas'!L27:M27)</f>
        <v>118</v>
      </c>
      <c r="I16" s="1098">
        <f>SUM('[4]Aloj-Hab-Plazas'!L28:M28)</f>
        <v>4585</v>
      </c>
      <c r="J16" s="2586">
        <f>'Sugeridos-estancia-gasto'!J5</f>
        <v>5.53</v>
      </c>
      <c r="K16" s="2593">
        <f>'Sugeridos-estancia-gasto'!J7</f>
        <v>114</v>
      </c>
      <c r="L16" s="2600">
        <f>'Sugeridos-estancia-gasto'!J6</f>
        <v>631</v>
      </c>
      <c r="M16" s="604"/>
    </row>
    <row r="17" spans="1:13" ht="18" hidden="1">
      <c r="A17" s="604"/>
      <c r="B17" s="2553"/>
      <c r="C17" s="5396"/>
      <c r="D17" s="5397"/>
      <c r="E17" s="2568"/>
      <c r="F17" s="2578"/>
      <c r="G17" s="2578"/>
      <c r="H17" s="2539"/>
      <c r="I17" s="2540"/>
      <c r="J17" s="2587"/>
      <c r="K17" s="2594"/>
      <c r="L17" s="2601"/>
      <c r="M17" s="604"/>
    </row>
    <row r="18" spans="1:13" ht="18" hidden="1">
      <c r="A18" s="604"/>
      <c r="B18" s="2554">
        <f>'Llegadas '!L3</f>
        <v>2017</v>
      </c>
      <c r="C18" s="5394" t="str">
        <f>'TOH (hist) '!M3</f>
        <v xml:space="preserve">2017 (e) </v>
      </c>
      <c r="D18" s="5395"/>
      <c r="E18" s="2569" t="str">
        <f>'Estancia hotelera'!O4</f>
        <v xml:space="preserve">2017 (e) </v>
      </c>
      <c r="F18" s="2579"/>
      <c r="G18" s="2579"/>
      <c r="H18" s="2541">
        <v>2017</v>
      </c>
      <c r="I18" s="2541">
        <v>2017</v>
      </c>
      <c r="J18" s="2588" t="str">
        <f>'Sugeridos-estancia-gasto'!K4</f>
        <v xml:space="preserve"> enero 2017 (e) </v>
      </c>
      <c r="K18" s="2595" t="str">
        <f>J18</f>
        <v xml:space="preserve"> enero 2017 (e) </v>
      </c>
      <c r="L18" s="2602" t="str">
        <f>'Sugeridos-estancia-gasto'!K4</f>
        <v xml:space="preserve"> enero 2017 (e) </v>
      </c>
      <c r="M18" s="604"/>
    </row>
    <row r="19" spans="1:13" ht="18" hidden="1">
      <c r="A19" s="604"/>
      <c r="B19" s="2552">
        <f>'Llegadas '!L16</f>
        <v>652931</v>
      </c>
      <c r="C19" s="5396">
        <f>'TOH (hist) '!M5</f>
        <v>46.020581605453351</v>
      </c>
      <c r="D19" s="5397"/>
      <c r="E19" s="2567">
        <f>'Estancia hotelera'!O19</f>
        <v>1.5448134813886878</v>
      </c>
      <c r="F19" s="2577"/>
      <c r="G19" s="2577"/>
      <c r="H19" s="1095">
        <f>SUM('[4]Aloj-Hab-Plazas'!N27:O27)</f>
        <v>60</v>
      </c>
      <c r="I19" s="1098">
        <f>SUM('[4]Aloj-Hab-Plazas'!N28:O28)</f>
        <v>3605</v>
      </c>
      <c r="J19" s="2586">
        <f>'Sugeridos-estancia-gasto'!K5</f>
        <v>4.8682914931280266</v>
      </c>
      <c r="K19" s="2593">
        <f>'Sugeridos-estancia-gasto'!K7</f>
        <v>112.99411496055541</v>
      </c>
      <c r="L19" s="2600">
        <f>'Sugeridos-estancia-gasto'!K6</f>
        <v>550.08828863600218</v>
      </c>
      <c r="M19" s="604"/>
    </row>
    <row r="20" spans="1:13" ht="18" hidden="1">
      <c r="A20" s="604"/>
      <c r="B20" s="2555"/>
      <c r="C20" s="2558"/>
      <c r="D20" s="2559"/>
      <c r="E20" s="2570"/>
      <c r="F20" s="2580"/>
      <c r="G20" s="2580"/>
      <c r="H20" s="2542"/>
      <c r="I20" s="2543"/>
      <c r="J20" s="2589"/>
      <c r="K20" s="2596"/>
      <c r="L20" s="2603"/>
      <c r="M20" s="604"/>
    </row>
    <row r="21" spans="1:13" ht="18" hidden="1">
      <c r="A21" s="604"/>
      <c r="B21" s="2556"/>
      <c r="C21" s="2560" t="s">
        <v>1059</v>
      </c>
      <c r="D21" s="2561" t="s">
        <v>1058</v>
      </c>
      <c r="E21" s="2571"/>
      <c r="F21" s="2581"/>
      <c r="G21" s="2581"/>
      <c r="H21" s="2544"/>
      <c r="I21" s="2545"/>
      <c r="J21" s="2590"/>
      <c r="K21" s="2597"/>
      <c r="L21" s="2604"/>
      <c r="M21" s="604"/>
    </row>
    <row r="22" spans="1:13" ht="18">
      <c r="A22" s="604"/>
      <c r="B22" s="2551">
        <v>2018</v>
      </c>
      <c r="C22" s="2562" t="str">
        <f>'TOH (hist) '!N3</f>
        <v xml:space="preserve">2018 (e) </v>
      </c>
      <c r="D22" s="2562" t="s">
        <v>820</v>
      </c>
      <c r="E22" s="2566" t="str">
        <f>'Estancia hotelera'!P4</f>
        <v xml:space="preserve">2018 (e) </v>
      </c>
      <c r="F22" s="2576">
        <v>2018</v>
      </c>
      <c r="G22" s="2576">
        <v>2018</v>
      </c>
      <c r="H22" s="1093">
        <v>2018</v>
      </c>
      <c r="I22" s="1096">
        <v>2018</v>
      </c>
      <c r="J22" s="2585" t="str">
        <f>'Sugeridos-estancia-gasto'!L4</f>
        <v xml:space="preserve">2018 (e) </v>
      </c>
      <c r="K22" s="2592" t="str">
        <f>J22</f>
        <v xml:space="preserve">2018 (e) </v>
      </c>
      <c r="L22" s="2599" t="str">
        <f>K22</f>
        <v xml:space="preserve">2018 (e) </v>
      </c>
      <c r="M22" s="604"/>
    </row>
    <row r="23" spans="1:13" ht="18">
      <c r="A23" s="604"/>
      <c r="B23" s="2552">
        <f>'Llegadas '!M16</f>
        <v>692492</v>
      </c>
      <c r="C23" s="2557">
        <f>'TOH (hist) '!N5</f>
        <v>46.433055555555562</v>
      </c>
      <c r="D23" s="2557">
        <f>'TOH (hist) '!O5</f>
        <v>50.197122475217498</v>
      </c>
      <c r="E23" s="2567">
        <f>'Estancia hotelera'!P19</f>
        <v>1.5756734082798449</v>
      </c>
      <c r="F23" s="2582">
        <f>'[4]Aloj-Hab-Plazas'!E14</f>
        <v>13776</v>
      </c>
      <c r="G23" s="2582">
        <f>'[4]Aloj-Hab-Plazas'!F14</f>
        <v>28458</v>
      </c>
      <c r="H23" s="1095">
        <f>SUM('[4]Aloj-Hab-Plazas'!P27:Q27)</f>
        <v>65</v>
      </c>
      <c r="I23" s="1098">
        <f>SUM('[4]Aloj-Hab-Plazas'!P28:Q28)</f>
        <v>3732</v>
      </c>
      <c r="J23" s="2586">
        <f>'Sugeridos-estancia-gasto'!L5</f>
        <v>5.84</v>
      </c>
      <c r="K23" s="2593">
        <f>'Sugeridos-estancia-gasto'!L7</f>
        <v>118.15068493150686</v>
      </c>
      <c r="L23" s="2600">
        <f>'Sugeridos-estancia-gasto'!L6</f>
        <v>690</v>
      </c>
      <c r="M23" s="604"/>
    </row>
    <row r="24" spans="1:13" ht="18">
      <c r="A24" s="604"/>
      <c r="B24" s="2555"/>
      <c r="C24" s="2558"/>
      <c r="D24" s="2558"/>
      <c r="E24" s="2570"/>
      <c r="F24" s="2583"/>
      <c r="G24" s="2583"/>
      <c r="H24" s="2546"/>
      <c r="I24" s="2547"/>
      <c r="J24" s="2589"/>
      <c r="K24" s="2596"/>
      <c r="L24" s="2603"/>
      <c r="M24" s="604"/>
    </row>
    <row r="25" spans="1:13" ht="18">
      <c r="A25" s="604"/>
      <c r="B25" s="2554" t="s">
        <v>841</v>
      </c>
      <c r="C25" s="2563"/>
      <c r="D25" s="2563" t="s">
        <v>875</v>
      </c>
      <c r="E25" s="2569" t="s">
        <v>875</v>
      </c>
      <c r="F25" s="2579">
        <v>2019</v>
      </c>
      <c r="G25" s="2579">
        <v>2019</v>
      </c>
      <c r="H25" s="2541" t="s">
        <v>875</v>
      </c>
      <c r="I25" s="2548" t="s">
        <v>875</v>
      </c>
      <c r="J25" s="2590" t="s">
        <v>875</v>
      </c>
      <c r="K25" s="2597" t="s">
        <v>875</v>
      </c>
      <c r="L25" s="2604" t="s">
        <v>875</v>
      </c>
      <c r="M25" s="604"/>
    </row>
    <row r="26" spans="1:13" ht="18">
      <c r="A26" s="604"/>
      <c r="B26" s="2552">
        <f>'Llegadas '!N16</f>
        <v>684390</v>
      </c>
      <c r="C26" s="2557"/>
      <c r="D26" s="2557">
        <f>'TOH (hist) '!P5</f>
        <v>35.67</v>
      </c>
      <c r="E26" s="2567">
        <f>'Estancia hotelera'!Q19</f>
        <v>1.48</v>
      </c>
      <c r="F26" s="2582">
        <f>'[4]Aloj-Hab-Plazas'!E15</f>
        <v>14569</v>
      </c>
      <c r="G26" s="2582">
        <f>'[4]Aloj-Hab-Plazas'!F15</f>
        <v>30757</v>
      </c>
      <c r="H26" s="1095">
        <f>H23</f>
        <v>65</v>
      </c>
      <c r="I26" s="1098">
        <f>I23</f>
        <v>3732</v>
      </c>
      <c r="J26" s="2586">
        <f>'Sugeridos-estancia-gasto'!M5</f>
        <v>5.9216582986256059</v>
      </c>
      <c r="K26" s="2593">
        <f>'Sugeridos-estancia-gasto'!M7</f>
        <v>101.82895997841246</v>
      </c>
      <c r="L26" s="2600">
        <f>'Sugeridos-estancia-gasto'!M6</f>
        <v>759</v>
      </c>
      <c r="M26" s="604"/>
    </row>
    <row r="27" spans="1:13" ht="18">
      <c r="A27" s="604"/>
      <c r="B27" s="2555"/>
      <c r="C27" s="2558"/>
      <c r="D27" s="2558"/>
      <c r="E27" s="2570"/>
      <c r="F27" s="2583"/>
      <c r="G27" s="2583"/>
      <c r="H27" s="2546"/>
      <c r="I27" s="2547"/>
      <c r="J27" s="2589"/>
      <c r="K27" s="2596"/>
      <c r="L27" s="2603"/>
      <c r="M27" s="604"/>
    </row>
    <row r="28" spans="1:13" ht="54">
      <c r="A28" s="604"/>
      <c r="B28" s="2554">
        <v>2020</v>
      </c>
      <c r="C28" s="2564" t="s">
        <v>1500</v>
      </c>
      <c r="D28" s="2563">
        <v>2020</v>
      </c>
      <c r="E28" s="2665">
        <v>2020</v>
      </c>
      <c r="F28" s="2579">
        <v>2020</v>
      </c>
      <c r="G28" s="2579">
        <v>2020</v>
      </c>
      <c r="H28" s="2549"/>
      <c r="I28" s="2550"/>
      <c r="J28" s="2621" t="s">
        <v>1404</v>
      </c>
      <c r="K28" s="2622" t="s">
        <v>1404</v>
      </c>
      <c r="L28" s="2623" t="s">
        <v>1404</v>
      </c>
      <c r="M28" s="604"/>
    </row>
    <row r="29" spans="1:13" ht="18">
      <c r="A29" s="604"/>
      <c r="B29" s="2552">
        <f>'Llegadas '!O16</f>
        <v>190417</v>
      </c>
      <c r="C29" s="2565">
        <f>(57%+59.29%+21.49%+28.57%+5.56%)/12</f>
        <v>0.14325833333333335</v>
      </c>
      <c r="D29" s="4013">
        <f>'DATOS-EC-UIO'!J73</f>
        <v>9.39</v>
      </c>
      <c r="E29" s="2664">
        <f>'DATOS-EC-UIO'!J87</f>
        <v>1.48</v>
      </c>
      <c r="F29" s="2605">
        <f>'DATOS-EC-UIO'!J110</f>
        <v>15671</v>
      </c>
      <c r="G29" s="2605">
        <f>'DATOS-EC-UIO'!J111</f>
        <v>28675</v>
      </c>
      <c r="H29" s="2606"/>
      <c r="I29" s="2607"/>
      <c r="J29" s="2608">
        <f>'DATOS-EC-UIO'!J64</f>
        <v>5</v>
      </c>
      <c r="K29" s="2609">
        <f>'DATOS-EC-UIO'!J66</f>
        <v>100</v>
      </c>
      <c r="L29" s="2610">
        <f>'DATOS-EC-UIO'!J65</f>
        <v>569.36999999999989</v>
      </c>
      <c r="M29" s="604"/>
    </row>
    <row r="30" spans="1:13" ht="18.600000000000001" thickBot="1">
      <c r="A30" s="604"/>
      <c r="B30" s="2552"/>
      <c r="C30" s="2557"/>
      <c r="D30" s="2557"/>
      <c r="E30" s="2567"/>
      <c r="F30" s="2582"/>
      <c r="G30" s="2582"/>
      <c r="H30" s="1095"/>
      <c r="I30" s="1098"/>
      <c r="J30" s="2586"/>
      <c r="K30" s="2593"/>
      <c r="L30" s="2600"/>
      <c r="M30" s="604"/>
    </row>
    <row r="31" spans="1:13" ht="36">
      <c r="A31" s="604"/>
      <c r="B31" s="2996" t="s">
        <v>1441</v>
      </c>
      <c r="C31" s="2997" t="s">
        <v>1499</v>
      </c>
      <c r="D31" s="2998" t="s">
        <v>1488</v>
      </c>
      <c r="E31" s="2997" t="s">
        <v>1488</v>
      </c>
      <c r="F31" s="2995">
        <v>2021</v>
      </c>
      <c r="G31" s="2995">
        <v>2021</v>
      </c>
      <c r="H31" s="2999"/>
      <c r="I31" s="3000"/>
      <c r="J31" s="2995" t="s">
        <v>1441</v>
      </c>
      <c r="K31" s="2995" t="s">
        <v>1441</v>
      </c>
      <c r="L31" s="3001" t="s">
        <v>1441</v>
      </c>
      <c r="M31" s="604"/>
    </row>
    <row r="32" spans="1:13" ht="18">
      <c r="A32" s="604"/>
      <c r="B32" s="2990">
        <f>'Llegadas '!$P$16</f>
        <v>280996</v>
      </c>
      <c r="C32" s="2991">
        <v>9.6799999999999997E-2</v>
      </c>
      <c r="D32" s="4393">
        <f>'DATOS-EC-UIO'!K73/100</f>
        <v>0.2021</v>
      </c>
      <c r="E32" s="2992">
        <f>'DATOS-EC-UIO'!K87</f>
        <v>1.1399999999999999</v>
      </c>
      <c r="F32" s="2990">
        <f>'DATOS-EC-UIO'!K110</f>
        <v>15671</v>
      </c>
      <c r="G32" s="2990">
        <f>'DATOS-EC-UIO'!K111</f>
        <v>28675</v>
      </c>
      <c r="H32" s="2990"/>
      <c r="I32" s="2993"/>
      <c r="J32" s="2989">
        <f>'DATOS-EC-UIO'!K64</f>
        <v>5</v>
      </c>
      <c r="K32" s="2989">
        <f>'DATOS-EC-UIO'!K66</f>
        <v>100</v>
      </c>
      <c r="L32" s="2994">
        <f>'DATOS-EC-UIO'!K65</f>
        <v>569.36999999999989</v>
      </c>
      <c r="M32" s="604"/>
    </row>
    <row r="33" spans="1:13" ht="18.600000000000001" thickBot="1">
      <c r="A33" s="604"/>
      <c r="B33" s="2611"/>
      <c r="C33" s="2612"/>
      <c r="D33" s="2613"/>
      <c r="E33" s="2614"/>
      <c r="F33" s="2615"/>
      <c r="G33" s="2615"/>
      <c r="H33" s="2616"/>
      <c r="I33" s="2617"/>
      <c r="J33" s="2618"/>
      <c r="K33" s="2619"/>
      <c r="L33" s="2620"/>
      <c r="M33" s="604"/>
    </row>
    <row r="34" spans="1:13">
      <c r="A34" s="158"/>
      <c r="B34" s="387"/>
      <c r="C34" s="387"/>
      <c r="D34" s="387"/>
      <c r="E34" s="387"/>
      <c r="F34" s="387"/>
      <c r="G34" s="387"/>
      <c r="H34" s="387"/>
      <c r="I34" s="387"/>
      <c r="J34" s="387"/>
      <c r="K34" s="387"/>
      <c r="L34" s="387"/>
      <c r="M34" s="158"/>
    </row>
    <row r="35" spans="1:13">
      <c r="A35" s="158"/>
      <c r="B35" s="385" t="s">
        <v>1093</v>
      </c>
      <c r="C35" s="158" t="s">
        <v>873</v>
      </c>
      <c r="D35" s="703"/>
      <c r="E35" s="703"/>
      <c r="F35" s="703"/>
      <c r="G35" s="703"/>
      <c r="H35" s="703"/>
      <c r="I35" s="703"/>
      <c r="J35" s="158"/>
      <c r="K35" s="158"/>
      <c r="L35" s="158"/>
      <c r="M35" s="158"/>
    </row>
    <row r="36" spans="1:13">
      <c r="A36" s="158"/>
      <c r="B36" s="158"/>
      <c r="C36" s="158"/>
      <c r="D36" s="703"/>
      <c r="E36" s="703"/>
      <c r="F36" s="703"/>
      <c r="G36" s="703"/>
      <c r="H36" s="703"/>
      <c r="I36" s="703"/>
      <c r="J36" s="158"/>
      <c r="K36" s="158"/>
      <c r="L36" s="158"/>
      <c r="M36" s="158"/>
    </row>
  </sheetData>
  <mergeCells count="12">
    <mergeCell ref="C10:I10"/>
    <mergeCell ref="B10:B11"/>
    <mergeCell ref="J10:L10"/>
    <mergeCell ref="C12:D12"/>
    <mergeCell ref="C13:D13"/>
    <mergeCell ref="C15:D15"/>
    <mergeCell ref="C16:D16"/>
    <mergeCell ref="C18:D18"/>
    <mergeCell ref="C19:D19"/>
    <mergeCell ref="C11:D11"/>
    <mergeCell ref="C14:D14"/>
    <mergeCell ref="C17:D17"/>
  </mergeCells>
  <pageMargins left="0.70866141732283472" right="0.70866141732283472" top="0.74803149606299213" bottom="0.74803149606299213" header="0.31496062992125984" footer="0.31496062992125984"/>
  <pageSetup paperSize="9" scale="10" orientation="landscape" r:id="rId1"/>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tint="0.39997558519241921"/>
    <pageSetUpPr fitToPage="1"/>
  </sheetPr>
  <dimension ref="A2:V28"/>
  <sheetViews>
    <sheetView showGridLines="0" zoomScale="85" zoomScaleNormal="85" workbookViewId="0">
      <selection activeCell="AE38" sqref="AE38"/>
    </sheetView>
  </sheetViews>
  <sheetFormatPr baseColWidth="10" defaultColWidth="11.44140625" defaultRowHeight="14.4"/>
  <cols>
    <col min="1" max="1" width="29.44140625" style="21" customWidth="1"/>
    <col min="2" max="5" width="11.44140625" style="21" hidden="1" customWidth="1"/>
    <col min="6" max="7" width="11.44140625" style="21" customWidth="1"/>
    <col min="8" max="8" width="13.44140625" style="21" customWidth="1"/>
    <col min="9" max="9" width="12.5546875" style="21" bestFit="1" customWidth="1"/>
    <col min="10" max="15" width="12.5546875" style="21" customWidth="1"/>
    <col min="16" max="16" width="11.44140625" style="21" customWidth="1"/>
    <col min="17" max="22" width="11.44140625" style="21"/>
    <col min="228" max="228" width="0" hidden="1" customWidth="1"/>
  </cols>
  <sheetData>
    <row r="2" spans="1:22" ht="47.25" customHeight="1">
      <c r="A2" s="5410" t="s">
        <v>529</v>
      </c>
      <c r="B2" s="5410"/>
      <c r="C2" s="5410"/>
      <c r="D2" s="5410"/>
      <c r="E2" s="5410"/>
      <c r="F2" s="5410"/>
      <c r="G2" s="5410"/>
      <c r="H2" s="5410"/>
      <c r="I2" s="5410"/>
      <c r="J2" s="5410"/>
      <c r="K2" s="5410"/>
      <c r="L2" s="5410"/>
      <c r="M2" s="5410"/>
      <c r="N2" s="5410"/>
      <c r="O2" s="5410"/>
      <c r="P2" s="3918"/>
      <c r="Q2" s="3918"/>
      <c r="R2" s="3918"/>
      <c r="S2" s="3918"/>
      <c r="T2" s="3918"/>
      <c r="U2" s="3918"/>
      <c r="V2" s="3918"/>
    </row>
    <row r="3" spans="1:22" ht="15" thickBot="1">
      <c r="A3" s="5409" t="s">
        <v>529</v>
      </c>
      <c r="B3" s="5409"/>
      <c r="C3" s="5409"/>
      <c r="D3" s="5409"/>
      <c r="E3" s="5409"/>
      <c r="F3" s="5409"/>
      <c r="G3" s="5409"/>
      <c r="H3" s="5409"/>
      <c r="I3" s="5409"/>
      <c r="J3" s="5409"/>
      <c r="K3" s="5409"/>
      <c r="L3" s="1076"/>
      <c r="M3" s="1076"/>
      <c r="N3" s="1076"/>
      <c r="O3" s="1076"/>
    </row>
    <row r="4" spans="1:22" ht="29.4" thickBot="1">
      <c r="A4" s="242" t="s">
        <v>483</v>
      </c>
      <c r="B4" s="243" t="s">
        <v>492</v>
      </c>
      <c r="C4" s="243" t="s">
        <v>493</v>
      </c>
      <c r="D4" s="243" t="s">
        <v>494</v>
      </c>
      <c r="E4" s="243" t="s">
        <v>495</v>
      </c>
      <c r="F4" s="243" t="s">
        <v>496</v>
      </c>
      <c r="G4" s="243" t="s">
        <v>497</v>
      </c>
      <c r="H4" s="243" t="s">
        <v>498</v>
      </c>
      <c r="I4" s="243" t="s">
        <v>499</v>
      </c>
      <c r="J4" s="243" t="s">
        <v>739</v>
      </c>
      <c r="K4" s="243" t="s">
        <v>740</v>
      </c>
      <c r="L4" s="243" t="s">
        <v>820</v>
      </c>
      <c r="M4" s="243" t="s">
        <v>875</v>
      </c>
      <c r="N4" s="243" t="s">
        <v>1404</v>
      </c>
      <c r="O4" s="2342" t="s">
        <v>1441</v>
      </c>
      <c r="P4" s="2213"/>
      <c r="Q4" s="2213"/>
      <c r="R4" s="2213"/>
      <c r="S4" s="2213"/>
      <c r="T4" s="2213"/>
      <c r="U4" s="2213"/>
      <c r="V4" s="2213"/>
    </row>
    <row r="5" spans="1:22" ht="15.6">
      <c r="A5" s="237" t="s">
        <v>598</v>
      </c>
      <c r="B5" s="238">
        <v>4.45</v>
      </c>
      <c r="C5" s="238">
        <v>5.7</v>
      </c>
      <c r="D5" s="238"/>
      <c r="E5" s="238"/>
      <c r="F5" s="238">
        <v>5.87</v>
      </c>
      <c r="G5" s="238">
        <v>5.38</v>
      </c>
      <c r="H5" s="238">
        <v>7.45</v>
      </c>
      <c r="I5" s="238">
        <v>5.92</v>
      </c>
      <c r="J5" s="238">
        <v>5.53</v>
      </c>
      <c r="K5" s="238">
        <v>4.8682914931280266</v>
      </c>
      <c r="L5" s="238">
        <v>5.84</v>
      </c>
      <c r="M5" s="238">
        <f>AVERAGE(H5:L5)</f>
        <v>5.9216582986256059</v>
      </c>
      <c r="N5" s="238">
        <v>5</v>
      </c>
      <c r="O5" s="2343">
        <v>5</v>
      </c>
    </row>
    <row r="6" spans="1:22" ht="15.6">
      <c r="A6" s="239" t="s">
        <v>599</v>
      </c>
      <c r="B6" s="236">
        <f>B5*B7</f>
        <v>474.81500000000005</v>
      </c>
      <c r="C6" s="236">
        <f>C5*C7</f>
        <v>551.19000000000005</v>
      </c>
      <c r="D6" s="236"/>
      <c r="E6" s="236"/>
      <c r="F6" s="236">
        <v>537</v>
      </c>
      <c r="G6" s="236">
        <v>572</v>
      </c>
      <c r="H6" s="236">
        <v>666</v>
      </c>
      <c r="I6" s="236">
        <v>446</v>
      </c>
      <c r="J6" s="236">
        <v>631</v>
      </c>
      <c r="K6" s="236">
        <v>550.08828863600218</v>
      </c>
      <c r="L6" s="236">
        <v>690</v>
      </c>
      <c r="M6" s="236">
        <v>759</v>
      </c>
      <c r="N6" s="236">
        <f>1119.37-550</f>
        <v>569.36999999999989</v>
      </c>
      <c r="O6" s="2343">
        <f>1119.37-550</f>
        <v>569.36999999999989</v>
      </c>
    </row>
    <row r="7" spans="1:22" ht="16.2" thickBot="1">
      <c r="A7" s="240" t="s">
        <v>600</v>
      </c>
      <c r="B7" s="241">
        <v>106.7</v>
      </c>
      <c r="C7" s="241">
        <v>96.7</v>
      </c>
      <c r="D7" s="241"/>
      <c r="E7" s="241"/>
      <c r="F7" s="241">
        <v>91</v>
      </c>
      <c r="G7" s="241">
        <v>106</v>
      </c>
      <c r="H7" s="241">
        <v>89</v>
      </c>
      <c r="I7" s="241">
        <v>75</v>
      </c>
      <c r="J7" s="241">
        <v>114</v>
      </c>
      <c r="K7" s="241">
        <v>112.99411496055541</v>
      </c>
      <c r="L7" s="241">
        <f>L6/L5</f>
        <v>118.15068493150686</v>
      </c>
      <c r="M7" s="241">
        <f>AVERAGE(H7:L7)</f>
        <v>101.82895997841246</v>
      </c>
      <c r="N7" s="241">
        <v>100</v>
      </c>
      <c r="O7" s="2343">
        <v>100</v>
      </c>
    </row>
    <row r="8" spans="1:22" ht="15.6">
      <c r="A8" s="251"/>
      <c r="B8" s="252"/>
      <c r="C8" s="252"/>
      <c r="D8" s="252"/>
      <c r="E8" s="252"/>
      <c r="F8" s="582"/>
      <c r="G8" s="582">
        <f t="shared" ref="G8:M10" si="0">G5/F5-1</f>
        <v>-8.3475298126064801E-2</v>
      </c>
      <c r="H8" s="582">
        <f t="shared" si="0"/>
        <v>0.38475836431226762</v>
      </c>
      <c r="I8" s="582">
        <f t="shared" si="0"/>
        <v>-0.2053691275167786</v>
      </c>
      <c r="J8" s="582">
        <f t="shared" si="0"/>
        <v>-6.5878378378378288E-2</v>
      </c>
      <c r="K8" s="582">
        <f t="shared" si="0"/>
        <v>-0.11965795784303324</v>
      </c>
      <c r="L8" s="582">
        <f t="shared" si="0"/>
        <v>0.19959949157596979</v>
      </c>
      <c r="M8" s="582">
        <f t="shared" si="0"/>
        <v>1.3982585381096868E-2</v>
      </c>
      <c r="N8" s="582">
        <f t="shared" ref="N8:N10" si="1">N5/M5-1</f>
        <v>-0.15564192530992871</v>
      </c>
      <c r="O8" s="1660">
        <f t="shared" ref="O8:O10" si="2">O5/N5-1</f>
        <v>0</v>
      </c>
    </row>
    <row r="9" spans="1:22" ht="15.6">
      <c r="A9" s="251"/>
      <c r="B9" s="252"/>
      <c r="C9" s="252"/>
      <c r="D9" s="252"/>
      <c r="E9" s="252"/>
      <c r="F9" s="582"/>
      <c r="G9" s="582">
        <f t="shared" si="0"/>
        <v>6.5176908752327734E-2</v>
      </c>
      <c r="H9" s="582">
        <f t="shared" si="0"/>
        <v>0.16433566433566438</v>
      </c>
      <c r="I9" s="582">
        <f t="shared" si="0"/>
        <v>-0.33033033033033032</v>
      </c>
      <c r="J9" s="582">
        <f t="shared" si="0"/>
        <v>0.41479820627802688</v>
      </c>
      <c r="K9" s="582">
        <f t="shared" si="0"/>
        <v>-0.12822775176544821</v>
      </c>
      <c r="L9" s="582">
        <f t="shared" si="0"/>
        <v>0.25434410121859274</v>
      </c>
      <c r="M9" s="582">
        <f t="shared" si="0"/>
        <v>0.10000000000000009</v>
      </c>
      <c r="N9" s="582">
        <f t="shared" si="1"/>
        <v>-0.24984189723320172</v>
      </c>
      <c r="O9" s="1660">
        <f t="shared" si="2"/>
        <v>0</v>
      </c>
    </row>
    <row r="10" spans="1:22">
      <c r="F10" s="582"/>
      <c r="G10" s="582">
        <f t="shared" si="0"/>
        <v>0.16483516483516492</v>
      </c>
      <c r="H10" s="582">
        <f t="shared" si="0"/>
        <v>-0.160377358490566</v>
      </c>
      <c r="I10" s="582">
        <f t="shared" si="0"/>
        <v>-0.15730337078651691</v>
      </c>
      <c r="J10" s="582">
        <f t="shared" si="0"/>
        <v>0.52</v>
      </c>
      <c r="K10" s="582">
        <f t="shared" si="0"/>
        <v>-8.8235529775841925E-3</v>
      </c>
      <c r="L10" s="582">
        <f t="shared" si="0"/>
        <v>4.5635739283869103E-2</v>
      </c>
      <c r="M10" s="582">
        <f t="shared" si="0"/>
        <v>-0.13814329525517577</v>
      </c>
      <c r="N10" s="582">
        <f t="shared" si="1"/>
        <v>-1.796109848121985E-2</v>
      </c>
      <c r="O10" s="1660">
        <f t="shared" si="2"/>
        <v>0</v>
      </c>
    </row>
    <row r="11" spans="1:22" ht="67.2">
      <c r="B11" s="235" t="s">
        <v>491</v>
      </c>
      <c r="C11" s="235" t="s">
        <v>489</v>
      </c>
      <c r="D11" s="235"/>
      <c r="E11" s="235"/>
      <c r="F11" s="235" t="s">
        <v>488</v>
      </c>
      <c r="G11" s="235" t="s">
        <v>485</v>
      </c>
      <c r="H11" s="235" t="s">
        <v>486</v>
      </c>
      <c r="I11" s="235" t="s">
        <v>487</v>
      </c>
      <c r="J11" s="235" t="s">
        <v>736</v>
      </c>
      <c r="K11" s="662"/>
      <c r="L11" s="2978" t="s">
        <v>1095</v>
      </c>
      <c r="M11" s="2978" t="s">
        <v>1095</v>
      </c>
      <c r="N11" s="2978" t="s">
        <v>1095</v>
      </c>
      <c r="O11" s="1830" t="s">
        <v>1440</v>
      </c>
    </row>
    <row r="12" spans="1:22" ht="21.6">
      <c r="A12" s="21" t="s">
        <v>515</v>
      </c>
      <c r="B12" s="234"/>
      <c r="C12" s="233"/>
      <c r="D12" s="233"/>
      <c r="E12" s="233"/>
      <c r="F12" s="233"/>
      <c r="G12" s="233"/>
      <c r="H12" s="233"/>
      <c r="I12" s="233"/>
      <c r="J12" s="233" t="s">
        <v>737</v>
      </c>
      <c r="K12" s="663" t="s">
        <v>738</v>
      </c>
      <c r="L12" s="663"/>
      <c r="M12" s="663"/>
      <c r="N12" s="663"/>
      <c r="O12" s="663"/>
    </row>
    <row r="13" spans="1:22">
      <c r="A13" s="5408" t="s">
        <v>1519</v>
      </c>
      <c r="B13" s="5408"/>
      <c r="C13" s="5408"/>
      <c r="D13" s="5408"/>
      <c r="E13" s="5408"/>
      <c r="F13" s="5408"/>
      <c r="G13" s="5408"/>
      <c r="H13" s="5408"/>
      <c r="I13" s="5408"/>
      <c r="J13" s="5408"/>
      <c r="K13" s="5408"/>
      <c r="L13" s="5408"/>
      <c r="M13" s="5408"/>
      <c r="N13" s="5408"/>
      <c r="O13" s="5408"/>
    </row>
    <row r="14" spans="1:22">
      <c r="A14" s="5408" t="s">
        <v>490</v>
      </c>
      <c r="B14" s="5408"/>
      <c r="C14" s="5408"/>
      <c r="D14" s="5408"/>
      <c r="E14" s="5408"/>
      <c r="F14" s="5408"/>
      <c r="G14" s="5408"/>
      <c r="H14" s="5408"/>
      <c r="I14" s="5408"/>
      <c r="J14" s="2538"/>
      <c r="K14" s="1911"/>
      <c r="L14" s="2538"/>
      <c r="M14" s="2538"/>
      <c r="N14" s="2538"/>
      <c r="O14" s="2538"/>
    </row>
    <row r="15" spans="1:22">
      <c r="A15" s="5408" t="s">
        <v>520</v>
      </c>
      <c r="B15" s="5408"/>
      <c r="C15" s="5408"/>
      <c r="D15" s="5408"/>
      <c r="E15" s="5408"/>
      <c r="F15" s="5408"/>
      <c r="G15" s="5408"/>
      <c r="H15" s="5408"/>
      <c r="I15" s="5408"/>
      <c r="J15" s="2538"/>
      <c r="K15" s="2538"/>
      <c r="L15" s="2538"/>
      <c r="M15" s="2538"/>
      <c r="N15" s="2538"/>
      <c r="O15" s="2538"/>
    </row>
    <row r="16" spans="1:22">
      <c r="J16" s="2538"/>
      <c r="K16" s="2538"/>
      <c r="L16" s="2538"/>
      <c r="M16" s="2538"/>
      <c r="N16" s="2538"/>
      <c r="O16" s="2538"/>
    </row>
    <row r="17" spans="8:15">
      <c r="J17" s="2538"/>
      <c r="K17" s="2538"/>
      <c r="L17" s="2538"/>
      <c r="M17" s="2538"/>
    </row>
    <row r="18" spans="8:15">
      <c r="H18" s="330"/>
      <c r="I18" s="330"/>
      <c r="J18" s="2538"/>
      <c r="K18" s="2538"/>
      <c r="L18" s="2538"/>
      <c r="M18" s="2538"/>
      <c r="N18" s="330"/>
      <c r="O18" s="330"/>
    </row>
    <row r="19" spans="8:15">
      <c r="J19" s="2538"/>
      <c r="K19" s="2538"/>
      <c r="L19" s="2538"/>
      <c r="M19" s="2538"/>
    </row>
    <row r="20" spans="8:15">
      <c r="J20" s="2538"/>
      <c r="K20" s="2538"/>
      <c r="L20" s="2538"/>
      <c r="M20" s="2538"/>
    </row>
    <row r="21" spans="8:15">
      <c r="J21" s="2538"/>
      <c r="K21" s="2538"/>
      <c r="L21" s="2538"/>
      <c r="M21" s="2538"/>
    </row>
    <row r="22" spans="8:15">
      <c r="J22" s="2538"/>
      <c r="K22" s="2538"/>
      <c r="L22" s="2538"/>
      <c r="M22" s="2538"/>
    </row>
    <row r="23" spans="8:15">
      <c r="J23" s="2538"/>
      <c r="K23" s="2538"/>
      <c r="L23" s="2538"/>
      <c r="M23" s="2538"/>
    </row>
    <row r="24" spans="8:15">
      <c r="J24" s="2538"/>
      <c r="K24" s="2538"/>
      <c r="L24" s="2538"/>
      <c r="M24" s="2538"/>
    </row>
    <row r="25" spans="8:15">
      <c r="J25" s="2538"/>
      <c r="K25" s="2538"/>
      <c r="L25" s="2538"/>
      <c r="M25" s="2538"/>
    </row>
    <row r="26" spans="8:15">
      <c r="J26" s="2538"/>
      <c r="K26" s="2538"/>
      <c r="L26" s="2538"/>
      <c r="M26" s="2538"/>
    </row>
    <row r="27" spans="8:15">
      <c r="J27" s="2538"/>
      <c r="K27" s="2538"/>
      <c r="L27" s="2538"/>
      <c r="M27" s="2538"/>
    </row>
    <row r="28" spans="8:15">
      <c r="J28" s="2538"/>
      <c r="K28" s="2538"/>
      <c r="L28" s="2538"/>
      <c r="M28" s="2538"/>
    </row>
  </sheetData>
  <mergeCells count="5">
    <mergeCell ref="A14:I14"/>
    <mergeCell ref="A15:I15"/>
    <mergeCell ref="A3:K3"/>
    <mergeCell ref="A13:O13"/>
    <mergeCell ref="A2:O2"/>
  </mergeCells>
  <pageMargins left="0.70866141732283472" right="0.70866141732283472" top="0.74803149606299213" bottom="0.74803149606299213" header="0.31496062992125984" footer="0.31496062992125984"/>
  <pageSetup scale="10" orientation="landscape" verticalDpi="597" r:id="rId1"/>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491918-8FDE-44BA-844A-CE436A4C2DBB}">
  <sheetPr>
    <tabColor theme="9" tint="-0.249977111117893"/>
    <pageSetUpPr fitToPage="1"/>
  </sheetPr>
  <dimension ref="A1:KO92"/>
  <sheetViews>
    <sheetView showGridLines="0" zoomScale="55" zoomScaleNormal="55" zoomScaleSheetLayoutView="75" workbookViewId="0">
      <pane xSplit="3" ySplit="51" topLeftCell="FV52" activePane="bottomRight" state="frozen"/>
      <selection activeCell="AE38" sqref="AE38"/>
      <selection pane="topRight" activeCell="AE38" sqref="AE38"/>
      <selection pane="bottomLeft" activeCell="AE38" sqref="AE38"/>
      <selection pane="bottomRight" activeCell="AE38" sqref="AE38"/>
    </sheetView>
  </sheetViews>
  <sheetFormatPr baseColWidth="10" defaultColWidth="11.44140625" defaultRowHeight="14.4"/>
  <cols>
    <col min="1" max="1" width="2.109375" style="2682" customWidth="1"/>
    <col min="2" max="2" width="1.6640625" style="2682" customWidth="1"/>
    <col min="3" max="3" width="39" style="2682" customWidth="1"/>
    <col min="4" max="39" width="10.6640625" style="2682" customWidth="1"/>
    <col min="40" max="40" width="11.44140625" style="2682" customWidth="1"/>
    <col min="41" max="147" width="10.6640625" style="2682" customWidth="1"/>
    <col min="148" max="149" width="11.21875" style="2682" bestFit="1" customWidth="1"/>
    <col min="150" max="150" width="10.77734375" style="2682" bestFit="1" customWidth="1"/>
    <col min="151" max="152" width="11.21875" style="2682" bestFit="1" customWidth="1"/>
    <col min="153" max="153" width="10.77734375" style="2682" bestFit="1" customWidth="1"/>
    <col min="154" max="154" width="10.44140625" style="2682" bestFit="1" customWidth="1"/>
    <col min="155" max="155" width="11.21875" style="2682" bestFit="1" customWidth="1"/>
    <col min="156" max="157" width="10.77734375" style="2682" bestFit="1" customWidth="1"/>
    <col min="158" max="159" width="11.21875" style="2682" bestFit="1" customWidth="1"/>
    <col min="160" max="160" width="8.77734375" style="730" bestFit="1" customWidth="1"/>
    <col min="161" max="162" width="8.44140625" style="730" bestFit="1" customWidth="1"/>
    <col min="163" max="163" width="7.77734375" style="730" bestFit="1" customWidth="1"/>
    <col min="164" max="164" width="8.5546875" style="730" bestFit="1" customWidth="1"/>
    <col min="165" max="166" width="7.21875" style="730" bestFit="1" customWidth="1"/>
    <col min="167" max="170" width="8" style="730" bestFit="1" customWidth="1"/>
    <col min="171" max="171" width="8.77734375" style="730" bestFit="1" customWidth="1"/>
    <col min="172" max="182" width="10.6640625" style="730" customWidth="1"/>
    <col min="183" max="183" width="9.77734375" style="730" customWidth="1"/>
    <col min="184" max="184" width="3.33203125" style="730" customWidth="1"/>
    <col min="185" max="185" width="11.44140625" style="730" hidden="1" customWidth="1"/>
    <col min="186" max="186" width="11" style="730" hidden="1" customWidth="1"/>
    <col min="187" max="227" width="12.44140625" style="730" hidden="1" customWidth="1"/>
    <col min="228" max="229" width="8" style="730" hidden="1" customWidth="1"/>
    <col min="230" max="230" width="9" style="730" hidden="1" customWidth="1"/>
    <col min="231" max="233" width="8" style="730" hidden="1" customWidth="1"/>
    <col min="234" max="237" width="9" style="730" hidden="1" customWidth="1"/>
    <col min="238" max="238" width="6.88671875" style="730" hidden="1" customWidth="1"/>
    <col min="239" max="239" width="9.6640625" style="730" hidden="1" customWidth="1"/>
    <col min="240" max="244" width="8" style="730" hidden="1" customWidth="1"/>
    <col min="245" max="245" width="7.6640625" style="730" hidden="1" customWidth="1"/>
    <col min="246" max="252" width="11.33203125" style="2682" hidden="1" customWidth="1"/>
    <col min="253" max="260" width="10.44140625" style="2682" hidden="1" customWidth="1"/>
    <col min="261" max="261" width="12.77734375" style="2682" hidden="1" customWidth="1"/>
    <col min="262" max="262" width="3.33203125" style="2682" hidden="1" customWidth="1"/>
    <col min="263" max="263" width="16.33203125" style="2682" hidden="1" customWidth="1"/>
    <col min="264" max="267" width="12.21875" style="2682" hidden="1" customWidth="1"/>
    <col min="268" max="268" width="12.21875" style="730" hidden="1" customWidth="1"/>
    <col min="269" max="269" width="14.6640625" style="730" hidden="1" customWidth="1"/>
    <col min="270" max="270" width="11.44140625" style="730" hidden="1" customWidth="1"/>
    <col min="271" max="272" width="12.88671875" style="730" hidden="1" customWidth="1"/>
    <col min="273" max="274" width="9.88671875" style="730" hidden="1" customWidth="1"/>
    <col min="275" max="275" width="12.21875" style="730" hidden="1" customWidth="1"/>
    <col min="276" max="276" width="10.6640625" style="730" hidden="1" customWidth="1"/>
    <col min="277" max="277" width="12.21875" style="730" hidden="1" customWidth="1"/>
    <col min="278" max="278" width="12.88671875" style="730" hidden="1" customWidth="1"/>
    <col min="279" max="292" width="0" style="2682" hidden="1" customWidth="1"/>
    <col min="293" max="16384" width="11.44140625" style="2682"/>
  </cols>
  <sheetData>
    <row r="1" spans="1:301" ht="9" customHeight="1" thickBot="1">
      <c r="A1" s="2723"/>
      <c r="B1" s="2723"/>
      <c r="C1" s="2723"/>
      <c r="D1" s="2723"/>
      <c r="E1" s="2723"/>
      <c r="F1" s="2723"/>
      <c r="G1" s="2723"/>
      <c r="H1" s="2723"/>
      <c r="I1" s="2723"/>
      <c r="J1" s="2723"/>
      <c r="K1" s="2723"/>
      <c r="L1" s="2723"/>
      <c r="M1" s="2723"/>
      <c r="N1" s="2723"/>
      <c r="O1" s="2723"/>
      <c r="P1" s="2723"/>
      <c r="Q1" s="2723"/>
      <c r="R1" s="2723"/>
      <c r="S1" s="2723"/>
      <c r="T1" s="2723"/>
      <c r="U1" s="2723"/>
      <c r="V1" s="2723"/>
      <c r="W1" s="2723"/>
      <c r="X1" s="2723"/>
      <c r="Y1" s="2723"/>
      <c r="Z1" s="2723"/>
      <c r="AA1" s="2723"/>
      <c r="AB1" s="2723"/>
      <c r="AC1" s="2723"/>
      <c r="AD1" s="2723"/>
      <c r="AE1" s="2723"/>
      <c r="AF1" s="2723"/>
      <c r="AG1" s="2723"/>
      <c r="AH1" s="2723"/>
      <c r="AI1" s="2723"/>
      <c r="AJ1" s="2723"/>
      <c r="AK1" s="2723"/>
      <c r="AL1" s="2723"/>
      <c r="AM1" s="2723"/>
      <c r="AN1" s="2723"/>
      <c r="AO1" s="2723"/>
      <c r="AP1" s="2723"/>
      <c r="AQ1" s="2723"/>
      <c r="AR1" s="2723"/>
      <c r="AS1" s="2723"/>
      <c r="AT1" s="2723"/>
      <c r="AU1" s="2723"/>
      <c r="AV1" s="2723"/>
      <c r="AW1" s="2723"/>
      <c r="AX1" s="2723"/>
      <c r="AY1" s="2723"/>
      <c r="AZ1" s="2723"/>
      <c r="BA1" s="2723"/>
      <c r="BB1" s="2723"/>
      <c r="BC1" s="2723"/>
      <c r="BD1" s="2723"/>
      <c r="BE1" s="2723"/>
      <c r="BF1" s="2723"/>
      <c r="BG1" s="2723"/>
      <c r="BH1" s="2723"/>
      <c r="BI1" s="2723"/>
      <c r="BJ1" s="2723"/>
      <c r="BK1" s="2723"/>
      <c r="BL1" s="2723"/>
      <c r="BM1" s="2723"/>
      <c r="BN1" s="2723"/>
      <c r="BO1" s="2723"/>
      <c r="BP1" s="2723"/>
      <c r="BQ1" s="2723"/>
      <c r="BR1" s="2723"/>
      <c r="BS1" s="2723"/>
      <c r="BT1" s="2723"/>
      <c r="BU1" s="2723"/>
      <c r="BV1" s="2723"/>
      <c r="BW1" s="2723"/>
      <c r="BX1" s="2723"/>
      <c r="BY1" s="2723"/>
      <c r="BZ1" s="2723"/>
      <c r="CA1" s="2723"/>
      <c r="CB1" s="2723"/>
      <c r="CC1" s="2723"/>
      <c r="CD1" s="2723"/>
      <c r="CE1" s="2723"/>
      <c r="CF1" s="2723"/>
      <c r="CG1" s="2723"/>
      <c r="CH1" s="2723"/>
      <c r="CI1" s="2723"/>
      <c r="CJ1" s="2723"/>
      <c r="CK1" s="2723"/>
      <c r="CL1" s="2723"/>
      <c r="CM1" s="2723"/>
      <c r="CN1" s="2723"/>
      <c r="CO1" s="2723"/>
      <c r="CP1" s="2723"/>
      <c r="CQ1" s="2723"/>
      <c r="CR1" s="2723"/>
      <c r="CS1" s="2723"/>
      <c r="CT1" s="2723"/>
      <c r="CU1" s="2723"/>
      <c r="CV1" s="2723"/>
      <c r="CW1" s="2723"/>
      <c r="CX1" s="2723"/>
      <c r="CY1" s="2723"/>
      <c r="CZ1" s="2723"/>
      <c r="DA1" s="2723"/>
      <c r="DB1" s="2723"/>
      <c r="DC1" s="2723"/>
      <c r="DD1" s="2723"/>
      <c r="DE1" s="2723"/>
      <c r="DF1" s="2723"/>
      <c r="DG1" s="2723"/>
      <c r="DH1" s="2723"/>
      <c r="DI1" s="2723"/>
      <c r="DJ1" s="2723"/>
      <c r="DK1" s="2723"/>
      <c r="DL1" s="2723"/>
      <c r="DM1" s="2723"/>
      <c r="DN1" s="2723"/>
      <c r="DO1" s="2723"/>
      <c r="DP1" s="2723"/>
      <c r="DQ1" s="2723"/>
      <c r="DR1" s="2723"/>
      <c r="DS1" s="2723"/>
      <c r="DT1" s="2723"/>
      <c r="DU1" s="2723"/>
      <c r="DV1" s="2723"/>
      <c r="DW1" s="2723"/>
      <c r="DX1" s="2723"/>
      <c r="DY1" s="2723"/>
      <c r="DZ1" s="2723"/>
      <c r="EA1" s="2723"/>
      <c r="EB1" s="2723"/>
      <c r="EC1" s="2723"/>
      <c r="ED1" s="2723"/>
      <c r="EE1" s="2723"/>
      <c r="EF1" s="2723"/>
      <c r="EG1" s="2723"/>
      <c r="EH1" s="2723"/>
      <c r="EI1" s="2723"/>
      <c r="EJ1" s="2723"/>
      <c r="EK1" s="2723"/>
      <c r="EL1" s="2723"/>
      <c r="EM1" s="2723"/>
      <c r="EN1" s="2723"/>
      <c r="EO1" s="2723"/>
      <c r="EP1" s="2723"/>
      <c r="EQ1" s="2723"/>
      <c r="ER1" s="2723"/>
      <c r="ES1" s="2723"/>
      <c r="ET1" s="2723"/>
      <c r="EU1" s="2723"/>
      <c r="EV1" s="2723"/>
      <c r="EW1" s="2723"/>
      <c r="EX1" s="2723"/>
      <c r="EY1" s="2723"/>
      <c r="EZ1" s="2723"/>
      <c r="FA1" s="2723"/>
      <c r="FB1" s="2723"/>
      <c r="FC1" s="2723"/>
      <c r="FD1" s="2723"/>
      <c r="FE1" s="2723"/>
      <c r="FF1" s="2723"/>
      <c r="FG1" s="2723"/>
      <c r="FH1" s="2723"/>
      <c r="FI1" s="2723"/>
      <c r="FJ1" s="2723"/>
      <c r="FK1" s="2723"/>
      <c r="FL1" s="2723"/>
      <c r="FM1" s="2723"/>
      <c r="FN1" s="2723"/>
      <c r="FO1" s="2723"/>
      <c r="FP1" s="2723"/>
      <c r="FQ1" s="2723"/>
      <c r="FR1" s="2723"/>
      <c r="FS1" s="2723"/>
      <c r="FT1" s="2723"/>
      <c r="FU1" s="2723"/>
      <c r="FV1" s="2723"/>
      <c r="FW1" s="2723"/>
      <c r="FX1" s="2723"/>
      <c r="FY1" s="2723"/>
      <c r="FZ1" s="2723"/>
      <c r="GA1" s="2723"/>
      <c r="GB1" s="2723"/>
      <c r="GC1" s="2723"/>
      <c r="GD1" s="2723"/>
      <c r="GE1" s="2723"/>
      <c r="GF1" s="2723"/>
      <c r="GG1" s="2723"/>
      <c r="GH1" s="2723"/>
      <c r="GI1" s="2723"/>
      <c r="GJ1" s="2723"/>
      <c r="GK1" s="2723"/>
      <c r="GL1" s="2723"/>
      <c r="GM1" s="2723"/>
      <c r="GN1" s="2723"/>
      <c r="GO1" s="2723"/>
      <c r="GP1" s="2723"/>
      <c r="GQ1" s="2723"/>
      <c r="GR1" s="2723"/>
      <c r="GS1" s="2723"/>
      <c r="GT1" s="2723"/>
      <c r="GU1" s="2723"/>
      <c r="GV1" s="2723"/>
      <c r="GW1" s="2723"/>
      <c r="GX1" s="2723"/>
      <c r="GY1" s="2723"/>
      <c r="GZ1" s="2723"/>
      <c r="HA1" s="2723"/>
      <c r="HB1" s="2723"/>
      <c r="HC1" s="2723"/>
      <c r="HD1" s="2723"/>
      <c r="HE1" s="2723"/>
      <c r="HF1" s="2723"/>
      <c r="HG1" s="2723"/>
      <c r="HH1" s="2723"/>
      <c r="HI1" s="2723"/>
      <c r="HJ1" s="2723"/>
      <c r="HK1" s="2723"/>
      <c r="HL1" s="2723"/>
      <c r="HM1" s="2723"/>
      <c r="HN1" s="2723"/>
      <c r="HO1" s="2723"/>
      <c r="HP1" s="2723"/>
      <c r="HQ1" s="2723"/>
      <c r="HR1" s="2723"/>
      <c r="HS1" s="2723"/>
      <c r="HT1" s="2723"/>
      <c r="HU1" s="2723"/>
      <c r="HV1" s="2723"/>
      <c r="HW1" s="2723"/>
      <c r="HX1" s="2723"/>
      <c r="HY1" s="2723"/>
      <c r="HZ1" s="2723"/>
      <c r="IA1" s="2723"/>
      <c r="IB1" s="2723"/>
      <c r="IC1" s="2723"/>
      <c r="ID1" s="2723"/>
      <c r="IE1" s="2723"/>
      <c r="IF1" s="2723"/>
      <c r="IG1" s="2723"/>
      <c r="IH1" s="2723"/>
      <c r="II1" s="2723"/>
      <c r="IJ1" s="2723"/>
      <c r="IK1" s="2723"/>
      <c r="IL1" s="2723"/>
      <c r="IM1" s="2723"/>
      <c r="IN1" s="2723"/>
      <c r="IO1" s="2723"/>
      <c r="IP1" s="2723"/>
      <c r="IQ1" s="2723"/>
      <c r="IR1" s="2723"/>
      <c r="IS1" s="2723"/>
      <c r="IT1" s="2723"/>
      <c r="IU1" s="2723"/>
      <c r="IV1" s="2723"/>
      <c r="IW1" s="2723"/>
      <c r="IX1" s="2723"/>
      <c r="IY1" s="2723"/>
      <c r="IZ1" s="2723"/>
      <c r="JA1" s="2723"/>
      <c r="JB1" s="2723"/>
      <c r="JC1" s="2723"/>
      <c r="JD1" s="2723"/>
      <c r="JE1" s="2723"/>
      <c r="JF1" s="2723"/>
      <c r="JG1" s="2723"/>
      <c r="JH1" s="2723"/>
      <c r="JI1" s="2723"/>
      <c r="JJ1" s="2723"/>
      <c r="JK1" s="2723"/>
      <c r="JL1" s="2723"/>
      <c r="JM1" s="2723"/>
      <c r="JN1" s="2723"/>
      <c r="JO1" s="2723"/>
      <c r="JP1" s="2723"/>
      <c r="JQ1" s="2723"/>
      <c r="JR1" s="2723"/>
      <c r="JS1" s="2723"/>
      <c r="JT1" s="2723"/>
      <c r="JU1" s="2723"/>
      <c r="JV1" s="2723"/>
      <c r="JW1" s="2723"/>
      <c r="JX1" s="2723"/>
      <c r="JY1" s="2723"/>
      <c r="JZ1" s="2723"/>
      <c r="KA1" s="2723"/>
      <c r="KB1" s="2723"/>
      <c r="KC1" s="2723"/>
      <c r="KD1" s="2723"/>
      <c r="KE1" s="2723"/>
      <c r="KF1" s="2723"/>
      <c r="KG1" s="2723"/>
      <c r="KH1" s="2723"/>
      <c r="KI1" s="2723"/>
      <c r="KJ1" s="2723"/>
      <c r="KK1" s="2723"/>
      <c r="KL1" s="2723"/>
      <c r="KM1" s="2723"/>
      <c r="KN1" s="2723"/>
      <c r="KO1" s="2723"/>
    </row>
    <row r="2" spans="1:301" ht="18" hidden="1" customHeight="1">
      <c r="A2" s="2723"/>
      <c r="B2" s="2723"/>
      <c r="C2" s="3221"/>
      <c r="D2" s="3222"/>
      <c r="E2" s="2724"/>
      <c r="F2" s="2724"/>
      <c r="G2" s="2724"/>
      <c r="H2" s="2724"/>
      <c r="I2" s="2724"/>
      <c r="J2" s="2724"/>
      <c r="K2" s="2724"/>
      <c r="L2" s="2724"/>
      <c r="M2" s="2724"/>
      <c r="N2" s="2724"/>
      <c r="O2" s="2724"/>
      <c r="P2" s="3223"/>
      <c r="Q2" s="3223"/>
      <c r="R2" s="3223"/>
      <c r="S2" s="3223"/>
      <c r="T2" s="3223"/>
      <c r="U2" s="3223"/>
      <c r="V2" s="3223"/>
      <c r="W2" s="3223"/>
      <c r="X2" s="3223"/>
      <c r="Y2" s="3223"/>
      <c r="Z2" s="3223"/>
      <c r="AA2" s="3223"/>
      <c r="AB2" s="3223"/>
      <c r="AC2" s="3223"/>
      <c r="AD2" s="3223"/>
      <c r="AE2" s="3223"/>
      <c r="AF2" s="3223"/>
      <c r="AG2" s="3223"/>
      <c r="AH2" s="3223"/>
      <c r="AI2" s="3223"/>
      <c r="AJ2" s="3223"/>
      <c r="AK2" s="3223"/>
      <c r="AL2" s="3223"/>
      <c r="AM2" s="3223"/>
      <c r="AN2" s="3223"/>
      <c r="AO2" s="3223"/>
      <c r="AP2" s="3223"/>
      <c r="AQ2" s="3223"/>
      <c r="AR2" s="3223"/>
      <c r="AS2" s="3223"/>
      <c r="AT2" s="3223"/>
      <c r="AU2" s="3223"/>
      <c r="AV2" s="3223"/>
      <c r="AW2" s="3223"/>
      <c r="AX2" s="3223"/>
      <c r="AY2" s="3223"/>
      <c r="AZ2" s="2724"/>
      <c r="BA2" s="2724"/>
      <c r="BB2" s="2724"/>
      <c r="BC2" s="2724"/>
      <c r="BD2" s="2724"/>
      <c r="BE2" s="2724"/>
      <c r="BF2" s="2724"/>
      <c r="BG2" s="2724"/>
      <c r="BH2" s="2724"/>
      <c r="BI2" s="2724"/>
      <c r="BJ2" s="2724"/>
      <c r="BK2" s="2724"/>
      <c r="BL2" s="2724"/>
      <c r="BM2" s="2724"/>
      <c r="BN2" s="2724"/>
      <c r="BO2" s="2724"/>
      <c r="BP2" s="2724"/>
      <c r="BQ2" s="2724"/>
      <c r="BR2" s="2724"/>
      <c r="BS2" s="2724"/>
      <c r="BT2" s="2724"/>
      <c r="BU2" s="2724"/>
      <c r="BV2" s="2724"/>
      <c r="BW2" s="2724"/>
      <c r="BX2" s="2724"/>
      <c r="BY2" s="2724"/>
      <c r="BZ2" s="2724"/>
      <c r="CA2" s="2724"/>
      <c r="CB2" s="2724"/>
      <c r="CC2" s="2724"/>
      <c r="CD2" s="2724"/>
      <c r="CE2" s="2724"/>
      <c r="CF2" s="2724"/>
      <c r="CG2" s="2724"/>
      <c r="CH2" s="2724"/>
      <c r="CI2" s="2724"/>
      <c r="CJ2" s="2724"/>
      <c r="CK2" s="2724"/>
      <c r="CL2" s="2724"/>
      <c r="CM2" s="2724"/>
      <c r="CN2" s="2724"/>
      <c r="CO2" s="2724"/>
      <c r="CP2" s="2724"/>
      <c r="CQ2" s="2724"/>
      <c r="CR2" s="2724"/>
      <c r="CS2" s="2724"/>
      <c r="CT2" s="2724"/>
      <c r="CU2" s="2724"/>
      <c r="CV2" s="2724"/>
      <c r="CW2" s="2724"/>
      <c r="CX2" s="2724"/>
      <c r="CY2" s="2724"/>
      <c r="CZ2" s="2724"/>
      <c r="DA2" s="2724"/>
      <c r="DB2" s="2724"/>
      <c r="DC2" s="2724"/>
      <c r="DD2" s="2724"/>
      <c r="DE2" s="2724"/>
      <c r="DF2" s="2724"/>
      <c r="DG2" s="2724"/>
      <c r="GB2" s="2744"/>
      <c r="GC2" s="2787"/>
      <c r="GD2" s="2724"/>
      <c r="GE2" s="2724"/>
      <c r="GF2" s="2724"/>
      <c r="GG2" s="2724"/>
      <c r="GH2" s="2724"/>
      <c r="GI2" s="2724"/>
      <c r="GJ2" s="2724"/>
      <c r="GK2" s="2724"/>
      <c r="GL2" s="2724"/>
      <c r="GM2" s="2725"/>
      <c r="GN2" s="2724"/>
      <c r="GO2" s="2724"/>
      <c r="GP2" s="2724"/>
      <c r="GQ2" s="2724"/>
      <c r="GR2" s="2724"/>
      <c r="GS2" s="2724"/>
      <c r="GT2" s="2724"/>
      <c r="GU2" s="2724"/>
      <c r="GV2" s="2724"/>
      <c r="GW2" s="2724"/>
      <c r="GX2" s="2787"/>
      <c r="GY2" s="2787"/>
      <c r="GZ2" s="2787"/>
      <c r="HA2" s="2787"/>
      <c r="HB2" s="2787"/>
      <c r="HC2" s="2787"/>
      <c r="HD2" s="2787"/>
      <c r="HE2" s="2787"/>
      <c r="HF2" s="2787"/>
      <c r="HG2" s="2787"/>
      <c r="HH2" s="2787"/>
      <c r="HI2" s="2787"/>
      <c r="HJ2" s="2787"/>
      <c r="HK2" s="2787"/>
      <c r="HL2" s="2787"/>
      <c r="HM2" s="2788"/>
      <c r="HN2" s="2788"/>
      <c r="HO2" s="2788"/>
      <c r="HP2" s="2788"/>
      <c r="HQ2" s="2788"/>
      <c r="HR2" s="2788"/>
      <c r="HS2" s="2788"/>
      <c r="HT2" s="2787"/>
      <c r="HU2" s="2787"/>
      <c r="HV2" s="2787"/>
      <c r="HW2" s="2787"/>
      <c r="HX2" s="2787"/>
      <c r="HY2" s="2787"/>
      <c r="HZ2" s="2787"/>
      <c r="IA2" s="2787"/>
      <c r="IB2" s="2787"/>
      <c r="IC2" s="2787"/>
      <c r="ID2" s="2787"/>
      <c r="IE2" s="2787"/>
      <c r="IF2" s="2787"/>
      <c r="IG2" s="2787"/>
      <c r="IH2" s="2787"/>
      <c r="II2" s="2787"/>
      <c r="IJ2" s="2787"/>
      <c r="IK2" s="2723"/>
      <c r="IL2" s="3224"/>
      <c r="IM2" s="3224"/>
      <c r="IN2" s="3224"/>
      <c r="IO2" s="3224"/>
      <c r="IP2" s="3224"/>
      <c r="IQ2" s="3224"/>
      <c r="IR2" s="3224"/>
      <c r="IS2" s="3224"/>
      <c r="IT2" s="3224"/>
      <c r="IU2" s="3225"/>
      <c r="IV2" s="3226"/>
      <c r="IW2" s="3226"/>
      <c r="IX2" s="3226"/>
      <c r="IY2" s="3227"/>
      <c r="IZ2" s="3228"/>
      <c r="JC2" s="3226"/>
      <c r="JD2" s="2723"/>
      <c r="JE2" s="2723"/>
      <c r="JF2" s="2723"/>
      <c r="JG2" s="2723"/>
      <c r="JH2" s="3229"/>
      <c r="JI2" s="3230"/>
      <c r="JJ2" s="2723"/>
      <c r="JK2" s="2723"/>
      <c r="JL2" s="2723"/>
      <c r="JM2" s="2723"/>
      <c r="JN2" s="2723"/>
      <c r="JO2" s="3229"/>
      <c r="JP2" s="3229"/>
      <c r="JQ2" s="3229"/>
      <c r="JS2" s="2723"/>
      <c r="JT2" s="2723"/>
      <c r="JU2" s="2723"/>
      <c r="JV2" s="2723"/>
      <c r="JW2" s="2723"/>
      <c r="JX2" s="2723"/>
      <c r="JY2" s="2723"/>
      <c r="JZ2" s="2723"/>
      <c r="KA2" s="2723"/>
      <c r="KB2" s="2723"/>
      <c r="KC2" s="2723"/>
      <c r="KD2" s="2723"/>
      <c r="KE2" s="2723"/>
      <c r="KF2" s="2723"/>
      <c r="KG2" s="2723"/>
      <c r="KH2" s="2723"/>
      <c r="KI2" s="2723"/>
      <c r="KJ2" s="2723"/>
      <c r="KK2" s="2723"/>
      <c r="KL2" s="2723"/>
      <c r="KM2" s="2723"/>
      <c r="KN2" s="2723"/>
      <c r="KO2" s="2723"/>
    </row>
    <row r="3" spans="1:301" s="3235" customFormat="1" ht="55.2" customHeight="1" thickBot="1">
      <c r="A3" s="3231"/>
      <c r="B3" s="2786"/>
      <c r="C3" s="3232" t="s">
        <v>447</v>
      </c>
      <c r="D3" s="3233"/>
      <c r="E3" s="2784"/>
      <c r="F3" s="2784"/>
      <c r="G3" s="2784"/>
      <c r="H3" s="2784"/>
      <c r="I3" s="2784"/>
      <c r="J3" s="2784"/>
      <c r="K3" s="2784"/>
      <c r="L3" s="2784"/>
      <c r="M3" s="2784"/>
      <c r="N3" s="2784"/>
      <c r="O3" s="2784"/>
      <c r="P3" s="3234"/>
      <c r="Q3" s="3234"/>
      <c r="R3" s="3234"/>
      <c r="S3" s="3234"/>
      <c r="T3" s="3234"/>
      <c r="U3" s="3234"/>
      <c r="V3" s="3234"/>
      <c r="W3" s="3234"/>
      <c r="X3" s="3234"/>
      <c r="Y3" s="3234"/>
      <c r="Z3" s="3234"/>
      <c r="AA3" s="3234"/>
      <c r="AB3" s="3234"/>
      <c r="AC3" s="3234"/>
      <c r="AD3" s="3234"/>
      <c r="AE3" s="3234"/>
      <c r="AF3" s="3234"/>
      <c r="AG3" s="3234"/>
      <c r="AH3" s="3234"/>
      <c r="AI3" s="3234"/>
      <c r="AJ3" s="3234"/>
      <c r="AK3" s="3234"/>
      <c r="AL3" s="3234"/>
      <c r="AM3" s="3234"/>
      <c r="AN3" s="3234"/>
      <c r="AO3" s="3234"/>
      <c r="AP3" s="3234"/>
      <c r="AQ3" s="3234"/>
      <c r="AR3" s="3234"/>
      <c r="AS3" s="3234"/>
      <c r="AT3" s="3234"/>
      <c r="AU3" s="3234"/>
      <c r="AV3" s="3234"/>
      <c r="AW3" s="3234"/>
      <c r="AX3" s="3234"/>
      <c r="AY3" s="3234"/>
      <c r="AZ3" s="2784"/>
      <c r="BA3" s="2784"/>
      <c r="BB3" s="2784"/>
      <c r="BC3" s="2784"/>
      <c r="BD3" s="2784"/>
      <c r="BE3" s="2784"/>
      <c r="BF3" s="2784"/>
      <c r="BG3" s="2784"/>
      <c r="BH3" s="2784"/>
      <c r="BI3" s="2784"/>
      <c r="BJ3" s="2784"/>
      <c r="BK3" s="2784"/>
      <c r="BL3" s="2784"/>
      <c r="BM3" s="2784"/>
      <c r="BN3" s="2784"/>
      <c r="BO3" s="2784"/>
      <c r="BP3" s="2784"/>
      <c r="BQ3" s="2784"/>
      <c r="BR3" s="2784"/>
      <c r="BS3" s="2784"/>
      <c r="BT3" s="2784"/>
      <c r="BU3" s="2784"/>
      <c r="BV3" s="2784"/>
      <c r="BW3" s="2784"/>
      <c r="BX3" s="2784"/>
      <c r="BY3" s="2784"/>
      <c r="BZ3" s="2784"/>
      <c r="CA3" s="2784"/>
      <c r="CB3" s="2784"/>
      <c r="CC3" s="2784"/>
      <c r="CD3" s="2784"/>
      <c r="CE3" s="2784"/>
      <c r="CF3" s="2784"/>
      <c r="CG3" s="2784"/>
      <c r="CH3" s="2784"/>
      <c r="CI3" s="2784"/>
      <c r="CJ3" s="2784"/>
      <c r="CK3" s="2784"/>
      <c r="CL3" s="2784"/>
      <c r="CM3" s="2784"/>
      <c r="CN3" s="2784"/>
      <c r="CO3" s="2784"/>
      <c r="CP3" s="2784"/>
      <c r="CQ3" s="2784"/>
      <c r="CR3" s="2784"/>
      <c r="CS3" s="2784"/>
      <c r="CT3" s="2784"/>
      <c r="CU3" s="2784"/>
      <c r="CV3" s="2784"/>
      <c r="CW3" s="2784"/>
      <c r="CX3" s="2784"/>
      <c r="CY3" s="2784"/>
      <c r="CZ3" s="2784"/>
      <c r="DA3" s="2784"/>
      <c r="DB3" s="2784"/>
      <c r="DC3" s="2784"/>
      <c r="DD3" s="2784"/>
      <c r="DE3" s="2784"/>
      <c r="DF3" s="2784"/>
      <c r="DG3" s="2784"/>
      <c r="EV3" s="3236"/>
      <c r="EW3" s="3236"/>
      <c r="EX3" s="3236"/>
      <c r="EY3" s="3236"/>
      <c r="EZ3" s="3236"/>
      <c r="FA3" s="3236"/>
      <c r="FB3" s="3236"/>
      <c r="FC3" s="3236"/>
      <c r="FD3" s="5411" t="s">
        <v>1515</v>
      </c>
      <c r="FE3" s="5411"/>
      <c r="FF3" s="5411"/>
      <c r="FG3" s="5411"/>
      <c r="FH3" s="5411"/>
      <c r="FI3" s="5411"/>
      <c r="FJ3" s="5411"/>
      <c r="FK3" s="5411"/>
      <c r="FL3" s="5411"/>
      <c r="FM3" s="5411"/>
      <c r="FN3" s="5411"/>
      <c r="FO3" s="5411"/>
      <c r="FP3" s="5411"/>
      <c r="FQ3" s="5411"/>
      <c r="FR3" s="5411"/>
      <c r="FS3" s="5411"/>
      <c r="FT3" s="5411"/>
      <c r="FU3" s="5411"/>
      <c r="FV3" s="5411"/>
      <c r="FW3" s="5411"/>
      <c r="FX3" s="5411"/>
      <c r="FY3" s="5411"/>
      <c r="FZ3" s="5411"/>
      <c r="GA3" s="5411"/>
      <c r="GB3" s="2783"/>
      <c r="GC3" s="2745"/>
      <c r="GD3" s="2784"/>
      <c r="GE3" s="2784"/>
      <c r="GF3" s="2784"/>
      <c r="GG3" s="2784"/>
      <c r="GH3" s="2784"/>
      <c r="GI3" s="2784"/>
      <c r="GJ3" s="2784"/>
      <c r="GK3" s="2784"/>
      <c r="GL3" s="2784"/>
      <c r="GM3" s="2785"/>
      <c r="GN3" s="2784"/>
      <c r="GO3" s="2784"/>
      <c r="GP3" s="2784"/>
      <c r="GQ3" s="2784"/>
      <c r="GR3" s="2784"/>
      <c r="GS3" s="2784"/>
      <c r="GT3" s="2784"/>
      <c r="GU3" s="2784"/>
      <c r="GV3" s="2784"/>
      <c r="GW3" s="2784"/>
      <c r="GX3" s="2745"/>
      <c r="GY3" s="2745"/>
      <c r="GZ3" s="2745"/>
      <c r="HA3" s="2745"/>
      <c r="HB3" s="2745"/>
      <c r="HC3" s="2745"/>
      <c r="HD3" s="2745"/>
      <c r="HE3" s="2745"/>
      <c r="HF3" s="2745"/>
      <c r="HG3" s="2745"/>
      <c r="HH3" s="2745"/>
      <c r="HI3" s="2745"/>
      <c r="HJ3" s="2745"/>
      <c r="HK3" s="2745"/>
      <c r="HL3" s="2745"/>
      <c r="HM3" s="2746"/>
      <c r="HN3" s="2746"/>
      <c r="HO3" s="2746"/>
      <c r="HP3" s="2746"/>
      <c r="HQ3" s="2746"/>
      <c r="HR3" s="2746"/>
      <c r="HS3" s="2746"/>
      <c r="HT3" s="2745"/>
      <c r="HU3" s="2745"/>
      <c r="HV3" s="2745"/>
      <c r="HW3" s="2745"/>
      <c r="HX3" s="2745"/>
      <c r="HY3" s="2745"/>
      <c r="HZ3" s="2745"/>
      <c r="IA3" s="2745"/>
      <c r="IB3" s="2745"/>
      <c r="IC3" s="5412" t="s">
        <v>1516</v>
      </c>
      <c r="ID3" s="5412"/>
      <c r="IE3" s="5412"/>
      <c r="IF3" s="5412"/>
      <c r="IG3" s="5412"/>
      <c r="IH3" s="5412"/>
      <c r="II3" s="5412"/>
      <c r="IJ3" s="5412"/>
      <c r="IK3" s="2786"/>
      <c r="IL3" s="3237"/>
      <c r="IM3" s="3237"/>
      <c r="IN3" s="3237"/>
      <c r="IO3" s="3237"/>
      <c r="IP3" s="3237"/>
      <c r="IQ3" s="3237"/>
      <c r="IR3" s="3237"/>
      <c r="IS3" s="3237"/>
      <c r="IT3" s="3237"/>
      <c r="IU3" s="3238"/>
      <c r="IV3" s="3239"/>
      <c r="IW3" s="3239"/>
      <c r="IX3" s="3239"/>
      <c r="IY3" s="5413" t="s">
        <v>1513</v>
      </c>
      <c r="IZ3" s="5414"/>
      <c r="JC3" s="3239"/>
      <c r="JD3" s="2786"/>
      <c r="JE3" s="2786"/>
      <c r="JF3" s="2786"/>
      <c r="JG3" s="2786"/>
      <c r="JH3" s="5415" t="s">
        <v>1514</v>
      </c>
      <c r="JI3" s="5415"/>
      <c r="JJ3" s="2786"/>
      <c r="JK3" s="2786"/>
      <c r="JL3" s="2786"/>
      <c r="JM3" s="2786"/>
      <c r="JN3" s="2786"/>
      <c r="JO3" s="5415" t="s">
        <v>1518</v>
      </c>
      <c r="JP3" s="5415"/>
      <c r="JQ3" s="5415"/>
      <c r="JR3" s="3240"/>
      <c r="JS3" s="2786"/>
      <c r="JT3" s="2786"/>
      <c r="JU3" s="2786"/>
      <c r="JV3" s="2786"/>
      <c r="JW3" s="2786"/>
      <c r="JX3" s="2786"/>
      <c r="JY3" s="2786"/>
      <c r="JZ3" s="2786"/>
      <c r="KA3" s="2786"/>
      <c r="KB3" s="2786"/>
      <c r="KC3" s="2786"/>
      <c r="KD3" s="2786"/>
      <c r="KE3" s="2786"/>
      <c r="KF3" s="2786"/>
      <c r="KG3" s="2786"/>
      <c r="KH3" s="2786"/>
      <c r="KI3" s="2786"/>
      <c r="KJ3" s="2786"/>
      <c r="KK3" s="2786"/>
      <c r="KL3" s="2786"/>
      <c r="KM3" s="2786"/>
      <c r="KN3" s="2786"/>
      <c r="KO3" s="2786"/>
    </row>
    <row r="4" spans="1:301" s="384" customFormat="1" ht="18" customHeight="1" thickBot="1">
      <c r="A4" s="2723"/>
      <c r="B4" s="3241"/>
      <c r="C4" s="3242" t="s">
        <v>479</v>
      </c>
      <c r="D4" s="3243"/>
      <c r="E4" s="3244"/>
      <c r="F4" s="3244"/>
      <c r="G4" s="3244"/>
      <c r="H4" s="3244"/>
      <c r="I4" s="3244"/>
      <c r="J4" s="3244"/>
      <c r="K4" s="3244"/>
      <c r="L4" s="3244"/>
      <c r="M4" s="3244"/>
      <c r="N4" s="3244"/>
      <c r="O4" s="3244"/>
      <c r="P4" s="3245"/>
      <c r="Q4" s="3245"/>
      <c r="R4" s="3245"/>
      <c r="S4" s="3245"/>
      <c r="T4" s="3245"/>
      <c r="U4" s="3245"/>
      <c r="V4" s="3245"/>
      <c r="W4" s="3245"/>
      <c r="X4" s="3245"/>
      <c r="Y4" s="3245"/>
      <c r="Z4" s="3245"/>
      <c r="AA4" s="3245"/>
      <c r="AB4" s="3245"/>
      <c r="AC4" s="3245"/>
      <c r="AD4" s="3245"/>
      <c r="AE4" s="3245"/>
      <c r="AF4" s="3245"/>
      <c r="AG4" s="3245"/>
      <c r="AH4" s="3245"/>
      <c r="AI4" s="3245"/>
      <c r="AJ4" s="3245"/>
      <c r="AK4" s="3245"/>
      <c r="AL4" s="3245"/>
      <c r="AM4" s="3245"/>
      <c r="AN4" s="3245"/>
      <c r="AO4" s="3245"/>
      <c r="AP4" s="3245"/>
      <c r="AQ4" s="3245"/>
      <c r="AR4" s="3245"/>
      <c r="AS4" s="3245"/>
      <c r="AT4" s="3245"/>
      <c r="AU4" s="3245"/>
      <c r="AV4" s="3245"/>
      <c r="AW4" s="3245"/>
      <c r="AX4" s="3245"/>
      <c r="AY4" s="3245"/>
      <c r="AZ4" s="3244"/>
      <c r="BA4" s="3244"/>
      <c r="BB4" s="3244"/>
      <c r="BC4" s="3244"/>
      <c r="BD4" s="3244"/>
      <c r="BE4" s="3244"/>
      <c r="BF4" s="3244"/>
      <c r="BG4" s="3244"/>
      <c r="BH4" s="3244"/>
      <c r="BI4" s="3244"/>
      <c r="BJ4" s="3244"/>
      <c r="BK4" s="3244"/>
      <c r="BL4" s="3244"/>
      <c r="BM4" s="3244"/>
      <c r="BN4" s="3244"/>
      <c r="BO4" s="3244"/>
      <c r="BP4" s="3244"/>
      <c r="BQ4" s="3244"/>
      <c r="BR4" s="3244"/>
      <c r="BS4" s="3244"/>
      <c r="BT4" s="3244"/>
      <c r="BU4" s="3244"/>
      <c r="BV4" s="3244"/>
      <c r="BW4" s="3244"/>
      <c r="BX4" s="3244"/>
      <c r="BY4" s="3244"/>
      <c r="BZ4" s="3244"/>
      <c r="CA4" s="3244"/>
      <c r="CB4" s="3244"/>
      <c r="CC4" s="3244"/>
      <c r="CD4" s="3244"/>
      <c r="CE4" s="3244"/>
      <c r="CF4" s="3244"/>
      <c r="CG4" s="3244"/>
      <c r="CH4" s="3244"/>
      <c r="CI4" s="3244"/>
      <c r="CJ4" s="3244"/>
      <c r="CK4" s="3244"/>
      <c r="CL4" s="3244"/>
      <c r="CM4" s="3244"/>
      <c r="CN4" s="3244"/>
      <c r="CO4" s="3244"/>
      <c r="CP4" s="3244"/>
      <c r="CQ4" s="3244"/>
      <c r="CR4" s="3244"/>
      <c r="CS4" s="3244"/>
      <c r="CT4" s="3244"/>
      <c r="CU4" s="3244"/>
      <c r="CV4" s="3244"/>
      <c r="CW4" s="3244"/>
      <c r="CX4" s="3244"/>
      <c r="CY4" s="3244"/>
      <c r="CZ4" s="3244"/>
      <c r="DA4" s="3244"/>
      <c r="DB4" s="3244"/>
      <c r="DC4" s="3244"/>
      <c r="DD4" s="3244"/>
      <c r="DE4" s="3244"/>
      <c r="DF4" s="3244"/>
      <c r="DG4" s="3244"/>
      <c r="ES4" s="2721"/>
      <c r="EV4" s="2722"/>
      <c r="EW4" s="2722"/>
      <c r="EX4" s="2722"/>
      <c r="EY4" s="2722"/>
      <c r="EZ4" s="2722"/>
      <c r="FA4" s="2722"/>
      <c r="FB4" s="2722"/>
      <c r="FC4" s="2722"/>
      <c r="FD4" s="5416" t="s">
        <v>1197</v>
      </c>
      <c r="FE4" s="5417"/>
      <c r="FF4" s="5417"/>
      <c r="FG4" s="5417"/>
      <c r="FH4" s="5417"/>
      <c r="FI4" s="5417"/>
      <c r="FJ4" s="5417"/>
      <c r="FK4" s="5417"/>
      <c r="FL4" s="5417"/>
      <c r="FM4" s="5417"/>
      <c r="FN4" s="5417"/>
      <c r="FO4" s="5417"/>
      <c r="FP4" s="5416" t="s">
        <v>1197</v>
      </c>
      <c r="FQ4" s="5417"/>
      <c r="FR4" s="5417"/>
      <c r="FS4" s="5417"/>
      <c r="FT4" s="5417"/>
      <c r="FU4" s="5417"/>
      <c r="FV4" s="5417"/>
      <c r="FW4" s="5417"/>
      <c r="FX4" s="5417"/>
      <c r="FY4" s="5417"/>
      <c r="FZ4" s="5417"/>
      <c r="GA4" s="5417"/>
      <c r="GB4" s="2749"/>
      <c r="GC4" s="2789"/>
      <c r="GD4" s="2790"/>
      <c r="GE4" s="2790"/>
      <c r="GF4" s="2790"/>
      <c r="GG4" s="2790"/>
      <c r="GH4" s="2790"/>
      <c r="GI4" s="2790"/>
      <c r="GJ4" s="2790"/>
      <c r="GK4" s="2790"/>
      <c r="GL4" s="2790"/>
      <c r="GM4" s="2791"/>
      <c r="GN4" s="2790"/>
      <c r="GO4" s="2790"/>
      <c r="GP4" s="2790"/>
      <c r="GQ4" s="2790"/>
      <c r="GR4" s="2790"/>
      <c r="GS4" s="2790"/>
      <c r="GT4" s="2790"/>
      <c r="GU4" s="2790"/>
      <c r="GV4" s="2790"/>
      <c r="GW4" s="2790"/>
      <c r="GX4" s="2789"/>
      <c r="GY4" s="2789"/>
      <c r="GZ4" s="2789"/>
      <c r="HA4" s="2789"/>
      <c r="HB4" s="2789"/>
      <c r="HC4" s="2789"/>
      <c r="HD4" s="2789"/>
      <c r="HE4" s="2789"/>
      <c r="HF4" s="2789"/>
      <c r="HG4" s="2789"/>
      <c r="HH4" s="2789"/>
      <c r="HI4" s="2789"/>
      <c r="HJ4" s="2789"/>
      <c r="HK4" s="2789"/>
      <c r="HL4" s="2789"/>
      <c r="HM4" s="2792"/>
      <c r="HN4" s="2792"/>
      <c r="HO4" s="2792"/>
      <c r="HP4" s="2792"/>
      <c r="HQ4" s="2792"/>
      <c r="HR4" s="2792"/>
      <c r="HS4" s="2792"/>
      <c r="HT4" s="2789"/>
      <c r="HU4" s="2789"/>
      <c r="HV4" s="2789"/>
      <c r="HW4" s="2789"/>
      <c r="HX4" s="2789"/>
      <c r="HY4" s="2789"/>
      <c r="HZ4" s="2789"/>
      <c r="IA4" s="2789"/>
      <c r="IB4" s="2789"/>
      <c r="IC4" s="5418" t="s">
        <v>1507</v>
      </c>
      <c r="ID4" s="5419"/>
      <c r="IE4" s="5419"/>
      <c r="IF4" s="5420"/>
      <c r="IG4" s="5418" t="s">
        <v>1507</v>
      </c>
      <c r="IH4" s="5419"/>
      <c r="II4" s="5419"/>
      <c r="IJ4" s="5419"/>
      <c r="IK4" s="2793"/>
      <c r="IL4" s="3246"/>
      <c r="IM4" s="3246"/>
      <c r="IN4" s="3246"/>
      <c r="IO4" s="3246"/>
      <c r="IP4" s="3246"/>
      <c r="IQ4" s="3247"/>
      <c r="IR4" s="3247"/>
      <c r="IS4" s="3247"/>
      <c r="IT4" s="3247"/>
      <c r="IU4" s="3248"/>
      <c r="IV4" s="3249"/>
      <c r="IW4" s="3249"/>
      <c r="IX4" s="3249"/>
      <c r="IY4" s="3250" t="s">
        <v>1155</v>
      </c>
      <c r="IZ4" s="3250" t="s">
        <v>1155</v>
      </c>
      <c r="JA4" s="3767" t="s">
        <v>1551</v>
      </c>
      <c r="JC4" s="3251"/>
      <c r="JD4" s="3251"/>
      <c r="JE4" s="3251"/>
      <c r="JF4" s="3251"/>
      <c r="JG4" s="3251"/>
      <c r="JH4" s="3252">
        <v>2020</v>
      </c>
      <c r="JI4" s="3253">
        <v>2021</v>
      </c>
      <c r="JJ4" s="3254"/>
      <c r="JK4" s="3255"/>
      <c r="JL4" s="3255"/>
      <c r="JM4" s="3255"/>
      <c r="JN4" s="3255"/>
      <c r="JO4" s="3255">
        <v>2020</v>
      </c>
      <c r="JP4" s="3256">
        <v>2021</v>
      </c>
      <c r="JQ4" s="3256">
        <v>2021</v>
      </c>
      <c r="JR4" s="2246"/>
      <c r="JS4" s="3241"/>
      <c r="JT4" s="3241"/>
      <c r="JU4" s="3241"/>
      <c r="JV4" s="3241"/>
      <c r="JW4" s="3241"/>
      <c r="JX4" s="3241"/>
      <c r="JY4" s="3241"/>
      <c r="JZ4" s="3241"/>
      <c r="KA4" s="3241"/>
      <c r="KB4" s="3241"/>
      <c r="KC4" s="3241"/>
      <c r="KD4" s="3241"/>
      <c r="KE4" s="3241"/>
      <c r="KF4" s="3241"/>
      <c r="KG4" s="3241"/>
      <c r="KH4" s="3241"/>
      <c r="KI4" s="3241"/>
      <c r="KJ4" s="3241"/>
      <c r="KK4" s="3241"/>
      <c r="KL4" s="3241"/>
      <c r="KM4" s="3241"/>
      <c r="KN4" s="3241"/>
      <c r="KO4" s="3241"/>
    </row>
    <row r="5" spans="1:301" ht="15" hidden="1" customHeight="1">
      <c r="A5" s="2723"/>
      <c r="B5" s="2723"/>
      <c r="C5" s="3257"/>
      <c r="D5" s="5445" t="s">
        <v>448</v>
      </c>
      <c r="E5" s="5445"/>
      <c r="F5" s="5445"/>
      <c r="G5" s="5445"/>
      <c r="H5" s="5445"/>
      <c r="I5" s="5445"/>
      <c r="J5" s="5445"/>
      <c r="K5" s="5445"/>
      <c r="L5" s="5445"/>
      <c r="M5" s="5445"/>
      <c r="N5" s="5445"/>
      <c r="O5" s="5445"/>
      <c r="P5" s="5445" t="s">
        <v>448</v>
      </c>
      <c r="Q5" s="5445"/>
      <c r="R5" s="5445"/>
      <c r="S5" s="5445"/>
      <c r="T5" s="5445"/>
      <c r="U5" s="5445"/>
      <c r="V5" s="5445"/>
      <c r="W5" s="5445"/>
      <c r="X5" s="5445"/>
      <c r="Y5" s="5445"/>
      <c r="Z5" s="5445"/>
      <c r="AA5" s="5445"/>
      <c r="AB5" s="5445" t="s">
        <v>448</v>
      </c>
      <c r="AC5" s="5445"/>
      <c r="AD5" s="5445"/>
      <c r="AE5" s="5445"/>
      <c r="AF5" s="5445"/>
      <c r="AG5" s="5445"/>
      <c r="AH5" s="5445"/>
      <c r="AI5" s="5445"/>
      <c r="AJ5" s="5445"/>
      <c r="AK5" s="5445"/>
      <c r="AL5" s="5445"/>
      <c r="AM5" s="5445"/>
      <c r="AN5" s="5445" t="s">
        <v>448</v>
      </c>
      <c r="AO5" s="5445"/>
      <c r="AP5" s="5445"/>
      <c r="AQ5" s="5445"/>
      <c r="AR5" s="5445"/>
      <c r="AS5" s="5445"/>
      <c r="AT5" s="5445"/>
      <c r="AU5" s="5445"/>
      <c r="AV5" s="5445"/>
      <c r="AW5" s="5445"/>
      <c r="AX5" s="5445"/>
      <c r="AY5" s="5445"/>
      <c r="AZ5" s="5445" t="s">
        <v>448</v>
      </c>
      <c r="BA5" s="5445"/>
      <c r="BB5" s="5445"/>
      <c r="BC5" s="5445"/>
      <c r="BD5" s="5445"/>
      <c r="BE5" s="5445"/>
      <c r="BF5" s="5445"/>
      <c r="BG5" s="5445"/>
      <c r="BH5" s="5445"/>
      <c r="BI5" s="5445"/>
      <c r="BJ5" s="5445"/>
      <c r="BK5" s="5445"/>
      <c r="BL5" s="3839"/>
      <c r="BM5" s="3839"/>
      <c r="BN5" s="3839"/>
      <c r="BO5" s="3839"/>
      <c r="BP5" s="3839"/>
      <c r="BQ5" s="3839"/>
      <c r="BR5" s="3839"/>
      <c r="BS5" s="3839"/>
      <c r="BT5" s="3839"/>
      <c r="BU5" s="3839"/>
      <c r="BV5" s="3839"/>
      <c r="BW5" s="3839"/>
      <c r="BX5" s="3839"/>
      <c r="BY5" s="3839"/>
      <c r="BZ5" s="3839"/>
      <c r="CA5" s="3839"/>
      <c r="CB5" s="3839" t="s">
        <v>448</v>
      </c>
      <c r="CC5" s="3839"/>
      <c r="CD5" s="3839"/>
      <c r="CE5" s="3839"/>
      <c r="CF5" s="3839"/>
      <c r="CG5" s="3839"/>
      <c r="CH5" s="3839"/>
      <c r="CI5" s="3839"/>
      <c r="CJ5" s="3839"/>
      <c r="CK5" s="3839"/>
      <c r="CL5" s="3839"/>
      <c r="CM5" s="3839"/>
      <c r="CN5" s="3839"/>
      <c r="CO5" s="3839"/>
      <c r="CP5" s="3839"/>
      <c r="CQ5" s="3839"/>
      <c r="CR5" s="3839"/>
      <c r="CS5" s="3839"/>
      <c r="CT5" s="3839"/>
      <c r="CU5" s="3839"/>
      <c r="CV5" s="3839"/>
      <c r="CW5" s="3839"/>
      <c r="CX5" s="3839"/>
      <c r="CY5" s="3839"/>
      <c r="CZ5" s="3839"/>
      <c r="DA5" s="3839"/>
      <c r="DB5" s="3839"/>
      <c r="DC5" s="3839"/>
      <c r="DD5" s="3839"/>
      <c r="DE5" s="3839"/>
      <c r="DF5" s="3839"/>
      <c r="DG5" s="3839"/>
      <c r="DH5" s="3258"/>
      <c r="DI5" s="3258"/>
      <c r="DJ5" s="3258"/>
      <c r="DK5" s="3258"/>
      <c r="DL5" s="3258"/>
      <c r="DM5" s="3258"/>
      <c r="DN5" s="3258"/>
      <c r="DO5" s="3258"/>
      <c r="DP5" s="3258"/>
      <c r="DQ5" s="3258"/>
      <c r="DR5" s="3258"/>
      <c r="DS5" s="3258"/>
      <c r="DT5" s="3258"/>
      <c r="DU5" s="3258"/>
      <c r="DV5" s="3258"/>
      <c r="DW5" s="3258"/>
      <c r="DX5" s="3258"/>
      <c r="DY5" s="3258"/>
      <c r="DZ5" s="3258"/>
      <c r="EA5" s="3258"/>
      <c r="EB5" s="3258"/>
      <c r="EC5" s="3258"/>
      <c r="ED5" s="3258"/>
      <c r="EE5" s="3258"/>
      <c r="EF5" s="3258"/>
      <c r="EG5" s="3258"/>
      <c r="EH5" s="3258"/>
      <c r="EI5" s="3258"/>
      <c r="EJ5" s="3258"/>
      <c r="EK5" s="3258"/>
      <c r="EL5" s="3258"/>
      <c r="EM5" s="3258"/>
      <c r="EN5" s="3258"/>
      <c r="EO5" s="3258"/>
      <c r="EP5" s="3258"/>
      <c r="EQ5" s="3258"/>
      <c r="ER5" s="3258"/>
      <c r="ES5" s="3258"/>
      <c r="ET5" s="3258"/>
      <c r="EU5" s="3258"/>
      <c r="EV5" s="3258"/>
      <c r="EW5" s="3258"/>
      <c r="EX5" s="3258"/>
      <c r="EY5" s="3258"/>
      <c r="EZ5" s="3258"/>
      <c r="FA5" s="3258"/>
      <c r="FB5" s="3258"/>
      <c r="FC5" s="3258"/>
      <c r="FD5" s="2794"/>
      <c r="FE5" s="2794"/>
      <c r="FF5" s="2794"/>
      <c r="FG5" s="2794"/>
      <c r="FH5" s="2794"/>
      <c r="FI5" s="2794"/>
      <c r="FJ5" s="2794"/>
      <c r="FK5" s="2794"/>
      <c r="FL5" s="2794"/>
      <c r="FM5" s="2794"/>
      <c r="FN5" s="2794"/>
      <c r="FO5" s="2794"/>
      <c r="FP5" s="2795"/>
      <c r="FQ5" s="2796"/>
      <c r="FR5" s="2796"/>
      <c r="FS5" s="2796"/>
      <c r="FT5" s="2796"/>
      <c r="FU5" s="2796"/>
      <c r="FV5" s="2796"/>
      <c r="FW5" s="2796"/>
      <c r="FX5" s="2796"/>
      <c r="FY5" s="2796"/>
      <c r="FZ5" s="2796"/>
      <c r="GA5" s="2796"/>
      <c r="GB5" s="2749"/>
      <c r="GC5" s="2726"/>
      <c r="GD5" s="5446" t="s">
        <v>449</v>
      </c>
      <c r="GE5" s="5446"/>
      <c r="GF5" s="5446"/>
      <c r="GG5" s="5446"/>
      <c r="GH5" s="5446"/>
      <c r="GI5" s="5446"/>
      <c r="GJ5" s="5446"/>
      <c r="GK5" s="5446"/>
      <c r="GL5" s="5446"/>
      <c r="GM5" s="5446"/>
      <c r="GN5" s="5446"/>
      <c r="GO5" s="5446"/>
      <c r="GP5" s="5446"/>
      <c r="GQ5" s="5446"/>
      <c r="GR5" s="5446"/>
      <c r="GS5" s="5446"/>
      <c r="GT5" s="5446"/>
      <c r="GU5" s="5446"/>
      <c r="GV5" s="5446"/>
      <c r="GW5" s="5446"/>
      <c r="GX5" s="5446"/>
      <c r="GY5" s="5446"/>
      <c r="GZ5" s="5446"/>
      <c r="HA5" s="5446"/>
      <c r="HB5" s="5446"/>
      <c r="HC5" s="3841"/>
      <c r="HD5" s="3841"/>
      <c r="HE5" s="3841"/>
      <c r="HF5" s="3841"/>
      <c r="HG5" s="3841"/>
      <c r="HH5" s="3841"/>
      <c r="HI5" s="3841"/>
      <c r="HJ5" s="3841"/>
      <c r="HK5" s="3841"/>
      <c r="HL5" s="3841"/>
      <c r="HM5" s="2797"/>
      <c r="HN5" s="2797"/>
      <c r="HO5" s="2797"/>
      <c r="HP5" s="2797"/>
      <c r="HQ5" s="2797"/>
      <c r="HR5" s="2797"/>
      <c r="HS5" s="2727"/>
      <c r="HT5" s="2726"/>
      <c r="HU5" s="2726"/>
      <c r="HV5" s="2726"/>
      <c r="HW5" s="3841"/>
      <c r="HX5" s="3841"/>
      <c r="HY5" s="2726"/>
      <c r="HZ5" s="2726"/>
      <c r="IA5" s="3841"/>
      <c r="IB5" s="3841"/>
      <c r="IC5" s="3841"/>
      <c r="ID5" s="3841"/>
      <c r="IE5" s="3841"/>
      <c r="IF5" s="3841"/>
      <c r="IG5" s="3841"/>
      <c r="IH5" s="3841"/>
      <c r="II5" s="3841"/>
      <c r="IJ5" s="3841"/>
      <c r="IK5" s="5421" t="s">
        <v>450</v>
      </c>
      <c r="IL5" s="5422"/>
      <c r="IM5" s="5422"/>
      <c r="IN5" s="5422"/>
      <c r="IO5" s="5422"/>
      <c r="IP5" s="5422"/>
      <c r="IQ5" s="3840"/>
      <c r="IR5" s="3840"/>
      <c r="IS5" s="3840"/>
      <c r="IT5" s="3840"/>
      <c r="IU5" s="3840"/>
      <c r="IV5" s="3259"/>
      <c r="IW5" s="3259"/>
      <c r="IX5" s="3259"/>
      <c r="IY5" s="3260"/>
      <c r="IZ5" s="3261"/>
      <c r="JA5" s="3764"/>
      <c r="JC5" s="3259"/>
      <c r="JD5" s="2723"/>
      <c r="JE5" s="2723"/>
      <c r="JF5" s="2723"/>
      <c r="JG5" s="2723"/>
      <c r="JH5" s="2723"/>
      <c r="JI5" s="3262"/>
      <c r="JJ5" s="2723"/>
      <c r="JK5" s="2723"/>
      <c r="JL5" s="2723"/>
      <c r="JM5" s="2723"/>
      <c r="JN5" s="2723"/>
      <c r="JO5" s="2723"/>
      <c r="JP5" s="2723"/>
      <c r="JQ5" s="2723"/>
      <c r="JS5" s="2723"/>
      <c r="JT5" s="2723"/>
      <c r="JU5" s="2723"/>
      <c r="JV5" s="2723"/>
      <c r="JW5" s="2723"/>
      <c r="JX5" s="2723"/>
      <c r="JY5" s="2723"/>
      <c r="JZ5" s="2723"/>
      <c r="KA5" s="2723"/>
      <c r="KB5" s="2723"/>
      <c r="KC5" s="2723"/>
      <c r="KD5" s="2723"/>
      <c r="KE5" s="2723"/>
      <c r="KF5" s="2723"/>
      <c r="KG5" s="2723"/>
      <c r="KH5" s="2723"/>
      <c r="KI5" s="2723"/>
      <c r="KJ5" s="2723"/>
      <c r="KK5" s="2723"/>
      <c r="KL5" s="2723"/>
      <c r="KM5" s="2723"/>
      <c r="KN5" s="2723"/>
      <c r="KO5" s="2723"/>
    </row>
    <row r="6" spans="1:301" ht="4.5" hidden="1" customHeight="1" thickBot="1">
      <c r="A6" s="2723"/>
      <c r="B6" s="2723"/>
      <c r="C6" s="3263"/>
      <c r="D6" s="3264"/>
      <c r="E6" s="3264"/>
      <c r="F6" s="3264"/>
      <c r="G6" s="3264"/>
      <c r="H6" s="3264"/>
      <c r="I6" s="3264"/>
      <c r="J6" s="3264"/>
      <c r="K6" s="3264"/>
      <c r="L6" s="3264"/>
      <c r="M6" s="3264"/>
      <c r="N6" s="3264"/>
      <c r="O6" s="3264"/>
      <c r="P6" s="3264"/>
      <c r="Q6" s="3264"/>
      <c r="R6" s="3264"/>
      <c r="S6" s="3264"/>
      <c r="T6" s="3264"/>
      <c r="U6" s="3264"/>
      <c r="V6" s="3264"/>
      <c r="W6" s="3264"/>
      <c r="X6" s="3264"/>
      <c r="Y6" s="3264"/>
      <c r="Z6" s="3264"/>
      <c r="AA6" s="3264"/>
      <c r="AB6" s="3264"/>
      <c r="AC6" s="3264"/>
      <c r="AD6" s="3264"/>
      <c r="AE6" s="3264"/>
      <c r="AF6" s="3264"/>
      <c r="AG6" s="3264"/>
      <c r="AH6" s="3264"/>
      <c r="AI6" s="3264"/>
      <c r="AJ6" s="3264"/>
      <c r="AK6" s="3264"/>
      <c r="AL6" s="3264"/>
      <c r="AM6" s="3264"/>
      <c r="AN6" s="3264"/>
      <c r="AO6" s="3264"/>
      <c r="AP6" s="3264"/>
      <c r="AQ6" s="3264"/>
      <c r="AR6" s="3264"/>
      <c r="AS6" s="3264"/>
      <c r="AT6" s="3264"/>
      <c r="AU6" s="3264"/>
      <c r="AV6" s="3264"/>
      <c r="AW6" s="3264"/>
      <c r="AX6" s="3264"/>
      <c r="AY6" s="3264"/>
      <c r="AZ6" s="3264"/>
      <c r="BA6" s="3264"/>
      <c r="BB6" s="3264"/>
      <c r="BC6" s="3264"/>
      <c r="BD6" s="3264"/>
      <c r="BE6" s="3264"/>
      <c r="BF6" s="3264"/>
      <c r="BG6" s="3264"/>
      <c r="BH6" s="3264"/>
      <c r="BI6" s="3264"/>
      <c r="BJ6" s="3264"/>
      <c r="BK6" s="3264"/>
      <c r="BL6" s="3264"/>
      <c r="BM6" s="3264"/>
      <c r="BN6" s="3264"/>
      <c r="BO6" s="3264"/>
      <c r="BP6" s="3264"/>
      <c r="BQ6" s="3264"/>
      <c r="BR6" s="3264"/>
      <c r="BS6" s="3264"/>
      <c r="BT6" s="3264"/>
      <c r="BU6" s="3264"/>
      <c r="BV6" s="3264"/>
      <c r="BW6" s="3264"/>
      <c r="BX6" s="3264"/>
      <c r="BY6" s="3264"/>
      <c r="BZ6" s="3264"/>
      <c r="CA6" s="3264"/>
      <c r="CB6" s="3264"/>
      <c r="CC6" s="3264"/>
      <c r="CD6" s="3264"/>
      <c r="CE6" s="3264"/>
      <c r="CF6" s="3264"/>
      <c r="CG6" s="3264"/>
      <c r="CH6" s="3264"/>
      <c r="CI6" s="3264"/>
      <c r="CJ6" s="3264"/>
      <c r="CK6" s="3264"/>
      <c r="CL6" s="3264"/>
      <c r="CM6" s="3264"/>
      <c r="CN6" s="3264"/>
      <c r="CO6" s="3264"/>
      <c r="CP6" s="3264"/>
      <c r="CQ6" s="3264"/>
      <c r="CR6" s="3264"/>
      <c r="CS6" s="3264"/>
      <c r="CT6" s="3264"/>
      <c r="CU6" s="3264"/>
      <c r="CV6" s="3264"/>
      <c r="CW6" s="3264"/>
      <c r="CX6" s="3264"/>
      <c r="CY6" s="3264"/>
      <c r="CZ6" s="3264"/>
      <c r="DA6" s="3264"/>
      <c r="DB6" s="3264"/>
      <c r="DC6" s="3264"/>
      <c r="DD6" s="3264"/>
      <c r="DE6" s="3264"/>
      <c r="DF6" s="3264"/>
      <c r="DG6" s="3264"/>
      <c r="DH6" s="3265"/>
      <c r="DI6" s="3265"/>
      <c r="DJ6" s="3265"/>
      <c r="DK6" s="3265"/>
      <c r="DL6" s="3265"/>
      <c r="DM6" s="3265"/>
      <c r="DN6" s="3265"/>
      <c r="DO6" s="3265"/>
      <c r="DP6" s="3265"/>
      <c r="DQ6" s="3265"/>
      <c r="DR6" s="3265"/>
      <c r="DS6" s="3265"/>
      <c r="DT6" s="3265"/>
      <c r="DU6" s="3265"/>
      <c r="DV6" s="3265"/>
      <c r="DW6" s="3265"/>
      <c r="DX6" s="3265"/>
      <c r="DY6" s="3265"/>
      <c r="DZ6" s="3265"/>
      <c r="EA6" s="3265"/>
      <c r="EB6" s="3265"/>
      <c r="EC6" s="3265"/>
      <c r="ED6" s="3265"/>
      <c r="EE6" s="3265"/>
      <c r="EF6" s="3265"/>
      <c r="EG6" s="3265"/>
      <c r="EH6" s="3265"/>
      <c r="EI6" s="3265"/>
      <c r="EJ6" s="3265"/>
      <c r="EK6" s="3265"/>
      <c r="EL6" s="3265"/>
      <c r="EM6" s="3265"/>
      <c r="EN6" s="3265"/>
      <c r="EO6" s="3265"/>
      <c r="EP6" s="3265"/>
      <c r="EQ6" s="3265"/>
      <c r="ER6" s="3265"/>
      <c r="ES6" s="3265"/>
      <c r="ET6" s="3265"/>
      <c r="EU6" s="3265"/>
      <c r="EV6" s="3265"/>
      <c r="EW6" s="3265"/>
      <c r="EX6" s="3265"/>
      <c r="EY6" s="3265"/>
      <c r="EZ6" s="3265"/>
      <c r="FA6" s="3265"/>
      <c r="FB6" s="3265"/>
      <c r="FC6" s="3265"/>
      <c r="FD6" s="456"/>
      <c r="FE6" s="456"/>
      <c r="FF6" s="456"/>
      <c r="FG6" s="456"/>
      <c r="FH6" s="456"/>
      <c r="FI6" s="456"/>
      <c r="FJ6" s="456"/>
      <c r="FK6" s="456"/>
      <c r="FL6" s="456"/>
      <c r="FM6" s="456"/>
      <c r="FN6" s="456"/>
      <c r="FO6" s="456"/>
      <c r="FP6" s="2747"/>
      <c r="FQ6" s="2748"/>
      <c r="FR6" s="2748"/>
      <c r="FS6" s="2748"/>
      <c r="FT6" s="2748"/>
      <c r="FU6" s="2748"/>
      <c r="FV6" s="2748"/>
      <c r="FW6" s="2748"/>
      <c r="FX6" s="2748"/>
      <c r="FY6" s="2748"/>
      <c r="FZ6" s="2748"/>
      <c r="GA6" s="2748"/>
      <c r="GB6" s="2749"/>
      <c r="GC6" s="2726"/>
      <c r="GD6" s="2798"/>
      <c r="GE6" s="2798"/>
      <c r="GF6" s="2798"/>
      <c r="GG6" s="2798"/>
      <c r="GH6" s="2798"/>
      <c r="GI6" s="2798"/>
      <c r="GJ6" s="2798"/>
      <c r="GK6" s="2798"/>
      <c r="GL6" s="2798"/>
      <c r="GM6" s="2798"/>
      <c r="GN6" s="2798"/>
      <c r="GO6" s="2798"/>
      <c r="GP6" s="2798"/>
      <c r="GQ6" s="2798"/>
      <c r="GR6" s="2798"/>
      <c r="GS6" s="2798"/>
      <c r="GT6" s="2798"/>
      <c r="GU6" s="2798"/>
      <c r="GV6" s="2798"/>
      <c r="GW6" s="2798"/>
      <c r="GX6" s="2798"/>
      <c r="GY6" s="2798"/>
      <c r="GZ6" s="2798"/>
      <c r="HA6" s="2798"/>
      <c r="HB6" s="2798"/>
      <c r="HC6" s="2798"/>
      <c r="HD6" s="2798"/>
      <c r="HE6" s="2798"/>
      <c r="HF6" s="2798"/>
      <c r="HG6" s="2798"/>
      <c r="HH6" s="2798"/>
      <c r="HI6" s="2798"/>
      <c r="HJ6" s="2798"/>
      <c r="HK6" s="2798"/>
      <c r="HL6" s="2798"/>
      <c r="HM6" s="2748"/>
      <c r="HN6" s="2748"/>
      <c r="HO6" s="2748"/>
      <c r="HP6" s="2748"/>
      <c r="HQ6" s="2748"/>
      <c r="HR6" s="2748"/>
      <c r="HS6" s="2748"/>
      <c r="HT6" s="2798"/>
      <c r="HU6" s="2798"/>
      <c r="HV6" s="2798"/>
      <c r="HW6" s="2798"/>
      <c r="HX6" s="2798"/>
      <c r="HY6" s="2798"/>
      <c r="HZ6" s="2798"/>
      <c r="IA6" s="2798"/>
      <c r="IB6" s="2798"/>
      <c r="IC6" s="2798"/>
      <c r="ID6" s="2798"/>
      <c r="IE6" s="2798"/>
      <c r="IF6" s="2798"/>
      <c r="IG6" s="2798"/>
      <c r="IH6" s="2798"/>
      <c r="II6" s="2798"/>
      <c r="IJ6" s="2798"/>
      <c r="IK6" s="2799"/>
      <c r="IL6" s="3266"/>
      <c r="IM6" s="3266"/>
      <c r="IN6" s="3266"/>
      <c r="IO6" s="3266"/>
      <c r="IP6" s="3266"/>
      <c r="IQ6" s="3266"/>
      <c r="IR6" s="3266"/>
      <c r="IS6" s="3266"/>
      <c r="IT6" s="3266"/>
      <c r="IU6" s="3267"/>
      <c r="IV6" s="3268"/>
      <c r="IW6" s="3268"/>
      <c r="IX6" s="3268"/>
      <c r="IY6" s="3269"/>
      <c r="IZ6" s="3270"/>
      <c r="JA6" s="3764"/>
      <c r="JC6" s="3268"/>
      <c r="JD6" s="2723"/>
      <c r="JE6" s="2723"/>
      <c r="JF6" s="2723"/>
      <c r="JG6" s="2723"/>
      <c r="JH6" s="2723"/>
      <c r="JI6" s="3262"/>
      <c r="JJ6" s="2723"/>
      <c r="JK6" s="2723"/>
      <c r="JL6" s="2723"/>
      <c r="JM6" s="2723"/>
      <c r="JN6" s="2723"/>
      <c r="JO6" s="2723"/>
      <c r="JP6" s="2723"/>
      <c r="JQ6" s="2723"/>
      <c r="JS6" s="2723"/>
      <c r="JT6" s="2723"/>
      <c r="JU6" s="2723"/>
      <c r="JV6" s="2723"/>
      <c r="JW6" s="2723"/>
      <c r="JX6" s="2723"/>
      <c r="JY6" s="2723"/>
      <c r="JZ6" s="2723"/>
      <c r="KA6" s="2723"/>
      <c r="KB6" s="2723"/>
      <c r="KC6" s="2723"/>
      <c r="KD6" s="2723"/>
      <c r="KE6" s="2723"/>
      <c r="KF6" s="2723"/>
      <c r="KG6" s="2723"/>
      <c r="KH6" s="2723"/>
      <c r="KI6" s="2723"/>
      <c r="KJ6" s="2723"/>
      <c r="KK6" s="2723"/>
      <c r="KL6" s="2723"/>
      <c r="KM6" s="2723"/>
      <c r="KN6" s="2723"/>
      <c r="KO6" s="2723"/>
    </row>
    <row r="7" spans="1:301" ht="18" hidden="1" customHeight="1">
      <c r="A7" s="2723"/>
      <c r="B7" s="2723"/>
      <c r="C7" s="3271" t="s">
        <v>451</v>
      </c>
      <c r="D7" s="5423">
        <v>2007</v>
      </c>
      <c r="E7" s="5423"/>
      <c r="F7" s="5423"/>
      <c r="G7" s="5423"/>
      <c r="H7" s="5423"/>
      <c r="I7" s="5423"/>
      <c r="J7" s="5423"/>
      <c r="K7" s="5423"/>
      <c r="L7" s="5423"/>
      <c r="M7" s="5423"/>
      <c r="N7" s="5423"/>
      <c r="O7" s="5424"/>
      <c r="P7" s="5425">
        <v>2008</v>
      </c>
      <c r="Q7" s="5426"/>
      <c r="R7" s="5426"/>
      <c r="S7" s="5426"/>
      <c r="T7" s="5426"/>
      <c r="U7" s="5426"/>
      <c r="V7" s="5426"/>
      <c r="W7" s="5426"/>
      <c r="X7" s="5426"/>
      <c r="Y7" s="5426"/>
      <c r="Z7" s="5426"/>
      <c r="AA7" s="5426"/>
      <c r="AB7" s="5427">
        <v>2009</v>
      </c>
      <c r="AC7" s="5428"/>
      <c r="AD7" s="5428"/>
      <c r="AE7" s="5428"/>
      <c r="AF7" s="5428"/>
      <c r="AG7" s="5428"/>
      <c r="AH7" s="5428"/>
      <c r="AI7" s="5428"/>
      <c r="AJ7" s="5428"/>
      <c r="AK7" s="5428"/>
      <c r="AL7" s="5428"/>
      <c r="AM7" s="5429"/>
      <c r="AN7" s="5430">
        <v>2010</v>
      </c>
      <c r="AO7" s="5431"/>
      <c r="AP7" s="5431"/>
      <c r="AQ7" s="5431"/>
      <c r="AR7" s="5431"/>
      <c r="AS7" s="5431"/>
      <c r="AT7" s="5431"/>
      <c r="AU7" s="5431"/>
      <c r="AV7" s="5431"/>
      <c r="AW7" s="5431"/>
      <c r="AX7" s="5431"/>
      <c r="AY7" s="5431"/>
      <c r="AZ7" s="5432">
        <v>2011</v>
      </c>
      <c r="BA7" s="5433"/>
      <c r="BB7" s="5433"/>
      <c r="BC7" s="5433"/>
      <c r="BD7" s="5433"/>
      <c r="BE7" s="5433"/>
      <c r="BF7" s="5433"/>
      <c r="BG7" s="5433"/>
      <c r="BH7" s="5433"/>
      <c r="BI7" s="5433"/>
      <c r="BJ7" s="5433"/>
      <c r="BK7" s="5434"/>
      <c r="BL7" s="5435">
        <v>2012</v>
      </c>
      <c r="BM7" s="5436"/>
      <c r="BN7" s="5436"/>
      <c r="BO7" s="3837"/>
      <c r="BP7" s="3837"/>
      <c r="BQ7" s="3837"/>
      <c r="BR7" s="3837"/>
      <c r="BS7" s="3837"/>
      <c r="BT7" s="3272"/>
      <c r="BU7" s="3273"/>
      <c r="BV7" s="3273"/>
      <c r="BW7" s="3273"/>
      <c r="BX7" s="3274">
        <v>2013</v>
      </c>
      <c r="BY7" s="3275"/>
      <c r="BZ7" s="3275"/>
      <c r="CA7" s="3275"/>
      <c r="CB7" s="3275"/>
      <c r="CC7" s="3275"/>
      <c r="CD7" s="3275"/>
      <c r="CE7" s="3275"/>
      <c r="CF7" s="3275"/>
      <c r="CG7" s="3275"/>
      <c r="CH7" s="3275"/>
      <c r="CI7" s="3275"/>
      <c r="CJ7" s="3276">
        <v>2014</v>
      </c>
      <c r="CK7" s="3277"/>
      <c r="CL7" s="3277"/>
      <c r="CM7" s="3277"/>
      <c r="CN7" s="3277"/>
      <c r="CO7" s="3277"/>
      <c r="CP7" s="3277"/>
      <c r="CQ7" s="3277"/>
      <c r="CR7" s="3277"/>
      <c r="CS7" s="3277"/>
      <c r="CT7" s="3277"/>
      <c r="CU7" s="3278"/>
      <c r="CV7" s="3279">
        <v>2015</v>
      </c>
      <c r="CW7" s="3280"/>
      <c r="CX7" s="3280"/>
      <c r="CY7" s="3280"/>
      <c r="CZ7" s="3280"/>
      <c r="DA7" s="3280"/>
      <c r="DB7" s="3280"/>
      <c r="DC7" s="3280"/>
      <c r="DD7" s="3280"/>
      <c r="DE7" s="3280"/>
      <c r="DF7" s="3281"/>
      <c r="DG7" s="3281"/>
      <c r="DH7" s="5437">
        <v>2016</v>
      </c>
      <c r="DI7" s="5438"/>
      <c r="DJ7" s="5438"/>
      <c r="DK7" s="5438"/>
      <c r="DL7" s="5438"/>
      <c r="DM7" s="5438"/>
      <c r="DN7" s="5438"/>
      <c r="DO7" s="5438"/>
      <c r="DP7" s="5438"/>
      <c r="DQ7" s="5438"/>
      <c r="DR7" s="5438"/>
      <c r="DS7" s="5439"/>
      <c r="DT7" s="3282">
        <v>2017</v>
      </c>
      <c r="DU7" s="3282"/>
      <c r="DV7" s="3282"/>
      <c r="DW7" s="3282"/>
      <c r="DX7" s="3282"/>
      <c r="DY7" s="3282"/>
      <c r="DZ7" s="3283"/>
      <c r="EA7" s="3283"/>
      <c r="EB7" s="3283"/>
      <c r="EC7" s="3283"/>
      <c r="ED7" s="3283"/>
      <c r="EE7" s="3283"/>
      <c r="EF7" s="3282">
        <v>2017</v>
      </c>
      <c r="EG7" s="3282"/>
      <c r="EH7" s="3282"/>
      <c r="EI7" s="3282"/>
      <c r="EJ7" s="3282"/>
      <c r="EK7" s="3282"/>
      <c r="EL7" s="3283"/>
      <c r="EM7" s="3283"/>
      <c r="EN7" s="3283"/>
      <c r="EO7" s="3283"/>
      <c r="EP7" s="3283"/>
      <c r="EQ7" s="3283"/>
      <c r="ER7" s="3282">
        <v>2017</v>
      </c>
      <c r="ES7" s="3282"/>
      <c r="ET7" s="3282"/>
      <c r="EU7" s="3282"/>
      <c r="EV7" s="3282"/>
      <c r="EW7" s="3282"/>
      <c r="EX7" s="3283"/>
      <c r="EY7" s="3283"/>
      <c r="EZ7" s="3283"/>
      <c r="FA7" s="3283"/>
      <c r="FB7" s="3283"/>
      <c r="FC7" s="3283"/>
      <c r="FD7" s="2748"/>
      <c r="FE7" s="2748"/>
      <c r="FF7" s="2748"/>
      <c r="FG7" s="2748"/>
      <c r="FH7" s="2748"/>
      <c r="FI7" s="2748"/>
      <c r="FJ7" s="2748"/>
      <c r="FK7" s="2748"/>
      <c r="FL7" s="2748"/>
      <c r="FM7" s="2748"/>
      <c r="FN7" s="2748"/>
      <c r="FO7" s="2748"/>
      <c r="FP7" s="2747"/>
      <c r="FQ7" s="2748"/>
      <c r="FR7" s="2748"/>
      <c r="FS7" s="2748"/>
      <c r="FT7" s="2748"/>
      <c r="FU7" s="2748"/>
      <c r="FV7" s="2748"/>
      <c r="FW7" s="2748"/>
      <c r="FX7" s="2748"/>
      <c r="FY7" s="2748"/>
      <c r="FZ7" s="2748"/>
      <c r="GA7" s="2748"/>
      <c r="GB7" s="2749"/>
      <c r="GC7" s="2726"/>
      <c r="GD7" s="5440">
        <v>2007</v>
      </c>
      <c r="GE7" s="5441"/>
      <c r="GF7" s="5441"/>
      <c r="GG7" s="5441"/>
      <c r="GH7" s="5442">
        <v>2008</v>
      </c>
      <c r="GI7" s="5443"/>
      <c r="GJ7" s="5443"/>
      <c r="GK7" s="5444"/>
      <c r="GL7" s="5457">
        <v>2009</v>
      </c>
      <c r="GM7" s="5458"/>
      <c r="GN7" s="5458"/>
      <c r="GO7" s="5458"/>
      <c r="GP7" s="5459">
        <v>2010</v>
      </c>
      <c r="GQ7" s="5460"/>
      <c r="GR7" s="5460"/>
      <c r="GS7" s="5461"/>
      <c r="GT7" s="5462">
        <v>2011</v>
      </c>
      <c r="GU7" s="5463"/>
      <c r="GV7" s="5463"/>
      <c r="GW7" s="5464"/>
      <c r="GX7" s="5465">
        <v>2012</v>
      </c>
      <c r="GY7" s="5466"/>
      <c r="GZ7" s="5466"/>
      <c r="HA7" s="5466"/>
      <c r="HB7" s="2800">
        <v>2013</v>
      </c>
      <c r="HC7" s="2800"/>
      <c r="HD7" s="2800"/>
      <c r="HE7" s="2800"/>
      <c r="HF7" s="2801">
        <v>2014</v>
      </c>
      <c r="HG7" s="2801"/>
      <c r="HH7" s="2801"/>
      <c r="HI7" s="2801"/>
      <c r="HJ7" s="2802">
        <v>2015</v>
      </c>
      <c r="HK7" s="2802"/>
      <c r="HL7" s="2802"/>
      <c r="HM7" s="2803">
        <v>2016</v>
      </c>
      <c r="HN7" s="2803"/>
      <c r="HO7" s="2803"/>
      <c r="HP7" s="2803"/>
      <c r="HQ7" s="2804">
        <v>2017</v>
      </c>
      <c r="HR7" s="2804"/>
      <c r="HS7" s="2727"/>
      <c r="HT7" s="2726"/>
      <c r="HU7" s="2726"/>
      <c r="HV7" s="2800"/>
      <c r="HW7" s="2800"/>
      <c r="HX7" s="2800"/>
      <c r="HY7" s="2726"/>
      <c r="HZ7" s="2800"/>
      <c r="IA7" s="2800"/>
      <c r="IB7" s="2800"/>
      <c r="IC7" s="2800"/>
      <c r="ID7" s="2800"/>
      <c r="IE7" s="2800"/>
      <c r="IF7" s="2800"/>
      <c r="IG7" s="2800"/>
      <c r="IH7" s="2800"/>
      <c r="II7" s="2800"/>
      <c r="IJ7" s="2800"/>
      <c r="IK7" s="2805">
        <v>2007</v>
      </c>
      <c r="IL7" s="3284">
        <v>2008</v>
      </c>
      <c r="IM7" s="3284">
        <v>2009</v>
      </c>
      <c r="IN7" s="3284">
        <v>2010</v>
      </c>
      <c r="IO7" s="3284">
        <v>2011</v>
      </c>
      <c r="IP7" s="3284">
        <v>2012</v>
      </c>
      <c r="IQ7" s="3284">
        <v>2013</v>
      </c>
      <c r="IR7" s="3284">
        <v>2014</v>
      </c>
      <c r="IS7" s="5467" t="s">
        <v>452</v>
      </c>
      <c r="IT7" s="5467">
        <v>2016</v>
      </c>
      <c r="IU7" s="5447" t="s">
        <v>753</v>
      </c>
      <c r="IV7" s="3285"/>
      <c r="IW7" s="3285"/>
      <c r="IX7" s="3285"/>
      <c r="IY7" s="3286"/>
      <c r="IZ7" s="3287"/>
      <c r="JA7" s="3764"/>
      <c r="JC7" s="3285"/>
      <c r="JD7" s="2723"/>
      <c r="JE7" s="2723"/>
      <c r="JF7" s="2723"/>
      <c r="JG7" s="2723"/>
      <c r="JH7" s="2723"/>
      <c r="JI7" s="3262"/>
      <c r="JJ7" s="2723"/>
      <c r="JK7" s="2723"/>
      <c r="JL7" s="2723"/>
      <c r="JM7" s="2723"/>
      <c r="JN7" s="2723"/>
      <c r="JO7" s="2723"/>
      <c r="JP7" s="2723"/>
      <c r="JQ7" s="2723"/>
      <c r="JS7" s="2723"/>
      <c r="JT7" s="2723"/>
      <c r="JU7" s="2723"/>
      <c r="JV7" s="2723"/>
      <c r="JW7" s="2723"/>
      <c r="JX7" s="2723"/>
      <c r="JY7" s="2723"/>
      <c r="JZ7" s="2723"/>
      <c r="KA7" s="2723"/>
      <c r="KB7" s="2723"/>
      <c r="KC7" s="2723"/>
      <c r="KD7" s="2723"/>
      <c r="KE7" s="2723"/>
      <c r="KF7" s="2723"/>
      <c r="KG7" s="2723"/>
      <c r="KH7" s="2723"/>
      <c r="KI7" s="2723"/>
      <c r="KJ7" s="2723"/>
      <c r="KK7" s="2723"/>
      <c r="KL7" s="2723"/>
      <c r="KM7" s="2723"/>
      <c r="KN7" s="2723"/>
      <c r="KO7" s="2723"/>
    </row>
    <row r="8" spans="1:301" ht="6.75" hidden="1" customHeight="1">
      <c r="A8" s="2723"/>
      <c r="B8" s="2723"/>
      <c r="C8" s="3288"/>
      <c r="D8" s="3281"/>
      <c r="E8" s="3281"/>
      <c r="F8" s="3281"/>
      <c r="G8" s="3281"/>
      <c r="H8" s="3281"/>
      <c r="I8" s="3281"/>
      <c r="J8" s="3281"/>
      <c r="K8" s="3281"/>
      <c r="L8" s="3281"/>
      <c r="M8" s="3281"/>
      <c r="N8" s="3281"/>
      <c r="O8" s="3281"/>
      <c r="P8" s="3289"/>
      <c r="Q8" s="3281"/>
      <c r="R8" s="3281"/>
      <c r="S8" s="3281"/>
      <c r="T8" s="3281"/>
      <c r="U8" s="3281"/>
      <c r="V8" s="3281"/>
      <c r="W8" s="3281"/>
      <c r="X8" s="3281"/>
      <c r="Y8" s="3281"/>
      <c r="Z8" s="3281"/>
      <c r="AA8" s="3281"/>
      <c r="AB8" s="3281"/>
      <c r="AC8" s="3281"/>
      <c r="AD8" s="3281"/>
      <c r="AE8" s="3281"/>
      <c r="AF8" s="3281"/>
      <c r="AG8" s="3281"/>
      <c r="AH8" s="3281"/>
      <c r="AI8" s="3281"/>
      <c r="AJ8" s="3281"/>
      <c r="AK8" s="3281"/>
      <c r="AL8" s="3281"/>
      <c r="AM8" s="3281"/>
      <c r="AN8" s="3281"/>
      <c r="AO8" s="3281"/>
      <c r="AP8" s="3281"/>
      <c r="AQ8" s="3281"/>
      <c r="AR8" s="3281"/>
      <c r="AS8" s="3281"/>
      <c r="AT8" s="3281"/>
      <c r="AU8" s="3281"/>
      <c r="AV8" s="3281"/>
      <c r="AW8" s="3281"/>
      <c r="AX8" s="3281"/>
      <c r="AY8" s="3281"/>
      <c r="AZ8" s="3290"/>
      <c r="BA8" s="3281"/>
      <c r="BB8" s="3281"/>
      <c r="BC8" s="3281"/>
      <c r="BD8" s="3281"/>
      <c r="BE8" s="3281"/>
      <c r="BF8" s="3281"/>
      <c r="BG8" s="3281"/>
      <c r="BH8" s="3281"/>
      <c r="BI8" s="3281"/>
      <c r="BJ8" s="3281"/>
      <c r="BK8" s="3291"/>
      <c r="BL8" s="3292"/>
      <c r="BM8" s="3293"/>
      <c r="BN8" s="3293"/>
      <c r="BO8" s="3293"/>
      <c r="BP8" s="3293"/>
      <c r="BQ8" s="3293"/>
      <c r="BR8" s="3293"/>
      <c r="BS8" s="3293"/>
      <c r="BT8" s="3293"/>
      <c r="BU8" s="3293"/>
      <c r="BV8" s="3293"/>
      <c r="BW8" s="3293"/>
      <c r="BX8" s="3294"/>
      <c r="BY8" s="3293"/>
      <c r="BZ8" s="3293"/>
      <c r="CA8" s="3293"/>
      <c r="CB8" s="3293"/>
      <c r="CC8" s="3293"/>
      <c r="CD8" s="3293"/>
      <c r="CE8" s="3293"/>
      <c r="CF8" s="3293"/>
      <c r="CG8" s="3293"/>
      <c r="CH8" s="3293"/>
      <c r="CI8" s="3293"/>
      <c r="CJ8" s="3295"/>
      <c r="CK8" s="3296"/>
      <c r="CL8" s="3296"/>
      <c r="CM8" s="3296"/>
      <c r="CN8" s="3296"/>
      <c r="CO8" s="3296"/>
      <c r="CP8" s="3296"/>
      <c r="CQ8" s="3296"/>
      <c r="CR8" s="3296"/>
      <c r="CS8" s="3296"/>
      <c r="CT8" s="3296"/>
      <c r="CU8" s="3297"/>
      <c r="CV8" s="3298"/>
      <c r="CW8" s="3299"/>
      <c r="CX8" s="3299"/>
      <c r="CY8" s="3299"/>
      <c r="CZ8" s="3299"/>
      <c r="DA8" s="3299"/>
      <c r="DB8" s="3299"/>
      <c r="DC8" s="3299"/>
      <c r="DD8" s="3299"/>
      <c r="DE8" s="3299"/>
      <c r="DF8" s="3299"/>
      <c r="DG8" s="3299"/>
      <c r="DH8" s="3300"/>
      <c r="DI8" s="3300"/>
      <c r="DJ8" s="3300"/>
      <c r="DK8" s="3300"/>
      <c r="DL8" s="3300"/>
      <c r="DM8" s="3300"/>
      <c r="DN8" s="3300"/>
      <c r="DO8" s="3300"/>
      <c r="DP8" s="3300"/>
      <c r="DQ8" s="3300"/>
      <c r="DR8" s="3300"/>
      <c r="DS8" s="3300"/>
      <c r="DT8" s="3301"/>
      <c r="DU8" s="3301"/>
      <c r="DV8" s="3301"/>
      <c r="DW8" s="3301"/>
      <c r="DX8" s="3301"/>
      <c r="DY8" s="3301"/>
      <c r="DZ8" s="3302"/>
      <c r="EA8" s="3302"/>
      <c r="EB8" s="3302"/>
      <c r="EC8" s="3302"/>
      <c r="ED8" s="3302"/>
      <c r="EE8" s="3302"/>
      <c r="EF8" s="3301"/>
      <c r="EG8" s="3301"/>
      <c r="EH8" s="3301"/>
      <c r="EI8" s="3301"/>
      <c r="EJ8" s="3301"/>
      <c r="EK8" s="3301"/>
      <c r="EL8" s="3302"/>
      <c r="EM8" s="3302"/>
      <c r="EN8" s="3302"/>
      <c r="EO8" s="3302"/>
      <c r="EP8" s="3302"/>
      <c r="EQ8" s="3302"/>
      <c r="ER8" s="3301"/>
      <c r="ES8" s="3301"/>
      <c r="ET8" s="3301"/>
      <c r="EU8" s="3301"/>
      <c r="EV8" s="3301"/>
      <c r="EW8" s="3301"/>
      <c r="EX8" s="3302"/>
      <c r="EY8" s="3302"/>
      <c r="EZ8" s="3302"/>
      <c r="FA8" s="3302"/>
      <c r="FB8" s="3302"/>
      <c r="FC8" s="3302"/>
      <c r="FD8" s="2806"/>
      <c r="FE8" s="2806"/>
      <c r="FF8" s="2806"/>
      <c r="FG8" s="2806"/>
      <c r="FH8" s="2806"/>
      <c r="FI8" s="2806"/>
      <c r="FJ8" s="2806"/>
      <c r="FK8" s="2806"/>
      <c r="FL8" s="2806"/>
      <c r="FM8" s="2806"/>
      <c r="FN8" s="2806"/>
      <c r="FO8" s="2806"/>
      <c r="FP8" s="2807"/>
      <c r="FQ8" s="2806"/>
      <c r="FR8" s="2806"/>
      <c r="FS8" s="2806"/>
      <c r="FT8" s="2806"/>
      <c r="FU8" s="2806"/>
      <c r="FV8" s="2806"/>
      <c r="FW8" s="2806"/>
      <c r="FX8" s="2806"/>
      <c r="FY8" s="2806"/>
      <c r="FZ8" s="2806"/>
      <c r="GA8" s="2806"/>
      <c r="GB8" s="2749"/>
      <c r="GC8" s="2808"/>
      <c r="GD8" s="2798"/>
      <c r="GE8" s="2798"/>
      <c r="GF8" s="2798"/>
      <c r="GG8" s="2798"/>
      <c r="GH8" s="2798"/>
      <c r="GI8" s="2798"/>
      <c r="GJ8" s="2798"/>
      <c r="GK8" s="2798"/>
      <c r="GL8" s="2798"/>
      <c r="GM8" s="2798"/>
      <c r="GN8" s="2798"/>
      <c r="GO8" s="2798"/>
      <c r="GP8" s="2798"/>
      <c r="GQ8" s="2798"/>
      <c r="GR8" s="2798"/>
      <c r="GS8" s="2798"/>
      <c r="GT8" s="2809"/>
      <c r="GU8" s="2809"/>
      <c r="GV8" s="2809"/>
      <c r="GW8" s="2809"/>
      <c r="GX8" s="2798"/>
      <c r="GY8" s="2798"/>
      <c r="GZ8" s="2798"/>
      <c r="HA8" s="2798"/>
      <c r="HB8" s="2798"/>
      <c r="HC8" s="2798"/>
      <c r="HD8" s="2798"/>
      <c r="HE8" s="2798"/>
      <c r="HF8" s="2810"/>
      <c r="HG8" s="2810"/>
      <c r="HH8" s="2810"/>
      <c r="HI8" s="2810"/>
      <c r="HJ8" s="2810"/>
      <c r="HK8" s="2810"/>
      <c r="HL8" s="2810"/>
      <c r="HM8" s="2748"/>
      <c r="HN8" s="2748"/>
      <c r="HO8" s="2748"/>
      <c r="HP8" s="2748"/>
      <c r="HQ8" s="2748"/>
      <c r="HR8" s="2748"/>
      <c r="HS8" s="2748"/>
      <c r="HT8" s="2798"/>
      <c r="HU8" s="2798"/>
      <c r="HV8" s="2798"/>
      <c r="HW8" s="2798"/>
      <c r="HX8" s="2798"/>
      <c r="HY8" s="2798"/>
      <c r="HZ8" s="2798"/>
      <c r="IA8" s="2798"/>
      <c r="IB8" s="2798"/>
      <c r="IC8" s="2798"/>
      <c r="ID8" s="2798"/>
      <c r="IE8" s="2798"/>
      <c r="IF8" s="2798"/>
      <c r="IG8" s="2798"/>
      <c r="IH8" s="2798"/>
      <c r="II8" s="2798"/>
      <c r="IJ8" s="2798"/>
      <c r="IK8" s="2811"/>
      <c r="IL8" s="3303"/>
      <c r="IM8" s="3303"/>
      <c r="IN8" s="3303"/>
      <c r="IO8" s="3303"/>
      <c r="IP8" s="3303"/>
      <c r="IQ8" s="3303"/>
      <c r="IR8" s="3303"/>
      <c r="IS8" s="5467"/>
      <c r="IT8" s="5467"/>
      <c r="IU8" s="5448"/>
      <c r="IV8" s="3285"/>
      <c r="IW8" s="3285"/>
      <c r="IX8" s="3285"/>
      <c r="IY8" s="3286"/>
      <c r="IZ8" s="3287"/>
      <c r="JA8" s="3764"/>
      <c r="JC8" s="3285"/>
      <c r="JD8" s="2723"/>
      <c r="JE8" s="2723"/>
      <c r="JF8" s="2723"/>
      <c r="JG8" s="2723"/>
      <c r="JH8" s="2723"/>
      <c r="JI8" s="3262"/>
      <c r="JJ8" s="2723"/>
      <c r="JK8" s="2723"/>
      <c r="JL8" s="2723"/>
      <c r="JM8" s="2723"/>
      <c r="JN8" s="2723"/>
      <c r="JO8" s="2723"/>
      <c r="JP8" s="2723"/>
      <c r="JQ8" s="2723"/>
      <c r="JS8" s="2723"/>
      <c r="JT8" s="2723"/>
      <c r="JU8" s="2723"/>
      <c r="JV8" s="2723"/>
      <c r="JW8" s="2723"/>
      <c r="JX8" s="2723"/>
      <c r="JY8" s="2723"/>
      <c r="JZ8" s="2723"/>
      <c r="KA8" s="2723"/>
      <c r="KB8" s="2723"/>
      <c r="KC8" s="2723"/>
      <c r="KD8" s="2723"/>
      <c r="KE8" s="2723"/>
      <c r="KF8" s="2723"/>
      <c r="KG8" s="2723"/>
      <c r="KH8" s="2723"/>
      <c r="KI8" s="2723"/>
      <c r="KJ8" s="2723"/>
      <c r="KK8" s="2723"/>
      <c r="KL8" s="2723"/>
      <c r="KM8" s="2723"/>
      <c r="KN8" s="2723"/>
      <c r="KO8" s="2723"/>
    </row>
    <row r="9" spans="1:301" ht="21" hidden="1" customHeight="1">
      <c r="A9" s="2723"/>
      <c r="B9" s="2723"/>
      <c r="C9" s="3288"/>
      <c r="D9" s="3304" t="s">
        <v>36</v>
      </c>
      <c r="E9" s="3305" t="s">
        <v>37</v>
      </c>
      <c r="F9" s="3305" t="s">
        <v>38</v>
      </c>
      <c r="G9" s="3305" t="s">
        <v>39</v>
      </c>
      <c r="H9" s="3305" t="s">
        <v>40</v>
      </c>
      <c r="I9" s="3305" t="s">
        <v>41</v>
      </c>
      <c r="J9" s="3305" t="s">
        <v>42</v>
      </c>
      <c r="K9" s="3305" t="s">
        <v>43</v>
      </c>
      <c r="L9" s="3305" t="s">
        <v>44</v>
      </c>
      <c r="M9" s="3305" t="s">
        <v>45</v>
      </c>
      <c r="N9" s="3305" t="s">
        <v>46</v>
      </c>
      <c r="O9" s="3306" t="s">
        <v>47</v>
      </c>
      <c r="P9" s="3307" t="s">
        <v>36</v>
      </c>
      <c r="Q9" s="3305" t="s">
        <v>37</v>
      </c>
      <c r="R9" s="3305" t="s">
        <v>38</v>
      </c>
      <c r="S9" s="3305" t="s">
        <v>39</v>
      </c>
      <c r="T9" s="3305" t="s">
        <v>40</v>
      </c>
      <c r="U9" s="3305" t="s">
        <v>41</v>
      </c>
      <c r="V9" s="3305" t="s">
        <v>42</v>
      </c>
      <c r="W9" s="3305" t="s">
        <v>43</v>
      </c>
      <c r="X9" s="3305" t="s">
        <v>44</v>
      </c>
      <c r="Y9" s="3305" t="s">
        <v>45</v>
      </c>
      <c r="Z9" s="3305" t="s">
        <v>46</v>
      </c>
      <c r="AA9" s="3306" t="s">
        <v>47</v>
      </c>
      <c r="AB9" s="3308" t="s">
        <v>36</v>
      </c>
      <c r="AC9" s="3309" t="s">
        <v>37</v>
      </c>
      <c r="AD9" s="3309" t="s">
        <v>38</v>
      </c>
      <c r="AE9" s="3309" t="s">
        <v>39</v>
      </c>
      <c r="AF9" s="3309" t="s">
        <v>40</v>
      </c>
      <c r="AG9" s="3309" t="s">
        <v>41</v>
      </c>
      <c r="AH9" s="3309" t="s">
        <v>42</v>
      </c>
      <c r="AI9" s="3309" t="s">
        <v>43</v>
      </c>
      <c r="AJ9" s="3309" t="s">
        <v>44</v>
      </c>
      <c r="AK9" s="3309" t="s">
        <v>45</v>
      </c>
      <c r="AL9" s="3309" t="s">
        <v>46</v>
      </c>
      <c r="AM9" s="3309" t="s">
        <v>47</v>
      </c>
      <c r="AN9" s="3309" t="s">
        <v>36</v>
      </c>
      <c r="AO9" s="3309" t="s">
        <v>37</v>
      </c>
      <c r="AP9" s="3309" t="s">
        <v>38</v>
      </c>
      <c r="AQ9" s="3309" t="s">
        <v>39</v>
      </c>
      <c r="AR9" s="3309" t="s">
        <v>40</v>
      </c>
      <c r="AS9" s="3309" t="s">
        <v>41</v>
      </c>
      <c r="AT9" s="3309" t="s">
        <v>42</v>
      </c>
      <c r="AU9" s="3309" t="s">
        <v>43</v>
      </c>
      <c r="AV9" s="3309" t="s">
        <v>44</v>
      </c>
      <c r="AW9" s="3309" t="s">
        <v>45</v>
      </c>
      <c r="AX9" s="3309" t="s">
        <v>46</v>
      </c>
      <c r="AY9" s="3310" t="s">
        <v>47</v>
      </c>
      <c r="AZ9" s="3311" t="s">
        <v>36</v>
      </c>
      <c r="BA9" s="3312" t="s">
        <v>37</v>
      </c>
      <c r="BB9" s="3312" t="s">
        <v>38</v>
      </c>
      <c r="BC9" s="3312" t="s">
        <v>39</v>
      </c>
      <c r="BD9" s="3312" t="s">
        <v>40</v>
      </c>
      <c r="BE9" s="3312" t="s">
        <v>41</v>
      </c>
      <c r="BF9" s="3312" t="s">
        <v>42</v>
      </c>
      <c r="BG9" s="3312" t="s">
        <v>43</v>
      </c>
      <c r="BH9" s="3312" t="s">
        <v>44</v>
      </c>
      <c r="BI9" s="3312" t="s">
        <v>45</v>
      </c>
      <c r="BJ9" s="3312" t="s">
        <v>46</v>
      </c>
      <c r="BK9" s="3313" t="s">
        <v>47</v>
      </c>
      <c r="BL9" s="3314" t="s">
        <v>36</v>
      </c>
      <c r="BM9" s="3315" t="s">
        <v>37</v>
      </c>
      <c r="BN9" s="3315" t="s">
        <v>38</v>
      </c>
      <c r="BO9" s="3315" t="s">
        <v>39</v>
      </c>
      <c r="BP9" s="3315" t="s">
        <v>40</v>
      </c>
      <c r="BQ9" s="3315" t="s">
        <v>41</v>
      </c>
      <c r="BR9" s="3315" t="s">
        <v>42</v>
      </c>
      <c r="BS9" s="3315" t="s">
        <v>43</v>
      </c>
      <c r="BT9" s="3316" t="s">
        <v>44</v>
      </c>
      <c r="BU9" s="3316" t="s">
        <v>45</v>
      </c>
      <c r="BV9" s="3316" t="s">
        <v>46</v>
      </c>
      <c r="BW9" s="3315" t="s">
        <v>47</v>
      </c>
      <c r="BX9" s="3317" t="s">
        <v>36</v>
      </c>
      <c r="BY9" s="3318" t="s">
        <v>37</v>
      </c>
      <c r="BZ9" s="3318" t="s">
        <v>38</v>
      </c>
      <c r="CA9" s="3318" t="s">
        <v>39</v>
      </c>
      <c r="CB9" s="3318" t="s">
        <v>40</v>
      </c>
      <c r="CC9" s="3318" t="s">
        <v>41</v>
      </c>
      <c r="CD9" s="3318" t="s">
        <v>42</v>
      </c>
      <c r="CE9" s="3318" t="s">
        <v>43</v>
      </c>
      <c r="CF9" s="3318" t="s">
        <v>44</v>
      </c>
      <c r="CG9" s="3318" t="s">
        <v>45</v>
      </c>
      <c r="CH9" s="3318" t="s">
        <v>46</v>
      </c>
      <c r="CI9" s="3318" t="s">
        <v>47</v>
      </c>
      <c r="CJ9" s="3319" t="s">
        <v>36</v>
      </c>
      <c r="CK9" s="3309" t="s">
        <v>37</v>
      </c>
      <c r="CL9" s="3309" t="s">
        <v>38</v>
      </c>
      <c r="CM9" s="3309" t="s">
        <v>39</v>
      </c>
      <c r="CN9" s="3309" t="s">
        <v>40</v>
      </c>
      <c r="CO9" s="3309" t="s">
        <v>41</v>
      </c>
      <c r="CP9" s="3309" t="s">
        <v>42</v>
      </c>
      <c r="CQ9" s="3309" t="s">
        <v>43</v>
      </c>
      <c r="CR9" s="3309" t="s">
        <v>44</v>
      </c>
      <c r="CS9" s="3309" t="s">
        <v>45</v>
      </c>
      <c r="CT9" s="3309" t="s">
        <v>46</v>
      </c>
      <c r="CU9" s="3320" t="s">
        <v>47</v>
      </c>
      <c r="CV9" s="3318" t="s">
        <v>36</v>
      </c>
      <c r="CW9" s="3318" t="s">
        <v>37</v>
      </c>
      <c r="CX9" s="3318" t="s">
        <v>38</v>
      </c>
      <c r="CY9" s="3318" t="s">
        <v>39</v>
      </c>
      <c r="CZ9" s="3318" t="s">
        <v>40</v>
      </c>
      <c r="DA9" s="3318" t="s">
        <v>41</v>
      </c>
      <c r="DB9" s="3318" t="s">
        <v>42</v>
      </c>
      <c r="DC9" s="3318" t="s">
        <v>43</v>
      </c>
      <c r="DD9" s="3318" t="s">
        <v>44</v>
      </c>
      <c r="DE9" s="3318" t="s">
        <v>45</v>
      </c>
      <c r="DF9" s="3318"/>
      <c r="DG9" s="3318"/>
      <c r="DH9" s="2683" t="s">
        <v>36</v>
      </c>
      <c r="DI9" s="2683" t="s">
        <v>37</v>
      </c>
      <c r="DJ9" s="2683" t="s">
        <v>38</v>
      </c>
      <c r="DK9" s="2683" t="s">
        <v>39</v>
      </c>
      <c r="DL9" s="2683" t="s">
        <v>40</v>
      </c>
      <c r="DM9" s="2683" t="s">
        <v>41</v>
      </c>
      <c r="DN9" s="2683" t="s">
        <v>42</v>
      </c>
      <c r="DO9" s="2683" t="s">
        <v>43</v>
      </c>
      <c r="DP9" s="2683" t="s">
        <v>183</v>
      </c>
      <c r="DQ9" s="2683" t="s">
        <v>45</v>
      </c>
      <c r="DR9" s="2683" t="s">
        <v>46</v>
      </c>
      <c r="DS9" s="2683" t="s">
        <v>47</v>
      </c>
      <c r="DT9" s="2684" t="s">
        <v>36</v>
      </c>
      <c r="DU9" s="2684" t="s">
        <v>37</v>
      </c>
      <c r="DV9" s="2684" t="s">
        <v>38</v>
      </c>
      <c r="DW9" s="2684" t="s">
        <v>39</v>
      </c>
      <c r="DX9" s="2684" t="s">
        <v>40</v>
      </c>
      <c r="DY9" s="2684" t="s">
        <v>41</v>
      </c>
      <c r="DZ9" s="2685"/>
      <c r="EA9" s="2685"/>
      <c r="EB9" s="2685"/>
      <c r="EC9" s="2685"/>
      <c r="ED9" s="2685"/>
      <c r="EE9" s="2685"/>
      <c r="EF9" s="2684" t="s">
        <v>36</v>
      </c>
      <c r="EG9" s="2684" t="s">
        <v>37</v>
      </c>
      <c r="EH9" s="2684" t="s">
        <v>38</v>
      </c>
      <c r="EI9" s="2684" t="s">
        <v>39</v>
      </c>
      <c r="EJ9" s="2684" t="s">
        <v>40</v>
      </c>
      <c r="EK9" s="2684" t="s">
        <v>41</v>
      </c>
      <c r="EL9" s="2685"/>
      <c r="EM9" s="2685"/>
      <c r="EN9" s="2685"/>
      <c r="EO9" s="2685"/>
      <c r="EP9" s="2685"/>
      <c r="EQ9" s="2685"/>
      <c r="ER9" s="2684" t="s">
        <v>36</v>
      </c>
      <c r="ES9" s="2684" t="s">
        <v>37</v>
      </c>
      <c r="ET9" s="2684" t="s">
        <v>38</v>
      </c>
      <c r="EU9" s="2684" t="s">
        <v>39</v>
      </c>
      <c r="EV9" s="2684" t="s">
        <v>40</v>
      </c>
      <c r="EW9" s="2684" t="s">
        <v>41</v>
      </c>
      <c r="EX9" s="2685"/>
      <c r="EY9" s="2685"/>
      <c r="EZ9" s="2685"/>
      <c r="FA9" s="2685"/>
      <c r="FB9" s="2685"/>
      <c r="FC9" s="2685"/>
      <c r="FD9" s="2812"/>
      <c r="FE9" s="2812"/>
      <c r="FF9" s="2812"/>
      <c r="FG9" s="2812"/>
      <c r="FH9" s="2812"/>
      <c r="FI9" s="2812"/>
      <c r="FJ9" s="2812"/>
      <c r="FK9" s="2812"/>
      <c r="FL9" s="2812"/>
      <c r="FM9" s="2812"/>
      <c r="FN9" s="2812"/>
      <c r="FO9" s="2812"/>
      <c r="FP9" s="2813"/>
      <c r="FQ9" s="2812"/>
      <c r="FR9" s="2812"/>
      <c r="FS9" s="2812"/>
      <c r="FT9" s="2812"/>
      <c r="FU9" s="2812"/>
      <c r="FV9" s="2812"/>
      <c r="FW9" s="2812"/>
      <c r="FX9" s="2812"/>
      <c r="FY9" s="2812"/>
      <c r="FZ9" s="2812"/>
      <c r="GA9" s="2812"/>
      <c r="GB9" s="2749"/>
      <c r="GC9" s="2726"/>
      <c r="GD9" s="2814" t="s">
        <v>167</v>
      </c>
      <c r="GE9" s="2815" t="s">
        <v>453</v>
      </c>
      <c r="GF9" s="2815" t="s">
        <v>454</v>
      </c>
      <c r="GG9" s="2816" t="s">
        <v>455</v>
      </c>
      <c r="GH9" s="2814" t="s">
        <v>167</v>
      </c>
      <c r="GI9" s="2815" t="s">
        <v>453</v>
      </c>
      <c r="GJ9" s="2815" t="s">
        <v>454</v>
      </c>
      <c r="GK9" s="2816" t="s">
        <v>455</v>
      </c>
      <c r="GL9" s="2817" t="s">
        <v>167</v>
      </c>
      <c r="GM9" s="2818" t="s">
        <v>453</v>
      </c>
      <c r="GN9" s="2818" t="s">
        <v>456</v>
      </c>
      <c r="GO9" s="2818" t="s">
        <v>457</v>
      </c>
      <c r="GP9" s="2819" t="s">
        <v>167</v>
      </c>
      <c r="GQ9" s="2820" t="s">
        <v>458</v>
      </c>
      <c r="GR9" s="2820" t="s">
        <v>459</v>
      </c>
      <c r="GS9" s="2821" t="s">
        <v>455</v>
      </c>
      <c r="GT9" s="2822" t="s">
        <v>167</v>
      </c>
      <c r="GU9" s="2823" t="s">
        <v>453</v>
      </c>
      <c r="GV9" s="2823" t="s">
        <v>456</v>
      </c>
      <c r="GW9" s="2824" t="s">
        <v>457</v>
      </c>
      <c r="GX9" s="2789" t="s">
        <v>167</v>
      </c>
      <c r="GY9" s="2789" t="s">
        <v>453</v>
      </c>
      <c r="GZ9" s="2789" t="s">
        <v>456</v>
      </c>
      <c r="HA9" s="2789" t="s">
        <v>457</v>
      </c>
      <c r="HB9" s="2789" t="s">
        <v>167</v>
      </c>
      <c r="HC9" s="2789" t="s">
        <v>453</v>
      </c>
      <c r="HD9" s="2789" t="s">
        <v>456</v>
      </c>
      <c r="HE9" s="2789" t="s">
        <v>457</v>
      </c>
      <c r="HF9" s="2789" t="s">
        <v>167</v>
      </c>
      <c r="HG9" s="2789" t="s">
        <v>453</v>
      </c>
      <c r="HH9" s="2789" t="s">
        <v>456</v>
      </c>
      <c r="HI9" s="2789" t="s">
        <v>457</v>
      </c>
      <c r="HJ9" s="2789" t="s">
        <v>167</v>
      </c>
      <c r="HK9" s="2789" t="s">
        <v>453</v>
      </c>
      <c r="HL9" s="2789" t="s">
        <v>456</v>
      </c>
      <c r="HM9" s="2792" t="s">
        <v>167</v>
      </c>
      <c r="HN9" s="2792" t="s">
        <v>453</v>
      </c>
      <c r="HO9" s="2792" t="s">
        <v>456</v>
      </c>
      <c r="HP9" s="2792" t="s">
        <v>457</v>
      </c>
      <c r="HQ9" s="2825" t="s">
        <v>167</v>
      </c>
      <c r="HR9" s="2792" t="s">
        <v>453</v>
      </c>
      <c r="HS9" s="2727"/>
      <c r="HT9" s="2726"/>
      <c r="HU9" s="2789"/>
      <c r="HV9" s="2789"/>
      <c r="HW9" s="2789"/>
      <c r="HX9" s="2789"/>
      <c r="HY9" s="2789"/>
      <c r="HZ9" s="2789"/>
      <c r="IA9" s="2789"/>
      <c r="IB9" s="2789"/>
      <c r="IC9" s="2789"/>
      <c r="ID9" s="2789"/>
      <c r="IE9" s="2789"/>
      <c r="IF9" s="2789"/>
      <c r="IG9" s="2789"/>
      <c r="IH9" s="2789"/>
      <c r="II9" s="2789"/>
      <c r="IJ9" s="2789"/>
      <c r="IK9" s="2811" t="s">
        <v>48</v>
      </c>
      <c r="IL9" s="3321" t="s">
        <v>48</v>
      </c>
      <c r="IM9" s="3321" t="s">
        <v>48</v>
      </c>
      <c r="IN9" s="3321" t="s">
        <v>48</v>
      </c>
      <c r="IO9" s="3321" t="s">
        <v>48</v>
      </c>
      <c r="IP9" s="3321" t="s">
        <v>48</v>
      </c>
      <c r="IQ9" s="3321" t="s">
        <v>48</v>
      </c>
      <c r="IR9" s="3321" t="s">
        <v>48</v>
      </c>
      <c r="IS9" s="5467"/>
      <c r="IT9" s="5467" t="s">
        <v>48</v>
      </c>
      <c r="IU9" s="5449"/>
      <c r="IV9" s="3285"/>
      <c r="IW9" s="3285"/>
      <c r="IX9" s="3285"/>
      <c r="IY9" s="3286"/>
      <c r="IZ9" s="3287"/>
      <c r="JA9" s="3764"/>
      <c r="JC9" s="3285"/>
      <c r="JD9" s="2723"/>
      <c r="JE9" s="2723"/>
      <c r="JF9" s="2723"/>
      <c r="JG9" s="2723"/>
      <c r="JH9" s="2723"/>
      <c r="JI9" s="3262"/>
      <c r="JJ9" s="2723"/>
      <c r="JK9" s="2723"/>
      <c r="JL9" s="2723"/>
      <c r="JM9" s="2723"/>
      <c r="JN9" s="2723"/>
      <c r="JO9" s="2723"/>
      <c r="JP9" s="2723"/>
      <c r="JQ9" s="2723"/>
      <c r="JS9" s="2723"/>
      <c r="JT9" s="2723"/>
      <c r="JU9" s="2723"/>
      <c r="JV9" s="2723"/>
      <c r="JW9" s="2723"/>
      <c r="JX9" s="2723"/>
      <c r="JY9" s="2723"/>
      <c r="JZ9" s="2723"/>
      <c r="KA9" s="2723"/>
      <c r="KB9" s="2723"/>
      <c r="KC9" s="2723"/>
      <c r="KD9" s="2723"/>
      <c r="KE9" s="2723"/>
      <c r="KF9" s="2723"/>
      <c r="KG9" s="2723"/>
      <c r="KH9" s="2723"/>
      <c r="KI9" s="2723"/>
      <c r="KJ9" s="2723"/>
      <c r="KK9" s="2723"/>
      <c r="KL9" s="2723"/>
      <c r="KM9" s="2723"/>
      <c r="KN9" s="2723"/>
      <c r="KO9" s="2723"/>
    </row>
    <row r="10" spans="1:301" ht="21.9" hidden="1" customHeight="1">
      <c r="A10" s="2723"/>
      <c r="B10" s="3231"/>
      <c r="C10" s="3322" t="s">
        <v>460</v>
      </c>
      <c r="D10" s="3323">
        <v>4125</v>
      </c>
      <c r="E10" s="3324">
        <v>5109</v>
      </c>
      <c r="F10" s="3324">
        <v>3995</v>
      </c>
      <c r="G10" s="3324">
        <v>3559</v>
      </c>
      <c r="H10" s="3324">
        <v>4084</v>
      </c>
      <c r="I10" s="3324">
        <v>7256</v>
      </c>
      <c r="J10" s="3324">
        <v>7516</v>
      </c>
      <c r="K10" s="3324">
        <v>5818</v>
      </c>
      <c r="L10" s="3324">
        <v>4173</v>
      </c>
      <c r="M10" s="3324">
        <v>3257</v>
      </c>
      <c r="N10" s="3324">
        <v>4570</v>
      </c>
      <c r="O10" s="3325">
        <v>5712</v>
      </c>
      <c r="P10" s="3326">
        <v>3653</v>
      </c>
      <c r="Q10" s="3327">
        <v>4175</v>
      </c>
      <c r="R10" s="3327">
        <v>2857</v>
      </c>
      <c r="S10" s="3327">
        <v>1942</v>
      </c>
      <c r="T10" s="3327">
        <v>2424</v>
      </c>
      <c r="U10" s="3327">
        <v>3478</v>
      </c>
      <c r="V10" s="3327">
        <v>2812</v>
      </c>
      <c r="W10" s="3327">
        <v>2074</v>
      </c>
      <c r="X10" s="3327">
        <v>1182</v>
      </c>
      <c r="Y10" s="3327">
        <v>1427</v>
      </c>
      <c r="Z10" s="3327">
        <v>1712</v>
      </c>
      <c r="AA10" s="3328">
        <v>2004</v>
      </c>
      <c r="AB10" s="3329">
        <v>1619</v>
      </c>
      <c r="AC10" s="3330">
        <v>2092</v>
      </c>
      <c r="AD10" s="3330">
        <v>1575</v>
      </c>
      <c r="AE10" s="3330">
        <v>1177</v>
      </c>
      <c r="AF10" s="3330">
        <v>2237</v>
      </c>
      <c r="AG10" s="3330">
        <v>3296</v>
      </c>
      <c r="AH10" s="3330">
        <v>3158</v>
      </c>
      <c r="AI10" s="3330">
        <v>4901</v>
      </c>
      <c r="AJ10" s="3330">
        <v>3664</v>
      </c>
      <c r="AK10" s="3330">
        <v>3532</v>
      </c>
      <c r="AL10" s="3330">
        <v>4094</v>
      </c>
      <c r="AM10" s="3330">
        <v>5688</v>
      </c>
      <c r="AN10" s="3331">
        <v>4126</v>
      </c>
      <c r="AO10" s="3331">
        <v>4096</v>
      </c>
      <c r="AP10" s="3331">
        <v>3069</v>
      </c>
      <c r="AQ10" s="3331">
        <v>2441</v>
      </c>
      <c r="AR10" s="3331">
        <v>3614</v>
      </c>
      <c r="AS10" s="3331">
        <v>4973</v>
      </c>
      <c r="AT10" s="3331">
        <v>3726</v>
      </c>
      <c r="AU10" s="3331">
        <v>4284</v>
      </c>
      <c r="AV10" s="3331">
        <v>4206</v>
      </c>
      <c r="AW10" s="3331">
        <v>3205</v>
      </c>
      <c r="AX10" s="3331">
        <v>3757</v>
      </c>
      <c r="AY10" s="3332">
        <v>4309</v>
      </c>
      <c r="AZ10" s="3333">
        <v>3744</v>
      </c>
      <c r="BA10" s="3334">
        <v>4035</v>
      </c>
      <c r="BB10" s="3334">
        <v>3052</v>
      </c>
      <c r="BC10" s="3334">
        <v>2818</v>
      </c>
      <c r="BD10" s="3334">
        <v>2629</v>
      </c>
      <c r="BE10" s="3334">
        <v>4974</v>
      </c>
      <c r="BF10" s="3334">
        <v>3543</v>
      </c>
      <c r="BG10" s="3334">
        <v>3098</v>
      </c>
      <c r="BH10" s="3334">
        <v>2495</v>
      </c>
      <c r="BI10" s="3334">
        <v>2223</v>
      </c>
      <c r="BJ10" s="3334">
        <v>2836</v>
      </c>
      <c r="BK10" s="3335">
        <v>3329</v>
      </c>
      <c r="BL10" s="3336">
        <v>5325</v>
      </c>
      <c r="BM10" s="3337">
        <v>3242</v>
      </c>
      <c r="BN10" s="3337">
        <v>2313</v>
      </c>
      <c r="BO10" s="3337">
        <v>1550</v>
      </c>
      <c r="BP10" s="3337">
        <v>1783</v>
      </c>
      <c r="BQ10" s="3337">
        <v>2956</v>
      </c>
      <c r="BR10" s="3337">
        <v>2188</v>
      </c>
      <c r="BS10" s="3337">
        <v>1977</v>
      </c>
      <c r="BT10" s="3338">
        <v>1675</v>
      </c>
      <c r="BU10" s="3338">
        <v>1300</v>
      </c>
      <c r="BV10" s="3338">
        <v>2993</v>
      </c>
      <c r="BW10" s="3339">
        <v>5640</v>
      </c>
      <c r="BX10" s="3340">
        <v>3618</v>
      </c>
      <c r="BY10" s="3341">
        <v>3340</v>
      </c>
      <c r="BZ10" s="3341">
        <v>2667</v>
      </c>
      <c r="CA10" s="3341">
        <v>2436</v>
      </c>
      <c r="CB10" s="3341">
        <v>3369</v>
      </c>
      <c r="CC10" s="3341">
        <v>5607</v>
      </c>
      <c r="CD10" s="3341">
        <v>3901</v>
      </c>
      <c r="CE10" s="3341">
        <v>3792</v>
      </c>
      <c r="CF10" s="3341">
        <v>3812</v>
      </c>
      <c r="CG10" s="3341">
        <v>3101</v>
      </c>
      <c r="CH10" s="3341">
        <v>3939</v>
      </c>
      <c r="CI10" s="3342">
        <v>7349</v>
      </c>
      <c r="CJ10" s="3343">
        <v>3947</v>
      </c>
      <c r="CK10" s="3344">
        <v>4481</v>
      </c>
      <c r="CL10" s="3344">
        <v>3791</v>
      </c>
      <c r="CM10" s="3344">
        <v>3116</v>
      </c>
      <c r="CN10" s="3344">
        <v>3597</v>
      </c>
      <c r="CO10" s="3344">
        <v>3912</v>
      </c>
      <c r="CP10" s="3344">
        <v>5548</v>
      </c>
      <c r="CQ10" s="3344">
        <v>3826</v>
      </c>
      <c r="CR10" s="3344">
        <v>3484</v>
      </c>
      <c r="CS10" s="3344">
        <v>4113</v>
      </c>
      <c r="CT10" s="3344">
        <v>4509</v>
      </c>
      <c r="CU10" s="3345">
        <v>9532</v>
      </c>
      <c r="CV10" s="3346">
        <v>4858</v>
      </c>
      <c r="CW10" s="3341">
        <v>5146</v>
      </c>
      <c r="CX10" s="3342">
        <v>4036</v>
      </c>
      <c r="CY10" s="3342">
        <v>3546</v>
      </c>
      <c r="CZ10" s="3342">
        <v>4120</v>
      </c>
      <c r="DA10" s="3342">
        <v>7490</v>
      </c>
      <c r="DB10" s="3342">
        <v>7418</v>
      </c>
      <c r="DC10" s="3342">
        <v>4723</v>
      </c>
      <c r="DD10" s="3347">
        <v>4463</v>
      </c>
      <c r="DE10" s="3342">
        <v>4758</v>
      </c>
      <c r="DF10" s="3334"/>
      <c r="DG10" s="3334"/>
      <c r="DH10" s="3348">
        <v>5764</v>
      </c>
      <c r="DI10" s="3349">
        <v>5469</v>
      </c>
      <c r="DJ10" s="3349">
        <v>4902</v>
      </c>
      <c r="DK10" s="3350">
        <v>3816</v>
      </c>
      <c r="DL10" s="3350">
        <v>4385</v>
      </c>
      <c r="DM10" s="3350">
        <v>7671</v>
      </c>
      <c r="DN10" s="3350">
        <v>7438</v>
      </c>
      <c r="DO10" s="3350">
        <v>5209</v>
      </c>
      <c r="DP10" s="3350">
        <v>5845</v>
      </c>
      <c r="DQ10" s="3350">
        <v>7124</v>
      </c>
      <c r="DR10" s="3350">
        <v>8072</v>
      </c>
      <c r="DS10" s="3349">
        <v>18166</v>
      </c>
      <c r="DT10" s="3351">
        <v>8336</v>
      </c>
      <c r="DU10" s="3351">
        <v>9615</v>
      </c>
      <c r="DV10" s="3351">
        <v>8820</v>
      </c>
      <c r="DW10" s="3351">
        <v>8980</v>
      </c>
      <c r="DX10" s="3351">
        <v>8939</v>
      </c>
      <c r="DY10" s="3351">
        <v>14372</v>
      </c>
      <c r="DZ10" s="3352"/>
      <c r="EA10" s="3352"/>
      <c r="EB10" s="3352"/>
      <c r="EC10" s="3352"/>
      <c r="ED10" s="3352"/>
      <c r="EE10" s="3352"/>
      <c r="EF10" s="3351">
        <v>8336</v>
      </c>
      <c r="EG10" s="3351">
        <v>9615</v>
      </c>
      <c r="EH10" s="3351">
        <v>8820</v>
      </c>
      <c r="EI10" s="3351">
        <v>8980</v>
      </c>
      <c r="EJ10" s="3351">
        <v>8939</v>
      </c>
      <c r="EK10" s="3351">
        <v>14372</v>
      </c>
      <c r="EL10" s="3352"/>
      <c r="EM10" s="3352"/>
      <c r="EN10" s="3352"/>
      <c r="EO10" s="3352"/>
      <c r="EP10" s="3352"/>
      <c r="EQ10" s="3352"/>
      <c r="ER10" s="3351">
        <v>8336</v>
      </c>
      <c r="ES10" s="3351">
        <v>9615</v>
      </c>
      <c r="ET10" s="3351">
        <v>8820</v>
      </c>
      <c r="EU10" s="3351">
        <v>8980</v>
      </c>
      <c r="EV10" s="3351">
        <v>8939</v>
      </c>
      <c r="EW10" s="3351">
        <v>14372</v>
      </c>
      <c r="EX10" s="3352"/>
      <c r="EY10" s="3352"/>
      <c r="EZ10" s="3352"/>
      <c r="FA10" s="3352"/>
      <c r="FB10" s="3352"/>
      <c r="FC10" s="3352"/>
      <c r="FD10" s="2826"/>
      <c r="FE10" s="2826"/>
      <c r="FF10" s="2826"/>
      <c r="FG10" s="2826"/>
      <c r="FH10" s="2826"/>
      <c r="FI10" s="2826"/>
      <c r="FJ10" s="2826"/>
      <c r="FK10" s="2826"/>
      <c r="FL10" s="2826"/>
      <c r="FM10" s="2826"/>
      <c r="FN10" s="2826"/>
      <c r="FO10" s="2826"/>
      <c r="FP10" s="2827"/>
      <c r="FQ10" s="2826"/>
      <c r="FR10" s="2826"/>
      <c r="FS10" s="2826"/>
      <c r="FT10" s="2826"/>
      <c r="FU10" s="2826"/>
      <c r="FV10" s="2826"/>
      <c r="FW10" s="2826"/>
      <c r="FX10" s="2826"/>
      <c r="FY10" s="2826"/>
      <c r="FZ10" s="2826"/>
      <c r="GA10" s="2826"/>
      <c r="GB10" s="2752"/>
      <c r="GC10" s="2726"/>
      <c r="GD10" s="2828">
        <v>13229</v>
      </c>
      <c r="GE10" s="2829">
        <v>14899</v>
      </c>
      <c r="GF10" s="2829">
        <v>17507</v>
      </c>
      <c r="GG10" s="2830">
        <v>13539</v>
      </c>
      <c r="GH10" s="2831">
        <v>10685</v>
      </c>
      <c r="GI10" s="2832">
        <v>7844</v>
      </c>
      <c r="GJ10" s="2832">
        <v>6068</v>
      </c>
      <c r="GK10" s="2833">
        <v>5143</v>
      </c>
      <c r="GL10" s="2834">
        <v>5286</v>
      </c>
      <c r="GM10" s="2835">
        <v>6710</v>
      </c>
      <c r="GN10" s="2836">
        <v>11723</v>
      </c>
      <c r="GO10" s="2836">
        <v>13314</v>
      </c>
      <c r="GP10" s="2837">
        <v>11291</v>
      </c>
      <c r="GQ10" s="2838">
        <v>11028</v>
      </c>
      <c r="GR10" s="2838">
        <v>12216</v>
      </c>
      <c r="GS10" s="2839">
        <v>11271</v>
      </c>
      <c r="GT10" s="2840">
        <v>10831</v>
      </c>
      <c r="GU10" s="2841">
        <v>10421</v>
      </c>
      <c r="GV10" s="2841">
        <v>9136</v>
      </c>
      <c r="GW10" s="2842">
        <v>8388</v>
      </c>
      <c r="GX10" s="2838">
        <v>10880</v>
      </c>
      <c r="GY10" s="2838">
        <v>6289</v>
      </c>
      <c r="GZ10" s="2838">
        <v>5840</v>
      </c>
      <c r="HA10" s="2838">
        <v>9933</v>
      </c>
      <c r="HB10" s="2843">
        <v>9625</v>
      </c>
      <c r="HC10" s="2843">
        <v>11412</v>
      </c>
      <c r="HD10" s="2843">
        <v>11505</v>
      </c>
      <c r="HE10" s="2843">
        <v>14389</v>
      </c>
      <c r="HF10" s="2844">
        <v>12219</v>
      </c>
      <c r="HG10" s="2844">
        <v>10625</v>
      </c>
      <c r="HH10" s="2844">
        <v>13487</v>
      </c>
      <c r="HI10" s="2844">
        <v>18154</v>
      </c>
      <c r="HJ10" s="2845">
        <v>14040</v>
      </c>
      <c r="HK10" s="2845">
        <v>12424</v>
      </c>
      <c r="HL10" s="2845">
        <v>16899</v>
      </c>
      <c r="HM10" s="2846">
        <f>+DH10+DI10+DJ10</f>
        <v>16135</v>
      </c>
      <c r="HN10" s="2846">
        <f>+DM10+DL10+DK10</f>
        <v>15872</v>
      </c>
      <c r="HO10" s="2846">
        <f>+DP10+DO10+DN10</f>
        <v>18492</v>
      </c>
      <c r="HP10" s="2846">
        <f>+DQ10+DR10+DS10</f>
        <v>33362</v>
      </c>
      <c r="HQ10" s="2847">
        <f>+DT10+DU10+DV10</f>
        <v>26771</v>
      </c>
      <c r="HR10" s="2847">
        <f>+DW10+DX10+DY10</f>
        <v>32291</v>
      </c>
      <c r="HS10" s="2727"/>
      <c r="HT10" s="2726"/>
      <c r="HU10" s="2838"/>
      <c r="HV10" s="2843"/>
      <c r="HW10" s="2843"/>
      <c r="HX10" s="2843"/>
      <c r="HY10" s="2838"/>
      <c r="HZ10" s="2843"/>
      <c r="IA10" s="2843"/>
      <c r="IB10" s="2843"/>
      <c r="IC10" s="2843"/>
      <c r="ID10" s="2843"/>
      <c r="IE10" s="2843"/>
      <c r="IF10" s="2843"/>
      <c r="IG10" s="2843"/>
      <c r="IH10" s="2843"/>
      <c r="II10" s="2843"/>
      <c r="IJ10" s="2843"/>
      <c r="IK10" s="2848">
        <v>59174</v>
      </c>
      <c r="IL10" s="3353">
        <v>29740</v>
      </c>
      <c r="IM10" s="3353">
        <v>37033</v>
      </c>
      <c r="IN10" s="3353">
        <v>45806</v>
      </c>
      <c r="IO10" s="3353">
        <v>38776</v>
      </c>
      <c r="IP10" s="3353">
        <v>32942</v>
      </c>
      <c r="IQ10" s="3353">
        <v>46931</v>
      </c>
      <c r="IR10" s="3353">
        <v>53856</v>
      </c>
      <c r="IS10" s="3354">
        <v>64599</v>
      </c>
      <c r="IT10" s="3354">
        <f>SUM(DI10:DT10)</f>
        <v>86433</v>
      </c>
      <c r="IU10" s="3355">
        <f>SUM(DO10:EE10)</f>
        <v>103478</v>
      </c>
      <c r="IV10" s="3285"/>
      <c r="IW10" s="3285"/>
      <c r="IX10" s="3285"/>
      <c r="IY10" s="3286"/>
      <c r="IZ10" s="3287"/>
      <c r="JA10" s="3764"/>
      <c r="JC10" s="3285"/>
      <c r="JD10" s="3231"/>
      <c r="JE10" s="3231"/>
      <c r="JF10" s="3231"/>
      <c r="JG10" s="3231"/>
      <c r="JH10" s="2723"/>
      <c r="JI10" s="3262"/>
      <c r="JJ10" s="2723"/>
      <c r="JK10" s="2723"/>
      <c r="JL10" s="2723"/>
      <c r="JM10" s="2723"/>
      <c r="JN10" s="2723"/>
      <c r="JO10" s="2723"/>
      <c r="JP10" s="2723"/>
      <c r="JQ10" s="2723"/>
      <c r="JS10" s="3231"/>
      <c r="JT10" s="3231"/>
      <c r="JU10" s="3231"/>
      <c r="JV10" s="3231"/>
      <c r="JW10" s="3231"/>
      <c r="JX10" s="3231"/>
      <c r="JY10" s="3231"/>
      <c r="JZ10" s="3231"/>
      <c r="KA10" s="3231"/>
      <c r="KB10" s="3231"/>
      <c r="KC10" s="3231"/>
      <c r="KD10" s="3231"/>
      <c r="KE10" s="3231"/>
      <c r="KF10" s="3231"/>
      <c r="KG10" s="3231"/>
      <c r="KH10" s="3231"/>
      <c r="KI10" s="3231"/>
      <c r="KJ10" s="3231"/>
      <c r="KK10" s="3231"/>
      <c r="KL10" s="3231"/>
      <c r="KM10" s="3231"/>
      <c r="KN10" s="3231"/>
      <c r="KO10" s="3231"/>
    </row>
    <row r="11" spans="1:301" ht="21.9" hidden="1" customHeight="1">
      <c r="A11" s="2723"/>
      <c r="B11" s="3231"/>
      <c r="C11" s="3322" t="s">
        <v>461</v>
      </c>
      <c r="D11" s="3323">
        <v>25322</v>
      </c>
      <c r="E11" s="3324">
        <v>24140</v>
      </c>
      <c r="F11" s="3324">
        <v>28541</v>
      </c>
      <c r="G11" s="3324">
        <v>23370</v>
      </c>
      <c r="H11" s="3324">
        <v>24442</v>
      </c>
      <c r="I11" s="3324">
        <v>33849</v>
      </c>
      <c r="J11" s="3324">
        <v>42417</v>
      </c>
      <c r="K11" s="3324">
        <v>36426</v>
      </c>
      <c r="L11" s="3324">
        <v>27234</v>
      </c>
      <c r="M11" s="3324">
        <v>30634</v>
      </c>
      <c r="N11" s="3324">
        <v>31236</v>
      </c>
      <c r="O11" s="3325">
        <v>31068</v>
      </c>
      <c r="P11" s="3326">
        <v>31338</v>
      </c>
      <c r="Q11" s="3327">
        <v>42315</v>
      </c>
      <c r="R11" s="3327">
        <v>33948</v>
      </c>
      <c r="S11" s="3327">
        <v>29163</v>
      </c>
      <c r="T11" s="3327">
        <v>33174</v>
      </c>
      <c r="U11" s="3327">
        <v>42106</v>
      </c>
      <c r="V11" s="3327">
        <v>47672</v>
      </c>
      <c r="W11" s="3327">
        <v>41502</v>
      </c>
      <c r="X11" s="3327">
        <v>33136</v>
      </c>
      <c r="Y11" s="3327">
        <v>35550</v>
      </c>
      <c r="Z11" s="3327">
        <v>36578</v>
      </c>
      <c r="AA11" s="3328">
        <v>35277</v>
      </c>
      <c r="AB11" s="3329">
        <v>34285</v>
      </c>
      <c r="AC11" s="3330">
        <v>30903</v>
      </c>
      <c r="AD11" s="3330">
        <v>32667</v>
      </c>
      <c r="AE11" s="3330">
        <v>31984</v>
      </c>
      <c r="AF11" s="3330">
        <v>30536</v>
      </c>
      <c r="AG11" s="3330">
        <v>43500</v>
      </c>
      <c r="AH11" s="3330">
        <v>46911</v>
      </c>
      <c r="AI11" s="3330">
        <v>39477</v>
      </c>
      <c r="AJ11" s="3330">
        <v>29830</v>
      </c>
      <c r="AK11" s="3330">
        <v>32427</v>
      </c>
      <c r="AL11" s="3330">
        <v>34307</v>
      </c>
      <c r="AM11" s="3330">
        <v>38005</v>
      </c>
      <c r="AN11" s="3331">
        <v>34477</v>
      </c>
      <c r="AO11" s="3331">
        <v>35747</v>
      </c>
      <c r="AP11" s="3331">
        <v>34960</v>
      </c>
      <c r="AQ11" s="3331">
        <v>29157</v>
      </c>
      <c r="AR11" s="3331">
        <v>33502</v>
      </c>
      <c r="AS11" s="3331">
        <v>41120</v>
      </c>
      <c r="AT11" s="3331">
        <v>46040</v>
      </c>
      <c r="AU11" s="3331">
        <v>38197</v>
      </c>
      <c r="AV11" s="3331">
        <v>28797</v>
      </c>
      <c r="AW11" s="3331">
        <v>35093</v>
      </c>
      <c r="AX11" s="3331">
        <v>34414</v>
      </c>
      <c r="AY11" s="3332">
        <v>36911</v>
      </c>
      <c r="AZ11" s="3333">
        <v>33719</v>
      </c>
      <c r="BA11" s="3334">
        <v>31943</v>
      </c>
      <c r="BB11" s="3334">
        <v>36363</v>
      </c>
      <c r="BC11" s="3334">
        <v>33131</v>
      </c>
      <c r="BD11" s="3334">
        <v>35394</v>
      </c>
      <c r="BE11" s="3334">
        <v>42870</v>
      </c>
      <c r="BF11" s="3334">
        <v>47609</v>
      </c>
      <c r="BG11" s="3334">
        <v>39938</v>
      </c>
      <c r="BH11" s="3334">
        <v>32133</v>
      </c>
      <c r="BI11" s="3334">
        <v>36359</v>
      </c>
      <c r="BJ11" s="3334">
        <v>38237</v>
      </c>
      <c r="BK11" s="3335">
        <v>40906</v>
      </c>
      <c r="BL11" s="3336">
        <v>32448</v>
      </c>
      <c r="BM11" s="3337">
        <v>32412</v>
      </c>
      <c r="BN11" s="3337">
        <v>38350</v>
      </c>
      <c r="BO11" s="3337">
        <v>34974</v>
      </c>
      <c r="BP11" s="3337">
        <v>38937</v>
      </c>
      <c r="BQ11" s="3337">
        <v>51210</v>
      </c>
      <c r="BR11" s="3337">
        <v>53980</v>
      </c>
      <c r="BS11" s="3337">
        <v>44235</v>
      </c>
      <c r="BT11" s="3338">
        <v>38072</v>
      </c>
      <c r="BU11" s="3338">
        <v>43564</v>
      </c>
      <c r="BV11" s="3338">
        <v>43429</v>
      </c>
      <c r="BW11" s="3339">
        <v>48905</v>
      </c>
      <c r="BX11" s="3340">
        <v>42519</v>
      </c>
      <c r="BY11" s="3341">
        <v>39834</v>
      </c>
      <c r="BZ11" s="3341">
        <v>46360</v>
      </c>
      <c r="CA11" s="3341">
        <v>39198</v>
      </c>
      <c r="CB11" s="3341">
        <v>44734</v>
      </c>
      <c r="CC11" s="3341">
        <v>55447</v>
      </c>
      <c r="CD11" s="3341">
        <v>60218</v>
      </c>
      <c r="CE11" s="3341">
        <v>48917</v>
      </c>
      <c r="CF11" s="3341">
        <v>45574</v>
      </c>
      <c r="CG11" s="3341">
        <v>49866</v>
      </c>
      <c r="CH11" s="3341">
        <v>52322</v>
      </c>
      <c r="CI11" s="3342">
        <v>57010</v>
      </c>
      <c r="CJ11" s="3343">
        <v>47741</v>
      </c>
      <c r="CK11" s="3344">
        <v>49141</v>
      </c>
      <c r="CL11" s="3344">
        <v>47957</v>
      </c>
      <c r="CM11" s="3344">
        <v>46454</v>
      </c>
      <c r="CN11" s="3344">
        <v>48577</v>
      </c>
      <c r="CO11" s="3344">
        <v>54883</v>
      </c>
      <c r="CP11" s="3344">
        <v>65551</v>
      </c>
      <c r="CQ11" s="3344">
        <v>53964</v>
      </c>
      <c r="CR11" s="3344">
        <v>52370</v>
      </c>
      <c r="CS11" s="3344">
        <v>55356</v>
      </c>
      <c r="CT11" s="3344">
        <v>58748</v>
      </c>
      <c r="CU11" s="3345">
        <v>68417</v>
      </c>
      <c r="CV11" s="3346">
        <v>53366</v>
      </c>
      <c r="CW11" s="3341">
        <v>48175</v>
      </c>
      <c r="CX11" s="3342">
        <v>55357</v>
      </c>
      <c r="CY11" s="3342">
        <v>50308</v>
      </c>
      <c r="CZ11" s="3342">
        <v>52518</v>
      </c>
      <c r="DA11" s="3342">
        <v>59648</v>
      </c>
      <c r="DB11" s="3342">
        <v>65588</v>
      </c>
      <c r="DC11" s="3342">
        <v>48271</v>
      </c>
      <c r="DD11" s="3347">
        <v>47180</v>
      </c>
      <c r="DE11" s="3342">
        <v>51691</v>
      </c>
      <c r="DF11" s="3334"/>
      <c r="DG11" s="3334"/>
      <c r="DH11" s="3348">
        <v>47069</v>
      </c>
      <c r="DI11" s="3349">
        <v>45969</v>
      </c>
      <c r="DJ11" s="3349">
        <v>49518</v>
      </c>
      <c r="DK11" s="3350">
        <v>37167</v>
      </c>
      <c r="DL11" s="3350">
        <v>41777</v>
      </c>
      <c r="DM11" s="3350">
        <v>53606</v>
      </c>
      <c r="DN11" s="3350">
        <v>58914</v>
      </c>
      <c r="DO11" s="3350">
        <v>42596</v>
      </c>
      <c r="DP11" s="3350">
        <v>34324</v>
      </c>
      <c r="DQ11" s="3350">
        <v>46707</v>
      </c>
      <c r="DR11" s="3350">
        <v>40239</v>
      </c>
      <c r="DS11" s="3349">
        <v>45879</v>
      </c>
      <c r="DT11" s="3351">
        <v>42278</v>
      </c>
      <c r="DU11" s="3351">
        <v>37817</v>
      </c>
      <c r="DV11" s="3351">
        <v>44201</v>
      </c>
      <c r="DW11" s="3351">
        <v>41228</v>
      </c>
      <c r="DX11" s="3351">
        <f>+DX12-DX10</f>
        <v>38096</v>
      </c>
      <c r="DY11" s="3351">
        <v>51494</v>
      </c>
      <c r="DZ11" s="3352"/>
      <c r="EA11" s="3352"/>
      <c r="EB11" s="3352"/>
      <c r="EC11" s="3352"/>
      <c r="ED11" s="3352"/>
      <c r="EE11" s="3352"/>
      <c r="EF11" s="3351">
        <v>42278</v>
      </c>
      <c r="EG11" s="3351">
        <v>37817</v>
      </c>
      <c r="EH11" s="3351">
        <v>44201</v>
      </c>
      <c r="EI11" s="3351">
        <v>41228</v>
      </c>
      <c r="EJ11" s="3351">
        <f>+EJ12-EJ10</f>
        <v>38096</v>
      </c>
      <c r="EK11" s="3351">
        <v>51494</v>
      </c>
      <c r="EL11" s="3352"/>
      <c r="EM11" s="3352"/>
      <c r="EN11" s="3352"/>
      <c r="EO11" s="3352"/>
      <c r="EP11" s="3352"/>
      <c r="EQ11" s="3352"/>
      <c r="ER11" s="3351">
        <v>42278</v>
      </c>
      <c r="ES11" s="3351">
        <v>37817</v>
      </c>
      <c r="ET11" s="3351">
        <v>44201</v>
      </c>
      <c r="EU11" s="3351">
        <v>41228</v>
      </c>
      <c r="EV11" s="3351">
        <f>+EV12-EV10</f>
        <v>38096</v>
      </c>
      <c r="EW11" s="3351">
        <v>51494</v>
      </c>
      <c r="EX11" s="3352"/>
      <c r="EY11" s="3352"/>
      <c r="EZ11" s="3352"/>
      <c r="FA11" s="3352"/>
      <c r="FB11" s="3352"/>
      <c r="FC11" s="3352"/>
      <c r="FD11" s="2826"/>
      <c r="FE11" s="2826"/>
      <c r="FF11" s="2826"/>
      <c r="FG11" s="2826"/>
      <c r="FH11" s="2826"/>
      <c r="FI11" s="2826"/>
      <c r="FJ11" s="2826"/>
      <c r="FK11" s="2826"/>
      <c r="FL11" s="2826"/>
      <c r="FM11" s="2826"/>
      <c r="FN11" s="2826"/>
      <c r="FO11" s="2826"/>
      <c r="FP11" s="2827"/>
      <c r="FQ11" s="2826"/>
      <c r="FR11" s="2826"/>
      <c r="FS11" s="2826"/>
      <c r="FT11" s="2826"/>
      <c r="FU11" s="2826"/>
      <c r="FV11" s="2826"/>
      <c r="FW11" s="2826"/>
      <c r="FX11" s="2826"/>
      <c r="FY11" s="2826"/>
      <c r="FZ11" s="2826"/>
      <c r="GA11" s="2826"/>
      <c r="GB11" s="2752"/>
      <c r="GC11" s="2726"/>
      <c r="GD11" s="2828">
        <v>78003</v>
      </c>
      <c r="GE11" s="2829">
        <v>81661</v>
      </c>
      <c r="GF11" s="2829">
        <v>106077</v>
      </c>
      <c r="GG11" s="2830">
        <v>92938</v>
      </c>
      <c r="GH11" s="2831">
        <v>107601</v>
      </c>
      <c r="GI11" s="2832">
        <v>104443</v>
      </c>
      <c r="GJ11" s="2832">
        <v>122310</v>
      </c>
      <c r="GK11" s="2833">
        <v>107405</v>
      </c>
      <c r="GL11" s="2834">
        <v>97855</v>
      </c>
      <c r="GM11" s="2835">
        <v>106020</v>
      </c>
      <c r="GN11" s="2836">
        <v>116218</v>
      </c>
      <c r="GO11" s="2836">
        <v>104739</v>
      </c>
      <c r="GP11" s="2837">
        <v>105184</v>
      </c>
      <c r="GQ11" s="2838">
        <v>103779</v>
      </c>
      <c r="GR11" s="2838">
        <v>113034</v>
      </c>
      <c r="GS11" s="2839">
        <v>106418</v>
      </c>
      <c r="GT11" s="2840">
        <v>102025</v>
      </c>
      <c r="GU11" s="2841">
        <v>111395</v>
      </c>
      <c r="GV11" s="2841">
        <v>119680</v>
      </c>
      <c r="GW11" s="2842">
        <v>115502</v>
      </c>
      <c r="GX11" s="2838">
        <v>103210</v>
      </c>
      <c r="GY11" s="2838">
        <v>125121</v>
      </c>
      <c r="GZ11" s="2838">
        <v>136287</v>
      </c>
      <c r="HA11" s="2838">
        <v>135898</v>
      </c>
      <c r="HB11" s="2843">
        <v>128713</v>
      </c>
      <c r="HC11" s="2843">
        <v>139379</v>
      </c>
      <c r="HD11" s="2843">
        <v>154709</v>
      </c>
      <c r="HE11" s="2843">
        <v>159198</v>
      </c>
      <c r="HF11" s="2844">
        <v>144839</v>
      </c>
      <c r="HG11" s="2844">
        <v>149914</v>
      </c>
      <c r="HH11" s="2844">
        <v>174871</v>
      </c>
      <c r="HI11" s="2844">
        <v>182521</v>
      </c>
      <c r="HJ11" s="2845">
        <v>156898</v>
      </c>
      <c r="HK11" s="2845">
        <v>154517</v>
      </c>
      <c r="HL11" s="2845">
        <v>165550</v>
      </c>
      <c r="HM11" s="2846">
        <f>+DH11+DI11+DJ11</f>
        <v>142556</v>
      </c>
      <c r="HN11" s="2846">
        <f>+DM11+DL11+DK11</f>
        <v>132550</v>
      </c>
      <c r="HO11" s="2846">
        <f>+DP11+DO11+DN11</f>
        <v>135834</v>
      </c>
      <c r="HP11" s="2846">
        <f>+DQ11+DR11+DS11</f>
        <v>132825</v>
      </c>
      <c r="HQ11" s="2847">
        <f>+DT11+DU11+DV11</f>
        <v>124296</v>
      </c>
      <c r="HR11" s="2847">
        <f>+DW11+DX11+DY11</f>
        <v>130818</v>
      </c>
      <c r="HS11" s="2727"/>
      <c r="HT11" s="2726"/>
      <c r="HU11" s="2838"/>
      <c r="HV11" s="2843"/>
      <c r="HW11" s="2843"/>
      <c r="HX11" s="2843"/>
      <c r="HY11" s="2838"/>
      <c r="HZ11" s="2843"/>
      <c r="IA11" s="2843"/>
      <c r="IB11" s="2843"/>
      <c r="IC11" s="2843"/>
      <c r="ID11" s="2843"/>
      <c r="IE11" s="2843"/>
      <c r="IF11" s="2843"/>
      <c r="IG11" s="2843"/>
      <c r="IH11" s="2843"/>
      <c r="II11" s="2843"/>
      <c r="IJ11" s="2843"/>
      <c r="IK11" s="2848">
        <v>358679</v>
      </c>
      <c r="IL11" s="3353">
        <v>441759</v>
      </c>
      <c r="IM11" s="3353">
        <v>424832</v>
      </c>
      <c r="IN11" s="3353">
        <v>428415</v>
      </c>
      <c r="IO11" s="3353">
        <v>448602</v>
      </c>
      <c r="IP11" s="3353">
        <v>500516</v>
      </c>
      <c r="IQ11" s="3353">
        <v>581999</v>
      </c>
      <c r="IR11" s="3353">
        <v>649159</v>
      </c>
      <c r="IS11" s="3354">
        <v>659267</v>
      </c>
      <c r="IT11" s="3354">
        <f>SUM(DI11:DT11)</f>
        <v>538974</v>
      </c>
      <c r="IU11" s="3355">
        <f>SUM(DO11:EE11)</f>
        <v>464859</v>
      </c>
      <c r="IV11" s="3285"/>
      <c r="IW11" s="3285"/>
      <c r="IX11" s="3285"/>
      <c r="IY11" s="3286"/>
      <c r="IZ11" s="3287"/>
      <c r="JA11" s="3764"/>
      <c r="JC11" s="3285"/>
      <c r="JD11" s="3231"/>
      <c r="JE11" s="3231"/>
      <c r="JF11" s="3231"/>
      <c r="JG11" s="3231"/>
      <c r="JH11" s="2723"/>
      <c r="JI11" s="3262"/>
      <c r="JJ11" s="2723"/>
      <c r="JK11" s="2723"/>
      <c r="JL11" s="2723"/>
      <c r="JM11" s="2723"/>
      <c r="JN11" s="2723"/>
      <c r="JO11" s="2723"/>
      <c r="JP11" s="2723"/>
      <c r="JQ11" s="2723"/>
      <c r="JS11" s="3231"/>
      <c r="JT11" s="3231"/>
      <c r="JU11" s="3231"/>
      <c r="JV11" s="3231"/>
      <c r="JW11" s="3231"/>
      <c r="JX11" s="3231"/>
      <c r="JY11" s="3231"/>
      <c r="JZ11" s="3231"/>
      <c r="KA11" s="3231"/>
      <c r="KB11" s="3231"/>
      <c r="KC11" s="3231"/>
      <c r="KD11" s="3231"/>
      <c r="KE11" s="3231"/>
      <c r="KF11" s="3231"/>
      <c r="KG11" s="3231"/>
      <c r="KH11" s="3231"/>
      <c r="KI11" s="3231"/>
      <c r="KJ11" s="3231"/>
      <c r="KK11" s="3231"/>
      <c r="KL11" s="3231"/>
      <c r="KM11" s="3231"/>
      <c r="KN11" s="3231"/>
      <c r="KO11" s="3231"/>
    </row>
    <row r="12" spans="1:301" ht="21.9" hidden="1" customHeight="1" thickBot="1">
      <c r="A12" s="2723"/>
      <c r="B12" s="3231"/>
      <c r="C12" s="3322" t="s">
        <v>52</v>
      </c>
      <c r="D12" s="3356">
        <v>29447</v>
      </c>
      <c r="E12" s="3357">
        <v>29249</v>
      </c>
      <c r="F12" s="3357">
        <v>32536</v>
      </c>
      <c r="G12" s="3357">
        <v>26929</v>
      </c>
      <c r="H12" s="3357">
        <v>28526</v>
      </c>
      <c r="I12" s="3357">
        <v>41105</v>
      </c>
      <c r="J12" s="3357">
        <v>49933</v>
      </c>
      <c r="K12" s="3357">
        <v>42244</v>
      </c>
      <c r="L12" s="3357">
        <v>31407</v>
      </c>
      <c r="M12" s="3357">
        <v>33891</v>
      </c>
      <c r="N12" s="3357">
        <v>35806</v>
      </c>
      <c r="O12" s="3358">
        <v>36780</v>
      </c>
      <c r="P12" s="3359">
        <v>34991</v>
      </c>
      <c r="Q12" s="3360">
        <v>46490</v>
      </c>
      <c r="R12" s="3360">
        <v>36805</v>
      </c>
      <c r="S12" s="3360">
        <v>31105</v>
      </c>
      <c r="T12" s="3360">
        <v>35598</v>
      </c>
      <c r="U12" s="3360">
        <v>45584</v>
      </c>
      <c r="V12" s="3360">
        <v>50484</v>
      </c>
      <c r="W12" s="3360">
        <v>43576</v>
      </c>
      <c r="X12" s="3360">
        <v>34318</v>
      </c>
      <c r="Y12" s="3360">
        <v>36977</v>
      </c>
      <c r="Z12" s="3360">
        <v>38290</v>
      </c>
      <c r="AA12" s="3361">
        <v>37281</v>
      </c>
      <c r="AB12" s="3329">
        <v>35904</v>
      </c>
      <c r="AC12" s="3330">
        <v>32995</v>
      </c>
      <c r="AD12" s="3330">
        <v>34242</v>
      </c>
      <c r="AE12" s="3330">
        <v>33161</v>
      </c>
      <c r="AF12" s="3330">
        <v>32773</v>
      </c>
      <c r="AG12" s="3330">
        <v>46796</v>
      </c>
      <c r="AH12" s="3330">
        <v>50069</v>
      </c>
      <c r="AI12" s="3330">
        <v>44378</v>
      </c>
      <c r="AJ12" s="3330">
        <v>33494</v>
      </c>
      <c r="AK12" s="3330">
        <v>35959</v>
      </c>
      <c r="AL12" s="3330">
        <v>38401</v>
      </c>
      <c r="AM12" s="3330">
        <v>43693</v>
      </c>
      <c r="AN12" s="3331">
        <v>38603</v>
      </c>
      <c r="AO12" s="3331">
        <v>39843</v>
      </c>
      <c r="AP12" s="3331">
        <v>38029</v>
      </c>
      <c r="AQ12" s="3331">
        <v>31598</v>
      </c>
      <c r="AR12" s="3331">
        <v>37116</v>
      </c>
      <c r="AS12" s="3331">
        <v>46093</v>
      </c>
      <c r="AT12" s="3331">
        <v>49766</v>
      </c>
      <c r="AU12" s="3331">
        <v>42481</v>
      </c>
      <c r="AV12" s="3331">
        <v>33003</v>
      </c>
      <c r="AW12" s="3331">
        <v>38298</v>
      </c>
      <c r="AX12" s="3331">
        <v>38171</v>
      </c>
      <c r="AY12" s="3332">
        <v>41220</v>
      </c>
      <c r="AZ12" s="3362">
        <v>37463</v>
      </c>
      <c r="BA12" s="3363">
        <v>35978</v>
      </c>
      <c r="BB12" s="3363">
        <v>39415</v>
      </c>
      <c r="BC12" s="3363">
        <v>35949</v>
      </c>
      <c r="BD12" s="3363">
        <v>38023</v>
      </c>
      <c r="BE12" s="3363">
        <v>47844</v>
      </c>
      <c r="BF12" s="3363">
        <v>51152</v>
      </c>
      <c r="BG12" s="3363">
        <v>43036</v>
      </c>
      <c r="BH12" s="3363">
        <v>34628</v>
      </c>
      <c r="BI12" s="3363">
        <v>38582</v>
      </c>
      <c r="BJ12" s="3363">
        <v>41073</v>
      </c>
      <c r="BK12" s="3364">
        <v>44235</v>
      </c>
      <c r="BL12" s="3365">
        <v>37773</v>
      </c>
      <c r="BM12" s="3366">
        <v>35654</v>
      </c>
      <c r="BN12" s="3366">
        <v>40663</v>
      </c>
      <c r="BO12" s="3366">
        <v>36524</v>
      </c>
      <c r="BP12" s="3366">
        <v>40720</v>
      </c>
      <c r="BQ12" s="3366">
        <v>54166</v>
      </c>
      <c r="BR12" s="3366">
        <v>56168</v>
      </c>
      <c r="BS12" s="3366">
        <v>46212</v>
      </c>
      <c r="BT12" s="3367">
        <v>39747</v>
      </c>
      <c r="BU12" s="3367">
        <v>44864</v>
      </c>
      <c r="BV12" s="3367">
        <v>46422</v>
      </c>
      <c r="BW12" s="3368">
        <v>54545</v>
      </c>
      <c r="BX12" s="3369">
        <v>46137</v>
      </c>
      <c r="BY12" s="3370">
        <v>43174</v>
      </c>
      <c r="BZ12" s="3370">
        <v>49027</v>
      </c>
      <c r="CA12" s="3370">
        <v>41634</v>
      </c>
      <c r="CB12" s="3370">
        <v>48103</v>
      </c>
      <c r="CC12" s="3370">
        <v>61054</v>
      </c>
      <c r="CD12" s="3370">
        <v>64119</v>
      </c>
      <c r="CE12" s="3370">
        <v>52709</v>
      </c>
      <c r="CF12" s="3370">
        <v>49386</v>
      </c>
      <c r="CG12" s="3370">
        <v>52967</v>
      </c>
      <c r="CH12" s="3370">
        <v>56261</v>
      </c>
      <c r="CI12" s="3371">
        <v>64359</v>
      </c>
      <c r="CJ12" s="3372">
        <v>51688</v>
      </c>
      <c r="CK12" s="3373">
        <v>53622</v>
      </c>
      <c r="CL12" s="3373">
        <v>51748</v>
      </c>
      <c r="CM12" s="3373">
        <v>49570</v>
      </c>
      <c r="CN12" s="3373">
        <v>52174</v>
      </c>
      <c r="CO12" s="3373">
        <v>58795</v>
      </c>
      <c r="CP12" s="3373">
        <v>71099</v>
      </c>
      <c r="CQ12" s="3373">
        <v>57790</v>
      </c>
      <c r="CR12" s="3373">
        <v>55854</v>
      </c>
      <c r="CS12" s="3373">
        <v>59469</v>
      </c>
      <c r="CT12" s="3373">
        <v>63257</v>
      </c>
      <c r="CU12" s="3374">
        <v>77949</v>
      </c>
      <c r="CV12" s="3375">
        <v>58224</v>
      </c>
      <c r="CW12" s="3376">
        <v>53321</v>
      </c>
      <c r="CX12" s="3377">
        <v>59393</v>
      </c>
      <c r="CY12" s="3377">
        <v>53854</v>
      </c>
      <c r="CZ12" s="3377">
        <v>56638</v>
      </c>
      <c r="DA12" s="3377">
        <v>67138</v>
      </c>
      <c r="DB12" s="3377">
        <v>73006</v>
      </c>
      <c r="DC12" s="3377">
        <v>52994</v>
      </c>
      <c r="DD12" s="3378">
        <v>51643</v>
      </c>
      <c r="DE12" s="3377">
        <v>56449</v>
      </c>
      <c r="DF12" s="3334"/>
      <c r="DG12" s="3334"/>
      <c r="DH12" s="3379">
        <v>52833</v>
      </c>
      <c r="DI12" s="3380">
        <v>51438</v>
      </c>
      <c r="DJ12" s="3380">
        <v>54420</v>
      </c>
      <c r="DK12" s="3381">
        <v>40983</v>
      </c>
      <c r="DL12" s="3381">
        <v>46162</v>
      </c>
      <c r="DM12" s="3381">
        <v>61277</v>
      </c>
      <c r="DN12" s="3381">
        <v>66352</v>
      </c>
      <c r="DO12" s="3381">
        <v>47805</v>
      </c>
      <c r="DP12" s="3381">
        <v>40169</v>
      </c>
      <c r="DQ12" s="3381">
        <v>53831</v>
      </c>
      <c r="DR12" s="3381">
        <v>48311</v>
      </c>
      <c r="DS12" s="3382">
        <v>64045</v>
      </c>
      <c r="DT12" s="3383">
        <v>50614</v>
      </c>
      <c r="DU12" s="3383">
        <v>47432</v>
      </c>
      <c r="DV12" s="3383">
        <v>53021</v>
      </c>
      <c r="DW12" s="3383">
        <f>SUM(DW10:DW11)</f>
        <v>50208</v>
      </c>
      <c r="DX12" s="3383">
        <v>47035</v>
      </c>
      <c r="DY12" s="3383">
        <v>65866</v>
      </c>
      <c r="DZ12" s="3384"/>
      <c r="EA12" s="3384"/>
      <c r="EB12" s="3384"/>
      <c r="EC12" s="3384"/>
      <c r="ED12" s="3384"/>
      <c r="EE12" s="3384"/>
      <c r="EF12" s="3383">
        <v>50614</v>
      </c>
      <c r="EG12" s="3383">
        <v>47432</v>
      </c>
      <c r="EH12" s="3383">
        <v>53021</v>
      </c>
      <c r="EI12" s="3383">
        <f>SUM(EI10:EI11)</f>
        <v>50208</v>
      </c>
      <c r="EJ12" s="3383">
        <v>47035</v>
      </c>
      <c r="EK12" s="3383">
        <v>65866</v>
      </c>
      <c r="EL12" s="3384"/>
      <c r="EM12" s="3384"/>
      <c r="EN12" s="3384"/>
      <c r="EO12" s="3384"/>
      <c r="EP12" s="3384"/>
      <c r="EQ12" s="3384"/>
      <c r="ER12" s="3383">
        <v>50614</v>
      </c>
      <c r="ES12" s="3383">
        <v>47432</v>
      </c>
      <c r="ET12" s="3383">
        <v>53021</v>
      </c>
      <c r="EU12" s="3383">
        <f>SUM(EU10:EU11)</f>
        <v>50208</v>
      </c>
      <c r="EV12" s="3383">
        <v>47035</v>
      </c>
      <c r="EW12" s="3383">
        <v>65866</v>
      </c>
      <c r="EX12" s="3384"/>
      <c r="EY12" s="3384"/>
      <c r="EZ12" s="3384"/>
      <c r="FA12" s="3384"/>
      <c r="FB12" s="3384"/>
      <c r="FC12" s="3384"/>
      <c r="FD12" s="2826"/>
      <c r="FE12" s="2826"/>
      <c r="FF12" s="2826"/>
      <c r="FG12" s="2826"/>
      <c r="FH12" s="2826"/>
      <c r="FI12" s="2826"/>
      <c r="FJ12" s="2826"/>
      <c r="FK12" s="2826"/>
      <c r="FL12" s="2826"/>
      <c r="FM12" s="2826"/>
      <c r="FN12" s="2826"/>
      <c r="FO12" s="2826"/>
      <c r="FP12" s="2827"/>
      <c r="FQ12" s="2826"/>
      <c r="FR12" s="2826"/>
      <c r="FS12" s="2826"/>
      <c r="FT12" s="2826"/>
      <c r="FU12" s="2826"/>
      <c r="FV12" s="2826"/>
      <c r="FW12" s="2826"/>
      <c r="FX12" s="2826"/>
      <c r="FY12" s="2826"/>
      <c r="FZ12" s="2826"/>
      <c r="GA12" s="2826"/>
      <c r="GB12" s="2752"/>
      <c r="GC12" s="2726"/>
      <c r="GD12" s="2849">
        <v>91232</v>
      </c>
      <c r="GE12" s="2850">
        <v>96560</v>
      </c>
      <c r="GF12" s="2850">
        <v>123584</v>
      </c>
      <c r="GG12" s="2851">
        <v>106477</v>
      </c>
      <c r="GH12" s="2852">
        <v>118286</v>
      </c>
      <c r="GI12" s="2853">
        <v>112287</v>
      </c>
      <c r="GJ12" s="2853">
        <v>128378</v>
      </c>
      <c r="GK12" s="2854">
        <v>112548</v>
      </c>
      <c r="GL12" s="2855">
        <v>103141</v>
      </c>
      <c r="GM12" s="2856">
        <v>112730</v>
      </c>
      <c r="GN12" s="2856">
        <v>127941</v>
      </c>
      <c r="GO12" s="2856">
        <v>118053</v>
      </c>
      <c r="GP12" s="2857">
        <v>116475</v>
      </c>
      <c r="GQ12" s="2858">
        <v>114807</v>
      </c>
      <c r="GR12" s="2858">
        <v>125250</v>
      </c>
      <c r="GS12" s="2839">
        <v>117689</v>
      </c>
      <c r="GT12" s="2859">
        <v>112856</v>
      </c>
      <c r="GU12" s="2860">
        <v>121816</v>
      </c>
      <c r="GV12" s="2860">
        <v>128816</v>
      </c>
      <c r="GW12" s="2861">
        <v>123890</v>
      </c>
      <c r="GX12" s="2838">
        <v>114090</v>
      </c>
      <c r="GY12" s="2838">
        <v>131410</v>
      </c>
      <c r="GZ12" s="2838">
        <v>142127</v>
      </c>
      <c r="HA12" s="2838">
        <v>145831</v>
      </c>
      <c r="HB12" s="2843">
        <v>138338</v>
      </c>
      <c r="HC12" s="2843">
        <v>150791</v>
      </c>
      <c r="HD12" s="2843">
        <v>166214</v>
      </c>
      <c r="HE12" s="2843">
        <v>173587</v>
      </c>
      <c r="HF12" s="2844">
        <v>157058</v>
      </c>
      <c r="HG12" s="2844">
        <v>160539</v>
      </c>
      <c r="HH12" s="2844">
        <v>188358</v>
      </c>
      <c r="HI12" s="2844">
        <v>200675</v>
      </c>
      <c r="HJ12" s="2845">
        <v>170938</v>
      </c>
      <c r="HK12" s="2845">
        <v>166941</v>
      </c>
      <c r="HL12" s="2845">
        <v>182449</v>
      </c>
      <c r="HM12" s="2846">
        <f>+DH12+DI12+DJ12</f>
        <v>158691</v>
      </c>
      <c r="HN12" s="2846">
        <f>+DM12+DL12+DK12</f>
        <v>148422</v>
      </c>
      <c r="HO12" s="2846">
        <f>+DP12+DO12+DN12</f>
        <v>154326</v>
      </c>
      <c r="HP12" s="2846">
        <f>+DQ12+DR12+DS12</f>
        <v>166187</v>
      </c>
      <c r="HQ12" s="2847">
        <f>+DT12+DU12+DV12</f>
        <v>151067</v>
      </c>
      <c r="HR12" s="2847">
        <f>+DW12+DX12+DY12</f>
        <v>163109</v>
      </c>
      <c r="HS12" s="2727"/>
      <c r="HT12" s="2726"/>
      <c r="HU12" s="2838"/>
      <c r="HV12" s="2843"/>
      <c r="HW12" s="2843"/>
      <c r="HX12" s="2843"/>
      <c r="HY12" s="2838"/>
      <c r="HZ12" s="2843"/>
      <c r="IA12" s="2843"/>
      <c r="IB12" s="2843"/>
      <c r="IC12" s="2843"/>
      <c r="ID12" s="2843"/>
      <c r="IE12" s="2843"/>
      <c r="IF12" s="2843"/>
      <c r="IG12" s="2843"/>
      <c r="IH12" s="2843"/>
      <c r="II12" s="2843"/>
      <c r="IJ12" s="2843"/>
      <c r="IK12" s="2862">
        <v>417853</v>
      </c>
      <c r="IL12" s="3385">
        <v>471499</v>
      </c>
      <c r="IM12" s="3385">
        <v>461865</v>
      </c>
      <c r="IN12" s="3385">
        <v>474221</v>
      </c>
      <c r="IO12" s="3385">
        <v>487378</v>
      </c>
      <c r="IP12" s="3385">
        <v>533458</v>
      </c>
      <c r="IQ12" s="3385">
        <v>628930</v>
      </c>
      <c r="IR12" s="3353">
        <v>703015</v>
      </c>
      <c r="IS12" s="3354">
        <v>723866</v>
      </c>
      <c r="IT12" s="3354">
        <f>SUM(DI12:DT12)</f>
        <v>625407</v>
      </c>
      <c r="IU12" s="3355">
        <f>SUM(DO12:EE12)</f>
        <v>568337</v>
      </c>
      <c r="IV12" s="3285"/>
      <c r="IW12" s="3285"/>
      <c r="IX12" s="3285"/>
      <c r="IY12" s="3286"/>
      <c r="IZ12" s="3287"/>
      <c r="JA12" s="3764"/>
      <c r="JC12" s="3285"/>
      <c r="JD12" s="3231"/>
      <c r="JE12" s="3231"/>
      <c r="JF12" s="3231"/>
      <c r="JG12" s="3231"/>
      <c r="JH12" s="2723"/>
      <c r="JI12" s="3262"/>
      <c r="JJ12" s="2723"/>
      <c r="JK12" s="2723"/>
      <c r="JL12" s="2723"/>
      <c r="JM12" s="2723"/>
      <c r="JN12" s="2723"/>
      <c r="JO12" s="2723"/>
      <c r="JP12" s="2723"/>
      <c r="JQ12" s="2723"/>
      <c r="JS12" s="3231"/>
      <c r="JT12" s="3231"/>
      <c r="JU12" s="3231"/>
      <c r="JV12" s="3231"/>
      <c r="JW12" s="3231"/>
      <c r="JX12" s="3231"/>
      <c r="JY12" s="3231"/>
      <c r="JZ12" s="3231"/>
      <c r="KA12" s="3231"/>
      <c r="KB12" s="3231"/>
      <c r="KC12" s="3231"/>
      <c r="KD12" s="3231"/>
      <c r="KE12" s="3231"/>
      <c r="KF12" s="3231"/>
      <c r="KG12" s="3231"/>
      <c r="KH12" s="3231"/>
      <c r="KI12" s="3231"/>
      <c r="KJ12" s="3231"/>
      <c r="KK12" s="3231"/>
      <c r="KL12" s="3231"/>
      <c r="KM12" s="3231"/>
      <c r="KN12" s="3231"/>
      <c r="KO12" s="3231"/>
    </row>
    <row r="13" spans="1:301" ht="18.75" hidden="1" customHeight="1">
      <c r="A13" s="2723"/>
      <c r="B13" s="3231"/>
      <c r="C13" s="3386"/>
      <c r="D13" s="3387"/>
      <c r="E13" s="3387"/>
      <c r="F13" s="3387"/>
      <c r="G13" s="3387"/>
      <c r="H13" s="3387"/>
      <c r="I13" s="3387"/>
      <c r="J13" s="3387"/>
      <c r="K13" s="3387"/>
      <c r="L13" s="3387"/>
      <c r="M13" s="3388"/>
      <c r="N13" s="3388"/>
      <c r="O13" s="3388"/>
      <c r="P13" s="3389"/>
      <c r="Q13" s="3387"/>
      <c r="R13" s="3387"/>
      <c r="S13" s="3387"/>
      <c r="T13" s="3387"/>
      <c r="U13" s="3387"/>
      <c r="V13" s="3387"/>
      <c r="W13" s="3387"/>
      <c r="X13" s="3387"/>
      <c r="Y13" s="3388"/>
      <c r="Z13" s="3388"/>
      <c r="AA13" s="3388"/>
      <c r="AB13" s="3388"/>
      <c r="AC13" s="3388"/>
      <c r="AD13" s="3388"/>
      <c r="AE13" s="3388"/>
      <c r="AF13" s="3388"/>
      <c r="AG13" s="3388"/>
      <c r="AH13" s="3388"/>
      <c r="AI13" s="3388"/>
      <c r="AJ13" s="3388"/>
      <c r="AK13" s="3388"/>
      <c r="AL13" s="3388"/>
      <c r="AM13" s="3388"/>
      <c r="AN13" s="3389"/>
      <c r="AO13" s="3387"/>
      <c r="AP13" s="3390"/>
      <c r="AQ13" s="3387"/>
      <c r="AR13" s="3387"/>
      <c r="AS13" s="3390"/>
      <c r="AT13" s="3387"/>
      <c r="AU13" s="3387"/>
      <c r="AV13" s="3390"/>
      <c r="AW13" s="3388"/>
      <c r="AX13" s="3388"/>
      <c r="AY13" s="3390"/>
      <c r="AZ13" s="3389"/>
      <c r="BA13" s="3391"/>
      <c r="BB13" s="3391"/>
      <c r="BC13" s="3391"/>
      <c r="BD13" s="3391"/>
      <c r="BE13" s="3391"/>
      <c r="BF13" s="3391"/>
      <c r="BG13" s="3391"/>
      <c r="BH13" s="3391"/>
      <c r="BI13" s="3389"/>
      <c r="BJ13" s="3389"/>
      <c r="BK13" s="3389"/>
      <c r="BL13" s="3389"/>
      <c r="BM13" s="3389"/>
      <c r="BN13" s="3389"/>
      <c r="BO13" s="3389"/>
      <c r="BP13" s="3389"/>
      <c r="BQ13" s="3389"/>
      <c r="BR13" s="3389"/>
      <c r="BS13" s="3389"/>
      <c r="BT13" s="3389"/>
      <c r="BU13" s="3389"/>
      <c r="BV13" s="3389"/>
      <c r="BW13" s="3389"/>
      <c r="BX13" s="3389"/>
      <c r="BY13" s="3389"/>
      <c r="BZ13" s="3389"/>
      <c r="CA13" s="3389"/>
      <c r="CB13" s="3389"/>
      <c r="CC13" s="3389"/>
      <c r="CD13" s="3389"/>
      <c r="CE13" s="3389"/>
      <c r="CF13" s="3389"/>
      <c r="CG13" s="3389"/>
      <c r="CH13" s="3389"/>
      <c r="CI13" s="3389"/>
      <c r="CJ13" s="3389"/>
      <c r="CK13" s="3389"/>
      <c r="CL13" s="3389"/>
      <c r="CM13" s="3389"/>
      <c r="CN13" s="3389"/>
      <c r="CO13" s="3389"/>
      <c r="CP13" s="3389"/>
      <c r="CQ13" s="3389"/>
      <c r="CR13" s="3389"/>
      <c r="CS13" s="3389"/>
      <c r="CT13" s="3389"/>
      <c r="CU13" s="3389"/>
      <c r="CV13" s="3389"/>
      <c r="CW13" s="3389"/>
      <c r="CX13" s="3389"/>
      <c r="CY13" s="3389"/>
      <c r="CZ13" s="3389"/>
      <c r="DA13" s="3389"/>
      <c r="DB13" s="3389"/>
      <c r="DC13" s="3389"/>
      <c r="DD13" s="3389"/>
      <c r="DE13" s="3389"/>
      <c r="DF13" s="3389"/>
      <c r="DG13" s="3389"/>
      <c r="DH13" s="3392"/>
      <c r="DI13" s="3392"/>
      <c r="DJ13" s="3392"/>
      <c r="DK13" s="3392"/>
      <c r="DL13" s="3392"/>
      <c r="DM13" s="3392"/>
      <c r="DN13" s="3392"/>
      <c r="DO13" s="3392"/>
      <c r="DP13" s="3392"/>
      <c r="DQ13" s="3392"/>
      <c r="DR13" s="3392"/>
      <c r="DS13" s="3392"/>
      <c r="DT13" s="3393"/>
      <c r="DU13" s="3393"/>
      <c r="DV13" s="3393"/>
      <c r="DW13" s="3393"/>
      <c r="DX13" s="3393"/>
      <c r="DY13" s="3393"/>
      <c r="DZ13" s="3393"/>
      <c r="EA13" s="3393"/>
      <c r="EB13" s="3393"/>
      <c r="EC13" s="3393"/>
      <c r="ED13" s="3393"/>
      <c r="EE13" s="3393"/>
      <c r="EF13" s="3393"/>
      <c r="EG13" s="3393"/>
      <c r="EH13" s="3393"/>
      <c r="EI13" s="3393"/>
      <c r="EJ13" s="3393"/>
      <c r="EK13" s="3393"/>
      <c r="EL13" s="3393"/>
      <c r="EM13" s="3393"/>
      <c r="EN13" s="3393"/>
      <c r="EO13" s="3393"/>
      <c r="EP13" s="3393"/>
      <c r="EQ13" s="3393"/>
      <c r="ER13" s="3393"/>
      <c r="ES13" s="3393"/>
      <c r="ET13" s="3393"/>
      <c r="EU13" s="3393"/>
      <c r="EV13" s="3393"/>
      <c r="EW13" s="3393"/>
      <c r="EX13" s="3393"/>
      <c r="EY13" s="3393"/>
      <c r="EZ13" s="3393"/>
      <c r="FA13" s="3393"/>
      <c r="FB13" s="3393"/>
      <c r="FC13" s="3393"/>
      <c r="FD13" s="2750"/>
      <c r="FE13" s="2750"/>
      <c r="FF13" s="2750"/>
      <c r="FG13" s="2750"/>
      <c r="FH13" s="2750"/>
      <c r="FI13" s="2750"/>
      <c r="FJ13" s="2750"/>
      <c r="FK13" s="2750"/>
      <c r="FL13" s="2750"/>
      <c r="FM13" s="2750"/>
      <c r="FN13" s="2750"/>
      <c r="FO13" s="2750"/>
      <c r="FP13" s="2751"/>
      <c r="FQ13" s="2750"/>
      <c r="FR13" s="2750"/>
      <c r="FS13" s="2750"/>
      <c r="FT13" s="2750"/>
      <c r="FU13" s="2750"/>
      <c r="FV13" s="2750"/>
      <c r="FW13" s="2750"/>
      <c r="FX13" s="2750"/>
      <c r="FY13" s="2750"/>
      <c r="FZ13" s="2750"/>
      <c r="GA13" s="2750"/>
      <c r="GB13" s="2752"/>
      <c r="GC13" s="2726"/>
      <c r="GD13" s="2730"/>
      <c r="GE13" s="2730"/>
      <c r="GF13" s="2730"/>
      <c r="GG13" s="2730"/>
      <c r="GH13" s="2730"/>
      <c r="GI13" s="2730"/>
      <c r="GJ13" s="2730"/>
      <c r="GK13" s="2730"/>
      <c r="GL13" s="2730"/>
      <c r="GM13" s="2730"/>
      <c r="GN13" s="2730"/>
      <c r="GO13" s="2730"/>
      <c r="GP13" s="2730"/>
      <c r="GQ13" s="2730"/>
      <c r="GR13" s="2730"/>
      <c r="GS13" s="2730"/>
      <c r="GT13" s="2730"/>
      <c r="GU13" s="2730"/>
      <c r="GV13" s="2863"/>
      <c r="GW13" s="2730"/>
      <c r="GX13" s="2726"/>
      <c r="GY13" s="2726"/>
      <c r="GZ13" s="2726"/>
      <c r="HA13" s="2726"/>
      <c r="HB13" s="2728"/>
      <c r="HC13" s="2728"/>
      <c r="HD13" s="2728"/>
      <c r="HE13" s="2864" t="s">
        <v>462</v>
      </c>
      <c r="HF13" s="2728">
        <v>13.532073616793653</v>
      </c>
      <c r="HG13" s="2728">
        <v>6.4645767983500377</v>
      </c>
      <c r="HH13" s="2728">
        <v>13.322584138520213</v>
      </c>
      <c r="HI13" s="2728">
        <v>15.604855202290494</v>
      </c>
      <c r="HJ13" s="2728">
        <v>8.8374995224694146</v>
      </c>
      <c r="HK13" s="2728">
        <v>3.9878160446994286</v>
      </c>
      <c r="HL13" s="2728">
        <v>-3.1371112456067749</v>
      </c>
      <c r="HM13" s="2729">
        <f t="shared" ref="HM13:HR13" si="0">+HM12/HI12*100-100</f>
        <v>-20.921390307711476</v>
      </c>
      <c r="HN13" s="2729">
        <f t="shared" si="0"/>
        <v>-13.17202728474652</v>
      </c>
      <c r="HO13" s="2729">
        <f t="shared" si="0"/>
        <v>-7.5565618991140582</v>
      </c>
      <c r="HP13" s="2729">
        <f t="shared" si="0"/>
        <v>-8.9131757367812412</v>
      </c>
      <c r="HQ13" s="2729">
        <f t="shared" si="0"/>
        <v>-4.8043052220982929</v>
      </c>
      <c r="HR13" s="2729">
        <f t="shared" si="0"/>
        <v>9.8954332915605505</v>
      </c>
      <c r="HS13" s="2727"/>
      <c r="HT13" s="2726"/>
      <c r="HU13" s="2726"/>
      <c r="HV13" s="2728"/>
      <c r="HW13" s="2728"/>
      <c r="HX13" s="2728"/>
      <c r="HY13" s="2726"/>
      <c r="HZ13" s="2728"/>
      <c r="IA13" s="2728"/>
      <c r="IB13" s="2728"/>
      <c r="IC13" s="2728"/>
      <c r="ID13" s="2728"/>
      <c r="IE13" s="2728"/>
      <c r="IF13" s="2728"/>
      <c r="IG13" s="2728"/>
      <c r="IH13" s="2728"/>
      <c r="II13" s="2728"/>
      <c r="IJ13" s="2728"/>
      <c r="IK13" s="2865" t="s">
        <v>463</v>
      </c>
      <c r="IL13" s="3394">
        <v>12.838486261915079</v>
      </c>
      <c r="IM13" s="3394">
        <v>-2.043270505345717</v>
      </c>
      <c r="IN13" s="3394">
        <v>2.6752406006083902</v>
      </c>
      <c r="IO13" s="3394">
        <v>2.7744448263573389</v>
      </c>
      <c r="IP13" s="3394">
        <v>9.4546737850292857</v>
      </c>
      <c r="IQ13" s="3394">
        <v>17.896816619115285</v>
      </c>
      <c r="IR13" s="3394">
        <v>11.779530313389415</v>
      </c>
      <c r="IS13" s="3395">
        <v>2.9659395603223118</v>
      </c>
      <c r="IT13" s="3395">
        <f>+IT12/IS12*100-100</f>
        <v>-13.601826857457041</v>
      </c>
      <c r="IU13" s="3396">
        <f>+IU12/IT12*100-100</f>
        <v>-9.1252576322298893</v>
      </c>
      <c r="IV13" s="3285"/>
      <c r="IW13" s="3285"/>
      <c r="IX13" s="3285"/>
      <c r="IY13" s="3286"/>
      <c r="IZ13" s="3287"/>
      <c r="JA13" s="3764"/>
      <c r="JC13" s="3285"/>
      <c r="JD13" s="3231"/>
      <c r="JE13" s="3231"/>
      <c r="JF13" s="3231"/>
      <c r="JG13" s="3231"/>
      <c r="JH13" s="2723"/>
      <c r="JI13" s="3262"/>
      <c r="JJ13" s="2723"/>
      <c r="JK13" s="2723"/>
      <c r="JL13" s="2723"/>
      <c r="JM13" s="2723"/>
      <c r="JN13" s="2723"/>
      <c r="JO13" s="2723"/>
      <c r="JP13" s="2723"/>
      <c r="JQ13" s="2723"/>
      <c r="JS13" s="3231"/>
      <c r="JT13" s="3231"/>
      <c r="JU13" s="3231"/>
      <c r="JV13" s="3231"/>
      <c r="JW13" s="3231"/>
      <c r="JX13" s="3231"/>
      <c r="JY13" s="3231"/>
      <c r="JZ13" s="3231"/>
      <c r="KA13" s="3231"/>
      <c r="KB13" s="3231"/>
      <c r="KC13" s="3231"/>
      <c r="KD13" s="3231"/>
      <c r="KE13" s="3231"/>
      <c r="KF13" s="3231"/>
      <c r="KG13" s="3231"/>
      <c r="KH13" s="3231"/>
      <c r="KI13" s="3231"/>
      <c r="KJ13" s="3231"/>
      <c r="KK13" s="3231"/>
      <c r="KL13" s="3231"/>
      <c r="KM13" s="3231"/>
      <c r="KN13" s="3231"/>
      <c r="KO13" s="3231"/>
    </row>
    <row r="14" spans="1:301" ht="19.5" hidden="1" customHeight="1" thickBot="1">
      <c r="A14" s="2723"/>
      <c r="B14" s="2723"/>
      <c r="C14" s="3386"/>
      <c r="D14" s="3397"/>
      <c r="E14" s="3397"/>
      <c r="F14" s="3397"/>
      <c r="G14" s="3397"/>
      <c r="H14" s="3397"/>
      <c r="I14" s="3397"/>
      <c r="J14" s="3397"/>
      <c r="K14" s="3397"/>
      <c r="L14" s="3397"/>
      <c r="M14" s="3397"/>
      <c r="N14" s="3397"/>
      <c r="O14" s="3397"/>
      <c r="P14" s="3397"/>
      <c r="Q14" s="3397"/>
      <c r="R14" s="3397"/>
      <c r="S14" s="3397"/>
      <c r="T14" s="3397"/>
      <c r="U14" s="3397"/>
      <c r="V14" s="3397"/>
      <c r="W14" s="3397"/>
      <c r="X14" s="3397"/>
      <c r="Y14" s="3397"/>
      <c r="Z14" s="3397"/>
      <c r="AA14" s="3397"/>
      <c r="AB14" s="3388"/>
      <c r="AC14" s="3388"/>
      <c r="AD14" s="3388"/>
      <c r="AE14" s="3388"/>
      <c r="AF14" s="3388" t="s">
        <v>1365</v>
      </c>
      <c r="AG14" s="3388"/>
      <c r="AH14" s="3388"/>
      <c r="AI14" s="3388"/>
      <c r="AJ14" s="3388"/>
      <c r="AK14" s="3388"/>
      <c r="AL14" s="3388"/>
      <c r="AM14" s="3388"/>
      <c r="AN14" s="3397"/>
      <c r="AO14" s="3397"/>
      <c r="AP14" s="3397"/>
      <c r="AQ14" s="3397"/>
      <c r="AR14" s="3397"/>
      <c r="AS14" s="3397"/>
      <c r="AT14" s="3397"/>
      <c r="AU14" s="3397"/>
      <c r="AV14" s="3397"/>
      <c r="AW14" s="3397"/>
      <c r="AX14" s="3390"/>
      <c r="AY14" s="3387"/>
      <c r="AZ14" s="3397"/>
      <c r="BA14" s="3397"/>
      <c r="BB14" s="3397"/>
      <c r="BC14" s="3397"/>
      <c r="BD14" s="3397"/>
      <c r="BE14" s="3397"/>
      <c r="BF14" s="3397"/>
      <c r="BG14" s="3397"/>
      <c r="BH14" s="3397"/>
      <c r="BI14" s="3397"/>
      <c r="BJ14" s="3397"/>
      <c r="BK14" s="3397"/>
      <c r="BL14" s="3397"/>
      <c r="BM14" s="3397"/>
      <c r="BN14" s="3397"/>
      <c r="BO14" s="3397"/>
      <c r="BP14" s="3397"/>
      <c r="BQ14" s="3397"/>
      <c r="BR14" s="3397"/>
      <c r="BS14" s="3397"/>
      <c r="BT14" s="3397"/>
      <c r="BU14" s="3397"/>
      <c r="BV14" s="3397"/>
      <c r="BW14" s="3397"/>
      <c r="BX14" s="3397"/>
      <c r="BY14" s="3397"/>
      <c r="BZ14" s="3397"/>
      <c r="CA14" s="3397"/>
      <c r="CB14" s="3397"/>
      <c r="CC14" s="3397"/>
      <c r="CD14" s="3397"/>
      <c r="CE14" s="3397"/>
      <c r="CF14" s="3397"/>
      <c r="CG14" s="3397"/>
      <c r="CH14" s="3397"/>
      <c r="CI14" s="3397"/>
      <c r="CJ14" s="3397"/>
      <c r="CK14" s="3397"/>
      <c r="CL14" s="3397"/>
      <c r="CM14" s="3397"/>
      <c r="CN14" s="3397"/>
      <c r="CO14" s="3397"/>
      <c r="CP14" s="3397"/>
      <c r="CQ14" s="3397"/>
      <c r="CR14" s="3397"/>
      <c r="CS14" s="3397"/>
      <c r="CT14" s="3397"/>
      <c r="CU14" s="3397"/>
      <c r="CV14" s="3397"/>
      <c r="CW14" s="3397"/>
      <c r="CX14" s="3397"/>
      <c r="CY14" s="3397"/>
      <c r="CZ14" s="3397"/>
      <c r="DA14" s="3397"/>
      <c r="DB14" s="3397"/>
      <c r="DC14" s="3397"/>
      <c r="DD14" s="3397"/>
      <c r="DE14" s="3389"/>
      <c r="DF14" s="3389"/>
      <c r="DG14" s="3389"/>
      <c r="DH14" s="2686"/>
      <c r="DI14" s="2686"/>
      <c r="DJ14" s="2686"/>
      <c r="DK14" s="2686"/>
      <c r="DL14" s="2686"/>
      <c r="DM14" s="2686"/>
      <c r="DN14" s="2686"/>
      <c r="DO14" s="2686"/>
      <c r="DP14" s="2686"/>
      <c r="DQ14" s="2686"/>
      <c r="DR14" s="2686"/>
      <c r="DS14" s="2686"/>
      <c r="DT14" s="3392"/>
      <c r="DU14" s="3392"/>
      <c r="DV14" s="3392"/>
      <c r="DW14" s="3392"/>
      <c r="DX14" s="3392"/>
      <c r="DY14" s="3392"/>
      <c r="DZ14" s="3392"/>
      <c r="EA14" s="3392"/>
      <c r="EB14" s="3392"/>
      <c r="EC14" s="3392"/>
      <c r="ED14" s="3392"/>
      <c r="EE14" s="3392"/>
      <c r="EF14" s="3392"/>
      <c r="EG14" s="3392"/>
      <c r="EH14" s="3392"/>
      <c r="EI14" s="3392"/>
      <c r="EJ14" s="3392"/>
      <c r="EK14" s="3392"/>
      <c r="EL14" s="3392"/>
      <c r="EM14" s="3392"/>
      <c r="EN14" s="3392"/>
      <c r="EO14" s="3392"/>
      <c r="EP14" s="3392"/>
      <c r="EQ14" s="3392"/>
      <c r="ER14" s="3392"/>
      <c r="ES14" s="3392"/>
      <c r="ET14" s="3392"/>
      <c r="EU14" s="3392"/>
      <c r="EV14" s="3392"/>
      <c r="EW14" s="3392"/>
      <c r="EX14" s="3392"/>
      <c r="EY14" s="3392"/>
      <c r="EZ14" s="3392"/>
      <c r="FA14" s="3392"/>
      <c r="FB14" s="3392"/>
      <c r="FC14" s="3392"/>
      <c r="FD14" s="2750"/>
      <c r="FE14" s="2750"/>
      <c r="FF14" s="2750"/>
      <c r="FG14" s="2750"/>
      <c r="FH14" s="2750"/>
      <c r="FI14" s="2750"/>
      <c r="FJ14" s="2750"/>
      <c r="FK14" s="2750"/>
      <c r="FL14" s="2750"/>
      <c r="FM14" s="2750"/>
      <c r="FN14" s="2750"/>
      <c r="FO14" s="2750"/>
      <c r="FP14" s="2751"/>
      <c r="FQ14" s="2750"/>
      <c r="FR14" s="2750"/>
      <c r="FS14" s="2750"/>
      <c r="FT14" s="2750"/>
      <c r="FU14" s="2750"/>
      <c r="FV14" s="2750"/>
      <c r="FW14" s="2750"/>
      <c r="FX14" s="2750"/>
      <c r="FY14" s="2750"/>
      <c r="FZ14" s="2750"/>
      <c r="GA14" s="2750"/>
      <c r="GB14" s="2752"/>
      <c r="GC14" s="2726"/>
      <c r="GD14" s="2730"/>
      <c r="GE14" s="2730"/>
      <c r="GF14" s="2730"/>
      <c r="GG14" s="2730"/>
      <c r="GH14" s="2730"/>
      <c r="GI14" s="2730"/>
      <c r="GJ14" s="2730"/>
      <c r="GK14" s="2730"/>
      <c r="GL14" s="2730"/>
      <c r="GM14" s="2730"/>
      <c r="GN14" s="2731"/>
      <c r="GO14" s="2730"/>
      <c r="GP14" s="2730"/>
      <c r="GQ14" s="2730"/>
      <c r="GR14" s="2732"/>
      <c r="GS14" s="2730"/>
      <c r="GT14" s="2730"/>
      <c r="GU14" s="2730"/>
      <c r="GV14" s="2730"/>
      <c r="GW14" s="2730"/>
      <c r="GX14" s="2726"/>
      <c r="GY14" s="2726"/>
      <c r="GZ14" s="2726"/>
      <c r="HA14" s="2726"/>
      <c r="HB14" s="2726"/>
      <c r="HC14" s="2726"/>
      <c r="HD14" s="2726"/>
      <c r="HE14" s="2726"/>
      <c r="HF14" s="2726"/>
      <c r="HG14" s="2726"/>
      <c r="HH14" s="2726"/>
      <c r="HI14" s="2726"/>
      <c r="HJ14" s="2726"/>
      <c r="HK14" s="2726"/>
      <c r="HL14" s="2726"/>
      <c r="HM14" s="2727"/>
      <c r="HN14" s="2727"/>
      <c r="HO14" s="2727"/>
      <c r="HP14" s="2727"/>
      <c r="HQ14" s="2727"/>
      <c r="HR14" s="2727"/>
      <c r="HS14" s="2727"/>
      <c r="HT14" s="2726"/>
      <c r="HU14" s="2726"/>
      <c r="HV14" s="2726"/>
      <c r="HW14" s="2726"/>
      <c r="HX14" s="2726"/>
      <c r="HY14" s="2726"/>
      <c r="HZ14" s="2726"/>
      <c r="IA14" s="2726"/>
      <c r="IB14" s="2726"/>
      <c r="IC14" s="2726"/>
      <c r="ID14" s="2726"/>
      <c r="IE14" s="2726"/>
      <c r="IF14" s="2726"/>
      <c r="IG14" s="2726"/>
      <c r="IH14" s="2726"/>
      <c r="II14" s="2726"/>
      <c r="IJ14" s="2726"/>
      <c r="IK14" s="2753"/>
      <c r="IL14" s="3398"/>
      <c r="IM14" s="3398"/>
      <c r="IN14" s="3398"/>
      <c r="IO14" s="3398"/>
      <c r="IP14" s="3398"/>
      <c r="IQ14" s="3398"/>
      <c r="IR14" s="3398"/>
      <c r="IS14" s="3398"/>
      <c r="IT14" s="3398"/>
      <c r="IU14" s="3399"/>
      <c r="IV14" s="3285"/>
      <c r="IW14" s="3285"/>
      <c r="IX14" s="3285"/>
      <c r="IY14" s="3286"/>
      <c r="IZ14" s="3287"/>
      <c r="JA14" s="3764"/>
      <c r="JC14" s="3285"/>
      <c r="JD14" s="2723"/>
      <c r="JE14" s="2723"/>
      <c r="JF14" s="2723"/>
      <c r="JG14" s="2723"/>
      <c r="JH14" s="2723"/>
      <c r="JI14" s="3262"/>
      <c r="JJ14" s="2723"/>
      <c r="JK14" s="2723"/>
      <c r="JL14" s="2723"/>
      <c r="JM14" s="2723"/>
      <c r="JN14" s="2723"/>
      <c r="JO14" s="2723"/>
      <c r="JP14" s="2723"/>
      <c r="JQ14" s="2723"/>
      <c r="JS14" s="2723"/>
      <c r="JT14" s="2723"/>
      <c r="JU14" s="2723"/>
      <c r="JV14" s="2723"/>
      <c r="JW14" s="2723"/>
      <c r="JX14" s="2723"/>
      <c r="JY14" s="2723"/>
      <c r="JZ14" s="2723"/>
      <c r="KA14" s="2723"/>
      <c r="KB14" s="2723"/>
      <c r="KC14" s="2723"/>
      <c r="KD14" s="2723"/>
      <c r="KE14" s="2723"/>
      <c r="KF14" s="2723"/>
      <c r="KG14" s="2723"/>
      <c r="KH14" s="2723"/>
      <c r="KI14" s="2723"/>
      <c r="KJ14" s="2723"/>
      <c r="KK14" s="2723"/>
      <c r="KL14" s="2723"/>
      <c r="KM14" s="2723"/>
      <c r="KN14" s="2723"/>
      <c r="KO14" s="2723"/>
    </row>
    <row r="15" spans="1:301" ht="18" hidden="1" customHeight="1">
      <c r="A15" s="2723"/>
      <c r="B15" s="2723"/>
      <c r="C15" s="3271" t="s">
        <v>451</v>
      </c>
      <c r="D15" s="5423">
        <v>2007</v>
      </c>
      <c r="E15" s="5423"/>
      <c r="F15" s="5423"/>
      <c r="G15" s="5423"/>
      <c r="H15" s="5423"/>
      <c r="I15" s="5423"/>
      <c r="J15" s="5423"/>
      <c r="K15" s="5423"/>
      <c r="L15" s="5423"/>
      <c r="M15" s="5423"/>
      <c r="N15" s="5450"/>
      <c r="O15" s="5424"/>
      <c r="P15" s="5425">
        <v>2008</v>
      </c>
      <c r="Q15" s="5426"/>
      <c r="R15" s="5426"/>
      <c r="S15" s="5426"/>
      <c r="T15" s="5426"/>
      <c r="U15" s="5426"/>
      <c r="V15" s="5426"/>
      <c r="W15" s="5426"/>
      <c r="X15" s="5426"/>
      <c r="Y15" s="5426"/>
      <c r="Z15" s="5426"/>
      <c r="AA15" s="5426"/>
      <c r="AB15" s="5451">
        <v>2009</v>
      </c>
      <c r="AC15" s="5452"/>
      <c r="AD15" s="5452"/>
      <c r="AE15" s="5452"/>
      <c r="AF15" s="5452"/>
      <c r="AG15" s="5452"/>
      <c r="AH15" s="5452"/>
      <c r="AI15" s="5452"/>
      <c r="AJ15" s="5452"/>
      <c r="AK15" s="5452"/>
      <c r="AL15" s="5452"/>
      <c r="AM15" s="5453"/>
      <c r="AN15" s="5430">
        <v>2010</v>
      </c>
      <c r="AO15" s="5431"/>
      <c r="AP15" s="5431"/>
      <c r="AQ15" s="5431"/>
      <c r="AR15" s="5431"/>
      <c r="AS15" s="5431"/>
      <c r="AT15" s="5431"/>
      <c r="AU15" s="5431"/>
      <c r="AV15" s="5431"/>
      <c r="AW15" s="5431"/>
      <c r="AX15" s="5431"/>
      <c r="AY15" s="5431"/>
      <c r="AZ15" s="5432">
        <v>2011</v>
      </c>
      <c r="BA15" s="5433"/>
      <c r="BB15" s="5433"/>
      <c r="BC15" s="5433"/>
      <c r="BD15" s="5433"/>
      <c r="BE15" s="5433"/>
      <c r="BF15" s="5433"/>
      <c r="BG15" s="5433"/>
      <c r="BH15" s="5433"/>
      <c r="BI15" s="5433"/>
      <c r="BJ15" s="5433"/>
      <c r="BK15" s="5434"/>
      <c r="BL15" s="5435">
        <v>2012</v>
      </c>
      <c r="BM15" s="5436"/>
      <c r="BN15" s="5436"/>
      <c r="BO15" s="3837"/>
      <c r="BP15" s="3837"/>
      <c r="BQ15" s="3837"/>
      <c r="BR15" s="3837"/>
      <c r="BS15" s="3837"/>
      <c r="BT15" s="3272"/>
      <c r="BU15" s="3272"/>
      <c r="BV15" s="3272"/>
      <c r="BW15" s="3400"/>
      <c r="BX15" s="3401">
        <v>2013</v>
      </c>
      <c r="BY15" s="3402"/>
      <c r="BZ15" s="3402"/>
      <c r="CA15" s="3402"/>
      <c r="CB15" s="3402"/>
      <c r="CC15" s="3402"/>
      <c r="CD15" s="3402"/>
      <c r="CE15" s="3402"/>
      <c r="CF15" s="3402"/>
      <c r="CG15" s="3402"/>
      <c r="CH15" s="3402"/>
      <c r="CI15" s="3402"/>
      <c r="CJ15" s="3276">
        <v>2014</v>
      </c>
      <c r="CK15" s="3277"/>
      <c r="CL15" s="3277"/>
      <c r="CM15" s="3277"/>
      <c r="CN15" s="3277"/>
      <c r="CO15" s="3277"/>
      <c r="CP15" s="3277"/>
      <c r="CQ15" s="3277"/>
      <c r="CR15" s="3277"/>
      <c r="CS15" s="3277"/>
      <c r="CT15" s="3277"/>
      <c r="CU15" s="3278"/>
      <c r="CV15" s="3279">
        <v>2015</v>
      </c>
      <c r="CW15" s="3280"/>
      <c r="CX15" s="3280"/>
      <c r="CY15" s="3280"/>
      <c r="CZ15" s="3280"/>
      <c r="DA15" s="3280"/>
      <c r="DB15" s="3280"/>
      <c r="DC15" s="3280"/>
      <c r="DD15" s="3280"/>
      <c r="DE15" s="3403"/>
      <c r="DF15" s="3281"/>
      <c r="DG15" s="3281"/>
      <c r="DH15" s="5454">
        <v>2016</v>
      </c>
      <c r="DI15" s="5455"/>
      <c r="DJ15" s="5455"/>
      <c r="DK15" s="5455"/>
      <c r="DL15" s="5455"/>
      <c r="DM15" s="5455"/>
      <c r="DN15" s="5455"/>
      <c r="DO15" s="5455"/>
      <c r="DP15" s="5455"/>
      <c r="DQ15" s="5455"/>
      <c r="DR15" s="5455"/>
      <c r="DS15" s="5456"/>
      <c r="DT15" s="3404">
        <v>2017</v>
      </c>
      <c r="DU15" s="3404"/>
      <c r="DV15" s="3404"/>
      <c r="DW15" s="3404"/>
      <c r="DX15" s="3404"/>
      <c r="DY15" s="3404"/>
      <c r="DZ15" s="3405"/>
      <c r="EA15" s="3405"/>
      <c r="EB15" s="3405"/>
      <c r="EC15" s="3405"/>
      <c r="ED15" s="3405"/>
      <c r="EE15" s="3405"/>
      <c r="EF15" s="3404">
        <v>2017</v>
      </c>
      <c r="EG15" s="3404"/>
      <c r="EH15" s="3404"/>
      <c r="EI15" s="3404"/>
      <c r="EJ15" s="3404"/>
      <c r="EK15" s="3404"/>
      <c r="EL15" s="3405"/>
      <c r="EM15" s="3405"/>
      <c r="EN15" s="3405"/>
      <c r="EO15" s="3405"/>
      <c r="EP15" s="3405"/>
      <c r="EQ15" s="3405"/>
      <c r="ER15" s="3404">
        <v>2017</v>
      </c>
      <c r="ES15" s="3404"/>
      <c r="ET15" s="3404"/>
      <c r="EU15" s="3404"/>
      <c r="EV15" s="3404"/>
      <c r="EW15" s="3404"/>
      <c r="EX15" s="3405"/>
      <c r="EY15" s="3405"/>
      <c r="EZ15" s="3405"/>
      <c r="FA15" s="3405"/>
      <c r="FB15" s="3405"/>
      <c r="FC15" s="3405"/>
      <c r="FD15" s="2748"/>
      <c r="FE15" s="2748"/>
      <c r="FF15" s="2748"/>
      <c r="FG15" s="2748"/>
      <c r="FH15" s="2748"/>
      <c r="FI15" s="2748"/>
      <c r="FJ15" s="2748"/>
      <c r="FK15" s="2748"/>
      <c r="FL15" s="2748"/>
      <c r="FM15" s="2748"/>
      <c r="FN15" s="2748"/>
      <c r="FO15" s="2748"/>
      <c r="FP15" s="2747"/>
      <c r="FQ15" s="2748"/>
      <c r="FR15" s="2748"/>
      <c r="FS15" s="2748"/>
      <c r="FT15" s="2748"/>
      <c r="FU15" s="2748"/>
      <c r="FV15" s="2748"/>
      <c r="FW15" s="2748"/>
      <c r="FX15" s="2748"/>
      <c r="FY15" s="2748"/>
      <c r="FZ15" s="2748"/>
      <c r="GA15" s="2748"/>
      <c r="GB15" s="2749"/>
      <c r="GC15" s="2726"/>
      <c r="GD15" s="5440">
        <v>2007</v>
      </c>
      <c r="GE15" s="5441"/>
      <c r="GF15" s="5441"/>
      <c r="GG15" s="5441"/>
      <c r="GH15" s="5442">
        <v>2008</v>
      </c>
      <c r="GI15" s="5443"/>
      <c r="GJ15" s="5443"/>
      <c r="GK15" s="5444"/>
      <c r="GL15" s="5457">
        <v>2009</v>
      </c>
      <c r="GM15" s="5458"/>
      <c r="GN15" s="5458"/>
      <c r="GO15" s="5458"/>
      <c r="GP15" s="5459">
        <v>2010</v>
      </c>
      <c r="GQ15" s="5460"/>
      <c r="GR15" s="5460"/>
      <c r="GS15" s="5461"/>
      <c r="GT15" s="5462">
        <v>2011</v>
      </c>
      <c r="GU15" s="5463"/>
      <c r="GV15" s="5463"/>
      <c r="GW15" s="5464"/>
      <c r="GX15" s="5465">
        <v>2012</v>
      </c>
      <c r="GY15" s="5466"/>
      <c r="GZ15" s="5466"/>
      <c r="HA15" s="5466"/>
      <c r="HB15" s="2800">
        <v>2013</v>
      </c>
      <c r="HC15" s="2800"/>
      <c r="HD15" s="2800"/>
      <c r="HE15" s="2800"/>
      <c r="HF15" s="2810">
        <v>2014</v>
      </c>
      <c r="HG15" s="2810"/>
      <c r="HH15" s="2810"/>
      <c r="HI15" s="2810"/>
      <c r="HJ15" s="2802">
        <v>2015</v>
      </c>
      <c r="HK15" s="2802"/>
      <c r="HL15" s="2802"/>
      <c r="HM15" s="2803">
        <v>2016</v>
      </c>
      <c r="HN15" s="2803"/>
      <c r="HO15" s="2803"/>
      <c r="HP15" s="2803"/>
      <c r="HQ15" s="2804">
        <v>2017</v>
      </c>
      <c r="HR15" s="2804"/>
      <c r="HS15" s="2727"/>
      <c r="HT15" s="2726"/>
      <c r="HU15" s="2726"/>
      <c r="HV15" s="2800"/>
      <c r="HW15" s="2800"/>
      <c r="HX15" s="2800"/>
      <c r="HY15" s="2726"/>
      <c r="HZ15" s="2800"/>
      <c r="IA15" s="2800"/>
      <c r="IB15" s="2800"/>
      <c r="IC15" s="2800"/>
      <c r="ID15" s="2800"/>
      <c r="IE15" s="2800"/>
      <c r="IF15" s="2800"/>
      <c r="IG15" s="2800"/>
      <c r="IH15" s="2800"/>
      <c r="II15" s="2800"/>
      <c r="IJ15" s="2800"/>
      <c r="IK15" s="2805">
        <v>2007</v>
      </c>
      <c r="IL15" s="3284">
        <v>2008</v>
      </c>
      <c r="IM15" s="3284">
        <v>2009</v>
      </c>
      <c r="IN15" s="3284">
        <v>2010</v>
      </c>
      <c r="IO15" s="3284">
        <v>2011</v>
      </c>
      <c r="IP15" s="3284">
        <v>2012</v>
      </c>
      <c r="IQ15" s="3284">
        <v>2013</v>
      </c>
      <c r="IR15" s="3284">
        <v>2014</v>
      </c>
      <c r="IS15" s="5467" t="s">
        <v>452</v>
      </c>
      <c r="IT15" s="5467">
        <v>2016</v>
      </c>
      <c r="IU15" s="5447" t="str">
        <f>+IU7</f>
        <v>jul 2016 - jun 2017</v>
      </c>
      <c r="IV15" s="3285"/>
      <c r="IW15" s="3285"/>
      <c r="IX15" s="3285"/>
      <c r="IY15" s="3286"/>
      <c r="IZ15" s="3287"/>
      <c r="JA15" s="3764"/>
      <c r="JC15" s="3285"/>
      <c r="JD15" s="2723"/>
      <c r="JE15" s="2723"/>
      <c r="JF15" s="2723"/>
      <c r="JG15" s="2723"/>
      <c r="JH15" s="2723"/>
      <c r="JI15" s="3262"/>
      <c r="JJ15" s="2723"/>
      <c r="JK15" s="2723"/>
      <c r="JL15" s="2723"/>
      <c r="JM15" s="2723"/>
      <c r="JN15" s="2723"/>
      <c r="JO15" s="2723"/>
      <c r="JP15" s="2723"/>
      <c r="JQ15" s="2723"/>
      <c r="JS15" s="2723"/>
      <c r="JT15" s="2723"/>
      <c r="JU15" s="2723"/>
      <c r="JV15" s="2723"/>
      <c r="JW15" s="2723"/>
      <c r="JX15" s="2723"/>
      <c r="JY15" s="2723"/>
      <c r="JZ15" s="2723"/>
      <c r="KA15" s="2723"/>
      <c r="KB15" s="2723"/>
      <c r="KC15" s="2723"/>
      <c r="KD15" s="2723"/>
      <c r="KE15" s="2723"/>
      <c r="KF15" s="2723"/>
      <c r="KG15" s="2723"/>
      <c r="KH15" s="2723"/>
      <c r="KI15" s="2723"/>
      <c r="KJ15" s="2723"/>
      <c r="KK15" s="2723"/>
      <c r="KL15" s="2723"/>
      <c r="KM15" s="2723"/>
      <c r="KN15" s="2723"/>
      <c r="KO15" s="2723"/>
    </row>
    <row r="16" spans="1:301" ht="6.75" hidden="1" customHeight="1">
      <c r="A16" s="2723"/>
      <c r="B16" s="2723"/>
      <c r="C16" s="3288"/>
      <c r="D16" s="3281"/>
      <c r="E16" s="3281"/>
      <c r="F16" s="3281"/>
      <c r="G16" s="3281"/>
      <c r="H16" s="3281"/>
      <c r="I16" s="3281"/>
      <c r="J16" s="3281"/>
      <c r="K16" s="3281"/>
      <c r="L16" s="3281"/>
      <c r="M16" s="3281"/>
      <c r="N16" s="3281"/>
      <c r="O16" s="3281"/>
      <c r="P16" s="3289"/>
      <c r="Q16" s="3281"/>
      <c r="R16" s="3281"/>
      <c r="S16" s="3281"/>
      <c r="T16" s="3281"/>
      <c r="U16" s="3281"/>
      <c r="V16" s="3281"/>
      <c r="W16" s="3281"/>
      <c r="X16" s="3281"/>
      <c r="Y16" s="3281"/>
      <c r="Z16" s="3281"/>
      <c r="AA16" s="3281"/>
      <c r="AB16" s="3281"/>
      <c r="AC16" s="3281"/>
      <c r="AD16" s="3281"/>
      <c r="AE16" s="3281"/>
      <c r="AF16" s="3281"/>
      <c r="AG16" s="3281"/>
      <c r="AH16" s="3281"/>
      <c r="AI16" s="3281"/>
      <c r="AJ16" s="3281"/>
      <c r="AK16" s="3281"/>
      <c r="AL16" s="3281"/>
      <c r="AM16" s="3281"/>
      <c r="AN16" s="3281"/>
      <c r="AO16" s="3281"/>
      <c r="AP16" s="3281"/>
      <c r="AQ16" s="3281"/>
      <c r="AR16" s="3281"/>
      <c r="AS16" s="3281"/>
      <c r="AT16" s="3281"/>
      <c r="AU16" s="3281"/>
      <c r="AV16" s="3281"/>
      <c r="AW16" s="3281"/>
      <c r="AX16" s="3281"/>
      <c r="AY16" s="3281"/>
      <c r="AZ16" s="3290"/>
      <c r="BA16" s="3281"/>
      <c r="BB16" s="3281"/>
      <c r="BC16" s="3281"/>
      <c r="BD16" s="3281"/>
      <c r="BE16" s="3281"/>
      <c r="BF16" s="3281"/>
      <c r="BG16" s="3281"/>
      <c r="BH16" s="3281"/>
      <c r="BI16" s="3281"/>
      <c r="BJ16" s="3281"/>
      <c r="BK16" s="3291"/>
      <c r="BL16" s="3290"/>
      <c r="BM16" s="3281"/>
      <c r="BN16" s="3281"/>
      <c r="BO16" s="3281"/>
      <c r="BP16" s="3281"/>
      <c r="BQ16" s="3281"/>
      <c r="BR16" s="3281"/>
      <c r="BS16" s="3281"/>
      <c r="BT16" s="3281"/>
      <c r="BU16" s="3281"/>
      <c r="BV16" s="3281"/>
      <c r="BW16" s="3291"/>
      <c r="BX16" s="3290"/>
      <c r="BY16" s="3281"/>
      <c r="BZ16" s="3281"/>
      <c r="CA16" s="3281"/>
      <c r="CB16" s="3281"/>
      <c r="CC16" s="3281"/>
      <c r="CD16" s="3281"/>
      <c r="CE16" s="3281"/>
      <c r="CF16" s="3281"/>
      <c r="CG16" s="3281"/>
      <c r="CH16" s="3281"/>
      <c r="CI16" s="3281"/>
      <c r="CJ16" s="3295"/>
      <c r="CK16" s="3296"/>
      <c r="CL16" s="3296"/>
      <c r="CM16" s="3296"/>
      <c r="CN16" s="3296"/>
      <c r="CO16" s="3296"/>
      <c r="CP16" s="3296"/>
      <c r="CQ16" s="3296"/>
      <c r="CR16" s="3296"/>
      <c r="CS16" s="3296"/>
      <c r="CT16" s="3296"/>
      <c r="CU16" s="3297"/>
      <c r="CV16" s="3298"/>
      <c r="CW16" s="3299"/>
      <c r="CX16" s="3299"/>
      <c r="CY16" s="3299"/>
      <c r="CZ16" s="3299"/>
      <c r="DA16" s="3299"/>
      <c r="DB16" s="3299"/>
      <c r="DC16" s="3299"/>
      <c r="DD16" s="3299"/>
      <c r="DE16" s="3406"/>
      <c r="DF16" s="3299"/>
      <c r="DG16" s="3299"/>
      <c r="DH16" s="3300"/>
      <c r="DI16" s="3300"/>
      <c r="DJ16" s="3300"/>
      <c r="DK16" s="3300"/>
      <c r="DL16" s="3300"/>
      <c r="DM16" s="3300"/>
      <c r="DN16" s="3300"/>
      <c r="DO16" s="3300"/>
      <c r="DP16" s="3300"/>
      <c r="DQ16" s="3300"/>
      <c r="DR16" s="3300"/>
      <c r="DS16" s="3300"/>
      <c r="DT16" s="3301"/>
      <c r="DU16" s="3301"/>
      <c r="DV16" s="3301"/>
      <c r="DW16" s="3301"/>
      <c r="DX16" s="3301"/>
      <c r="DY16" s="3301"/>
      <c r="DZ16" s="3302"/>
      <c r="EA16" s="3302"/>
      <c r="EB16" s="3302"/>
      <c r="EC16" s="3302"/>
      <c r="ED16" s="3302"/>
      <c r="EE16" s="3302"/>
      <c r="EF16" s="3301"/>
      <c r="EG16" s="3301"/>
      <c r="EH16" s="3301"/>
      <c r="EI16" s="3301"/>
      <c r="EJ16" s="3301"/>
      <c r="EK16" s="3301"/>
      <c r="EL16" s="3302"/>
      <c r="EM16" s="3302"/>
      <c r="EN16" s="3302"/>
      <c r="EO16" s="3302"/>
      <c r="EP16" s="3302"/>
      <c r="EQ16" s="3302"/>
      <c r="ER16" s="3301"/>
      <c r="ES16" s="3301"/>
      <c r="ET16" s="3301"/>
      <c r="EU16" s="3301"/>
      <c r="EV16" s="3301"/>
      <c r="EW16" s="3301"/>
      <c r="EX16" s="3302"/>
      <c r="EY16" s="3302"/>
      <c r="EZ16" s="3302"/>
      <c r="FA16" s="3302"/>
      <c r="FB16" s="3302"/>
      <c r="FC16" s="3302"/>
      <c r="FD16" s="2806"/>
      <c r="FE16" s="2806"/>
      <c r="FF16" s="2806"/>
      <c r="FG16" s="2806"/>
      <c r="FH16" s="2806"/>
      <c r="FI16" s="2806"/>
      <c r="FJ16" s="2806"/>
      <c r="FK16" s="2806"/>
      <c r="FL16" s="2806"/>
      <c r="FM16" s="2806"/>
      <c r="FN16" s="2806"/>
      <c r="FO16" s="2806"/>
      <c r="FP16" s="2807"/>
      <c r="FQ16" s="2806"/>
      <c r="FR16" s="2806"/>
      <c r="FS16" s="2806"/>
      <c r="FT16" s="2806"/>
      <c r="FU16" s="2806"/>
      <c r="FV16" s="2806"/>
      <c r="FW16" s="2806"/>
      <c r="FX16" s="2806"/>
      <c r="FY16" s="2806"/>
      <c r="FZ16" s="2806"/>
      <c r="GA16" s="2806"/>
      <c r="GB16" s="2749"/>
      <c r="GC16" s="2808"/>
      <c r="GD16" s="2798"/>
      <c r="GE16" s="2798"/>
      <c r="GF16" s="2798"/>
      <c r="GG16" s="2798"/>
      <c r="GH16" s="2798"/>
      <c r="GI16" s="2798"/>
      <c r="GJ16" s="2798"/>
      <c r="GK16" s="2798"/>
      <c r="GL16" s="2798"/>
      <c r="GM16" s="2798"/>
      <c r="GN16" s="2798"/>
      <c r="GO16" s="2798"/>
      <c r="GP16" s="2798"/>
      <c r="GQ16" s="2798"/>
      <c r="GR16" s="2798"/>
      <c r="GS16" s="2798"/>
      <c r="GT16" s="2809"/>
      <c r="GU16" s="2809"/>
      <c r="GV16" s="2809"/>
      <c r="GW16" s="2809"/>
      <c r="GX16" s="2798"/>
      <c r="GY16" s="2798"/>
      <c r="GZ16" s="2798"/>
      <c r="HA16" s="2798"/>
      <c r="HB16" s="2798"/>
      <c r="HC16" s="2798"/>
      <c r="HD16" s="2798"/>
      <c r="HE16" s="2798"/>
      <c r="HF16" s="2810"/>
      <c r="HG16" s="2810"/>
      <c r="HH16" s="2810"/>
      <c r="HI16" s="2810"/>
      <c r="HJ16" s="2810"/>
      <c r="HK16" s="2810"/>
      <c r="HL16" s="2810"/>
      <c r="HM16" s="2748"/>
      <c r="HN16" s="2748"/>
      <c r="HO16" s="2748"/>
      <c r="HP16" s="2748"/>
      <c r="HQ16" s="2748"/>
      <c r="HR16" s="2748"/>
      <c r="HS16" s="2748"/>
      <c r="HT16" s="2798"/>
      <c r="HU16" s="2798"/>
      <c r="HV16" s="2798"/>
      <c r="HW16" s="2798"/>
      <c r="HX16" s="2798"/>
      <c r="HY16" s="2798"/>
      <c r="HZ16" s="2798"/>
      <c r="IA16" s="2798"/>
      <c r="IB16" s="2798"/>
      <c r="IC16" s="2798"/>
      <c r="ID16" s="2798"/>
      <c r="IE16" s="2798"/>
      <c r="IF16" s="2798"/>
      <c r="IG16" s="2798"/>
      <c r="IH16" s="2798"/>
      <c r="II16" s="2798"/>
      <c r="IJ16" s="2798"/>
      <c r="IK16" s="2811"/>
      <c r="IL16" s="3303"/>
      <c r="IM16" s="3303"/>
      <c r="IN16" s="3303"/>
      <c r="IO16" s="3303"/>
      <c r="IP16" s="3303"/>
      <c r="IQ16" s="3303"/>
      <c r="IR16" s="3303"/>
      <c r="IS16" s="5467"/>
      <c r="IT16" s="5467"/>
      <c r="IU16" s="5448"/>
      <c r="IV16" s="3285"/>
      <c r="IW16" s="3285"/>
      <c r="IX16" s="3285"/>
      <c r="IY16" s="3286"/>
      <c r="IZ16" s="3287"/>
      <c r="JA16" s="3764"/>
      <c r="JC16" s="3285"/>
      <c r="JD16" s="2723"/>
      <c r="JE16" s="2723"/>
      <c r="JF16" s="2723"/>
      <c r="JG16" s="2723"/>
      <c r="JH16" s="2723"/>
      <c r="JI16" s="3262"/>
      <c r="JJ16" s="2723"/>
      <c r="JK16" s="2723"/>
      <c r="JL16" s="2723"/>
      <c r="JM16" s="2723"/>
      <c r="JN16" s="2723"/>
      <c r="JO16" s="2723"/>
      <c r="JP16" s="2723"/>
      <c r="JQ16" s="2723"/>
      <c r="JS16" s="2723"/>
      <c r="JT16" s="2723"/>
      <c r="JU16" s="2723"/>
      <c r="JV16" s="2723"/>
      <c r="JW16" s="2723"/>
      <c r="JX16" s="2723"/>
      <c r="JY16" s="2723"/>
      <c r="JZ16" s="2723"/>
      <c r="KA16" s="2723"/>
      <c r="KB16" s="2723"/>
      <c r="KC16" s="2723"/>
      <c r="KD16" s="2723"/>
      <c r="KE16" s="2723"/>
      <c r="KF16" s="2723"/>
      <c r="KG16" s="2723"/>
      <c r="KH16" s="2723"/>
      <c r="KI16" s="2723"/>
      <c r="KJ16" s="2723"/>
      <c r="KK16" s="2723"/>
      <c r="KL16" s="2723"/>
      <c r="KM16" s="2723"/>
      <c r="KN16" s="2723"/>
      <c r="KO16" s="2723"/>
    </row>
    <row r="17" spans="1:301" ht="21" hidden="1" customHeight="1">
      <c r="A17" s="2723"/>
      <c r="B17" s="2723"/>
      <c r="C17" s="3242" t="s">
        <v>464</v>
      </c>
      <c r="D17" s="3304" t="s">
        <v>36</v>
      </c>
      <c r="E17" s="3305" t="s">
        <v>37</v>
      </c>
      <c r="F17" s="3305" t="s">
        <v>38</v>
      </c>
      <c r="G17" s="3305" t="s">
        <v>39</v>
      </c>
      <c r="H17" s="3305" t="s">
        <v>40</v>
      </c>
      <c r="I17" s="3305" t="s">
        <v>41</v>
      </c>
      <c r="J17" s="3305" t="s">
        <v>42</v>
      </c>
      <c r="K17" s="3305" t="s">
        <v>43</v>
      </c>
      <c r="L17" s="3305" t="s">
        <v>44</v>
      </c>
      <c r="M17" s="3305" t="s">
        <v>45</v>
      </c>
      <c r="N17" s="3305" t="s">
        <v>46</v>
      </c>
      <c r="O17" s="3306" t="s">
        <v>47</v>
      </c>
      <c r="P17" s="3307" t="s">
        <v>36</v>
      </c>
      <c r="Q17" s="3305" t="s">
        <v>37</v>
      </c>
      <c r="R17" s="3305" t="s">
        <v>38</v>
      </c>
      <c r="S17" s="3305" t="s">
        <v>39</v>
      </c>
      <c r="T17" s="3305" t="s">
        <v>40</v>
      </c>
      <c r="U17" s="3305" t="s">
        <v>41</v>
      </c>
      <c r="V17" s="3305" t="s">
        <v>42</v>
      </c>
      <c r="W17" s="3305" t="s">
        <v>43</v>
      </c>
      <c r="X17" s="3305" t="s">
        <v>44</v>
      </c>
      <c r="Y17" s="3305" t="s">
        <v>45</v>
      </c>
      <c r="Z17" s="3305" t="s">
        <v>46</v>
      </c>
      <c r="AA17" s="3306" t="s">
        <v>47</v>
      </c>
      <c r="AB17" s="3308" t="s">
        <v>36</v>
      </c>
      <c r="AC17" s="3309" t="s">
        <v>37</v>
      </c>
      <c r="AD17" s="3309" t="s">
        <v>38</v>
      </c>
      <c r="AE17" s="3309" t="s">
        <v>39</v>
      </c>
      <c r="AF17" s="3309" t="s">
        <v>40</v>
      </c>
      <c r="AG17" s="3309" t="s">
        <v>41</v>
      </c>
      <c r="AH17" s="3309" t="s">
        <v>42</v>
      </c>
      <c r="AI17" s="3309" t="s">
        <v>43</v>
      </c>
      <c r="AJ17" s="3309" t="s">
        <v>44</v>
      </c>
      <c r="AK17" s="3309" t="s">
        <v>45</v>
      </c>
      <c r="AL17" s="3309" t="s">
        <v>46</v>
      </c>
      <c r="AM17" s="3309" t="s">
        <v>47</v>
      </c>
      <c r="AN17" s="3309" t="s">
        <v>36</v>
      </c>
      <c r="AO17" s="3309" t="s">
        <v>37</v>
      </c>
      <c r="AP17" s="3309" t="s">
        <v>38</v>
      </c>
      <c r="AQ17" s="3309" t="s">
        <v>39</v>
      </c>
      <c r="AR17" s="3309" t="s">
        <v>40</v>
      </c>
      <c r="AS17" s="3309" t="s">
        <v>40</v>
      </c>
      <c r="AT17" s="3309" t="s">
        <v>42</v>
      </c>
      <c r="AU17" s="3309" t="s">
        <v>43</v>
      </c>
      <c r="AV17" s="3309" t="s">
        <v>44</v>
      </c>
      <c r="AW17" s="3309" t="s">
        <v>45</v>
      </c>
      <c r="AX17" s="3309" t="s">
        <v>46</v>
      </c>
      <c r="AY17" s="3310" t="s">
        <v>47</v>
      </c>
      <c r="AZ17" s="3311" t="s">
        <v>36</v>
      </c>
      <c r="BA17" s="3312" t="s">
        <v>37</v>
      </c>
      <c r="BB17" s="3312" t="s">
        <v>38</v>
      </c>
      <c r="BC17" s="3312" t="s">
        <v>39</v>
      </c>
      <c r="BD17" s="3312" t="s">
        <v>40</v>
      </c>
      <c r="BE17" s="3312" t="s">
        <v>41</v>
      </c>
      <c r="BF17" s="3312" t="s">
        <v>42</v>
      </c>
      <c r="BG17" s="3312" t="s">
        <v>43</v>
      </c>
      <c r="BH17" s="3312" t="s">
        <v>44</v>
      </c>
      <c r="BI17" s="3312" t="s">
        <v>45</v>
      </c>
      <c r="BJ17" s="3312" t="s">
        <v>46</v>
      </c>
      <c r="BK17" s="3313" t="s">
        <v>47</v>
      </c>
      <c r="BL17" s="3314" t="s">
        <v>36</v>
      </c>
      <c r="BM17" s="3315" t="s">
        <v>37</v>
      </c>
      <c r="BN17" s="3315" t="s">
        <v>38</v>
      </c>
      <c r="BO17" s="3315" t="s">
        <v>39</v>
      </c>
      <c r="BP17" s="3315" t="s">
        <v>40</v>
      </c>
      <c r="BQ17" s="3315" t="s">
        <v>41</v>
      </c>
      <c r="BR17" s="3315" t="s">
        <v>42</v>
      </c>
      <c r="BS17" s="3315" t="s">
        <v>43</v>
      </c>
      <c r="BT17" s="3316" t="s">
        <v>44</v>
      </c>
      <c r="BU17" s="3316" t="s">
        <v>45</v>
      </c>
      <c r="BV17" s="3316" t="s">
        <v>46</v>
      </c>
      <c r="BW17" s="3407" t="s">
        <v>47</v>
      </c>
      <c r="BX17" s="3408" t="s">
        <v>36</v>
      </c>
      <c r="BY17" s="3318" t="s">
        <v>37</v>
      </c>
      <c r="BZ17" s="3318" t="s">
        <v>38</v>
      </c>
      <c r="CA17" s="3318" t="s">
        <v>39</v>
      </c>
      <c r="CB17" s="3318" t="s">
        <v>40</v>
      </c>
      <c r="CC17" s="3318" t="s">
        <v>41</v>
      </c>
      <c r="CD17" s="3318" t="s">
        <v>42</v>
      </c>
      <c r="CE17" s="3318" t="s">
        <v>43</v>
      </c>
      <c r="CF17" s="3318" t="s">
        <v>44</v>
      </c>
      <c r="CG17" s="3318" t="s">
        <v>45</v>
      </c>
      <c r="CH17" s="3318" t="s">
        <v>46</v>
      </c>
      <c r="CI17" s="3318" t="s">
        <v>47</v>
      </c>
      <c r="CJ17" s="3319" t="s">
        <v>36</v>
      </c>
      <c r="CK17" s="3309" t="s">
        <v>37</v>
      </c>
      <c r="CL17" s="3309" t="s">
        <v>38</v>
      </c>
      <c r="CM17" s="3309" t="s">
        <v>39</v>
      </c>
      <c r="CN17" s="3309" t="s">
        <v>40</v>
      </c>
      <c r="CO17" s="3309" t="s">
        <v>41</v>
      </c>
      <c r="CP17" s="3309" t="s">
        <v>42</v>
      </c>
      <c r="CQ17" s="3309" t="s">
        <v>43</v>
      </c>
      <c r="CR17" s="3309" t="s">
        <v>44</v>
      </c>
      <c r="CS17" s="3309" t="s">
        <v>45</v>
      </c>
      <c r="CT17" s="3309" t="s">
        <v>46</v>
      </c>
      <c r="CU17" s="3320" t="s">
        <v>47</v>
      </c>
      <c r="CV17" s="3318" t="s">
        <v>36</v>
      </c>
      <c r="CW17" s="3318" t="s">
        <v>37</v>
      </c>
      <c r="CX17" s="3318" t="s">
        <v>38</v>
      </c>
      <c r="CY17" s="3318" t="s">
        <v>39</v>
      </c>
      <c r="CZ17" s="3318" t="s">
        <v>40</v>
      </c>
      <c r="DA17" s="3318" t="s">
        <v>41</v>
      </c>
      <c r="DB17" s="3318" t="s">
        <v>42</v>
      </c>
      <c r="DC17" s="3318" t="s">
        <v>43</v>
      </c>
      <c r="DD17" s="3318" t="s">
        <v>44</v>
      </c>
      <c r="DE17" s="3318" t="s">
        <v>45</v>
      </c>
      <c r="DF17" s="3318"/>
      <c r="DG17" s="3318"/>
      <c r="DH17" s="2685" t="s">
        <v>36</v>
      </c>
      <c r="DI17" s="2685" t="s">
        <v>37</v>
      </c>
      <c r="DJ17" s="2685" t="s">
        <v>38</v>
      </c>
      <c r="DK17" s="2685" t="s">
        <v>39</v>
      </c>
      <c r="DL17" s="2685" t="s">
        <v>40</v>
      </c>
      <c r="DM17" s="2685" t="s">
        <v>41</v>
      </c>
      <c r="DN17" s="2685" t="s">
        <v>42</v>
      </c>
      <c r="DO17" s="2685" t="s">
        <v>43</v>
      </c>
      <c r="DP17" s="2685" t="s">
        <v>183</v>
      </c>
      <c r="DQ17" s="2685" t="s">
        <v>45</v>
      </c>
      <c r="DR17" s="2685" t="s">
        <v>46</v>
      </c>
      <c r="DS17" s="2683" t="s">
        <v>47</v>
      </c>
      <c r="DT17" s="2684" t="s">
        <v>36</v>
      </c>
      <c r="DU17" s="2684" t="s">
        <v>37</v>
      </c>
      <c r="DV17" s="2684" t="s">
        <v>38</v>
      </c>
      <c r="DW17" s="2684" t="s">
        <v>39</v>
      </c>
      <c r="DX17" s="2684" t="s">
        <v>40</v>
      </c>
      <c r="DY17" s="2684" t="s">
        <v>41</v>
      </c>
      <c r="DZ17" s="2685"/>
      <c r="EA17" s="2685"/>
      <c r="EB17" s="2685"/>
      <c r="EC17" s="2685"/>
      <c r="ED17" s="2685"/>
      <c r="EE17" s="2685"/>
      <c r="EF17" s="2684" t="s">
        <v>36</v>
      </c>
      <c r="EG17" s="2684" t="s">
        <v>37</v>
      </c>
      <c r="EH17" s="2684" t="s">
        <v>38</v>
      </c>
      <c r="EI17" s="2684" t="s">
        <v>39</v>
      </c>
      <c r="EJ17" s="2684" t="s">
        <v>40</v>
      </c>
      <c r="EK17" s="2684" t="s">
        <v>41</v>
      </c>
      <c r="EL17" s="2685"/>
      <c r="EM17" s="2685"/>
      <c r="EN17" s="2685"/>
      <c r="EO17" s="2685"/>
      <c r="EP17" s="2685"/>
      <c r="EQ17" s="2685"/>
      <c r="ER17" s="2684" t="s">
        <v>36</v>
      </c>
      <c r="ES17" s="2684" t="s">
        <v>37</v>
      </c>
      <c r="ET17" s="2684" t="s">
        <v>38</v>
      </c>
      <c r="EU17" s="2684" t="s">
        <v>39</v>
      </c>
      <c r="EV17" s="2684" t="s">
        <v>40</v>
      </c>
      <c r="EW17" s="2684" t="s">
        <v>41</v>
      </c>
      <c r="EX17" s="2685"/>
      <c r="EY17" s="2685"/>
      <c r="EZ17" s="2685"/>
      <c r="FA17" s="2685"/>
      <c r="FB17" s="2685"/>
      <c r="FC17" s="2685"/>
      <c r="FD17" s="2812"/>
      <c r="FE17" s="2812"/>
      <c r="FF17" s="2812"/>
      <c r="FG17" s="2812"/>
      <c r="FH17" s="2812"/>
      <c r="FI17" s="2812"/>
      <c r="FJ17" s="2812"/>
      <c r="FK17" s="2812"/>
      <c r="FL17" s="2812"/>
      <c r="FM17" s="2812"/>
      <c r="FN17" s="2812"/>
      <c r="FO17" s="2812"/>
      <c r="FP17" s="2813"/>
      <c r="FQ17" s="2812"/>
      <c r="FR17" s="2812"/>
      <c r="FS17" s="2812"/>
      <c r="FT17" s="2812"/>
      <c r="FU17" s="2812"/>
      <c r="FV17" s="2812"/>
      <c r="FW17" s="2812"/>
      <c r="FX17" s="2812"/>
      <c r="FY17" s="2812"/>
      <c r="FZ17" s="2812"/>
      <c r="GA17" s="2812"/>
      <c r="GB17" s="2749"/>
      <c r="GC17" s="2726"/>
      <c r="GD17" s="2814" t="s">
        <v>167</v>
      </c>
      <c r="GE17" s="2815" t="s">
        <v>453</v>
      </c>
      <c r="GF17" s="2815" t="s">
        <v>454</v>
      </c>
      <c r="GG17" s="2816" t="s">
        <v>455</v>
      </c>
      <c r="GH17" s="2814" t="s">
        <v>167</v>
      </c>
      <c r="GI17" s="2815" t="s">
        <v>453</v>
      </c>
      <c r="GJ17" s="2815" t="s">
        <v>454</v>
      </c>
      <c r="GK17" s="2816" t="s">
        <v>455</v>
      </c>
      <c r="GL17" s="2817" t="s">
        <v>167</v>
      </c>
      <c r="GM17" s="2818" t="s">
        <v>453</v>
      </c>
      <c r="GN17" s="2818" t="s">
        <v>456</v>
      </c>
      <c r="GO17" s="2818" t="s">
        <v>457</v>
      </c>
      <c r="GP17" s="2819" t="s">
        <v>167</v>
      </c>
      <c r="GQ17" s="2820" t="s">
        <v>458</v>
      </c>
      <c r="GR17" s="2820" t="s">
        <v>459</v>
      </c>
      <c r="GS17" s="2821" t="s">
        <v>455</v>
      </c>
      <c r="GT17" s="2822" t="s">
        <v>167</v>
      </c>
      <c r="GU17" s="2823" t="s">
        <v>453</v>
      </c>
      <c r="GV17" s="2823" t="s">
        <v>456</v>
      </c>
      <c r="GW17" s="2824" t="s">
        <v>457</v>
      </c>
      <c r="GX17" s="2789" t="s">
        <v>167</v>
      </c>
      <c r="GY17" s="2789" t="s">
        <v>453</v>
      </c>
      <c r="GZ17" s="2789" t="s">
        <v>456</v>
      </c>
      <c r="HA17" s="2789" t="s">
        <v>457</v>
      </c>
      <c r="HB17" s="2789" t="s">
        <v>167</v>
      </c>
      <c r="HC17" s="2789" t="s">
        <v>453</v>
      </c>
      <c r="HD17" s="2789" t="s">
        <v>456</v>
      </c>
      <c r="HE17" s="2789" t="s">
        <v>457</v>
      </c>
      <c r="HF17" s="2789" t="s">
        <v>167</v>
      </c>
      <c r="HG17" s="2789" t="s">
        <v>453</v>
      </c>
      <c r="HH17" s="2789" t="s">
        <v>456</v>
      </c>
      <c r="HI17" s="2789" t="s">
        <v>457</v>
      </c>
      <c r="HJ17" s="2789" t="s">
        <v>167</v>
      </c>
      <c r="HK17" s="2789" t="s">
        <v>453</v>
      </c>
      <c r="HL17" s="2789" t="s">
        <v>456</v>
      </c>
      <c r="HM17" s="2792" t="s">
        <v>167</v>
      </c>
      <c r="HN17" s="2792" t="s">
        <v>453</v>
      </c>
      <c r="HO17" s="2792" t="s">
        <v>456</v>
      </c>
      <c r="HP17" s="2792" t="s">
        <v>457</v>
      </c>
      <c r="HQ17" s="2825" t="s">
        <v>167</v>
      </c>
      <c r="HR17" s="2792" t="s">
        <v>453</v>
      </c>
      <c r="HS17" s="2727"/>
      <c r="HT17" s="2726"/>
      <c r="HU17" s="2789"/>
      <c r="HV17" s="2789"/>
      <c r="HW17" s="2789"/>
      <c r="HX17" s="2789"/>
      <c r="HY17" s="2789"/>
      <c r="HZ17" s="2789"/>
      <c r="IA17" s="2789"/>
      <c r="IB17" s="2789"/>
      <c r="IC17" s="2789"/>
      <c r="ID17" s="2789"/>
      <c r="IE17" s="2789"/>
      <c r="IF17" s="2789"/>
      <c r="IG17" s="2789"/>
      <c r="IH17" s="2789"/>
      <c r="II17" s="2789"/>
      <c r="IJ17" s="2789"/>
      <c r="IK17" s="2811" t="s">
        <v>48</v>
      </c>
      <c r="IL17" s="3321" t="s">
        <v>48</v>
      </c>
      <c r="IM17" s="3321" t="s">
        <v>48</v>
      </c>
      <c r="IN17" s="3321" t="s">
        <v>48</v>
      </c>
      <c r="IO17" s="3321" t="s">
        <v>48</v>
      </c>
      <c r="IP17" s="3321" t="s">
        <v>48</v>
      </c>
      <c r="IQ17" s="3321" t="s">
        <v>48</v>
      </c>
      <c r="IR17" s="3321" t="s">
        <v>48</v>
      </c>
      <c r="IS17" s="5467"/>
      <c r="IT17" s="5467" t="s">
        <v>48</v>
      </c>
      <c r="IU17" s="5449"/>
      <c r="IV17" s="3285"/>
      <c r="IW17" s="3285"/>
      <c r="IX17" s="3285"/>
      <c r="IY17" s="3286"/>
      <c r="IZ17" s="3287"/>
      <c r="JA17" s="3764"/>
      <c r="JC17" s="3285"/>
      <c r="JD17" s="2723"/>
      <c r="JE17" s="2723"/>
      <c r="JF17" s="2723"/>
      <c r="JG17" s="2723"/>
      <c r="JH17" s="2723"/>
      <c r="JI17" s="3262"/>
      <c r="JJ17" s="2723"/>
      <c r="JK17" s="2723"/>
      <c r="JL17" s="2723"/>
      <c r="JM17" s="2723"/>
      <c r="JN17" s="2723"/>
      <c r="JO17" s="2723"/>
      <c r="JP17" s="2723"/>
      <c r="JQ17" s="2723"/>
      <c r="JS17" s="2723"/>
      <c r="JT17" s="2723"/>
      <c r="JU17" s="2723"/>
      <c r="JV17" s="2723"/>
      <c r="JW17" s="2723"/>
      <c r="JX17" s="2723"/>
      <c r="JY17" s="2723"/>
      <c r="JZ17" s="2723"/>
      <c r="KA17" s="2723"/>
      <c r="KB17" s="2723"/>
      <c r="KC17" s="2723"/>
      <c r="KD17" s="2723"/>
      <c r="KE17" s="2723"/>
      <c r="KF17" s="2723"/>
      <c r="KG17" s="2723"/>
      <c r="KH17" s="2723"/>
      <c r="KI17" s="2723"/>
      <c r="KJ17" s="2723"/>
      <c r="KK17" s="2723"/>
      <c r="KL17" s="2723"/>
      <c r="KM17" s="2723"/>
      <c r="KN17" s="2723"/>
      <c r="KO17" s="2723"/>
    </row>
    <row r="18" spans="1:301" ht="21.9" hidden="1" customHeight="1">
      <c r="A18" s="2723"/>
      <c r="B18" s="3231"/>
      <c r="C18" s="3322" t="s">
        <v>465</v>
      </c>
      <c r="D18" s="3323">
        <v>12868</v>
      </c>
      <c r="E18" s="3324">
        <v>12562</v>
      </c>
      <c r="F18" s="3324">
        <v>14092</v>
      </c>
      <c r="G18" s="3324">
        <v>11643</v>
      </c>
      <c r="H18" s="3324">
        <v>12324</v>
      </c>
      <c r="I18" s="3324">
        <v>19252</v>
      </c>
      <c r="J18" s="3324">
        <v>23995</v>
      </c>
      <c r="K18" s="3324">
        <v>19628</v>
      </c>
      <c r="L18" s="3324">
        <v>13637</v>
      </c>
      <c r="M18" s="3324">
        <v>14520</v>
      </c>
      <c r="N18" s="3324">
        <v>15315</v>
      </c>
      <c r="O18" s="3325">
        <v>16747</v>
      </c>
      <c r="P18" s="3326">
        <v>15605</v>
      </c>
      <c r="Q18" s="3327">
        <v>20308</v>
      </c>
      <c r="R18" s="3327">
        <v>16291</v>
      </c>
      <c r="S18" s="3327">
        <v>13109</v>
      </c>
      <c r="T18" s="3327">
        <v>15719</v>
      </c>
      <c r="U18" s="3327">
        <v>20911</v>
      </c>
      <c r="V18" s="3327">
        <v>23376</v>
      </c>
      <c r="W18" s="3327">
        <v>19940</v>
      </c>
      <c r="X18" s="3327">
        <v>14171</v>
      </c>
      <c r="Y18" s="3327">
        <v>15742</v>
      </c>
      <c r="Z18" s="3327">
        <v>16268</v>
      </c>
      <c r="AA18" s="3328">
        <v>16664</v>
      </c>
      <c r="AB18" s="3329">
        <v>16075</v>
      </c>
      <c r="AC18" s="3330">
        <v>14263</v>
      </c>
      <c r="AD18" s="3330">
        <v>14215</v>
      </c>
      <c r="AE18" s="3330">
        <v>14651</v>
      </c>
      <c r="AF18" s="3330">
        <v>14336</v>
      </c>
      <c r="AG18" s="3330">
        <v>21832</v>
      </c>
      <c r="AH18" s="3330">
        <v>23427</v>
      </c>
      <c r="AI18" s="3330">
        <v>24201</v>
      </c>
      <c r="AJ18" s="3330">
        <v>19444</v>
      </c>
      <c r="AK18" s="3330">
        <v>15000</v>
      </c>
      <c r="AL18" s="3330">
        <v>15985</v>
      </c>
      <c r="AM18" s="3330">
        <v>19929</v>
      </c>
      <c r="AN18" s="3331">
        <v>17091</v>
      </c>
      <c r="AO18" s="3331">
        <v>21797</v>
      </c>
      <c r="AP18" s="3331">
        <v>21549</v>
      </c>
      <c r="AQ18" s="3331">
        <v>13103</v>
      </c>
      <c r="AR18" s="3331">
        <v>16089</v>
      </c>
      <c r="AS18" s="3331">
        <v>21338</v>
      </c>
      <c r="AT18" s="3331">
        <v>23713</v>
      </c>
      <c r="AU18" s="3331">
        <v>19170</v>
      </c>
      <c r="AV18" s="3331">
        <v>14087</v>
      </c>
      <c r="AW18" s="3331">
        <v>16499</v>
      </c>
      <c r="AX18" s="3331">
        <v>16347.786779532433</v>
      </c>
      <c r="AY18" s="3332">
        <v>18623</v>
      </c>
      <c r="AZ18" s="3333">
        <v>16587</v>
      </c>
      <c r="BA18" s="3334">
        <v>20821</v>
      </c>
      <c r="BB18" s="3334">
        <v>22885</v>
      </c>
      <c r="BC18" s="3334">
        <v>15391</v>
      </c>
      <c r="BD18" s="3334">
        <v>16262</v>
      </c>
      <c r="BE18" s="3334">
        <v>21880</v>
      </c>
      <c r="BF18" s="3334">
        <v>27019</v>
      </c>
      <c r="BG18" s="3334">
        <v>19435</v>
      </c>
      <c r="BH18" s="3334">
        <v>14314</v>
      </c>
      <c r="BI18" s="3334">
        <v>16555</v>
      </c>
      <c r="BJ18" s="3334">
        <v>17105</v>
      </c>
      <c r="BK18" s="3335">
        <v>20064</v>
      </c>
      <c r="BL18" s="3336">
        <v>17211</v>
      </c>
      <c r="BM18" s="3337">
        <v>15331</v>
      </c>
      <c r="BN18" s="3337">
        <v>17436</v>
      </c>
      <c r="BO18" s="3337">
        <v>15593</v>
      </c>
      <c r="BP18" s="3337">
        <v>17369</v>
      </c>
      <c r="BQ18" s="3337">
        <v>24678</v>
      </c>
      <c r="BR18" s="3337">
        <v>26169</v>
      </c>
      <c r="BS18" s="3337">
        <v>20841</v>
      </c>
      <c r="BT18" s="3338">
        <v>16564</v>
      </c>
      <c r="BU18" s="3338">
        <v>18394</v>
      </c>
      <c r="BV18" s="3338">
        <v>19333</v>
      </c>
      <c r="BW18" s="3409">
        <v>24973</v>
      </c>
      <c r="BX18" s="3410">
        <v>20547</v>
      </c>
      <c r="BY18" s="3341">
        <v>18859</v>
      </c>
      <c r="BZ18" s="3341">
        <v>21576</v>
      </c>
      <c r="CA18" s="3341">
        <v>17079</v>
      </c>
      <c r="CB18" s="3341">
        <v>20813</v>
      </c>
      <c r="CC18" s="3341">
        <v>28058</v>
      </c>
      <c r="CD18" s="3341">
        <v>30365</v>
      </c>
      <c r="CE18" s="3341">
        <v>24398</v>
      </c>
      <c r="CF18" s="3341">
        <v>21281</v>
      </c>
      <c r="CG18" s="3341">
        <v>23371</v>
      </c>
      <c r="CH18" s="3341">
        <v>24766</v>
      </c>
      <c r="CI18" s="3342">
        <v>29503</v>
      </c>
      <c r="CJ18" s="3343">
        <v>23092</v>
      </c>
      <c r="CK18" s="3344">
        <v>24049</v>
      </c>
      <c r="CL18" s="3344">
        <v>22503</v>
      </c>
      <c r="CM18" s="3344">
        <v>22329</v>
      </c>
      <c r="CN18" s="3344">
        <v>22922</v>
      </c>
      <c r="CO18" s="3344">
        <v>27404</v>
      </c>
      <c r="CP18" s="3344">
        <v>33880</v>
      </c>
      <c r="CQ18" s="3344">
        <v>26950</v>
      </c>
      <c r="CR18" s="3344">
        <v>24091</v>
      </c>
      <c r="CS18" s="3344">
        <v>26083</v>
      </c>
      <c r="CT18" s="3344">
        <v>27482</v>
      </c>
      <c r="CU18" s="3345">
        <v>35990</v>
      </c>
      <c r="CV18" s="3346">
        <v>26300</v>
      </c>
      <c r="CW18" s="3341">
        <v>23090</v>
      </c>
      <c r="CX18" s="3342">
        <v>26552</v>
      </c>
      <c r="CY18" s="3342">
        <v>23326</v>
      </c>
      <c r="CZ18" s="3342">
        <v>25293</v>
      </c>
      <c r="DA18" s="3342">
        <v>31330</v>
      </c>
      <c r="DB18" s="3342">
        <v>35269</v>
      </c>
      <c r="DC18" s="3342">
        <v>24631</v>
      </c>
      <c r="DD18" s="3347">
        <v>22572</v>
      </c>
      <c r="DE18" s="3347">
        <v>24944</v>
      </c>
      <c r="DF18" s="3334"/>
      <c r="DG18" s="3334"/>
      <c r="DH18" s="3348">
        <v>24158</v>
      </c>
      <c r="DI18" s="3349">
        <v>23213</v>
      </c>
      <c r="DJ18" s="3349">
        <v>25544</v>
      </c>
      <c r="DK18" s="3350">
        <v>18204</v>
      </c>
      <c r="DL18" s="3350">
        <v>20971</v>
      </c>
      <c r="DM18" s="3350">
        <v>30083</v>
      </c>
      <c r="DN18" s="3350">
        <v>31893</v>
      </c>
      <c r="DO18" s="3350">
        <v>21838</v>
      </c>
      <c r="DP18" s="3350">
        <v>17458</v>
      </c>
      <c r="DQ18" s="3350">
        <v>23703</v>
      </c>
      <c r="DR18" s="3350">
        <v>21331</v>
      </c>
      <c r="DS18" s="3349">
        <v>30660</v>
      </c>
      <c r="DT18" s="3351">
        <v>23300</v>
      </c>
      <c r="DU18" s="3351">
        <v>21614</v>
      </c>
      <c r="DV18" s="3351">
        <v>24393</v>
      </c>
      <c r="DW18" s="3351">
        <v>23604</v>
      </c>
      <c r="DX18" s="3351">
        <v>21781</v>
      </c>
      <c r="DY18" s="3351">
        <v>32335</v>
      </c>
      <c r="DZ18" s="3352"/>
      <c r="EA18" s="3352"/>
      <c r="EB18" s="3352"/>
      <c r="EC18" s="3352"/>
      <c r="ED18" s="3352"/>
      <c r="EE18" s="3352"/>
      <c r="EF18" s="3351">
        <v>23300</v>
      </c>
      <c r="EG18" s="3351">
        <v>21614</v>
      </c>
      <c r="EH18" s="3351">
        <v>24393</v>
      </c>
      <c r="EI18" s="3351">
        <v>23604</v>
      </c>
      <c r="EJ18" s="3351">
        <v>21781</v>
      </c>
      <c r="EK18" s="3351">
        <v>32335</v>
      </c>
      <c r="EL18" s="3352"/>
      <c r="EM18" s="3352"/>
      <c r="EN18" s="3352"/>
      <c r="EO18" s="3352"/>
      <c r="EP18" s="3352"/>
      <c r="EQ18" s="3352"/>
      <c r="ER18" s="3351">
        <v>23300</v>
      </c>
      <c r="ES18" s="3351">
        <v>21614</v>
      </c>
      <c r="ET18" s="3351">
        <v>24393</v>
      </c>
      <c r="EU18" s="3351">
        <v>23604</v>
      </c>
      <c r="EV18" s="3351">
        <v>21781</v>
      </c>
      <c r="EW18" s="3351">
        <v>32335</v>
      </c>
      <c r="EX18" s="3352"/>
      <c r="EY18" s="3352"/>
      <c r="EZ18" s="3352"/>
      <c r="FA18" s="3352"/>
      <c r="FB18" s="3352"/>
      <c r="FC18" s="3352"/>
      <c r="FD18" s="2826"/>
      <c r="FE18" s="2826"/>
      <c r="FF18" s="2826"/>
      <c r="FG18" s="2826"/>
      <c r="FH18" s="2826"/>
      <c r="FI18" s="2826"/>
      <c r="FJ18" s="2826"/>
      <c r="FK18" s="2826"/>
      <c r="FL18" s="2826"/>
      <c r="FM18" s="2826"/>
      <c r="FN18" s="2826"/>
      <c r="FO18" s="2826"/>
      <c r="FP18" s="2827"/>
      <c r="FQ18" s="2826"/>
      <c r="FR18" s="2826"/>
      <c r="FS18" s="2826"/>
      <c r="FT18" s="2826"/>
      <c r="FU18" s="2826"/>
      <c r="FV18" s="2826"/>
      <c r="FW18" s="2826"/>
      <c r="FX18" s="2826"/>
      <c r="FY18" s="2826"/>
      <c r="FZ18" s="2826"/>
      <c r="GA18" s="2826"/>
      <c r="GB18" s="2752"/>
      <c r="GC18" s="2726"/>
      <c r="GD18" s="2828">
        <v>39522</v>
      </c>
      <c r="GE18" s="2829">
        <v>43219</v>
      </c>
      <c r="GF18" s="2829">
        <v>57260</v>
      </c>
      <c r="GG18" s="2830">
        <v>46582</v>
      </c>
      <c r="GH18" s="2831">
        <v>52204</v>
      </c>
      <c r="GI18" s="2832">
        <v>49739</v>
      </c>
      <c r="GJ18" s="2832">
        <v>57487</v>
      </c>
      <c r="GK18" s="2833">
        <v>48674</v>
      </c>
      <c r="GL18" s="2834">
        <v>44553</v>
      </c>
      <c r="GM18" s="2835">
        <v>50819</v>
      </c>
      <c r="GN18" s="2836">
        <v>67072</v>
      </c>
      <c r="GO18" s="2836">
        <v>50914</v>
      </c>
      <c r="GP18" s="2837">
        <v>60437</v>
      </c>
      <c r="GQ18" s="2838">
        <v>50530</v>
      </c>
      <c r="GR18" s="2838">
        <v>56970</v>
      </c>
      <c r="GS18" s="2839">
        <v>51469.786779532435</v>
      </c>
      <c r="GT18" s="2840">
        <v>60293</v>
      </c>
      <c r="GU18" s="2841">
        <v>53533</v>
      </c>
      <c r="GV18" s="2841">
        <v>60768</v>
      </c>
      <c r="GW18" s="2842">
        <v>53724</v>
      </c>
      <c r="GX18" s="2838">
        <v>49978</v>
      </c>
      <c r="GY18" s="2838">
        <v>57640</v>
      </c>
      <c r="GZ18" s="2838">
        <v>63574</v>
      </c>
      <c r="HA18" s="2838">
        <v>62700</v>
      </c>
      <c r="HB18" s="2843">
        <v>60982</v>
      </c>
      <c r="HC18" s="2843">
        <v>65950</v>
      </c>
      <c r="HD18" s="2843">
        <v>76044</v>
      </c>
      <c r="HE18" s="2843">
        <v>77640</v>
      </c>
      <c r="HF18" s="2844">
        <v>69644</v>
      </c>
      <c r="HG18" s="2844">
        <v>72655</v>
      </c>
      <c r="HH18" s="2844">
        <v>86913</v>
      </c>
      <c r="HI18" s="2844">
        <v>89555</v>
      </c>
      <c r="HJ18" s="2845">
        <v>75942</v>
      </c>
      <c r="HK18" s="2845">
        <v>73563</v>
      </c>
      <c r="HL18" s="2845">
        <v>84844</v>
      </c>
      <c r="HM18" s="2846">
        <f>+DH18+DI18+DJ18</f>
        <v>72915</v>
      </c>
      <c r="HN18" s="2846">
        <f>+DM18+DL18+DK18</f>
        <v>69258</v>
      </c>
      <c r="HO18" s="2846">
        <f>+DP18+DO18+DN18</f>
        <v>71189</v>
      </c>
      <c r="HP18" s="2846">
        <f>+DQ18+DR18+DS18</f>
        <v>75694</v>
      </c>
      <c r="HQ18" s="2847">
        <f>+DT18+DU18+DV18</f>
        <v>69307</v>
      </c>
      <c r="HR18" s="2847">
        <f>+DW18+DX18+DY18</f>
        <v>77720</v>
      </c>
      <c r="HS18" s="2727"/>
      <c r="HT18" s="2726"/>
      <c r="HU18" s="2838"/>
      <c r="HV18" s="2843"/>
      <c r="HW18" s="2843"/>
      <c r="HX18" s="2843"/>
      <c r="HY18" s="2838"/>
      <c r="HZ18" s="2843"/>
      <c r="IA18" s="2843"/>
      <c r="IB18" s="2843"/>
      <c r="IC18" s="2843"/>
      <c r="ID18" s="2843"/>
      <c r="IE18" s="2843"/>
      <c r="IF18" s="2843"/>
      <c r="IG18" s="2843"/>
      <c r="IH18" s="2843"/>
      <c r="II18" s="2843"/>
      <c r="IJ18" s="2843"/>
      <c r="IK18" s="2848">
        <v>186583</v>
      </c>
      <c r="IL18" s="3353">
        <v>208104</v>
      </c>
      <c r="IM18" s="3353">
        <v>213358</v>
      </c>
      <c r="IN18" s="3353">
        <v>219406.78677953244</v>
      </c>
      <c r="IO18" s="3353">
        <v>228318</v>
      </c>
      <c r="IP18" s="3353">
        <v>233892</v>
      </c>
      <c r="IQ18" s="3353">
        <v>280616</v>
      </c>
      <c r="IR18" s="3353">
        <v>316775</v>
      </c>
      <c r="IS18" s="3354">
        <v>326779</v>
      </c>
      <c r="IT18" s="3354">
        <f>SUM(DI18:DT18)</f>
        <v>288198</v>
      </c>
      <c r="IU18" s="3355">
        <f>SUM(DO18:EE18)</f>
        <v>262017</v>
      </c>
      <c r="IV18" s="3285"/>
      <c r="IW18" s="3285"/>
      <c r="IX18" s="3285"/>
      <c r="IY18" s="3286"/>
      <c r="IZ18" s="3287"/>
      <c r="JA18" s="3764"/>
      <c r="JC18" s="3285"/>
      <c r="JD18" s="3231"/>
      <c r="JE18" s="3231"/>
      <c r="JF18" s="3231"/>
      <c r="JG18" s="3231"/>
      <c r="JH18" s="2723"/>
      <c r="JI18" s="3262"/>
      <c r="JJ18" s="2723"/>
      <c r="JK18" s="2723"/>
      <c r="JL18" s="2723"/>
      <c r="JM18" s="2723"/>
      <c r="JN18" s="2723"/>
      <c r="JO18" s="2723"/>
      <c r="JP18" s="2723"/>
      <c r="JQ18" s="2723"/>
      <c r="JS18" s="3231"/>
      <c r="JT18" s="3231"/>
      <c r="JU18" s="3231"/>
      <c r="JV18" s="3231"/>
      <c r="JW18" s="3231"/>
      <c r="JX18" s="3231"/>
      <c r="JY18" s="3231"/>
      <c r="JZ18" s="3231"/>
      <c r="KA18" s="3231"/>
      <c r="KB18" s="3231"/>
      <c r="KC18" s="3231"/>
      <c r="KD18" s="3231"/>
      <c r="KE18" s="3231"/>
      <c r="KF18" s="3231"/>
      <c r="KG18" s="3231"/>
      <c r="KH18" s="3231"/>
      <c r="KI18" s="3231"/>
      <c r="KJ18" s="3231"/>
      <c r="KK18" s="3231"/>
      <c r="KL18" s="3231"/>
      <c r="KM18" s="3231"/>
      <c r="KN18" s="3231"/>
      <c r="KO18" s="3231"/>
    </row>
    <row r="19" spans="1:301" ht="21.9" hidden="1" customHeight="1">
      <c r="A19" s="2723"/>
      <c r="B19" s="3231"/>
      <c r="C19" s="3322" t="s">
        <v>466</v>
      </c>
      <c r="D19" s="3323">
        <v>16579</v>
      </c>
      <c r="E19" s="3324">
        <v>16687</v>
      </c>
      <c r="F19" s="3324">
        <v>18444</v>
      </c>
      <c r="G19" s="3324">
        <v>15286</v>
      </c>
      <c r="H19" s="3324">
        <v>16202</v>
      </c>
      <c r="I19" s="3324">
        <v>21853</v>
      </c>
      <c r="J19" s="3324">
        <v>25938</v>
      </c>
      <c r="K19" s="3324">
        <v>22616</v>
      </c>
      <c r="L19" s="3324">
        <v>17770</v>
      </c>
      <c r="M19" s="3324">
        <v>19371</v>
      </c>
      <c r="N19" s="3324">
        <v>20491</v>
      </c>
      <c r="O19" s="3325">
        <v>20033</v>
      </c>
      <c r="P19" s="3326">
        <v>19386</v>
      </c>
      <c r="Q19" s="3327">
        <v>26182</v>
      </c>
      <c r="R19" s="3327">
        <v>20514</v>
      </c>
      <c r="S19" s="3327">
        <v>17996</v>
      </c>
      <c r="T19" s="3327">
        <v>19879</v>
      </c>
      <c r="U19" s="3327">
        <v>24673</v>
      </c>
      <c r="V19" s="3327">
        <v>27108</v>
      </c>
      <c r="W19" s="3327">
        <v>23636</v>
      </c>
      <c r="X19" s="3327">
        <v>20147</v>
      </c>
      <c r="Y19" s="3327">
        <v>21235</v>
      </c>
      <c r="Z19" s="3327">
        <v>22022</v>
      </c>
      <c r="AA19" s="3328">
        <v>20617</v>
      </c>
      <c r="AB19" s="3329">
        <v>19829</v>
      </c>
      <c r="AC19" s="3330">
        <v>18732</v>
      </c>
      <c r="AD19" s="3330">
        <v>20027</v>
      </c>
      <c r="AE19" s="3330">
        <v>18510</v>
      </c>
      <c r="AF19" s="3330">
        <v>18437</v>
      </c>
      <c r="AG19" s="3330">
        <v>24964</v>
      </c>
      <c r="AH19" s="3330">
        <v>26642</v>
      </c>
      <c r="AI19" s="3330">
        <v>20177</v>
      </c>
      <c r="AJ19" s="3330">
        <v>14050</v>
      </c>
      <c r="AK19" s="3330">
        <v>20959</v>
      </c>
      <c r="AL19" s="3330">
        <v>22416</v>
      </c>
      <c r="AM19" s="3330">
        <v>23764</v>
      </c>
      <c r="AN19" s="3331">
        <v>21512</v>
      </c>
      <c r="AO19" s="3331">
        <v>18046</v>
      </c>
      <c r="AP19" s="3331">
        <v>16480</v>
      </c>
      <c r="AQ19" s="3331">
        <v>18495</v>
      </c>
      <c r="AR19" s="3331">
        <v>21027</v>
      </c>
      <c r="AS19" s="3331">
        <v>24755</v>
      </c>
      <c r="AT19" s="3331">
        <v>26053</v>
      </c>
      <c r="AU19" s="3331">
        <v>23311</v>
      </c>
      <c r="AV19" s="3331">
        <v>18916</v>
      </c>
      <c r="AW19" s="3331">
        <v>21799</v>
      </c>
      <c r="AX19" s="3331">
        <v>21823.213220467565</v>
      </c>
      <c r="AY19" s="3332">
        <v>22597</v>
      </c>
      <c r="AZ19" s="3333">
        <v>20876</v>
      </c>
      <c r="BA19" s="3334">
        <v>15157</v>
      </c>
      <c r="BB19" s="3334">
        <v>16530</v>
      </c>
      <c r="BC19" s="3334">
        <v>20558</v>
      </c>
      <c r="BD19" s="3334">
        <v>21761</v>
      </c>
      <c r="BE19" s="3334">
        <v>25964</v>
      </c>
      <c r="BF19" s="3334">
        <v>24133</v>
      </c>
      <c r="BG19" s="3334">
        <v>23601</v>
      </c>
      <c r="BH19" s="3334">
        <v>20314</v>
      </c>
      <c r="BI19" s="3334">
        <v>22027</v>
      </c>
      <c r="BJ19" s="3334">
        <v>23968</v>
      </c>
      <c r="BK19" s="3335">
        <v>24171</v>
      </c>
      <c r="BL19" s="3336">
        <v>20562</v>
      </c>
      <c r="BM19" s="3337">
        <v>20323</v>
      </c>
      <c r="BN19" s="3337">
        <v>23227</v>
      </c>
      <c r="BO19" s="3337">
        <v>20931</v>
      </c>
      <c r="BP19" s="3337">
        <v>23351</v>
      </c>
      <c r="BQ19" s="3337">
        <v>29488</v>
      </c>
      <c r="BR19" s="3337">
        <v>29999</v>
      </c>
      <c r="BS19" s="3337">
        <v>25371</v>
      </c>
      <c r="BT19" s="3338">
        <v>23183</v>
      </c>
      <c r="BU19" s="3338">
        <v>26470</v>
      </c>
      <c r="BV19" s="3338">
        <v>27089</v>
      </c>
      <c r="BW19" s="3409">
        <v>29572</v>
      </c>
      <c r="BX19" s="3410">
        <v>25590</v>
      </c>
      <c r="BY19" s="3341">
        <v>24315</v>
      </c>
      <c r="BZ19" s="3341">
        <v>27451</v>
      </c>
      <c r="CA19" s="3341">
        <v>24555</v>
      </c>
      <c r="CB19" s="3341">
        <v>27290</v>
      </c>
      <c r="CC19" s="3341">
        <v>32996</v>
      </c>
      <c r="CD19" s="3341">
        <v>33754</v>
      </c>
      <c r="CE19" s="3341">
        <v>28311</v>
      </c>
      <c r="CF19" s="3341">
        <v>28105</v>
      </c>
      <c r="CG19" s="3341">
        <v>29596</v>
      </c>
      <c r="CH19" s="3341">
        <v>31495</v>
      </c>
      <c r="CI19" s="3342">
        <v>34856</v>
      </c>
      <c r="CJ19" s="3343">
        <v>28596</v>
      </c>
      <c r="CK19" s="3344">
        <v>29573</v>
      </c>
      <c r="CL19" s="3344">
        <v>29245</v>
      </c>
      <c r="CM19" s="3344">
        <v>27241</v>
      </c>
      <c r="CN19" s="3344">
        <v>29252</v>
      </c>
      <c r="CO19" s="3344">
        <v>31391</v>
      </c>
      <c r="CP19" s="3344">
        <v>37219</v>
      </c>
      <c r="CQ19" s="3344">
        <v>30840</v>
      </c>
      <c r="CR19" s="3344">
        <v>31763</v>
      </c>
      <c r="CS19" s="3344">
        <v>33386</v>
      </c>
      <c r="CT19" s="3344">
        <v>35775</v>
      </c>
      <c r="CU19" s="3345">
        <v>41959</v>
      </c>
      <c r="CV19" s="3346">
        <v>31924</v>
      </c>
      <c r="CW19" s="3341">
        <v>30231</v>
      </c>
      <c r="CX19" s="3342">
        <v>32841</v>
      </c>
      <c r="CY19" s="3342">
        <v>30528</v>
      </c>
      <c r="CZ19" s="3342">
        <v>31345</v>
      </c>
      <c r="DA19" s="3342">
        <v>35808</v>
      </c>
      <c r="DB19" s="3342">
        <v>37737</v>
      </c>
      <c r="DC19" s="3342">
        <v>28363</v>
      </c>
      <c r="DD19" s="3347">
        <v>29071</v>
      </c>
      <c r="DE19" s="3347">
        <v>31505</v>
      </c>
      <c r="DF19" s="3334"/>
      <c r="DG19" s="3334"/>
      <c r="DH19" s="3348">
        <v>28675</v>
      </c>
      <c r="DI19" s="3349">
        <v>28225</v>
      </c>
      <c r="DJ19" s="3349">
        <v>28876</v>
      </c>
      <c r="DK19" s="3350">
        <v>22779</v>
      </c>
      <c r="DL19" s="3350">
        <v>25191</v>
      </c>
      <c r="DM19" s="3350">
        <v>31194</v>
      </c>
      <c r="DN19" s="3350">
        <v>34459</v>
      </c>
      <c r="DO19" s="3350">
        <v>25967</v>
      </c>
      <c r="DP19" s="3350">
        <v>22711</v>
      </c>
      <c r="DQ19" s="3350">
        <v>30128</v>
      </c>
      <c r="DR19" s="3350">
        <v>26980</v>
      </c>
      <c r="DS19" s="3349">
        <v>33385</v>
      </c>
      <c r="DT19" s="3351">
        <v>27314</v>
      </c>
      <c r="DU19" s="3351">
        <v>25818</v>
      </c>
      <c r="DV19" s="3351">
        <v>28628</v>
      </c>
      <c r="DW19" s="3351">
        <v>26604</v>
      </c>
      <c r="DX19" s="3351">
        <v>25254</v>
      </c>
      <c r="DY19" s="3351">
        <v>33531</v>
      </c>
      <c r="DZ19" s="3352"/>
      <c r="EA19" s="3352"/>
      <c r="EB19" s="3352"/>
      <c r="EC19" s="3352"/>
      <c r="ED19" s="3352"/>
      <c r="EE19" s="3352"/>
      <c r="EF19" s="3351">
        <v>27314</v>
      </c>
      <c r="EG19" s="3351">
        <v>25818</v>
      </c>
      <c r="EH19" s="3351">
        <v>28628</v>
      </c>
      <c r="EI19" s="3351">
        <v>26604</v>
      </c>
      <c r="EJ19" s="3351">
        <v>25254</v>
      </c>
      <c r="EK19" s="3351">
        <v>33531</v>
      </c>
      <c r="EL19" s="3352"/>
      <c r="EM19" s="3352"/>
      <c r="EN19" s="3352"/>
      <c r="EO19" s="3352"/>
      <c r="EP19" s="3352"/>
      <c r="EQ19" s="3352"/>
      <c r="ER19" s="3351">
        <v>27314</v>
      </c>
      <c r="ES19" s="3351">
        <v>25818</v>
      </c>
      <c r="ET19" s="3351">
        <v>28628</v>
      </c>
      <c r="EU19" s="3351">
        <v>26604</v>
      </c>
      <c r="EV19" s="3351">
        <v>25254</v>
      </c>
      <c r="EW19" s="3351">
        <v>33531</v>
      </c>
      <c r="EX19" s="3352"/>
      <c r="EY19" s="3352"/>
      <c r="EZ19" s="3352"/>
      <c r="FA19" s="3352"/>
      <c r="FB19" s="3352"/>
      <c r="FC19" s="3352"/>
      <c r="FD19" s="2826"/>
      <c r="FE19" s="2826"/>
      <c r="FF19" s="2826"/>
      <c r="FG19" s="2826"/>
      <c r="FH19" s="2826"/>
      <c r="FI19" s="2826"/>
      <c r="FJ19" s="2826"/>
      <c r="FK19" s="2826"/>
      <c r="FL19" s="2826"/>
      <c r="FM19" s="2826"/>
      <c r="FN19" s="2826"/>
      <c r="FO19" s="2826"/>
      <c r="FP19" s="2827"/>
      <c r="FQ19" s="2826"/>
      <c r="FR19" s="2826"/>
      <c r="FS19" s="2826"/>
      <c r="FT19" s="2826"/>
      <c r="FU19" s="2826"/>
      <c r="FV19" s="2826"/>
      <c r="FW19" s="2826"/>
      <c r="FX19" s="2826"/>
      <c r="FY19" s="2826"/>
      <c r="FZ19" s="2826"/>
      <c r="GA19" s="2826"/>
      <c r="GB19" s="2752"/>
      <c r="GC19" s="2726"/>
      <c r="GD19" s="2828">
        <v>51710</v>
      </c>
      <c r="GE19" s="2829">
        <v>53341</v>
      </c>
      <c r="GF19" s="2829">
        <v>66324</v>
      </c>
      <c r="GG19" s="2830">
        <v>59895</v>
      </c>
      <c r="GH19" s="2831">
        <v>66082</v>
      </c>
      <c r="GI19" s="2832">
        <v>62548</v>
      </c>
      <c r="GJ19" s="2832">
        <v>70891</v>
      </c>
      <c r="GK19" s="2833">
        <v>63874</v>
      </c>
      <c r="GL19" s="2834">
        <v>58588</v>
      </c>
      <c r="GM19" s="2835">
        <v>61911</v>
      </c>
      <c r="GN19" s="2836">
        <v>60869</v>
      </c>
      <c r="GO19" s="2836">
        <v>67139</v>
      </c>
      <c r="GP19" s="2837">
        <v>56038</v>
      </c>
      <c r="GQ19" s="2838">
        <v>64277</v>
      </c>
      <c r="GR19" s="2838">
        <v>68280</v>
      </c>
      <c r="GS19" s="2839">
        <v>66219.213220467558</v>
      </c>
      <c r="GT19" s="2840">
        <v>52563</v>
      </c>
      <c r="GU19" s="2841">
        <v>68283</v>
      </c>
      <c r="GV19" s="2841">
        <v>68048</v>
      </c>
      <c r="GW19" s="2842">
        <v>70166</v>
      </c>
      <c r="GX19" s="2838">
        <v>64112</v>
      </c>
      <c r="GY19" s="2838">
        <v>73770</v>
      </c>
      <c r="GZ19" s="2838">
        <v>78553</v>
      </c>
      <c r="HA19" s="2838">
        <v>83131</v>
      </c>
      <c r="HB19" s="2843">
        <v>77356</v>
      </c>
      <c r="HC19" s="2843">
        <v>84841</v>
      </c>
      <c r="HD19" s="2843">
        <v>90170</v>
      </c>
      <c r="HE19" s="2843">
        <v>95947</v>
      </c>
      <c r="HF19" s="2844">
        <v>87414</v>
      </c>
      <c r="HG19" s="2844">
        <v>87884</v>
      </c>
      <c r="HH19" s="2844">
        <v>101445</v>
      </c>
      <c r="HI19" s="2844">
        <v>111120</v>
      </c>
      <c r="HJ19" s="2845">
        <v>94996</v>
      </c>
      <c r="HK19" s="2845">
        <v>93378</v>
      </c>
      <c r="HL19" s="2845">
        <v>97605</v>
      </c>
      <c r="HM19" s="2846">
        <f>+DH19+DI19+DJ19</f>
        <v>85776</v>
      </c>
      <c r="HN19" s="2846">
        <f>+DM19+DL19+DK19</f>
        <v>79164</v>
      </c>
      <c r="HO19" s="2846">
        <f>+DP19+DO19+DN19</f>
        <v>83137</v>
      </c>
      <c r="HP19" s="2846">
        <f>+DQ19+DR19+DS19</f>
        <v>90493</v>
      </c>
      <c r="HQ19" s="2847">
        <f>+DT19+DU19+DV19</f>
        <v>81760</v>
      </c>
      <c r="HR19" s="2847">
        <f>+DW19+DX19+DY19</f>
        <v>85389</v>
      </c>
      <c r="HS19" s="2727"/>
      <c r="HT19" s="2726"/>
      <c r="HU19" s="2838"/>
      <c r="HV19" s="2843"/>
      <c r="HW19" s="2843"/>
      <c r="HX19" s="2843"/>
      <c r="HY19" s="2838"/>
      <c r="HZ19" s="2843"/>
      <c r="IA19" s="2843"/>
      <c r="IB19" s="2843"/>
      <c r="IC19" s="2843"/>
      <c r="ID19" s="2843"/>
      <c r="IE19" s="2843"/>
      <c r="IF19" s="2843"/>
      <c r="IG19" s="2843"/>
      <c r="IH19" s="2843"/>
      <c r="II19" s="2843"/>
      <c r="IJ19" s="2843"/>
      <c r="IK19" s="2848">
        <v>231270</v>
      </c>
      <c r="IL19" s="3353">
        <v>263395</v>
      </c>
      <c r="IM19" s="3353">
        <v>248507</v>
      </c>
      <c r="IN19" s="3353">
        <v>254814.21322046756</v>
      </c>
      <c r="IO19" s="3353">
        <v>259060</v>
      </c>
      <c r="IP19" s="3353">
        <v>299566</v>
      </c>
      <c r="IQ19" s="3353">
        <v>348314</v>
      </c>
      <c r="IR19" s="3353">
        <v>386240</v>
      </c>
      <c r="IS19" s="3354">
        <v>397087</v>
      </c>
      <c r="IT19" s="3354">
        <f>SUM(DI19:DT19)</f>
        <v>337209</v>
      </c>
      <c r="IU19" s="3355">
        <f>SUM(DO19:EE19)</f>
        <v>306320</v>
      </c>
      <c r="IV19" s="3285"/>
      <c r="IW19" s="3285"/>
      <c r="IX19" s="3285"/>
      <c r="IY19" s="3286"/>
      <c r="IZ19" s="3287"/>
      <c r="JA19" s="3764"/>
      <c r="JC19" s="3285"/>
      <c r="JD19" s="3231"/>
      <c r="JE19" s="3231"/>
      <c r="JF19" s="3231"/>
      <c r="JG19" s="3231"/>
      <c r="JH19" s="2723"/>
      <c r="JI19" s="3262"/>
      <c r="JJ19" s="2723"/>
      <c r="JK19" s="2723"/>
      <c r="JL19" s="2723"/>
      <c r="JM19" s="2723"/>
      <c r="JN19" s="2723"/>
      <c r="JO19" s="2723"/>
      <c r="JP19" s="2723"/>
      <c r="JQ19" s="2723"/>
      <c r="JS19" s="3231"/>
      <c r="JT19" s="3231"/>
      <c r="JU19" s="3231"/>
      <c r="JV19" s="3231"/>
      <c r="JW19" s="3231"/>
      <c r="JX19" s="3231"/>
      <c r="JY19" s="3231"/>
      <c r="JZ19" s="3231"/>
      <c r="KA19" s="3231"/>
      <c r="KB19" s="3231"/>
      <c r="KC19" s="3231"/>
      <c r="KD19" s="3231"/>
      <c r="KE19" s="3231"/>
      <c r="KF19" s="3231"/>
      <c r="KG19" s="3231"/>
      <c r="KH19" s="3231"/>
      <c r="KI19" s="3231"/>
      <c r="KJ19" s="3231"/>
      <c r="KK19" s="3231"/>
      <c r="KL19" s="3231"/>
      <c r="KM19" s="3231"/>
      <c r="KN19" s="3231"/>
      <c r="KO19" s="3231"/>
    </row>
    <row r="20" spans="1:301" ht="21.9" hidden="1" customHeight="1" thickBot="1">
      <c r="A20" s="2723"/>
      <c r="B20" s="3231"/>
      <c r="C20" s="3322" t="s">
        <v>32</v>
      </c>
      <c r="D20" s="3356">
        <v>29447</v>
      </c>
      <c r="E20" s="3357">
        <v>29249</v>
      </c>
      <c r="F20" s="3357">
        <v>32536</v>
      </c>
      <c r="G20" s="3357">
        <v>26929</v>
      </c>
      <c r="H20" s="3357">
        <v>28526</v>
      </c>
      <c r="I20" s="3357">
        <v>41105</v>
      </c>
      <c r="J20" s="3357">
        <v>49933</v>
      </c>
      <c r="K20" s="3357">
        <v>42244</v>
      </c>
      <c r="L20" s="3357">
        <v>31407</v>
      </c>
      <c r="M20" s="3357">
        <v>33891</v>
      </c>
      <c r="N20" s="3357">
        <v>35806</v>
      </c>
      <c r="O20" s="3358">
        <v>36780</v>
      </c>
      <c r="P20" s="3359">
        <v>34991</v>
      </c>
      <c r="Q20" s="3360">
        <v>46490</v>
      </c>
      <c r="R20" s="3360">
        <v>36805</v>
      </c>
      <c r="S20" s="3360">
        <v>31105</v>
      </c>
      <c r="T20" s="3360">
        <v>35598</v>
      </c>
      <c r="U20" s="3360">
        <v>45584</v>
      </c>
      <c r="V20" s="3360">
        <v>50484</v>
      </c>
      <c r="W20" s="3360">
        <v>43576</v>
      </c>
      <c r="X20" s="3360">
        <v>34318</v>
      </c>
      <c r="Y20" s="3360">
        <v>36977</v>
      </c>
      <c r="Z20" s="3360">
        <v>38290</v>
      </c>
      <c r="AA20" s="3361">
        <v>37281</v>
      </c>
      <c r="AB20" s="3329">
        <v>35904</v>
      </c>
      <c r="AC20" s="3330">
        <v>32995</v>
      </c>
      <c r="AD20" s="3330">
        <v>34242</v>
      </c>
      <c r="AE20" s="3330">
        <v>33161</v>
      </c>
      <c r="AF20" s="3330">
        <v>32773</v>
      </c>
      <c r="AG20" s="3330">
        <v>46796</v>
      </c>
      <c r="AH20" s="3330">
        <v>50069</v>
      </c>
      <c r="AI20" s="3330">
        <v>44378</v>
      </c>
      <c r="AJ20" s="3330">
        <v>33494</v>
      </c>
      <c r="AK20" s="3330">
        <v>35959</v>
      </c>
      <c r="AL20" s="3330">
        <v>38401</v>
      </c>
      <c r="AM20" s="3330">
        <v>43693</v>
      </c>
      <c r="AN20" s="3331">
        <v>38603</v>
      </c>
      <c r="AO20" s="3331">
        <v>39843</v>
      </c>
      <c r="AP20" s="3331">
        <v>38029</v>
      </c>
      <c r="AQ20" s="3331">
        <v>31598</v>
      </c>
      <c r="AR20" s="3331">
        <v>37116</v>
      </c>
      <c r="AS20" s="3331">
        <v>46093</v>
      </c>
      <c r="AT20" s="3331">
        <v>49766</v>
      </c>
      <c r="AU20" s="3331">
        <v>42481</v>
      </c>
      <c r="AV20" s="3331">
        <v>33003</v>
      </c>
      <c r="AW20" s="3331">
        <v>38298</v>
      </c>
      <c r="AX20" s="3331">
        <v>38171</v>
      </c>
      <c r="AY20" s="3332">
        <v>41220</v>
      </c>
      <c r="AZ20" s="3362">
        <v>37463</v>
      </c>
      <c r="BA20" s="3363">
        <v>35978</v>
      </c>
      <c r="BB20" s="3363">
        <v>39415</v>
      </c>
      <c r="BC20" s="3363">
        <v>35949</v>
      </c>
      <c r="BD20" s="3363">
        <v>38023</v>
      </c>
      <c r="BE20" s="3363">
        <v>47844</v>
      </c>
      <c r="BF20" s="3363">
        <v>51152</v>
      </c>
      <c r="BG20" s="3363">
        <v>43036</v>
      </c>
      <c r="BH20" s="3363">
        <v>34628</v>
      </c>
      <c r="BI20" s="3363">
        <v>38582</v>
      </c>
      <c r="BJ20" s="3363">
        <v>41073</v>
      </c>
      <c r="BK20" s="3364">
        <v>44235</v>
      </c>
      <c r="BL20" s="3365">
        <v>37773</v>
      </c>
      <c r="BM20" s="3366">
        <v>35654</v>
      </c>
      <c r="BN20" s="3366">
        <v>40663</v>
      </c>
      <c r="BO20" s="3366">
        <v>36524</v>
      </c>
      <c r="BP20" s="3366">
        <v>40720</v>
      </c>
      <c r="BQ20" s="3366">
        <v>54166</v>
      </c>
      <c r="BR20" s="3366">
        <v>56168</v>
      </c>
      <c r="BS20" s="3366">
        <v>46212</v>
      </c>
      <c r="BT20" s="3367">
        <v>39747</v>
      </c>
      <c r="BU20" s="3367">
        <v>44864</v>
      </c>
      <c r="BV20" s="3367">
        <v>46422</v>
      </c>
      <c r="BW20" s="3411">
        <v>54545</v>
      </c>
      <c r="BX20" s="3412">
        <v>46137</v>
      </c>
      <c r="BY20" s="3413">
        <v>43174</v>
      </c>
      <c r="BZ20" s="3413">
        <v>49027</v>
      </c>
      <c r="CA20" s="3413">
        <v>41634</v>
      </c>
      <c r="CB20" s="3413">
        <v>48103</v>
      </c>
      <c r="CC20" s="3413">
        <v>61054</v>
      </c>
      <c r="CD20" s="3413">
        <v>64119</v>
      </c>
      <c r="CE20" s="3413">
        <v>52709</v>
      </c>
      <c r="CF20" s="3413">
        <v>49386</v>
      </c>
      <c r="CG20" s="3413">
        <v>52967</v>
      </c>
      <c r="CH20" s="3370">
        <v>56261</v>
      </c>
      <c r="CI20" s="3371">
        <v>64359</v>
      </c>
      <c r="CJ20" s="3372">
        <v>51688</v>
      </c>
      <c r="CK20" s="3373">
        <v>53622</v>
      </c>
      <c r="CL20" s="3373">
        <v>51748</v>
      </c>
      <c r="CM20" s="3373">
        <v>49570</v>
      </c>
      <c r="CN20" s="3373">
        <v>52174</v>
      </c>
      <c r="CO20" s="3373">
        <v>58795</v>
      </c>
      <c r="CP20" s="3373">
        <v>71099</v>
      </c>
      <c r="CQ20" s="3373">
        <v>57790</v>
      </c>
      <c r="CR20" s="3373">
        <v>55854</v>
      </c>
      <c r="CS20" s="3373">
        <v>59469</v>
      </c>
      <c r="CT20" s="3373">
        <v>63257</v>
      </c>
      <c r="CU20" s="3374">
        <v>77949</v>
      </c>
      <c r="CV20" s="3375">
        <v>58224</v>
      </c>
      <c r="CW20" s="3376">
        <v>53321</v>
      </c>
      <c r="CX20" s="3377">
        <v>59393</v>
      </c>
      <c r="CY20" s="3377">
        <v>53854</v>
      </c>
      <c r="CZ20" s="3377">
        <v>56638</v>
      </c>
      <c r="DA20" s="3377">
        <v>67138</v>
      </c>
      <c r="DB20" s="3377">
        <v>73006</v>
      </c>
      <c r="DC20" s="3377">
        <v>52994</v>
      </c>
      <c r="DD20" s="3378">
        <v>51643</v>
      </c>
      <c r="DE20" s="3378">
        <v>56449</v>
      </c>
      <c r="DF20" s="3334"/>
      <c r="DG20" s="3334"/>
      <c r="DH20" s="3379">
        <v>52833</v>
      </c>
      <c r="DI20" s="3380">
        <v>51438</v>
      </c>
      <c r="DJ20" s="3380">
        <v>54420</v>
      </c>
      <c r="DK20" s="3381">
        <v>40983</v>
      </c>
      <c r="DL20" s="3381">
        <v>46162</v>
      </c>
      <c r="DM20" s="3381">
        <v>61277</v>
      </c>
      <c r="DN20" s="3381">
        <v>66352</v>
      </c>
      <c r="DO20" s="3381">
        <v>47805</v>
      </c>
      <c r="DP20" s="3381">
        <v>40169</v>
      </c>
      <c r="DQ20" s="3381">
        <v>53831</v>
      </c>
      <c r="DR20" s="3381">
        <v>48311</v>
      </c>
      <c r="DS20" s="3382">
        <v>64045</v>
      </c>
      <c r="DT20" s="3383">
        <v>50614</v>
      </c>
      <c r="DU20" s="3383">
        <v>47432</v>
      </c>
      <c r="DV20" s="3383">
        <v>53021</v>
      </c>
      <c r="DW20" s="3383">
        <v>50208</v>
      </c>
      <c r="DX20" s="3383">
        <v>47035</v>
      </c>
      <c r="DY20" s="3383">
        <v>65866</v>
      </c>
      <c r="DZ20" s="3384"/>
      <c r="EA20" s="3384"/>
      <c r="EB20" s="3384"/>
      <c r="EC20" s="3384"/>
      <c r="ED20" s="3384"/>
      <c r="EE20" s="3384"/>
      <c r="EF20" s="3383">
        <v>50614</v>
      </c>
      <c r="EG20" s="3383">
        <v>47432</v>
      </c>
      <c r="EH20" s="3383">
        <v>53021</v>
      </c>
      <c r="EI20" s="3383">
        <v>50208</v>
      </c>
      <c r="EJ20" s="3383">
        <v>47035</v>
      </c>
      <c r="EK20" s="3383">
        <v>65866</v>
      </c>
      <c r="EL20" s="3384"/>
      <c r="EM20" s="3384"/>
      <c r="EN20" s="3384"/>
      <c r="EO20" s="3384"/>
      <c r="EP20" s="3384"/>
      <c r="EQ20" s="3384"/>
      <c r="ER20" s="3383">
        <v>50614</v>
      </c>
      <c r="ES20" s="3383">
        <v>47432</v>
      </c>
      <c r="ET20" s="3383">
        <v>53021</v>
      </c>
      <c r="EU20" s="3383">
        <v>50208</v>
      </c>
      <c r="EV20" s="3383">
        <v>47035</v>
      </c>
      <c r="EW20" s="3383">
        <v>65866</v>
      </c>
      <c r="EX20" s="3384"/>
      <c r="EY20" s="3384"/>
      <c r="EZ20" s="3384"/>
      <c r="FA20" s="3384"/>
      <c r="FB20" s="3384"/>
      <c r="FC20" s="3384"/>
      <c r="FD20" s="2826"/>
      <c r="FE20" s="2826"/>
      <c r="FF20" s="2826"/>
      <c r="FG20" s="2826"/>
      <c r="FH20" s="2826"/>
      <c r="FI20" s="2826"/>
      <c r="FJ20" s="2826"/>
      <c r="FK20" s="2826"/>
      <c r="FL20" s="2826"/>
      <c r="FM20" s="2826"/>
      <c r="FN20" s="2826"/>
      <c r="FO20" s="2826"/>
      <c r="FP20" s="2827"/>
      <c r="FQ20" s="2826"/>
      <c r="FR20" s="2826"/>
      <c r="FS20" s="2826"/>
      <c r="FT20" s="2826"/>
      <c r="FU20" s="2826"/>
      <c r="FV20" s="2826"/>
      <c r="FW20" s="2826"/>
      <c r="FX20" s="2826"/>
      <c r="FY20" s="2826"/>
      <c r="FZ20" s="2826"/>
      <c r="GA20" s="2826"/>
      <c r="GB20" s="2752"/>
      <c r="GC20" s="2726"/>
      <c r="GD20" s="2849">
        <v>91232</v>
      </c>
      <c r="GE20" s="2850">
        <v>96560</v>
      </c>
      <c r="GF20" s="2850">
        <v>123584</v>
      </c>
      <c r="GG20" s="2851">
        <v>106477</v>
      </c>
      <c r="GH20" s="2852">
        <v>118286</v>
      </c>
      <c r="GI20" s="2853">
        <v>112287</v>
      </c>
      <c r="GJ20" s="2853">
        <v>128378</v>
      </c>
      <c r="GK20" s="2854">
        <v>112548</v>
      </c>
      <c r="GL20" s="2855">
        <v>103141</v>
      </c>
      <c r="GM20" s="2856">
        <v>112730</v>
      </c>
      <c r="GN20" s="2856">
        <v>127941</v>
      </c>
      <c r="GO20" s="2856">
        <v>118053</v>
      </c>
      <c r="GP20" s="2857">
        <v>116475</v>
      </c>
      <c r="GQ20" s="2858">
        <v>114807</v>
      </c>
      <c r="GR20" s="2858">
        <v>125250</v>
      </c>
      <c r="GS20" s="2866">
        <v>117689</v>
      </c>
      <c r="GT20" s="2859">
        <v>112856</v>
      </c>
      <c r="GU20" s="2860">
        <v>121816</v>
      </c>
      <c r="GV20" s="2860">
        <v>128816</v>
      </c>
      <c r="GW20" s="2861">
        <v>123890</v>
      </c>
      <c r="GX20" s="2838">
        <v>114090</v>
      </c>
      <c r="GY20" s="2838">
        <v>131410</v>
      </c>
      <c r="GZ20" s="2838">
        <v>142127</v>
      </c>
      <c r="HA20" s="2838">
        <v>145831</v>
      </c>
      <c r="HB20" s="2843">
        <v>138338</v>
      </c>
      <c r="HC20" s="2843">
        <v>150791</v>
      </c>
      <c r="HD20" s="2843">
        <v>166214</v>
      </c>
      <c r="HE20" s="2843">
        <v>173587</v>
      </c>
      <c r="HF20" s="2844">
        <v>157058</v>
      </c>
      <c r="HG20" s="2844">
        <v>160539</v>
      </c>
      <c r="HH20" s="2844">
        <v>188358</v>
      </c>
      <c r="HI20" s="2844">
        <v>200675</v>
      </c>
      <c r="HJ20" s="2845">
        <v>170938</v>
      </c>
      <c r="HK20" s="2845">
        <v>166941</v>
      </c>
      <c r="HL20" s="2845">
        <v>182449</v>
      </c>
      <c r="HM20" s="2846">
        <f>+DH20+DI20+DJ20</f>
        <v>158691</v>
      </c>
      <c r="HN20" s="2846">
        <f>+DM20+DL20+DK20</f>
        <v>148422</v>
      </c>
      <c r="HO20" s="2846">
        <f>+DP20+DO20+DN20</f>
        <v>154326</v>
      </c>
      <c r="HP20" s="2846">
        <f>+DQ20+DR20+DS20</f>
        <v>166187</v>
      </c>
      <c r="HQ20" s="2847">
        <f>+DT20+DU20+DV20</f>
        <v>151067</v>
      </c>
      <c r="HR20" s="2847">
        <f>+DW20+DX20+DY20</f>
        <v>163109</v>
      </c>
      <c r="HS20" s="2727"/>
      <c r="HT20" s="2726"/>
      <c r="HU20" s="2838"/>
      <c r="HV20" s="2843"/>
      <c r="HW20" s="2843"/>
      <c r="HX20" s="2843"/>
      <c r="HY20" s="2838"/>
      <c r="HZ20" s="2843"/>
      <c r="IA20" s="2843"/>
      <c r="IB20" s="2843"/>
      <c r="IC20" s="2843"/>
      <c r="ID20" s="2843"/>
      <c r="IE20" s="2843"/>
      <c r="IF20" s="2843"/>
      <c r="IG20" s="2843"/>
      <c r="IH20" s="2843"/>
      <c r="II20" s="2843"/>
      <c r="IJ20" s="2843"/>
      <c r="IK20" s="2862">
        <v>417853</v>
      </c>
      <c r="IL20" s="3385">
        <v>471499</v>
      </c>
      <c r="IM20" s="3385">
        <v>461865</v>
      </c>
      <c r="IN20" s="3385">
        <v>474221</v>
      </c>
      <c r="IO20" s="3385">
        <v>487378</v>
      </c>
      <c r="IP20" s="3385">
        <v>533458</v>
      </c>
      <c r="IQ20" s="3385">
        <v>628930</v>
      </c>
      <c r="IR20" s="3385">
        <v>703015</v>
      </c>
      <c r="IS20" s="3354">
        <v>723866</v>
      </c>
      <c r="IT20" s="3354">
        <f>SUM(DI20:DT20)</f>
        <v>625407</v>
      </c>
      <c r="IU20" s="3355">
        <f>SUM(DO20:EE20)</f>
        <v>568337</v>
      </c>
      <c r="IV20" s="3285"/>
      <c r="IW20" s="3285"/>
      <c r="IX20" s="3285"/>
      <c r="IY20" s="3286"/>
      <c r="IZ20" s="3287"/>
      <c r="JA20" s="3764"/>
      <c r="JC20" s="3285"/>
      <c r="JD20" s="3231"/>
      <c r="JE20" s="3231"/>
      <c r="JF20" s="3231"/>
      <c r="JG20" s="3231"/>
      <c r="JH20" s="2723"/>
      <c r="JI20" s="3262"/>
      <c r="JJ20" s="2723"/>
      <c r="JK20" s="2723"/>
      <c r="JL20" s="2723"/>
      <c r="JM20" s="2723"/>
      <c r="JN20" s="2723"/>
      <c r="JO20" s="2723"/>
      <c r="JP20" s="2723"/>
      <c r="JQ20" s="2723"/>
      <c r="JS20" s="3231"/>
      <c r="JT20" s="3231"/>
      <c r="JU20" s="3231"/>
      <c r="JV20" s="3231"/>
      <c r="JW20" s="3231"/>
      <c r="JX20" s="3231"/>
      <c r="JY20" s="3231"/>
      <c r="JZ20" s="3231"/>
      <c r="KA20" s="3231"/>
      <c r="KB20" s="3231"/>
      <c r="KC20" s="3231"/>
      <c r="KD20" s="3231"/>
      <c r="KE20" s="3231"/>
      <c r="KF20" s="3231"/>
      <c r="KG20" s="3231"/>
      <c r="KH20" s="3231"/>
      <c r="KI20" s="3231"/>
      <c r="KJ20" s="3231"/>
      <c r="KK20" s="3231"/>
      <c r="KL20" s="3231"/>
      <c r="KM20" s="3231"/>
      <c r="KN20" s="3231"/>
      <c r="KO20" s="3231"/>
    </row>
    <row r="21" spans="1:301" ht="18.75" hidden="1" customHeight="1">
      <c r="A21" s="2723"/>
      <c r="B21" s="2723"/>
      <c r="C21" s="3414"/>
      <c r="D21" s="2730"/>
      <c r="E21" s="2730"/>
      <c r="F21" s="2730"/>
      <c r="G21" s="2730"/>
      <c r="H21" s="2730"/>
      <c r="I21" s="2730"/>
      <c r="J21" s="2730"/>
      <c r="K21" s="2730"/>
      <c r="L21" s="2730"/>
      <c r="M21" s="2730"/>
      <c r="N21" s="2730"/>
      <c r="O21" s="2730"/>
      <c r="P21" s="3415"/>
      <c r="Q21" s="3415"/>
      <c r="R21" s="3415"/>
      <c r="S21" s="3415"/>
      <c r="T21" s="3415"/>
      <c r="U21" s="3415"/>
      <c r="V21" s="3415"/>
      <c r="W21" s="3415"/>
      <c r="X21" s="3415"/>
      <c r="Y21" s="3415"/>
      <c r="Z21" s="3415"/>
      <c r="AA21" s="3415"/>
      <c r="AB21" s="3416"/>
      <c r="AC21" s="3416"/>
      <c r="AD21" s="3416"/>
      <c r="AE21" s="3416"/>
      <c r="AF21" s="3416"/>
      <c r="AG21" s="3416"/>
      <c r="AH21" s="3416"/>
      <c r="AI21" s="3416"/>
      <c r="AJ21" s="3416"/>
      <c r="AK21" s="3416"/>
      <c r="AL21" s="3416"/>
      <c r="AM21" s="3416"/>
      <c r="AN21" s="3415"/>
      <c r="AO21" s="3415"/>
      <c r="AP21" s="3415"/>
      <c r="AQ21" s="3415"/>
      <c r="AR21" s="3415"/>
      <c r="AS21" s="3415"/>
      <c r="AT21" s="3415"/>
      <c r="AU21" s="3415"/>
      <c r="AV21" s="3415"/>
      <c r="AW21" s="3415"/>
      <c r="AX21" s="3415"/>
      <c r="AY21" s="3415"/>
      <c r="AZ21" s="2730"/>
      <c r="BA21" s="2730"/>
      <c r="BB21" s="2730"/>
      <c r="BC21" s="2730"/>
      <c r="BD21" s="2730"/>
      <c r="BE21" s="2730"/>
      <c r="BF21" s="2730"/>
      <c r="BG21" s="2730"/>
      <c r="BH21" s="2730"/>
      <c r="BI21" s="2730"/>
      <c r="BJ21" s="2730"/>
      <c r="BK21" s="2730"/>
      <c r="BL21" s="2730"/>
      <c r="BM21" s="2730"/>
      <c r="BN21" s="2730"/>
      <c r="BO21" s="2730"/>
      <c r="BP21" s="2730"/>
      <c r="BQ21" s="2730"/>
      <c r="BR21" s="2730"/>
      <c r="BS21" s="2730"/>
      <c r="BT21" s="2730"/>
      <c r="BU21" s="2730"/>
      <c r="BV21" s="2730"/>
      <c r="BW21" s="2730"/>
      <c r="BX21" s="2730"/>
      <c r="BY21" s="2730"/>
      <c r="BZ21" s="2730"/>
      <c r="CA21" s="3417">
        <v>0</v>
      </c>
      <c r="CB21" s="3417">
        <v>0</v>
      </c>
      <c r="CC21" s="3417">
        <v>0</v>
      </c>
      <c r="CD21" s="3417">
        <v>0</v>
      </c>
      <c r="CE21" s="3417">
        <v>0</v>
      </c>
      <c r="CF21" s="3417">
        <v>0</v>
      </c>
      <c r="CG21" s="3417">
        <v>0</v>
      </c>
      <c r="CH21" s="3417"/>
      <c r="CI21" s="3417"/>
      <c r="CJ21" s="3417"/>
      <c r="CK21" s="3417"/>
      <c r="CL21" s="3417"/>
      <c r="CM21" s="3417"/>
      <c r="CN21" s="3417"/>
      <c r="CO21" s="3417"/>
      <c r="CP21" s="3417"/>
      <c r="CQ21" s="3417"/>
      <c r="CR21" s="3417"/>
      <c r="CS21" s="3417"/>
      <c r="CT21" s="3417"/>
      <c r="CU21" s="3417"/>
      <c r="CV21" s="3417">
        <v>0</v>
      </c>
      <c r="CW21" s="3417"/>
      <c r="CX21" s="3417"/>
      <c r="CY21" s="3417"/>
      <c r="CZ21" s="3417"/>
      <c r="DA21" s="3417"/>
      <c r="DB21" s="3417"/>
      <c r="DC21" s="3417"/>
      <c r="DD21" s="3417"/>
      <c r="DE21" s="3417"/>
      <c r="DF21" s="3417"/>
      <c r="DG21" s="3417"/>
      <c r="DH21" s="2687"/>
      <c r="DI21" s="2687"/>
      <c r="DJ21" s="2687"/>
      <c r="DK21" s="2687"/>
      <c r="DL21" s="2687"/>
      <c r="DM21" s="2687"/>
      <c r="DN21" s="2687"/>
      <c r="DO21" s="2687">
        <v>10</v>
      </c>
      <c r="DP21" s="2687"/>
      <c r="DQ21" s="2687"/>
      <c r="DR21" s="2687"/>
      <c r="DS21" s="2687"/>
      <c r="DT21" s="2687"/>
      <c r="DU21" s="2687"/>
      <c r="DV21" s="2687"/>
      <c r="DW21" s="2687"/>
      <c r="DX21" s="2687"/>
      <c r="DY21" s="2687"/>
      <c r="DZ21" s="2687"/>
      <c r="EA21" s="2687"/>
      <c r="EB21" s="2687"/>
      <c r="EC21" s="2687"/>
      <c r="ED21" s="2687"/>
      <c r="EE21" s="2687"/>
      <c r="EF21" s="2687"/>
      <c r="EG21" s="2687"/>
      <c r="EH21" s="2687"/>
      <c r="EI21" s="2687"/>
      <c r="EJ21" s="2687"/>
      <c r="EK21" s="2687"/>
      <c r="EL21" s="2687"/>
      <c r="EM21" s="2687"/>
      <c r="EN21" s="2687"/>
      <c r="EO21" s="2687"/>
      <c r="EP21" s="2687"/>
      <c r="EQ21" s="2687"/>
      <c r="ER21" s="2687"/>
      <c r="ES21" s="2687"/>
      <c r="ET21" s="2687"/>
      <c r="EU21" s="2687"/>
      <c r="EV21" s="2687"/>
      <c r="EW21" s="2687"/>
      <c r="EX21" s="2687"/>
      <c r="EY21" s="2687"/>
      <c r="EZ21" s="2687"/>
      <c r="FA21" s="2687"/>
      <c r="FB21" s="2687"/>
      <c r="FC21" s="2687"/>
      <c r="FD21" s="2754"/>
      <c r="FE21" s="2754"/>
      <c r="FF21" s="2754"/>
      <c r="FG21" s="2754"/>
      <c r="FH21" s="2754"/>
      <c r="FI21" s="2754"/>
      <c r="FJ21" s="2754"/>
      <c r="FK21" s="2754"/>
      <c r="FL21" s="2754"/>
      <c r="FM21" s="2754"/>
      <c r="FN21" s="2754"/>
      <c r="FO21" s="2754"/>
      <c r="FP21" s="2755"/>
      <c r="FQ21" s="2754"/>
      <c r="FR21" s="2754"/>
      <c r="FS21" s="2754"/>
      <c r="FT21" s="2754"/>
      <c r="FU21" s="2754"/>
      <c r="FV21" s="2754"/>
      <c r="FW21" s="2754"/>
      <c r="FX21" s="2754"/>
      <c r="FY21" s="2754"/>
      <c r="FZ21" s="2754"/>
      <c r="GA21" s="2754"/>
      <c r="GB21" s="2756"/>
      <c r="GC21" s="2726"/>
      <c r="GD21" s="2733"/>
      <c r="GE21" s="2733"/>
      <c r="GF21" s="2733"/>
      <c r="GG21" s="2733"/>
      <c r="GH21" s="2733"/>
      <c r="GI21" s="2733"/>
      <c r="GJ21" s="2733"/>
      <c r="GK21" s="2733"/>
      <c r="GL21" s="2733"/>
      <c r="GM21" s="2730"/>
      <c r="GN21" s="2733"/>
      <c r="GO21" s="2733"/>
      <c r="GP21" s="2733"/>
      <c r="GQ21" s="2733"/>
      <c r="GR21" s="2733"/>
      <c r="GS21" s="2733"/>
      <c r="GT21" s="2730"/>
      <c r="GU21" s="2730"/>
      <c r="GV21" s="2730"/>
      <c r="GW21" s="2730"/>
      <c r="GX21" s="2726"/>
      <c r="GY21" s="2726"/>
      <c r="GZ21" s="2726"/>
      <c r="HA21" s="2726"/>
      <c r="HB21" s="2757">
        <v>0</v>
      </c>
      <c r="HC21" s="2757">
        <v>0</v>
      </c>
      <c r="HD21" s="2757"/>
      <c r="HE21" s="2757"/>
      <c r="HF21" s="2757"/>
      <c r="HG21" s="2757"/>
      <c r="HH21" s="2757"/>
      <c r="HI21" s="2757"/>
      <c r="HJ21" s="2757"/>
      <c r="HK21" s="2757"/>
      <c r="HL21" s="2757"/>
      <c r="HM21" s="2847"/>
      <c r="HN21" s="2758"/>
      <c r="HO21" s="2758"/>
      <c r="HP21" s="2758"/>
      <c r="HQ21" s="2758"/>
      <c r="HR21" s="2758"/>
      <c r="HS21" s="2727"/>
      <c r="HT21" s="2726"/>
      <c r="HU21" s="2726"/>
      <c r="HV21" s="2757"/>
      <c r="HW21" s="2757"/>
      <c r="HX21" s="2757"/>
      <c r="HY21" s="2726"/>
      <c r="HZ21" s="2757"/>
      <c r="IA21" s="2757"/>
      <c r="IB21" s="2757"/>
      <c r="IC21" s="2757"/>
      <c r="ID21" s="2757"/>
      <c r="IE21" s="2757"/>
      <c r="IF21" s="2757"/>
      <c r="IG21" s="2757"/>
      <c r="IH21" s="2757"/>
      <c r="II21" s="2757"/>
      <c r="IJ21" s="2757"/>
      <c r="IK21" s="2867" t="s">
        <v>463</v>
      </c>
      <c r="IL21" s="3418">
        <v>12.838486261915079</v>
      </c>
      <c r="IM21" s="3418">
        <v>-2.043270505345717</v>
      </c>
      <c r="IN21" s="3418">
        <v>2.6752406006083902</v>
      </c>
      <c r="IO21" s="3418">
        <v>2.7744448263573389</v>
      </c>
      <c r="IP21" s="3418">
        <v>9.4546737850292857</v>
      </c>
      <c r="IQ21" s="3419">
        <v>17.896816619115285</v>
      </c>
      <c r="IR21" s="3419">
        <v>11.779530313389415</v>
      </c>
      <c r="IS21" s="3395">
        <v>2.9659395603223118</v>
      </c>
      <c r="IT21" s="3395">
        <f>+IT20/IS20*100-100</f>
        <v>-13.601826857457041</v>
      </c>
      <c r="IU21" s="3396">
        <f>+IU20/IT20*100-100</f>
        <v>-9.1252576322298893</v>
      </c>
      <c r="IV21" s="3285"/>
      <c r="IW21" s="3285"/>
      <c r="IX21" s="3285"/>
      <c r="IY21" s="3286"/>
      <c r="IZ21" s="3287"/>
      <c r="JA21" s="3764"/>
      <c r="JC21" s="3285"/>
      <c r="JD21" s="2723"/>
      <c r="JE21" s="2723"/>
      <c r="JF21" s="2723"/>
      <c r="JG21" s="2723"/>
      <c r="JH21" s="2723"/>
      <c r="JI21" s="3262"/>
      <c r="JJ21" s="2723"/>
      <c r="JK21" s="2723"/>
      <c r="JL21" s="2723"/>
      <c r="JM21" s="2723"/>
      <c r="JN21" s="2723"/>
      <c r="JO21" s="2723"/>
      <c r="JP21" s="2723"/>
      <c r="JQ21" s="2723"/>
      <c r="JS21" s="2723"/>
      <c r="JT21" s="2723"/>
      <c r="JU21" s="2723"/>
      <c r="JV21" s="2723"/>
      <c r="JW21" s="2723"/>
      <c r="JX21" s="2723"/>
      <c r="JY21" s="2723"/>
      <c r="JZ21" s="2723"/>
      <c r="KA21" s="2723"/>
      <c r="KB21" s="2723"/>
      <c r="KC21" s="2723"/>
      <c r="KD21" s="2723"/>
      <c r="KE21" s="2723"/>
      <c r="KF21" s="2723"/>
      <c r="KG21" s="2723"/>
      <c r="KH21" s="2723"/>
      <c r="KI21" s="2723"/>
      <c r="KJ21" s="2723"/>
      <c r="KK21" s="2723"/>
      <c r="KL21" s="2723"/>
      <c r="KM21" s="2723"/>
      <c r="KN21" s="2723"/>
      <c r="KO21" s="2723"/>
    </row>
    <row r="22" spans="1:301" ht="19.5" hidden="1" customHeight="1" thickBot="1">
      <c r="A22" s="2723"/>
      <c r="B22" s="2723"/>
      <c r="C22" s="3242"/>
      <c r="D22" s="2725"/>
      <c r="E22" s="2730"/>
      <c r="F22" s="2730"/>
      <c r="G22" s="2730"/>
      <c r="H22" s="2730"/>
      <c r="I22" s="2730"/>
      <c r="J22" s="2730"/>
      <c r="K22" s="2730"/>
      <c r="L22" s="2730"/>
      <c r="M22" s="2730"/>
      <c r="N22" s="2730"/>
      <c r="O22" s="3420"/>
      <c r="P22" s="3415"/>
      <c r="Q22" s="3415"/>
      <c r="R22" s="3415"/>
      <c r="S22" s="3415"/>
      <c r="T22" s="3415"/>
      <c r="U22" s="3415"/>
      <c r="V22" s="3415"/>
      <c r="W22" s="3415"/>
      <c r="X22" s="3415"/>
      <c r="Y22" s="3415"/>
      <c r="Z22" s="3415"/>
      <c r="AA22" s="3421"/>
      <c r="AB22" s="3415"/>
      <c r="AC22" s="3415"/>
      <c r="AD22" s="3415"/>
      <c r="AE22" s="3415"/>
      <c r="AF22" s="3415"/>
      <c r="AG22" s="3415"/>
      <c r="AH22" s="3415"/>
      <c r="AI22" s="3415"/>
      <c r="AJ22" s="3415"/>
      <c r="AK22" s="3415"/>
      <c r="AL22" s="3415"/>
      <c r="AM22" s="3415"/>
      <c r="AN22" s="3415"/>
      <c r="AO22" s="3415"/>
      <c r="AP22" s="3415"/>
      <c r="AQ22" s="3415"/>
      <c r="AR22" s="3415"/>
      <c r="AS22" s="3415"/>
      <c r="AT22" s="3415"/>
      <c r="AU22" s="3415"/>
      <c r="AV22" s="3415"/>
      <c r="AW22" s="3415"/>
      <c r="AX22" s="3415"/>
      <c r="AY22" s="3415"/>
      <c r="AZ22" s="2730"/>
      <c r="BA22" s="2730"/>
      <c r="BB22" s="2730"/>
      <c r="BC22" s="2730"/>
      <c r="BD22" s="2730"/>
      <c r="BE22" s="2730"/>
      <c r="BF22" s="2730"/>
      <c r="BG22" s="2730"/>
      <c r="BH22" s="2730"/>
      <c r="BI22" s="2730"/>
      <c r="BJ22" s="2730"/>
      <c r="BK22" s="2730"/>
      <c r="BL22" s="2730"/>
      <c r="BM22" s="2730"/>
      <c r="BN22" s="2730"/>
      <c r="BO22" s="2730"/>
      <c r="BP22" s="2730"/>
      <c r="BQ22" s="2730"/>
      <c r="BR22" s="2730"/>
      <c r="BS22" s="2730"/>
      <c r="BT22" s="2730"/>
      <c r="BU22" s="2730"/>
      <c r="BV22" s="2730"/>
      <c r="BW22" s="2730"/>
      <c r="BX22" s="2730"/>
      <c r="BY22" s="2730"/>
      <c r="BZ22" s="2730"/>
      <c r="CA22" s="2730"/>
      <c r="CB22" s="2730"/>
      <c r="CC22" s="2730"/>
      <c r="CD22" s="2730"/>
      <c r="CE22" s="2730"/>
      <c r="CF22" s="2730"/>
      <c r="CG22" s="2730"/>
      <c r="CH22" s="2730"/>
      <c r="CI22" s="2730"/>
      <c r="CJ22" s="2730"/>
      <c r="CK22" s="2730"/>
      <c r="CL22" s="2730"/>
      <c r="CM22" s="2730"/>
      <c r="CN22" s="2730"/>
      <c r="CO22" s="2730"/>
      <c r="CP22" s="2730"/>
      <c r="CQ22" s="2730"/>
      <c r="CR22" s="2730"/>
      <c r="CS22" s="2730"/>
      <c r="CT22" s="2730"/>
      <c r="CU22" s="2730"/>
      <c r="CV22" s="2730"/>
      <c r="CW22" s="2730"/>
      <c r="CX22" s="2730"/>
      <c r="CY22" s="2730"/>
      <c r="CZ22" s="2730"/>
      <c r="DA22" s="2730"/>
      <c r="DB22" s="2730"/>
      <c r="DC22" s="2730"/>
      <c r="DD22" s="2730"/>
      <c r="DE22" s="2730"/>
      <c r="DF22" s="2730"/>
      <c r="DG22" s="2730"/>
      <c r="DH22" s="2688"/>
      <c r="DI22" s="2688"/>
      <c r="DJ22" s="2688"/>
      <c r="DK22" s="2688"/>
      <c r="DL22" s="2688"/>
      <c r="DM22" s="2688"/>
      <c r="DN22" s="2688"/>
      <c r="DO22" s="2688"/>
      <c r="DP22" s="2688"/>
      <c r="DQ22" s="2688"/>
      <c r="DR22" s="2688"/>
      <c r="DS22" s="2688"/>
      <c r="DT22" s="2688"/>
      <c r="DU22" s="2688"/>
      <c r="DV22" s="2688"/>
      <c r="DW22" s="2688"/>
      <c r="DX22" s="2688"/>
      <c r="DY22" s="2688"/>
      <c r="DZ22" s="2688"/>
      <c r="EA22" s="2688"/>
      <c r="EB22" s="2688"/>
      <c r="EC22" s="2688"/>
      <c r="ED22" s="2688"/>
      <c r="EE22" s="2688"/>
      <c r="EF22" s="2688"/>
      <c r="EG22" s="2688"/>
      <c r="EH22" s="2688"/>
      <c r="EI22" s="2688"/>
      <c r="EJ22" s="2688"/>
      <c r="EK22" s="2688"/>
      <c r="EL22" s="2688"/>
      <c r="EM22" s="2688"/>
      <c r="EN22" s="2688"/>
      <c r="EO22" s="2688"/>
      <c r="EP22" s="2688"/>
      <c r="EQ22" s="2688"/>
      <c r="ER22" s="2688"/>
      <c r="ES22" s="2688"/>
      <c r="ET22" s="2688"/>
      <c r="EU22" s="2688"/>
      <c r="EV22" s="2688"/>
      <c r="EW22" s="2688"/>
      <c r="EX22" s="2688"/>
      <c r="EY22" s="2688"/>
      <c r="EZ22" s="2688"/>
      <c r="FA22" s="2688"/>
      <c r="FB22" s="2688"/>
      <c r="FC22" s="2688"/>
      <c r="FD22" s="2759"/>
      <c r="FE22" s="2759"/>
      <c r="FF22" s="2759"/>
      <c r="FG22" s="2759"/>
      <c r="FH22" s="2759"/>
      <c r="FI22" s="2759"/>
      <c r="FJ22" s="2759"/>
      <c r="FK22" s="2759"/>
      <c r="FL22" s="2759"/>
      <c r="FM22" s="2759"/>
      <c r="FN22" s="2759"/>
      <c r="FO22" s="2759"/>
      <c r="FP22" s="2760"/>
      <c r="FQ22" s="2759"/>
      <c r="FR22" s="2759"/>
      <c r="FS22" s="2759"/>
      <c r="FT22" s="2759"/>
      <c r="FU22" s="2759"/>
      <c r="FV22" s="2759"/>
      <c r="FW22" s="2759"/>
      <c r="FX22" s="2759"/>
      <c r="FY22" s="2759"/>
      <c r="FZ22" s="2759"/>
      <c r="GA22" s="2759"/>
      <c r="GB22" s="2752"/>
      <c r="GC22" s="2726"/>
      <c r="GD22" s="2733"/>
      <c r="GE22" s="2733"/>
      <c r="GF22" s="2733"/>
      <c r="GG22" s="2733"/>
      <c r="GH22" s="2733"/>
      <c r="GI22" s="2733"/>
      <c r="GJ22" s="2733"/>
      <c r="GK22" s="2733"/>
      <c r="GL22" s="2733"/>
      <c r="GM22" s="2730"/>
      <c r="GN22" s="2733"/>
      <c r="GO22" s="2733"/>
      <c r="GP22" s="2733"/>
      <c r="GQ22" s="2733"/>
      <c r="GR22" s="2733"/>
      <c r="GS22" s="2733"/>
      <c r="GT22" s="2730"/>
      <c r="GU22" s="2730"/>
      <c r="GV22" s="2730"/>
      <c r="GW22" s="2730"/>
      <c r="GX22" s="2726"/>
      <c r="GY22" s="2726"/>
      <c r="GZ22" s="2726"/>
      <c r="HA22" s="2726"/>
      <c r="HB22" s="2726"/>
      <c r="HC22" s="2726"/>
      <c r="HD22" s="2726"/>
      <c r="HE22" s="2726"/>
      <c r="HF22" s="2726"/>
      <c r="HG22" s="2726"/>
      <c r="HH22" s="2726"/>
      <c r="HI22" s="2726"/>
      <c r="HJ22" s="2726"/>
      <c r="HK22" s="2726"/>
      <c r="HL22" s="2726"/>
      <c r="HM22" s="2727"/>
      <c r="HN22" s="2727"/>
      <c r="HO22" s="2727"/>
      <c r="HP22" s="2727"/>
      <c r="HQ22" s="2727"/>
      <c r="HR22" s="2727"/>
      <c r="HS22" s="2727"/>
      <c r="HT22" s="2726"/>
      <c r="HU22" s="2726"/>
      <c r="HV22" s="2726"/>
      <c r="HW22" s="2726"/>
      <c r="HX22" s="2726"/>
      <c r="HY22" s="2726"/>
      <c r="HZ22" s="2726"/>
      <c r="IA22" s="2726"/>
      <c r="IB22" s="2726"/>
      <c r="IC22" s="2726"/>
      <c r="ID22" s="2726"/>
      <c r="IE22" s="2726"/>
      <c r="IF22" s="2726"/>
      <c r="IG22" s="2726"/>
      <c r="IH22" s="2726"/>
      <c r="II22" s="2726"/>
      <c r="IJ22" s="2726"/>
      <c r="IK22" s="2761"/>
      <c r="IL22" s="3422"/>
      <c r="IM22" s="3422"/>
      <c r="IN22" s="3422"/>
      <c r="IO22" s="3422"/>
      <c r="IP22" s="3422"/>
      <c r="IQ22" s="3423"/>
      <c r="IR22" s="3423"/>
      <c r="IS22" s="3423"/>
      <c r="IT22" s="3423"/>
      <c r="IU22" s="3424"/>
      <c r="IV22" s="3285"/>
      <c r="IW22" s="3285"/>
      <c r="IX22" s="3285"/>
      <c r="IY22" s="3286"/>
      <c r="IZ22" s="3287"/>
      <c r="JA22" s="3764"/>
      <c r="JC22" s="3285"/>
      <c r="JD22" s="2723"/>
      <c r="JE22" s="2723"/>
      <c r="JF22" s="2723"/>
      <c r="JG22" s="2723"/>
      <c r="JH22" s="2723"/>
      <c r="JI22" s="3262"/>
      <c r="JJ22" s="2723"/>
      <c r="JK22" s="2723"/>
      <c r="JL22" s="2723"/>
      <c r="JM22" s="2723"/>
      <c r="JN22" s="2723"/>
      <c r="JO22" s="2723"/>
      <c r="JP22" s="2723"/>
      <c r="JQ22" s="2723"/>
      <c r="JS22" s="2723"/>
      <c r="JT22" s="2723"/>
      <c r="JU22" s="2723"/>
      <c r="JV22" s="2723"/>
      <c r="JW22" s="2723"/>
      <c r="JX22" s="2723"/>
      <c r="JY22" s="2723"/>
      <c r="JZ22" s="2723"/>
      <c r="KA22" s="2723"/>
      <c r="KB22" s="2723"/>
      <c r="KC22" s="2723"/>
      <c r="KD22" s="2723"/>
      <c r="KE22" s="2723"/>
      <c r="KF22" s="2723"/>
      <c r="KG22" s="2723"/>
      <c r="KH22" s="2723"/>
      <c r="KI22" s="2723"/>
      <c r="KJ22" s="2723"/>
      <c r="KK22" s="2723"/>
      <c r="KL22" s="2723"/>
      <c r="KM22" s="2723"/>
      <c r="KN22" s="2723"/>
      <c r="KO22" s="2723"/>
    </row>
    <row r="23" spans="1:301" ht="18" hidden="1" customHeight="1">
      <c r="A23" s="2723"/>
      <c r="B23" s="2723"/>
      <c r="C23" s="3271" t="s">
        <v>451</v>
      </c>
      <c r="D23" s="5423">
        <v>2007</v>
      </c>
      <c r="E23" s="5423"/>
      <c r="F23" s="5423"/>
      <c r="G23" s="5423"/>
      <c r="H23" s="5423"/>
      <c r="I23" s="5423"/>
      <c r="J23" s="5423"/>
      <c r="K23" s="5423"/>
      <c r="L23" s="5423"/>
      <c r="M23" s="5423"/>
      <c r="N23" s="5423"/>
      <c r="O23" s="5424"/>
      <c r="P23" s="5425">
        <v>2008</v>
      </c>
      <c r="Q23" s="5426"/>
      <c r="R23" s="5426"/>
      <c r="S23" s="5426"/>
      <c r="T23" s="5426"/>
      <c r="U23" s="5426"/>
      <c r="V23" s="5426"/>
      <c r="W23" s="5426"/>
      <c r="X23" s="5426"/>
      <c r="Y23" s="5426"/>
      <c r="Z23" s="5426"/>
      <c r="AA23" s="5426"/>
      <c r="AB23" s="5451">
        <v>2009</v>
      </c>
      <c r="AC23" s="5452"/>
      <c r="AD23" s="5452"/>
      <c r="AE23" s="5452"/>
      <c r="AF23" s="5452"/>
      <c r="AG23" s="5452"/>
      <c r="AH23" s="5452"/>
      <c r="AI23" s="5452"/>
      <c r="AJ23" s="5452"/>
      <c r="AK23" s="5452"/>
      <c r="AL23" s="5452"/>
      <c r="AM23" s="5453"/>
      <c r="AN23" s="5430">
        <v>2010</v>
      </c>
      <c r="AO23" s="5431"/>
      <c r="AP23" s="5431"/>
      <c r="AQ23" s="5431"/>
      <c r="AR23" s="5431"/>
      <c r="AS23" s="5431"/>
      <c r="AT23" s="5431"/>
      <c r="AU23" s="5431"/>
      <c r="AV23" s="5431"/>
      <c r="AW23" s="5431"/>
      <c r="AX23" s="5431"/>
      <c r="AY23" s="5431"/>
      <c r="AZ23" s="5432">
        <v>2011</v>
      </c>
      <c r="BA23" s="5433"/>
      <c r="BB23" s="5433"/>
      <c r="BC23" s="5433"/>
      <c r="BD23" s="5433"/>
      <c r="BE23" s="5433"/>
      <c r="BF23" s="5433"/>
      <c r="BG23" s="5433"/>
      <c r="BH23" s="5433"/>
      <c r="BI23" s="5433"/>
      <c r="BJ23" s="5433"/>
      <c r="BK23" s="5434"/>
      <c r="BL23" s="5435">
        <v>2012</v>
      </c>
      <c r="BM23" s="5436"/>
      <c r="BN23" s="5436"/>
      <c r="BO23" s="3837"/>
      <c r="BP23" s="3837"/>
      <c r="BQ23" s="3837"/>
      <c r="BR23" s="3837"/>
      <c r="BS23" s="3837"/>
      <c r="BT23" s="3272"/>
      <c r="BU23" s="3272"/>
      <c r="BV23" s="3272"/>
      <c r="BW23" s="3400"/>
      <c r="BX23" s="3401">
        <v>2013</v>
      </c>
      <c r="BY23" s="3402"/>
      <c r="BZ23" s="3402"/>
      <c r="CA23" s="3402"/>
      <c r="CB23" s="3402"/>
      <c r="CC23" s="3402"/>
      <c r="CD23" s="3402"/>
      <c r="CE23" s="3402"/>
      <c r="CF23" s="3402"/>
      <c r="CG23" s="3402"/>
      <c r="CH23" s="3402"/>
      <c r="CI23" s="3402"/>
      <c r="CJ23" s="3276">
        <v>2014</v>
      </c>
      <c r="CK23" s="3277"/>
      <c r="CL23" s="3277"/>
      <c r="CM23" s="3277"/>
      <c r="CN23" s="3277"/>
      <c r="CO23" s="3277"/>
      <c r="CP23" s="3277"/>
      <c r="CQ23" s="3277"/>
      <c r="CR23" s="3277"/>
      <c r="CS23" s="3277"/>
      <c r="CT23" s="3277"/>
      <c r="CU23" s="3278"/>
      <c r="CV23" s="3279">
        <v>2015</v>
      </c>
      <c r="CW23" s="3280"/>
      <c r="CX23" s="3280"/>
      <c r="CY23" s="3280"/>
      <c r="CZ23" s="3280"/>
      <c r="DA23" s="3280"/>
      <c r="DB23" s="3280"/>
      <c r="DC23" s="3280"/>
      <c r="DD23" s="3280"/>
      <c r="DE23" s="3403"/>
      <c r="DF23" s="3281"/>
      <c r="DG23" s="3281"/>
      <c r="DH23" s="5454">
        <v>2016</v>
      </c>
      <c r="DI23" s="5455"/>
      <c r="DJ23" s="5455"/>
      <c r="DK23" s="5455"/>
      <c r="DL23" s="5455"/>
      <c r="DM23" s="5455"/>
      <c r="DN23" s="5455"/>
      <c r="DO23" s="5455"/>
      <c r="DP23" s="5455"/>
      <c r="DQ23" s="5455"/>
      <c r="DR23" s="5455"/>
      <c r="DS23" s="5456"/>
      <c r="DT23" s="3404">
        <v>2017</v>
      </c>
      <c r="DU23" s="3404"/>
      <c r="DV23" s="3404"/>
      <c r="DW23" s="3404"/>
      <c r="DX23" s="3404"/>
      <c r="DY23" s="3404"/>
      <c r="DZ23" s="3405"/>
      <c r="EA23" s="3405"/>
      <c r="EB23" s="3405"/>
      <c r="EC23" s="3405"/>
      <c r="ED23" s="3405"/>
      <c r="EE23" s="3405"/>
      <c r="EF23" s="3404">
        <v>2017</v>
      </c>
      <c r="EG23" s="3404"/>
      <c r="EH23" s="3404"/>
      <c r="EI23" s="3404"/>
      <c r="EJ23" s="3404"/>
      <c r="EK23" s="3404"/>
      <c r="EL23" s="3405"/>
      <c r="EM23" s="3405"/>
      <c r="EN23" s="3405"/>
      <c r="EO23" s="3405"/>
      <c r="EP23" s="3405"/>
      <c r="EQ23" s="3405"/>
      <c r="ER23" s="3404">
        <v>2017</v>
      </c>
      <c r="ES23" s="3404"/>
      <c r="ET23" s="3404"/>
      <c r="EU23" s="3404"/>
      <c r="EV23" s="3404"/>
      <c r="EW23" s="3404"/>
      <c r="EX23" s="3405"/>
      <c r="EY23" s="3405"/>
      <c r="EZ23" s="3405"/>
      <c r="FA23" s="3405"/>
      <c r="FB23" s="3405"/>
      <c r="FC23" s="3405"/>
      <c r="FD23" s="2748"/>
      <c r="FE23" s="2748"/>
      <c r="FF23" s="2748"/>
      <c r="FG23" s="2748"/>
      <c r="FH23" s="2748"/>
      <c r="FI23" s="2748"/>
      <c r="FJ23" s="2748"/>
      <c r="FK23" s="2748"/>
      <c r="FL23" s="2748"/>
      <c r="FM23" s="2748"/>
      <c r="FN23" s="2748"/>
      <c r="FO23" s="2748"/>
      <c r="FP23" s="2747"/>
      <c r="FQ23" s="2748"/>
      <c r="FR23" s="2748"/>
      <c r="FS23" s="2748"/>
      <c r="FT23" s="2748"/>
      <c r="FU23" s="2748"/>
      <c r="FV23" s="2748"/>
      <c r="FW23" s="2748"/>
      <c r="FX23" s="2748"/>
      <c r="FY23" s="2748"/>
      <c r="FZ23" s="2748"/>
      <c r="GA23" s="2748"/>
      <c r="GB23" s="2749"/>
      <c r="GC23" s="2726"/>
      <c r="GD23" s="5440">
        <v>2007</v>
      </c>
      <c r="GE23" s="5441"/>
      <c r="GF23" s="5441"/>
      <c r="GG23" s="5441"/>
      <c r="GH23" s="5442">
        <v>2008</v>
      </c>
      <c r="GI23" s="5443"/>
      <c r="GJ23" s="5443"/>
      <c r="GK23" s="5444"/>
      <c r="GL23" s="5457">
        <v>2009</v>
      </c>
      <c r="GM23" s="5458"/>
      <c r="GN23" s="5458"/>
      <c r="GO23" s="5458"/>
      <c r="GP23" s="5459">
        <v>2010</v>
      </c>
      <c r="GQ23" s="5460"/>
      <c r="GR23" s="5460"/>
      <c r="GS23" s="5461"/>
      <c r="GT23" s="5462">
        <v>2011</v>
      </c>
      <c r="GU23" s="5463"/>
      <c r="GV23" s="5463"/>
      <c r="GW23" s="5464"/>
      <c r="GX23" s="5465">
        <v>2012</v>
      </c>
      <c r="GY23" s="5466"/>
      <c r="GZ23" s="5466"/>
      <c r="HA23" s="5466"/>
      <c r="HB23" s="2800">
        <v>2013</v>
      </c>
      <c r="HC23" s="2800"/>
      <c r="HD23" s="2800"/>
      <c r="HE23" s="2800"/>
      <c r="HF23" s="2801">
        <v>2014</v>
      </c>
      <c r="HG23" s="2801"/>
      <c r="HH23" s="2801"/>
      <c r="HI23" s="2801"/>
      <c r="HJ23" s="2802">
        <v>2015</v>
      </c>
      <c r="HK23" s="2802"/>
      <c r="HL23" s="2802"/>
      <c r="HM23" s="2803">
        <v>2016</v>
      </c>
      <c r="HN23" s="2803"/>
      <c r="HO23" s="2803"/>
      <c r="HP23" s="2803"/>
      <c r="HQ23" s="2804">
        <v>2017</v>
      </c>
      <c r="HR23" s="2804"/>
      <c r="HS23" s="2727"/>
      <c r="HT23" s="2726"/>
      <c r="HU23" s="2726"/>
      <c r="HV23" s="2800"/>
      <c r="HW23" s="2800"/>
      <c r="HX23" s="2800"/>
      <c r="HY23" s="2726"/>
      <c r="HZ23" s="2800"/>
      <c r="IA23" s="2800"/>
      <c r="IB23" s="2800"/>
      <c r="IC23" s="2800"/>
      <c r="ID23" s="2800"/>
      <c r="IE23" s="2800"/>
      <c r="IF23" s="2800"/>
      <c r="IG23" s="2800"/>
      <c r="IH23" s="2800"/>
      <c r="II23" s="2800"/>
      <c r="IJ23" s="2800"/>
      <c r="IK23" s="2805">
        <v>2007</v>
      </c>
      <c r="IL23" s="3284">
        <v>2008</v>
      </c>
      <c r="IM23" s="3284">
        <v>2009</v>
      </c>
      <c r="IN23" s="3284">
        <v>2010</v>
      </c>
      <c r="IO23" s="3284">
        <v>2011</v>
      </c>
      <c r="IP23" s="3284">
        <v>2012</v>
      </c>
      <c r="IQ23" s="3284">
        <v>2013</v>
      </c>
      <c r="IR23" s="3284">
        <v>2014</v>
      </c>
      <c r="IS23" s="5467" t="s">
        <v>452</v>
      </c>
      <c r="IT23" s="5467">
        <v>2016</v>
      </c>
      <c r="IU23" s="5447" t="str">
        <f>+IU15</f>
        <v>jul 2016 - jun 2017</v>
      </c>
      <c r="IV23" s="3285"/>
      <c r="IW23" s="3285"/>
      <c r="IX23" s="3285"/>
      <c r="IY23" s="3286"/>
      <c r="IZ23" s="3287"/>
      <c r="JA23" s="3764"/>
      <c r="JC23" s="3285"/>
      <c r="JD23" s="2723"/>
      <c r="JE23" s="2723"/>
      <c r="JF23" s="2723"/>
      <c r="JG23" s="2723"/>
      <c r="JH23" s="2723"/>
      <c r="JI23" s="3262"/>
      <c r="JJ23" s="2723"/>
      <c r="JK23" s="2723"/>
      <c r="JL23" s="2723"/>
      <c r="JM23" s="2723"/>
      <c r="JN23" s="2723"/>
      <c r="JO23" s="2723"/>
      <c r="JP23" s="2723"/>
      <c r="JQ23" s="2723"/>
      <c r="JS23" s="2723"/>
      <c r="JT23" s="2723"/>
      <c r="JU23" s="2723"/>
      <c r="JV23" s="2723"/>
      <c r="JW23" s="2723"/>
      <c r="JX23" s="2723"/>
      <c r="JY23" s="2723"/>
      <c r="JZ23" s="2723"/>
      <c r="KA23" s="2723"/>
      <c r="KB23" s="2723"/>
      <c r="KC23" s="2723"/>
      <c r="KD23" s="2723"/>
      <c r="KE23" s="2723"/>
      <c r="KF23" s="2723"/>
      <c r="KG23" s="2723"/>
      <c r="KH23" s="2723"/>
      <c r="KI23" s="2723"/>
      <c r="KJ23" s="2723"/>
      <c r="KK23" s="2723"/>
      <c r="KL23" s="2723"/>
      <c r="KM23" s="2723"/>
      <c r="KN23" s="2723"/>
      <c r="KO23" s="2723"/>
    </row>
    <row r="24" spans="1:301" ht="6.75" hidden="1" customHeight="1">
      <c r="A24" s="2723"/>
      <c r="B24" s="2723"/>
      <c r="C24" s="3288"/>
      <c r="D24" s="3281"/>
      <c r="E24" s="3281"/>
      <c r="F24" s="3281"/>
      <c r="G24" s="3281"/>
      <c r="H24" s="3281"/>
      <c r="I24" s="3281"/>
      <c r="J24" s="3281"/>
      <c r="K24" s="3281"/>
      <c r="L24" s="3281"/>
      <c r="M24" s="3281"/>
      <c r="N24" s="3281"/>
      <c r="O24" s="3281"/>
      <c r="P24" s="3289"/>
      <c r="Q24" s="3281"/>
      <c r="R24" s="3281"/>
      <c r="S24" s="3281"/>
      <c r="T24" s="3281"/>
      <c r="U24" s="3281"/>
      <c r="V24" s="3281"/>
      <c r="W24" s="3281"/>
      <c r="X24" s="3281"/>
      <c r="Y24" s="3281"/>
      <c r="Z24" s="3281"/>
      <c r="AA24" s="3281"/>
      <c r="AB24" s="3281"/>
      <c r="AC24" s="3281"/>
      <c r="AD24" s="3281"/>
      <c r="AE24" s="3281"/>
      <c r="AF24" s="3281"/>
      <c r="AG24" s="3281"/>
      <c r="AH24" s="3281"/>
      <c r="AI24" s="3281"/>
      <c r="AJ24" s="3281"/>
      <c r="AK24" s="3281"/>
      <c r="AL24" s="3281"/>
      <c r="AM24" s="3281"/>
      <c r="AN24" s="3281"/>
      <c r="AO24" s="3281"/>
      <c r="AP24" s="3281"/>
      <c r="AQ24" s="3281"/>
      <c r="AR24" s="3281"/>
      <c r="AS24" s="3281"/>
      <c r="AT24" s="3281"/>
      <c r="AU24" s="3281"/>
      <c r="AV24" s="3281"/>
      <c r="AW24" s="3281"/>
      <c r="AX24" s="3281"/>
      <c r="AY24" s="3281"/>
      <c r="AZ24" s="3290"/>
      <c r="BA24" s="3281"/>
      <c r="BB24" s="3281"/>
      <c r="BC24" s="3281"/>
      <c r="BD24" s="3281"/>
      <c r="BE24" s="3281"/>
      <c r="BF24" s="3281"/>
      <c r="BG24" s="3281"/>
      <c r="BH24" s="3281"/>
      <c r="BI24" s="3281"/>
      <c r="BJ24" s="3281"/>
      <c r="BK24" s="3291"/>
      <c r="BL24" s="3290"/>
      <c r="BM24" s="3281"/>
      <c r="BN24" s="3281"/>
      <c r="BO24" s="3281"/>
      <c r="BP24" s="3281"/>
      <c r="BQ24" s="3281"/>
      <c r="BR24" s="3281"/>
      <c r="BS24" s="3281"/>
      <c r="BT24" s="3281"/>
      <c r="BU24" s="3281"/>
      <c r="BV24" s="3281"/>
      <c r="BW24" s="3291"/>
      <c r="BX24" s="3290"/>
      <c r="BY24" s="3281"/>
      <c r="BZ24" s="3281"/>
      <c r="CA24" s="3281"/>
      <c r="CB24" s="3281"/>
      <c r="CC24" s="3281"/>
      <c r="CD24" s="3281"/>
      <c r="CE24" s="3281"/>
      <c r="CF24" s="3281"/>
      <c r="CG24" s="3281"/>
      <c r="CH24" s="3281"/>
      <c r="CI24" s="3281"/>
      <c r="CJ24" s="3295"/>
      <c r="CK24" s="3296"/>
      <c r="CL24" s="3296"/>
      <c r="CM24" s="3296"/>
      <c r="CN24" s="3296"/>
      <c r="CO24" s="3296"/>
      <c r="CP24" s="3296"/>
      <c r="CQ24" s="3296"/>
      <c r="CR24" s="3296"/>
      <c r="CS24" s="3296"/>
      <c r="CT24" s="3296"/>
      <c r="CU24" s="3297"/>
      <c r="CV24" s="3298"/>
      <c r="CW24" s="3299"/>
      <c r="CX24" s="3299"/>
      <c r="CY24" s="3299"/>
      <c r="CZ24" s="3299"/>
      <c r="DA24" s="3299"/>
      <c r="DB24" s="3299"/>
      <c r="DC24" s="3299"/>
      <c r="DD24" s="3299"/>
      <c r="DE24" s="3406"/>
      <c r="DF24" s="3299"/>
      <c r="DG24" s="3299"/>
      <c r="DH24" s="3300"/>
      <c r="DI24" s="3300"/>
      <c r="DJ24" s="3300"/>
      <c r="DK24" s="3300"/>
      <c r="DL24" s="3300"/>
      <c r="DM24" s="3300"/>
      <c r="DN24" s="3300"/>
      <c r="DO24" s="3300"/>
      <c r="DP24" s="3300"/>
      <c r="DQ24" s="3300"/>
      <c r="DR24" s="3300"/>
      <c r="DS24" s="3425"/>
      <c r="DT24" s="3301"/>
      <c r="DU24" s="3301"/>
      <c r="DV24" s="3301"/>
      <c r="DW24" s="3301"/>
      <c r="DX24" s="3301"/>
      <c r="DY24" s="3301"/>
      <c r="DZ24" s="3302"/>
      <c r="EA24" s="3302"/>
      <c r="EB24" s="3302"/>
      <c r="EC24" s="3302"/>
      <c r="ED24" s="3302"/>
      <c r="EE24" s="3302"/>
      <c r="EF24" s="3301"/>
      <c r="EG24" s="3301"/>
      <c r="EH24" s="3301"/>
      <c r="EI24" s="3301"/>
      <c r="EJ24" s="3301"/>
      <c r="EK24" s="3301"/>
      <c r="EL24" s="3302"/>
      <c r="EM24" s="3302"/>
      <c r="EN24" s="3302"/>
      <c r="EO24" s="3302"/>
      <c r="EP24" s="3302"/>
      <c r="EQ24" s="3302"/>
      <c r="ER24" s="3301"/>
      <c r="ES24" s="3301"/>
      <c r="ET24" s="3301"/>
      <c r="EU24" s="3301"/>
      <c r="EV24" s="3301"/>
      <c r="EW24" s="3301"/>
      <c r="EX24" s="3302"/>
      <c r="EY24" s="3302"/>
      <c r="EZ24" s="3302"/>
      <c r="FA24" s="3302"/>
      <c r="FB24" s="3302"/>
      <c r="FC24" s="3302"/>
      <c r="FD24" s="2806"/>
      <c r="FE24" s="2806"/>
      <c r="FF24" s="2806"/>
      <c r="FG24" s="2806"/>
      <c r="FH24" s="2806"/>
      <c r="FI24" s="2806"/>
      <c r="FJ24" s="2806"/>
      <c r="FK24" s="2806"/>
      <c r="FL24" s="2806"/>
      <c r="FM24" s="2806"/>
      <c r="FN24" s="2806"/>
      <c r="FO24" s="2806"/>
      <c r="FP24" s="2807"/>
      <c r="FQ24" s="2806"/>
      <c r="FR24" s="2806"/>
      <c r="FS24" s="2806"/>
      <c r="FT24" s="2806"/>
      <c r="FU24" s="2806"/>
      <c r="FV24" s="2806"/>
      <c r="FW24" s="2806"/>
      <c r="FX24" s="2806"/>
      <c r="FY24" s="2806"/>
      <c r="FZ24" s="2806"/>
      <c r="GA24" s="2806"/>
      <c r="GB24" s="2749"/>
      <c r="GC24" s="2808"/>
      <c r="GD24" s="2798"/>
      <c r="GE24" s="2798"/>
      <c r="GF24" s="2798"/>
      <c r="GG24" s="2798"/>
      <c r="GH24" s="2798"/>
      <c r="GI24" s="2798"/>
      <c r="GJ24" s="2798"/>
      <c r="GK24" s="2798"/>
      <c r="GL24" s="2798"/>
      <c r="GM24" s="2798"/>
      <c r="GN24" s="2798"/>
      <c r="GO24" s="2798"/>
      <c r="GP24" s="2798"/>
      <c r="GQ24" s="2798"/>
      <c r="GR24" s="2798"/>
      <c r="GS24" s="2798"/>
      <c r="GT24" s="2809"/>
      <c r="GU24" s="2809"/>
      <c r="GV24" s="2809"/>
      <c r="GW24" s="2809"/>
      <c r="GX24" s="2798"/>
      <c r="GY24" s="2798"/>
      <c r="GZ24" s="2798"/>
      <c r="HA24" s="2798"/>
      <c r="HB24" s="2798"/>
      <c r="HC24" s="2798"/>
      <c r="HD24" s="2798"/>
      <c r="HE24" s="2798"/>
      <c r="HF24" s="2801"/>
      <c r="HG24" s="2801"/>
      <c r="HH24" s="2801"/>
      <c r="HI24" s="2801"/>
      <c r="HJ24" s="2810"/>
      <c r="HK24" s="2810"/>
      <c r="HL24" s="2810"/>
      <c r="HM24" s="2748"/>
      <c r="HN24" s="2748"/>
      <c r="HO24" s="2748"/>
      <c r="HP24" s="2748"/>
      <c r="HQ24" s="2748"/>
      <c r="HR24" s="2748"/>
      <c r="HS24" s="2748"/>
      <c r="HT24" s="2798"/>
      <c r="HU24" s="2798"/>
      <c r="HV24" s="2798"/>
      <c r="HW24" s="2798"/>
      <c r="HX24" s="2798"/>
      <c r="HY24" s="2798"/>
      <c r="HZ24" s="2798"/>
      <c r="IA24" s="2798"/>
      <c r="IB24" s="2798"/>
      <c r="IC24" s="2798"/>
      <c r="ID24" s="2798"/>
      <c r="IE24" s="2798"/>
      <c r="IF24" s="2798"/>
      <c r="IG24" s="2798"/>
      <c r="IH24" s="2798"/>
      <c r="II24" s="2798"/>
      <c r="IJ24" s="2798"/>
      <c r="IK24" s="2811"/>
      <c r="IL24" s="3303"/>
      <c r="IM24" s="3303"/>
      <c r="IN24" s="3303"/>
      <c r="IO24" s="3303"/>
      <c r="IP24" s="3303"/>
      <c r="IQ24" s="3303"/>
      <c r="IR24" s="3303"/>
      <c r="IS24" s="5467"/>
      <c r="IT24" s="5467"/>
      <c r="IU24" s="5448"/>
      <c r="IV24" s="3285"/>
      <c r="IW24" s="3285"/>
      <c r="IX24" s="3285"/>
      <c r="IY24" s="3286"/>
      <c r="IZ24" s="3287"/>
      <c r="JA24" s="3764"/>
      <c r="JC24" s="3285"/>
      <c r="JD24" s="2723"/>
      <c r="JE24" s="2723"/>
      <c r="JF24" s="2723"/>
      <c r="JG24" s="2723"/>
      <c r="JH24" s="2723"/>
      <c r="JI24" s="3262"/>
      <c r="JJ24" s="2723"/>
      <c r="JK24" s="2723"/>
      <c r="JL24" s="2723"/>
      <c r="JM24" s="2723"/>
      <c r="JN24" s="2723"/>
      <c r="JO24" s="2723"/>
      <c r="JP24" s="2723"/>
      <c r="JQ24" s="2723"/>
      <c r="JS24" s="2723"/>
      <c r="JT24" s="2723"/>
      <c r="JU24" s="2723"/>
      <c r="JV24" s="2723"/>
      <c r="JW24" s="2723"/>
      <c r="JX24" s="2723"/>
      <c r="JY24" s="2723"/>
      <c r="JZ24" s="2723"/>
      <c r="KA24" s="2723"/>
      <c r="KB24" s="2723"/>
      <c r="KC24" s="2723"/>
      <c r="KD24" s="2723"/>
      <c r="KE24" s="2723"/>
      <c r="KF24" s="2723"/>
      <c r="KG24" s="2723"/>
      <c r="KH24" s="2723"/>
      <c r="KI24" s="2723"/>
      <c r="KJ24" s="2723"/>
      <c r="KK24" s="2723"/>
      <c r="KL24" s="2723"/>
      <c r="KM24" s="2723"/>
      <c r="KN24" s="2723"/>
      <c r="KO24" s="2723"/>
    </row>
    <row r="25" spans="1:301" ht="21" hidden="1" customHeight="1">
      <c r="A25" s="2723"/>
      <c r="B25" s="2723"/>
      <c r="C25" s="3242" t="s">
        <v>91</v>
      </c>
      <c r="D25" s="3304" t="s">
        <v>36</v>
      </c>
      <c r="E25" s="3305" t="s">
        <v>37</v>
      </c>
      <c r="F25" s="3305" t="s">
        <v>38</v>
      </c>
      <c r="G25" s="3305" t="s">
        <v>39</v>
      </c>
      <c r="H25" s="3305" t="s">
        <v>40</v>
      </c>
      <c r="I25" s="3305" t="s">
        <v>41</v>
      </c>
      <c r="J25" s="3305" t="s">
        <v>42</v>
      </c>
      <c r="K25" s="3305" t="s">
        <v>43</v>
      </c>
      <c r="L25" s="3305" t="s">
        <v>44</v>
      </c>
      <c r="M25" s="3305" t="s">
        <v>45</v>
      </c>
      <c r="N25" s="3305" t="s">
        <v>46</v>
      </c>
      <c r="O25" s="3306" t="s">
        <v>47</v>
      </c>
      <c r="P25" s="3307" t="s">
        <v>36</v>
      </c>
      <c r="Q25" s="3305" t="s">
        <v>37</v>
      </c>
      <c r="R25" s="3305" t="s">
        <v>38</v>
      </c>
      <c r="S25" s="3305" t="s">
        <v>39</v>
      </c>
      <c r="T25" s="3305" t="s">
        <v>40</v>
      </c>
      <c r="U25" s="3305" t="s">
        <v>41</v>
      </c>
      <c r="V25" s="3305" t="s">
        <v>42</v>
      </c>
      <c r="W25" s="3305" t="s">
        <v>43</v>
      </c>
      <c r="X25" s="3305" t="s">
        <v>44</v>
      </c>
      <c r="Y25" s="3305" t="s">
        <v>45</v>
      </c>
      <c r="Z25" s="3305" t="s">
        <v>46</v>
      </c>
      <c r="AA25" s="3306" t="s">
        <v>47</v>
      </c>
      <c r="AB25" s="3308" t="s">
        <v>36</v>
      </c>
      <c r="AC25" s="3309" t="s">
        <v>37</v>
      </c>
      <c r="AD25" s="3309" t="s">
        <v>38</v>
      </c>
      <c r="AE25" s="3309" t="s">
        <v>39</v>
      </c>
      <c r="AF25" s="3309" t="s">
        <v>40</v>
      </c>
      <c r="AG25" s="3309" t="s">
        <v>41</v>
      </c>
      <c r="AH25" s="3309" t="s">
        <v>42</v>
      </c>
      <c r="AI25" s="3309" t="s">
        <v>43</v>
      </c>
      <c r="AJ25" s="3309" t="s">
        <v>44</v>
      </c>
      <c r="AK25" s="3309" t="s">
        <v>45</v>
      </c>
      <c r="AL25" s="3309" t="s">
        <v>46</v>
      </c>
      <c r="AM25" s="3309" t="s">
        <v>47</v>
      </c>
      <c r="AN25" s="3309" t="s">
        <v>36</v>
      </c>
      <c r="AO25" s="3309" t="s">
        <v>37</v>
      </c>
      <c r="AP25" s="3309" t="s">
        <v>38</v>
      </c>
      <c r="AQ25" s="3309" t="s">
        <v>39</v>
      </c>
      <c r="AR25" s="3309" t="s">
        <v>40</v>
      </c>
      <c r="AS25" s="3309" t="s">
        <v>40</v>
      </c>
      <c r="AT25" s="3309" t="s">
        <v>42</v>
      </c>
      <c r="AU25" s="3309" t="s">
        <v>43</v>
      </c>
      <c r="AV25" s="3309" t="s">
        <v>44</v>
      </c>
      <c r="AW25" s="3309" t="s">
        <v>45</v>
      </c>
      <c r="AX25" s="3309" t="s">
        <v>46</v>
      </c>
      <c r="AY25" s="3310" t="s">
        <v>47</v>
      </c>
      <c r="AZ25" s="3311" t="s">
        <v>36</v>
      </c>
      <c r="BA25" s="3312" t="s">
        <v>37</v>
      </c>
      <c r="BB25" s="3312" t="s">
        <v>38</v>
      </c>
      <c r="BC25" s="3312" t="s">
        <v>39</v>
      </c>
      <c r="BD25" s="3312" t="s">
        <v>40</v>
      </c>
      <c r="BE25" s="3312" t="s">
        <v>41</v>
      </c>
      <c r="BF25" s="3312" t="s">
        <v>42</v>
      </c>
      <c r="BG25" s="3312" t="s">
        <v>43</v>
      </c>
      <c r="BH25" s="3312" t="s">
        <v>44</v>
      </c>
      <c r="BI25" s="3312" t="s">
        <v>45</v>
      </c>
      <c r="BJ25" s="3312" t="s">
        <v>46</v>
      </c>
      <c r="BK25" s="3313" t="s">
        <v>47</v>
      </c>
      <c r="BL25" s="3314" t="s">
        <v>36</v>
      </c>
      <c r="BM25" s="3315" t="s">
        <v>37</v>
      </c>
      <c r="BN25" s="3315" t="s">
        <v>38</v>
      </c>
      <c r="BO25" s="3315" t="s">
        <v>39</v>
      </c>
      <c r="BP25" s="3315" t="s">
        <v>40</v>
      </c>
      <c r="BQ25" s="3315" t="s">
        <v>41</v>
      </c>
      <c r="BR25" s="3315" t="s">
        <v>42</v>
      </c>
      <c r="BS25" s="3315" t="s">
        <v>43</v>
      </c>
      <c r="BT25" s="3316" t="s">
        <v>44</v>
      </c>
      <c r="BU25" s="3316" t="s">
        <v>45</v>
      </c>
      <c r="BV25" s="3316" t="s">
        <v>46</v>
      </c>
      <c r="BW25" s="3407" t="s">
        <v>47</v>
      </c>
      <c r="BX25" s="3408" t="s">
        <v>36</v>
      </c>
      <c r="BY25" s="3318" t="s">
        <v>37</v>
      </c>
      <c r="BZ25" s="3318" t="s">
        <v>38</v>
      </c>
      <c r="CA25" s="3318" t="s">
        <v>39</v>
      </c>
      <c r="CB25" s="3318" t="s">
        <v>40</v>
      </c>
      <c r="CC25" s="3318" t="s">
        <v>41</v>
      </c>
      <c r="CD25" s="3318" t="s">
        <v>42</v>
      </c>
      <c r="CE25" s="3318" t="s">
        <v>43</v>
      </c>
      <c r="CF25" s="3318" t="s">
        <v>44</v>
      </c>
      <c r="CG25" s="3318" t="s">
        <v>45</v>
      </c>
      <c r="CH25" s="3318" t="s">
        <v>46</v>
      </c>
      <c r="CI25" s="3318" t="s">
        <v>47</v>
      </c>
      <c r="CJ25" s="3319" t="s">
        <v>36</v>
      </c>
      <c r="CK25" s="3309" t="s">
        <v>37</v>
      </c>
      <c r="CL25" s="3309" t="s">
        <v>38</v>
      </c>
      <c r="CM25" s="3309" t="s">
        <v>39</v>
      </c>
      <c r="CN25" s="3309" t="s">
        <v>40</v>
      </c>
      <c r="CO25" s="3309" t="s">
        <v>41</v>
      </c>
      <c r="CP25" s="3309" t="s">
        <v>42</v>
      </c>
      <c r="CQ25" s="3309" t="s">
        <v>43</v>
      </c>
      <c r="CR25" s="3309" t="s">
        <v>44</v>
      </c>
      <c r="CS25" s="3309" t="s">
        <v>45</v>
      </c>
      <c r="CT25" s="3309" t="s">
        <v>46</v>
      </c>
      <c r="CU25" s="3320" t="s">
        <v>47</v>
      </c>
      <c r="CV25" s="3318" t="s">
        <v>36</v>
      </c>
      <c r="CW25" s="3318" t="s">
        <v>37</v>
      </c>
      <c r="CX25" s="3318" t="s">
        <v>38</v>
      </c>
      <c r="CY25" s="3318" t="s">
        <v>39</v>
      </c>
      <c r="CZ25" s="3318" t="s">
        <v>40</v>
      </c>
      <c r="DA25" s="3318" t="s">
        <v>41</v>
      </c>
      <c r="DB25" s="3318" t="s">
        <v>42</v>
      </c>
      <c r="DC25" s="3318" t="s">
        <v>43</v>
      </c>
      <c r="DD25" s="3318" t="s">
        <v>44</v>
      </c>
      <c r="DE25" s="3318" t="s">
        <v>45</v>
      </c>
      <c r="DF25" s="3318"/>
      <c r="DG25" s="3318"/>
      <c r="DH25" s="2685" t="s">
        <v>36</v>
      </c>
      <c r="DI25" s="2685" t="s">
        <v>37</v>
      </c>
      <c r="DJ25" s="2685" t="s">
        <v>38</v>
      </c>
      <c r="DK25" s="2685" t="s">
        <v>39</v>
      </c>
      <c r="DL25" s="2685" t="s">
        <v>40</v>
      </c>
      <c r="DM25" s="2685" t="s">
        <v>41</v>
      </c>
      <c r="DN25" s="2685" t="s">
        <v>42</v>
      </c>
      <c r="DO25" s="2685" t="s">
        <v>43</v>
      </c>
      <c r="DP25" s="2685" t="s">
        <v>183</v>
      </c>
      <c r="DQ25" s="2685" t="s">
        <v>45</v>
      </c>
      <c r="DR25" s="2685" t="s">
        <v>46</v>
      </c>
      <c r="DS25" s="2685" t="s">
        <v>47</v>
      </c>
      <c r="DT25" s="2684" t="s">
        <v>36</v>
      </c>
      <c r="DU25" s="2684" t="s">
        <v>37</v>
      </c>
      <c r="DV25" s="2684" t="s">
        <v>38</v>
      </c>
      <c r="DW25" s="2684" t="s">
        <v>39</v>
      </c>
      <c r="DX25" s="2684" t="s">
        <v>40</v>
      </c>
      <c r="DY25" s="2684" t="s">
        <v>41</v>
      </c>
      <c r="DZ25" s="2685"/>
      <c r="EA25" s="2685"/>
      <c r="EB25" s="2685"/>
      <c r="EC25" s="2685"/>
      <c r="ED25" s="2685"/>
      <c r="EE25" s="2685"/>
      <c r="EF25" s="2684" t="s">
        <v>36</v>
      </c>
      <c r="EG25" s="2684" t="s">
        <v>37</v>
      </c>
      <c r="EH25" s="2684" t="s">
        <v>38</v>
      </c>
      <c r="EI25" s="2684" t="s">
        <v>39</v>
      </c>
      <c r="EJ25" s="2684" t="s">
        <v>40</v>
      </c>
      <c r="EK25" s="2684" t="s">
        <v>41</v>
      </c>
      <c r="EL25" s="2685"/>
      <c r="EM25" s="2685"/>
      <c r="EN25" s="2685"/>
      <c r="EO25" s="2685"/>
      <c r="EP25" s="2685"/>
      <c r="EQ25" s="2685"/>
      <c r="ER25" s="2684" t="s">
        <v>36</v>
      </c>
      <c r="ES25" s="2684" t="s">
        <v>37</v>
      </c>
      <c r="ET25" s="2684" t="s">
        <v>38</v>
      </c>
      <c r="EU25" s="2684" t="s">
        <v>39</v>
      </c>
      <c r="EV25" s="2684" t="s">
        <v>40</v>
      </c>
      <c r="EW25" s="2684" t="s">
        <v>41</v>
      </c>
      <c r="EX25" s="2685"/>
      <c r="EY25" s="2685"/>
      <c r="EZ25" s="2685"/>
      <c r="FA25" s="2685"/>
      <c r="FB25" s="2685"/>
      <c r="FC25" s="2685"/>
      <c r="FD25" s="2812"/>
      <c r="FE25" s="2812"/>
      <c r="FF25" s="2812"/>
      <c r="FG25" s="2812"/>
      <c r="FH25" s="2812"/>
      <c r="FI25" s="2812"/>
      <c r="FJ25" s="2812"/>
      <c r="FK25" s="2812"/>
      <c r="FL25" s="2812"/>
      <c r="FM25" s="2812"/>
      <c r="FN25" s="2812"/>
      <c r="FO25" s="2812"/>
      <c r="FP25" s="2813"/>
      <c r="FQ25" s="2812"/>
      <c r="FR25" s="2812"/>
      <c r="FS25" s="2812"/>
      <c r="FT25" s="2812"/>
      <c r="FU25" s="2812"/>
      <c r="FV25" s="2812"/>
      <c r="FW25" s="2812"/>
      <c r="FX25" s="2812"/>
      <c r="FY25" s="2812"/>
      <c r="FZ25" s="2812"/>
      <c r="GA25" s="2812"/>
      <c r="GB25" s="2749"/>
      <c r="GC25" s="2726"/>
      <c r="GD25" s="2814" t="s">
        <v>167</v>
      </c>
      <c r="GE25" s="2815" t="s">
        <v>453</v>
      </c>
      <c r="GF25" s="2815" t="s">
        <v>454</v>
      </c>
      <c r="GG25" s="2816" t="s">
        <v>455</v>
      </c>
      <c r="GH25" s="2814" t="s">
        <v>167</v>
      </c>
      <c r="GI25" s="2815" t="s">
        <v>453</v>
      </c>
      <c r="GJ25" s="2815" t="s">
        <v>454</v>
      </c>
      <c r="GK25" s="2816" t="s">
        <v>455</v>
      </c>
      <c r="GL25" s="2817" t="s">
        <v>167</v>
      </c>
      <c r="GM25" s="2818" t="s">
        <v>453</v>
      </c>
      <c r="GN25" s="2818" t="s">
        <v>456</v>
      </c>
      <c r="GO25" s="2818" t="s">
        <v>457</v>
      </c>
      <c r="GP25" s="2819" t="s">
        <v>167</v>
      </c>
      <c r="GQ25" s="2820" t="s">
        <v>458</v>
      </c>
      <c r="GR25" s="2820" t="s">
        <v>459</v>
      </c>
      <c r="GS25" s="2821" t="s">
        <v>455</v>
      </c>
      <c r="GT25" s="2822" t="s">
        <v>167</v>
      </c>
      <c r="GU25" s="2823" t="s">
        <v>453</v>
      </c>
      <c r="GV25" s="2823" t="s">
        <v>456</v>
      </c>
      <c r="GW25" s="2824" t="s">
        <v>457</v>
      </c>
      <c r="GX25" s="2789" t="s">
        <v>167</v>
      </c>
      <c r="GY25" s="2789" t="s">
        <v>453</v>
      </c>
      <c r="GZ25" s="2789" t="s">
        <v>456</v>
      </c>
      <c r="HA25" s="2789" t="s">
        <v>457</v>
      </c>
      <c r="HB25" s="2789" t="s">
        <v>167</v>
      </c>
      <c r="HC25" s="2789" t="s">
        <v>453</v>
      </c>
      <c r="HD25" s="2789" t="s">
        <v>456</v>
      </c>
      <c r="HE25" s="2789" t="s">
        <v>457</v>
      </c>
      <c r="HF25" s="2789" t="s">
        <v>167</v>
      </c>
      <c r="HG25" s="2789" t="s">
        <v>453</v>
      </c>
      <c r="HH25" s="2789" t="s">
        <v>456</v>
      </c>
      <c r="HI25" s="2789" t="s">
        <v>457</v>
      </c>
      <c r="HJ25" s="2789" t="s">
        <v>167</v>
      </c>
      <c r="HK25" s="2789" t="s">
        <v>453</v>
      </c>
      <c r="HL25" s="2789" t="s">
        <v>456</v>
      </c>
      <c r="HM25" s="2792" t="s">
        <v>167</v>
      </c>
      <c r="HN25" s="2792" t="s">
        <v>453</v>
      </c>
      <c r="HO25" s="2792" t="s">
        <v>456</v>
      </c>
      <c r="HP25" s="2792" t="s">
        <v>457</v>
      </c>
      <c r="HQ25" s="2792" t="s">
        <v>167</v>
      </c>
      <c r="HR25" s="2792" t="s">
        <v>453</v>
      </c>
      <c r="HS25" s="2727"/>
      <c r="HT25" s="2726"/>
      <c r="HU25" s="2789"/>
      <c r="HV25" s="2789"/>
      <c r="HW25" s="2789"/>
      <c r="HX25" s="2789"/>
      <c r="HY25" s="2789"/>
      <c r="HZ25" s="2789"/>
      <c r="IA25" s="2789"/>
      <c r="IB25" s="2789"/>
      <c r="IC25" s="2789"/>
      <c r="ID25" s="2789"/>
      <c r="IE25" s="2789"/>
      <c r="IF25" s="2789"/>
      <c r="IG25" s="2789"/>
      <c r="IH25" s="2789"/>
      <c r="II25" s="2789"/>
      <c r="IJ25" s="2789"/>
      <c r="IK25" s="2811" t="s">
        <v>48</v>
      </c>
      <c r="IL25" s="3321" t="s">
        <v>48</v>
      </c>
      <c r="IM25" s="3321" t="s">
        <v>48</v>
      </c>
      <c r="IN25" s="3321" t="s">
        <v>48</v>
      </c>
      <c r="IO25" s="3321" t="s">
        <v>48</v>
      </c>
      <c r="IP25" s="3321" t="s">
        <v>48</v>
      </c>
      <c r="IQ25" s="3321" t="s">
        <v>48</v>
      </c>
      <c r="IR25" s="3321" t="s">
        <v>48</v>
      </c>
      <c r="IS25" s="5467"/>
      <c r="IT25" s="5467" t="s">
        <v>48</v>
      </c>
      <c r="IU25" s="5449"/>
      <c r="IV25" s="3285"/>
      <c r="IW25" s="3285"/>
      <c r="IX25" s="3285"/>
      <c r="IY25" s="3286"/>
      <c r="IZ25" s="3287"/>
      <c r="JA25" s="3764"/>
      <c r="JC25" s="3285"/>
      <c r="JD25" s="2723"/>
      <c r="JE25" s="2723"/>
      <c r="JF25" s="2723"/>
      <c r="JG25" s="2723"/>
      <c r="JH25" s="2723"/>
      <c r="JI25" s="3262"/>
      <c r="JJ25" s="2723"/>
      <c r="JK25" s="2723"/>
      <c r="JL25" s="2723"/>
      <c r="JM25" s="2723"/>
      <c r="JN25" s="2723"/>
      <c r="JO25" s="2723"/>
      <c r="JP25" s="2723"/>
      <c r="JQ25" s="2723"/>
      <c r="JS25" s="2723"/>
      <c r="JT25" s="2723"/>
      <c r="JU25" s="2723"/>
      <c r="JV25" s="2723"/>
      <c r="JW25" s="2723"/>
      <c r="JX25" s="2723"/>
      <c r="JY25" s="2723"/>
      <c r="JZ25" s="2723"/>
      <c r="KA25" s="2723"/>
      <c r="KB25" s="2723"/>
      <c r="KC25" s="2723"/>
      <c r="KD25" s="2723"/>
      <c r="KE25" s="2723"/>
      <c r="KF25" s="2723"/>
      <c r="KG25" s="2723"/>
      <c r="KH25" s="2723"/>
      <c r="KI25" s="2723"/>
      <c r="KJ25" s="2723"/>
      <c r="KK25" s="2723"/>
      <c r="KL25" s="2723"/>
      <c r="KM25" s="2723"/>
      <c r="KN25" s="2723"/>
      <c r="KO25" s="2723"/>
    </row>
    <row r="26" spans="1:301" ht="21.9" hidden="1" customHeight="1">
      <c r="A26" s="2723"/>
      <c r="B26" s="3231"/>
      <c r="C26" s="3322" t="s">
        <v>467</v>
      </c>
      <c r="D26" s="3323">
        <v>1565</v>
      </c>
      <c r="E26" s="3324">
        <v>1721</v>
      </c>
      <c r="F26" s="3324">
        <v>1539</v>
      </c>
      <c r="G26" s="3324">
        <v>1325</v>
      </c>
      <c r="H26" s="3324">
        <v>1418</v>
      </c>
      <c r="I26" s="3324">
        <v>3883</v>
      </c>
      <c r="J26" s="3324">
        <v>3794</v>
      </c>
      <c r="K26" s="3324">
        <v>2750</v>
      </c>
      <c r="L26" s="3324">
        <v>1321</v>
      </c>
      <c r="M26" s="3324">
        <v>1108</v>
      </c>
      <c r="N26" s="3324">
        <v>1678</v>
      </c>
      <c r="O26" s="3325">
        <v>2874</v>
      </c>
      <c r="P26" s="3326">
        <v>1866</v>
      </c>
      <c r="Q26" s="3327">
        <v>2065</v>
      </c>
      <c r="R26" s="3327">
        <v>1833</v>
      </c>
      <c r="S26" s="3327">
        <v>1141</v>
      </c>
      <c r="T26" s="3327">
        <v>1459</v>
      </c>
      <c r="U26" s="3327">
        <v>3630</v>
      </c>
      <c r="V26" s="3327">
        <v>3424</v>
      </c>
      <c r="W26" s="3327">
        <v>2608</v>
      </c>
      <c r="X26" s="3327">
        <v>1078</v>
      </c>
      <c r="Y26" s="3327">
        <v>998</v>
      </c>
      <c r="Z26" s="3327">
        <v>1285</v>
      </c>
      <c r="AA26" s="3328">
        <v>2690</v>
      </c>
      <c r="AB26" s="3329">
        <v>1709</v>
      </c>
      <c r="AC26" s="3330">
        <v>1790</v>
      </c>
      <c r="AD26" s="3330">
        <v>1351</v>
      </c>
      <c r="AE26" s="3330">
        <v>1578</v>
      </c>
      <c r="AF26" s="3330">
        <v>1519</v>
      </c>
      <c r="AG26" s="3330">
        <v>4093</v>
      </c>
      <c r="AH26" s="3330">
        <v>3431</v>
      </c>
      <c r="AI26" s="3330">
        <v>2565</v>
      </c>
      <c r="AJ26" s="3330">
        <v>1351</v>
      </c>
      <c r="AK26" s="3330">
        <v>1261</v>
      </c>
      <c r="AL26" s="3330">
        <v>1426</v>
      </c>
      <c r="AM26" s="3330">
        <v>3049</v>
      </c>
      <c r="AN26" s="3331">
        <v>1728</v>
      </c>
      <c r="AO26" s="3331">
        <v>1719</v>
      </c>
      <c r="AP26" s="3331">
        <v>1658</v>
      </c>
      <c r="AQ26" s="3331">
        <v>1152</v>
      </c>
      <c r="AR26" s="3331">
        <v>1509</v>
      </c>
      <c r="AS26" s="3331">
        <v>3868</v>
      </c>
      <c r="AT26" s="3331">
        <v>3524</v>
      </c>
      <c r="AU26" s="3331">
        <v>2752</v>
      </c>
      <c r="AV26" s="3331">
        <v>1492</v>
      </c>
      <c r="AW26" s="3331">
        <v>1192</v>
      </c>
      <c r="AX26" s="3331">
        <v>1435.7276847211963</v>
      </c>
      <c r="AY26" s="3332">
        <v>3158</v>
      </c>
      <c r="AZ26" s="3333">
        <v>1761</v>
      </c>
      <c r="BA26" s="3334">
        <v>1584</v>
      </c>
      <c r="BB26" s="3334">
        <v>1347</v>
      </c>
      <c r="BC26" s="3334">
        <v>1414</v>
      </c>
      <c r="BD26" s="3334">
        <v>1256</v>
      </c>
      <c r="BE26" s="3334">
        <v>3861</v>
      </c>
      <c r="BF26" s="3334">
        <v>3357</v>
      </c>
      <c r="BG26" s="3334">
        <v>2543</v>
      </c>
      <c r="BH26" s="3334">
        <v>1301</v>
      </c>
      <c r="BI26" s="3334">
        <v>1186</v>
      </c>
      <c r="BJ26" s="3334">
        <v>1312</v>
      </c>
      <c r="BK26" s="3335">
        <v>3224</v>
      </c>
      <c r="BL26" s="3336">
        <v>1841</v>
      </c>
      <c r="BM26" s="3337">
        <v>1508</v>
      </c>
      <c r="BN26" s="3337">
        <v>1407</v>
      </c>
      <c r="BO26" s="3337">
        <v>1220</v>
      </c>
      <c r="BP26" s="3337">
        <v>1222</v>
      </c>
      <c r="BQ26" s="3337">
        <v>4012</v>
      </c>
      <c r="BR26" s="3337">
        <v>3739</v>
      </c>
      <c r="BS26" s="3337">
        <v>2319</v>
      </c>
      <c r="BT26" s="3338">
        <v>1284</v>
      </c>
      <c r="BU26" s="3338">
        <v>1177</v>
      </c>
      <c r="BV26" s="3338">
        <v>1409</v>
      </c>
      <c r="BW26" s="3409">
        <v>4025</v>
      </c>
      <c r="BX26" s="3410">
        <v>1725</v>
      </c>
      <c r="BY26" s="3341">
        <v>1774</v>
      </c>
      <c r="BZ26" s="3341">
        <v>1869</v>
      </c>
      <c r="CA26" s="3341">
        <v>1391</v>
      </c>
      <c r="CB26" s="3341">
        <v>1690</v>
      </c>
      <c r="CC26" s="3341">
        <v>4649</v>
      </c>
      <c r="CD26" s="3341">
        <v>4074</v>
      </c>
      <c r="CE26" s="3341">
        <v>2913</v>
      </c>
      <c r="CF26" s="3341">
        <v>1754</v>
      </c>
      <c r="CG26" s="3341">
        <v>1875</v>
      </c>
      <c r="CH26" s="3341">
        <v>2162</v>
      </c>
      <c r="CI26" s="3342">
        <v>3979</v>
      </c>
      <c r="CJ26" s="3343">
        <v>1923</v>
      </c>
      <c r="CK26" s="3344">
        <v>2361</v>
      </c>
      <c r="CL26" s="3344">
        <v>1769</v>
      </c>
      <c r="CM26" s="3344">
        <v>1968</v>
      </c>
      <c r="CN26" s="3344">
        <v>1715</v>
      </c>
      <c r="CO26" s="3344">
        <v>3327</v>
      </c>
      <c r="CP26" s="3344">
        <v>4297</v>
      </c>
      <c r="CQ26" s="3344">
        <v>2741</v>
      </c>
      <c r="CR26" s="3344">
        <v>1573</v>
      </c>
      <c r="CS26" s="3344">
        <v>1642</v>
      </c>
      <c r="CT26" s="3344">
        <v>1839</v>
      </c>
      <c r="CU26" s="3345">
        <v>4733</v>
      </c>
      <c r="CV26" s="3426">
        <v>1954</v>
      </c>
      <c r="CW26" s="3344">
        <v>2036</v>
      </c>
      <c r="CX26" s="3427">
        <v>1880</v>
      </c>
      <c r="CY26" s="3427">
        <v>1604</v>
      </c>
      <c r="CZ26" s="3427">
        <v>1687</v>
      </c>
      <c r="DA26" s="3427">
        <v>4518</v>
      </c>
      <c r="DB26" s="3427">
        <v>4779</v>
      </c>
      <c r="DC26" s="3427">
        <v>2759</v>
      </c>
      <c r="DD26" s="3347">
        <v>1535</v>
      </c>
      <c r="DE26" s="3347">
        <v>1558</v>
      </c>
      <c r="DF26" s="3334"/>
      <c r="DG26" s="3334"/>
      <c r="DH26" s="3428">
        <v>2011</v>
      </c>
      <c r="DI26" s="3429">
        <v>1939</v>
      </c>
      <c r="DJ26" s="3429">
        <v>2081</v>
      </c>
      <c r="DK26" s="3350">
        <v>1219</v>
      </c>
      <c r="DL26" s="3350">
        <v>1321</v>
      </c>
      <c r="DM26" s="3350">
        <v>4182</v>
      </c>
      <c r="DN26" s="3350">
        <v>4189</v>
      </c>
      <c r="DO26" s="3350">
        <v>2449</v>
      </c>
      <c r="DP26" s="3350">
        <v>1167</v>
      </c>
      <c r="DQ26" s="3350">
        <v>1212</v>
      </c>
      <c r="DR26" s="3350">
        <v>1527</v>
      </c>
      <c r="DS26" s="3349">
        <v>4253</v>
      </c>
      <c r="DT26" s="3351">
        <v>1835</v>
      </c>
      <c r="DU26" s="3351">
        <v>1906</v>
      </c>
      <c r="DV26" s="3351">
        <v>1711</v>
      </c>
      <c r="DW26" s="3351">
        <v>1952</v>
      </c>
      <c r="DX26" s="3351">
        <v>1296</v>
      </c>
      <c r="DY26" s="3351">
        <v>4435</v>
      </c>
      <c r="DZ26" s="3352"/>
      <c r="EA26" s="3352"/>
      <c r="EB26" s="3352"/>
      <c r="EC26" s="3352"/>
      <c r="ED26" s="3352"/>
      <c r="EE26" s="3352"/>
      <c r="EF26" s="3351">
        <v>1835</v>
      </c>
      <c r="EG26" s="3351">
        <v>1906</v>
      </c>
      <c r="EH26" s="3351">
        <v>1711</v>
      </c>
      <c r="EI26" s="3351">
        <v>1952</v>
      </c>
      <c r="EJ26" s="3351">
        <v>1296</v>
      </c>
      <c r="EK26" s="3351">
        <v>4435</v>
      </c>
      <c r="EL26" s="3352"/>
      <c r="EM26" s="3352"/>
      <c r="EN26" s="3352"/>
      <c r="EO26" s="3352"/>
      <c r="EP26" s="3352"/>
      <c r="EQ26" s="3352"/>
      <c r="ER26" s="3351">
        <v>1835</v>
      </c>
      <c r="ES26" s="3351">
        <v>1906</v>
      </c>
      <c r="ET26" s="3351">
        <v>1711</v>
      </c>
      <c r="EU26" s="3351">
        <v>1952</v>
      </c>
      <c r="EV26" s="3351">
        <v>1296</v>
      </c>
      <c r="EW26" s="3351">
        <v>4435</v>
      </c>
      <c r="EX26" s="3352"/>
      <c r="EY26" s="3352"/>
      <c r="EZ26" s="3352"/>
      <c r="FA26" s="3352"/>
      <c r="FB26" s="3352"/>
      <c r="FC26" s="3352"/>
      <c r="FD26" s="2826"/>
      <c r="FE26" s="2826"/>
      <c r="FF26" s="2826"/>
      <c r="FG26" s="2826"/>
      <c r="FH26" s="2826"/>
      <c r="FI26" s="2826"/>
      <c r="FJ26" s="2826"/>
      <c r="FK26" s="2826"/>
      <c r="FL26" s="2826"/>
      <c r="FM26" s="2826"/>
      <c r="FN26" s="2826"/>
      <c r="FO26" s="2826"/>
      <c r="FP26" s="2827"/>
      <c r="FQ26" s="2826"/>
      <c r="FR26" s="2826"/>
      <c r="FS26" s="2826"/>
      <c r="FT26" s="2826"/>
      <c r="FU26" s="2826"/>
      <c r="FV26" s="2826"/>
      <c r="FW26" s="2826"/>
      <c r="FX26" s="2826"/>
      <c r="FY26" s="2826"/>
      <c r="FZ26" s="2826"/>
      <c r="GA26" s="2826"/>
      <c r="GB26" s="2752"/>
      <c r="GC26" s="2726"/>
      <c r="GD26" s="2828">
        <v>4825</v>
      </c>
      <c r="GE26" s="2829">
        <v>6626</v>
      </c>
      <c r="GF26" s="2829">
        <v>7865</v>
      </c>
      <c r="GG26" s="2830">
        <v>5660</v>
      </c>
      <c r="GH26" s="2831">
        <v>5764</v>
      </c>
      <c r="GI26" s="2832">
        <v>6230</v>
      </c>
      <c r="GJ26" s="2832">
        <v>7110</v>
      </c>
      <c r="GK26" s="2833">
        <v>4973</v>
      </c>
      <c r="GL26" s="2834">
        <v>4850</v>
      </c>
      <c r="GM26" s="2835">
        <v>7190</v>
      </c>
      <c r="GN26" s="2836">
        <v>7347</v>
      </c>
      <c r="GO26" s="2836">
        <v>5736</v>
      </c>
      <c r="GP26" s="2837">
        <v>5105</v>
      </c>
      <c r="GQ26" s="2838">
        <v>6529</v>
      </c>
      <c r="GR26" s="2838">
        <v>7768</v>
      </c>
      <c r="GS26" s="2839">
        <v>5785.7276847211961</v>
      </c>
      <c r="GT26" s="2840">
        <v>4692</v>
      </c>
      <c r="GU26" s="2841">
        <v>6531</v>
      </c>
      <c r="GV26" s="2841">
        <v>7201</v>
      </c>
      <c r="GW26" s="2842">
        <v>5722</v>
      </c>
      <c r="GX26" s="2838">
        <v>4756</v>
      </c>
      <c r="GY26" s="2838">
        <v>6454</v>
      </c>
      <c r="GZ26" s="2838">
        <v>7342</v>
      </c>
      <c r="HA26" s="2838">
        <v>6611</v>
      </c>
      <c r="HB26" s="2843">
        <v>5368</v>
      </c>
      <c r="HC26" s="2843">
        <v>7730</v>
      </c>
      <c r="HD26" s="2843">
        <v>8741</v>
      </c>
      <c r="HE26" s="2843">
        <v>8016</v>
      </c>
      <c r="HF26" s="2844">
        <v>6053</v>
      </c>
      <c r="HG26" s="2844">
        <v>7010</v>
      </c>
      <c r="HH26" s="2844">
        <v>8680</v>
      </c>
      <c r="HI26" s="2844">
        <v>8214</v>
      </c>
      <c r="HJ26" s="2845">
        <v>5870</v>
      </c>
      <c r="HK26" s="2845">
        <v>4849</v>
      </c>
      <c r="HL26" s="2845">
        <v>9096</v>
      </c>
      <c r="HM26" s="2846">
        <f t="shared" ref="HM26:HM32" si="1">+DH26+DI26+DJ26</f>
        <v>6031</v>
      </c>
      <c r="HN26" s="2846">
        <f t="shared" ref="HN26:HN32" si="2">+DM26+DL26+DK26</f>
        <v>6722</v>
      </c>
      <c r="HO26" s="2846">
        <f t="shared" ref="HO26:HO32" si="3">+DP26+DO26+DN26</f>
        <v>7805</v>
      </c>
      <c r="HP26" s="2846">
        <f t="shared" ref="HP26:HP32" si="4">+DQ26+DR26+DS26</f>
        <v>6992</v>
      </c>
      <c r="HQ26" s="2847">
        <f t="shared" ref="HQ26:HQ32" si="5">+DT26+DU26+DV26</f>
        <v>5452</v>
      </c>
      <c r="HR26" s="2847">
        <f t="shared" ref="HR26:HR32" si="6">+DW26+DX26+DY26</f>
        <v>7683</v>
      </c>
      <c r="HS26" s="2727"/>
      <c r="HT26" s="2726"/>
      <c r="HU26" s="2838"/>
      <c r="HV26" s="2843"/>
      <c r="HW26" s="2843"/>
      <c r="HX26" s="2843"/>
      <c r="HY26" s="2838"/>
      <c r="HZ26" s="2843"/>
      <c r="IA26" s="2843"/>
      <c r="IB26" s="2843"/>
      <c r="IC26" s="2843"/>
      <c r="ID26" s="2843"/>
      <c r="IE26" s="2843"/>
      <c r="IF26" s="2843"/>
      <c r="IG26" s="2843"/>
      <c r="IH26" s="2843"/>
      <c r="II26" s="2843"/>
      <c r="IJ26" s="2843"/>
      <c r="IK26" s="2848">
        <v>24976</v>
      </c>
      <c r="IL26" s="3353">
        <v>24077</v>
      </c>
      <c r="IM26" s="3353">
        <v>25123</v>
      </c>
      <c r="IN26" s="3353">
        <v>25187.727684721198</v>
      </c>
      <c r="IO26" s="3353">
        <v>24146</v>
      </c>
      <c r="IP26" s="3353">
        <v>25163</v>
      </c>
      <c r="IQ26" s="3353">
        <v>29855</v>
      </c>
      <c r="IR26" s="3353">
        <v>29888</v>
      </c>
      <c r="IS26" s="3354">
        <v>30882</v>
      </c>
      <c r="IT26" s="3354">
        <f t="shared" ref="IT26:IT34" si="7">SUM(DI26:DT26)</f>
        <v>27374</v>
      </c>
      <c r="IU26" s="3355">
        <f t="shared" ref="IU26:IU34" si="8">SUM(DO26:EE26)</f>
        <v>23743</v>
      </c>
      <c r="IV26" s="3285"/>
      <c r="IW26" s="3285"/>
      <c r="IX26" s="3285"/>
      <c r="IY26" s="3286"/>
      <c r="IZ26" s="3287"/>
      <c r="JA26" s="3764"/>
      <c r="JC26" s="3285"/>
      <c r="JD26" s="3231"/>
      <c r="JE26" s="3231"/>
      <c r="JF26" s="3231"/>
      <c r="JG26" s="3231"/>
      <c r="JH26" s="2723"/>
      <c r="JI26" s="3262"/>
      <c r="JJ26" s="2723"/>
      <c r="JK26" s="2723"/>
      <c r="JL26" s="2723"/>
      <c r="JM26" s="2723"/>
      <c r="JN26" s="2723"/>
      <c r="JO26" s="2723"/>
      <c r="JP26" s="2723"/>
      <c r="JQ26" s="2723"/>
      <c r="JS26" s="3231"/>
      <c r="JT26" s="3231"/>
      <c r="JU26" s="3231"/>
      <c r="JV26" s="3231"/>
      <c r="JW26" s="3231"/>
      <c r="JX26" s="3231"/>
      <c r="JY26" s="3231"/>
      <c r="JZ26" s="3231"/>
      <c r="KA26" s="3231"/>
      <c r="KB26" s="3231"/>
      <c r="KC26" s="3231"/>
      <c r="KD26" s="3231"/>
      <c r="KE26" s="3231"/>
      <c r="KF26" s="3231"/>
      <c r="KG26" s="3231"/>
      <c r="KH26" s="3231"/>
      <c r="KI26" s="3231"/>
      <c r="KJ26" s="3231"/>
      <c r="KK26" s="3231"/>
      <c r="KL26" s="3231"/>
      <c r="KM26" s="3231"/>
      <c r="KN26" s="3231"/>
      <c r="KO26" s="3231"/>
    </row>
    <row r="27" spans="1:301" ht="21.9" hidden="1" customHeight="1">
      <c r="A27" s="2723"/>
      <c r="B27" s="3231"/>
      <c r="C27" s="3322" t="s">
        <v>468</v>
      </c>
      <c r="D27" s="3323">
        <v>1528</v>
      </c>
      <c r="E27" s="3324">
        <v>1587</v>
      </c>
      <c r="F27" s="3324">
        <v>2902</v>
      </c>
      <c r="G27" s="3324">
        <v>1524</v>
      </c>
      <c r="H27" s="3324">
        <v>1554</v>
      </c>
      <c r="I27" s="3324">
        <v>6026</v>
      </c>
      <c r="J27" s="3324">
        <v>7783</v>
      </c>
      <c r="K27" s="3324">
        <v>4787</v>
      </c>
      <c r="L27" s="3324">
        <v>1358</v>
      </c>
      <c r="M27" s="3324">
        <v>1041</v>
      </c>
      <c r="N27" s="3324">
        <v>1259</v>
      </c>
      <c r="O27" s="3325">
        <v>3214</v>
      </c>
      <c r="P27" s="3326">
        <v>2076</v>
      </c>
      <c r="Q27" s="3327">
        <v>1868</v>
      </c>
      <c r="R27" s="3327">
        <v>3027</v>
      </c>
      <c r="S27" s="3327">
        <v>1248</v>
      </c>
      <c r="T27" s="3327">
        <v>2073</v>
      </c>
      <c r="U27" s="3327">
        <v>6828</v>
      </c>
      <c r="V27" s="3327">
        <v>7870</v>
      </c>
      <c r="W27" s="3327">
        <v>4478</v>
      </c>
      <c r="X27" s="3327">
        <v>1749</v>
      </c>
      <c r="Y27" s="3327">
        <v>1418</v>
      </c>
      <c r="Z27" s="3327">
        <v>1491</v>
      </c>
      <c r="AA27" s="3328">
        <v>3339</v>
      </c>
      <c r="AB27" s="3329">
        <v>1960</v>
      </c>
      <c r="AC27" s="3330">
        <v>1658</v>
      </c>
      <c r="AD27" s="3330">
        <v>2173</v>
      </c>
      <c r="AE27" s="3330">
        <v>2208</v>
      </c>
      <c r="AF27" s="3330">
        <v>1820</v>
      </c>
      <c r="AG27" s="3330">
        <v>6683</v>
      </c>
      <c r="AH27" s="3330">
        <v>7331</v>
      </c>
      <c r="AI27" s="3330">
        <v>4482</v>
      </c>
      <c r="AJ27" s="3330">
        <v>1557</v>
      </c>
      <c r="AK27" s="3330">
        <v>1332</v>
      </c>
      <c r="AL27" s="3330">
        <v>1514</v>
      </c>
      <c r="AM27" s="3330">
        <v>4252</v>
      </c>
      <c r="AN27" s="3331">
        <v>2030</v>
      </c>
      <c r="AO27" s="3331">
        <v>1908</v>
      </c>
      <c r="AP27" s="3331">
        <v>2629</v>
      </c>
      <c r="AQ27" s="3331">
        <v>1597</v>
      </c>
      <c r="AR27" s="3331">
        <v>2041</v>
      </c>
      <c r="AS27" s="3331">
        <v>6790</v>
      </c>
      <c r="AT27" s="3331">
        <v>7876</v>
      </c>
      <c r="AU27" s="3331">
        <v>4198</v>
      </c>
      <c r="AV27" s="3331">
        <v>1670</v>
      </c>
      <c r="AW27" s="3331">
        <v>1318</v>
      </c>
      <c r="AX27" s="3331">
        <v>1629.2918205594042</v>
      </c>
      <c r="AY27" s="3332">
        <v>3799</v>
      </c>
      <c r="AZ27" s="3333">
        <v>2783</v>
      </c>
      <c r="BA27" s="3334">
        <v>1683</v>
      </c>
      <c r="BB27" s="3334">
        <v>2879</v>
      </c>
      <c r="BC27" s="3334">
        <v>1808</v>
      </c>
      <c r="BD27" s="3334">
        <v>2004</v>
      </c>
      <c r="BE27" s="3334">
        <v>6703</v>
      </c>
      <c r="BF27" s="3334">
        <v>7356</v>
      </c>
      <c r="BG27" s="3334">
        <v>4318</v>
      </c>
      <c r="BH27" s="3334">
        <v>1435</v>
      </c>
      <c r="BI27" s="3334">
        <v>1222</v>
      </c>
      <c r="BJ27" s="3334">
        <v>1167</v>
      </c>
      <c r="BK27" s="3335">
        <v>4069</v>
      </c>
      <c r="BL27" s="3336">
        <v>2396</v>
      </c>
      <c r="BM27" s="3337">
        <v>1732</v>
      </c>
      <c r="BN27" s="3337">
        <v>2771</v>
      </c>
      <c r="BO27" s="3337">
        <v>1797</v>
      </c>
      <c r="BP27" s="3337">
        <v>1826</v>
      </c>
      <c r="BQ27" s="3337">
        <v>6893</v>
      </c>
      <c r="BR27" s="3337">
        <v>7817</v>
      </c>
      <c r="BS27" s="3337">
        <v>3914</v>
      </c>
      <c r="BT27" s="3338">
        <v>1582</v>
      </c>
      <c r="BU27" s="3338">
        <v>1272</v>
      </c>
      <c r="BV27" s="3338">
        <v>1619</v>
      </c>
      <c r="BW27" s="3409">
        <v>5012</v>
      </c>
      <c r="BX27" s="3410">
        <v>3171</v>
      </c>
      <c r="BY27" s="3341">
        <v>2104</v>
      </c>
      <c r="BZ27" s="3341">
        <v>3880</v>
      </c>
      <c r="CA27" s="3341">
        <v>2048</v>
      </c>
      <c r="CB27" s="3341">
        <v>2223</v>
      </c>
      <c r="CC27" s="3341">
        <v>7760</v>
      </c>
      <c r="CD27" s="3341">
        <v>8716</v>
      </c>
      <c r="CE27" s="3341">
        <v>4686</v>
      </c>
      <c r="CF27" s="3341">
        <v>1998</v>
      </c>
      <c r="CG27" s="3341">
        <v>1764</v>
      </c>
      <c r="CH27" s="3341">
        <v>1902</v>
      </c>
      <c r="CI27" s="3342">
        <v>5447</v>
      </c>
      <c r="CJ27" s="3343">
        <v>2725</v>
      </c>
      <c r="CK27" s="3344">
        <v>2889</v>
      </c>
      <c r="CL27" s="3344">
        <v>3500</v>
      </c>
      <c r="CM27" s="3344">
        <v>2928</v>
      </c>
      <c r="CN27" s="3344">
        <v>2487</v>
      </c>
      <c r="CO27" s="3344">
        <v>7111</v>
      </c>
      <c r="CP27" s="3344">
        <v>9382</v>
      </c>
      <c r="CQ27" s="3344">
        <v>4722</v>
      </c>
      <c r="CR27" s="3344">
        <v>1945</v>
      </c>
      <c r="CS27" s="3344">
        <v>1782</v>
      </c>
      <c r="CT27" s="3344">
        <v>1725</v>
      </c>
      <c r="CU27" s="3345">
        <v>6253</v>
      </c>
      <c r="CV27" s="3426">
        <v>3675</v>
      </c>
      <c r="CW27" s="3344">
        <v>2568</v>
      </c>
      <c r="CX27" s="3427">
        <v>4318</v>
      </c>
      <c r="CY27" s="3427">
        <v>2501</v>
      </c>
      <c r="CZ27" s="3427">
        <v>2876</v>
      </c>
      <c r="DA27" s="3427">
        <v>9163</v>
      </c>
      <c r="DB27" s="3427">
        <v>10705</v>
      </c>
      <c r="DC27" s="3427">
        <v>4874</v>
      </c>
      <c r="DD27" s="3347">
        <v>1753</v>
      </c>
      <c r="DE27" s="3347">
        <v>1648</v>
      </c>
      <c r="DF27" s="3334"/>
      <c r="DG27" s="3334"/>
      <c r="DH27" s="3428">
        <v>2965</v>
      </c>
      <c r="DI27" s="3429">
        <v>2693</v>
      </c>
      <c r="DJ27" s="3429">
        <v>4952</v>
      </c>
      <c r="DK27" s="3350">
        <v>1757</v>
      </c>
      <c r="DL27" s="3350">
        <v>2569</v>
      </c>
      <c r="DM27" s="3350">
        <v>9630</v>
      </c>
      <c r="DN27" s="3350">
        <v>10137</v>
      </c>
      <c r="DO27" s="3350">
        <v>4466</v>
      </c>
      <c r="DP27" s="3350">
        <v>1339</v>
      </c>
      <c r="DQ27" s="3350">
        <v>1645</v>
      </c>
      <c r="DR27" s="3350">
        <v>1861</v>
      </c>
      <c r="DS27" s="3349">
        <v>6354</v>
      </c>
      <c r="DT27" s="3351">
        <v>3243</v>
      </c>
      <c r="DU27" s="3351">
        <v>2627</v>
      </c>
      <c r="DV27" s="3351">
        <v>3910</v>
      </c>
      <c r="DW27" s="3351">
        <v>3634</v>
      </c>
      <c r="DX27" s="3351">
        <v>2800</v>
      </c>
      <c r="DY27" s="3351">
        <v>10439</v>
      </c>
      <c r="DZ27" s="3352"/>
      <c r="EA27" s="3352"/>
      <c r="EB27" s="3352"/>
      <c r="EC27" s="3352"/>
      <c r="ED27" s="3352"/>
      <c r="EE27" s="3352"/>
      <c r="EF27" s="3351">
        <v>3243</v>
      </c>
      <c r="EG27" s="3351">
        <v>2627</v>
      </c>
      <c r="EH27" s="3351">
        <v>3910</v>
      </c>
      <c r="EI27" s="3351">
        <v>3634</v>
      </c>
      <c r="EJ27" s="3351">
        <v>2800</v>
      </c>
      <c r="EK27" s="3351">
        <v>10439</v>
      </c>
      <c r="EL27" s="3352"/>
      <c r="EM27" s="3352"/>
      <c r="EN27" s="3352"/>
      <c r="EO27" s="3352"/>
      <c r="EP27" s="3352"/>
      <c r="EQ27" s="3352"/>
      <c r="ER27" s="3351">
        <v>3243</v>
      </c>
      <c r="ES27" s="3351">
        <v>2627</v>
      </c>
      <c r="ET27" s="3351">
        <v>3910</v>
      </c>
      <c r="EU27" s="3351">
        <v>3634</v>
      </c>
      <c r="EV27" s="3351">
        <v>2800</v>
      </c>
      <c r="EW27" s="3351">
        <v>10439</v>
      </c>
      <c r="EX27" s="3352"/>
      <c r="EY27" s="3352"/>
      <c r="EZ27" s="3352"/>
      <c r="FA27" s="3352"/>
      <c r="FB27" s="3352"/>
      <c r="FC27" s="3352"/>
      <c r="FD27" s="2826"/>
      <c r="FE27" s="2826"/>
      <c r="FF27" s="2826"/>
      <c r="FG27" s="2826"/>
      <c r="FH27" s="2826"/>
      <c r="FI27" s="2826"/>
      <c r="FJ27" s="2826"/>
      <c r="FK27" s="2826"/>
      <c r="FL27" s="2826"/>
      <c r="FM27" s="2826"/>
      <c r="FN27" s="2826"/>
      <c r="FO27" s="2826"/>
      <c r="FP27" s="2827"/>
      <c r="FQ27" s="2826"/>
      <c r="FR27" s="2826"/>
      <c r="FS27" s="2826"/>
      <c r="FT27" s="2826"/>
      <c r="FU27" s="2826"/>
      <c r="FV27" s="2826"/>
      <c r="FW27" s="2826"/>
      <c r="FX27" s="2826"/>
      <c r="FY27" s="2826"/>
      <c r="FZ27" s="2826"/>
      <c r="GA27" s="2826"/>
      <c r="GB27" s="2752"/>
      <c r="GC27" s="2726"/>
      <c r="GD27" s="2828">
        <v>6017</v>
      </c>
      <c r="GE27" s="2829">
        <v>9104</v>
      </c>
      <c r="GF27" s="2829">
        <v>13928</v>
      </c>
      <c r="GG27" s="2830">
        <v>5514</v>
      </c>
      <c r="GH27" s="2831">
        <v>6971</v>
      </c>
      <c r="GI27" s="2832">
        <v>10149</v>
      </c>
      <c r="GJ27" s="2832">
        <v>14097</v>
      </c>
      <c r="GK27" s="2833">
        <v>6248</v>
      </c>
      <c r="GL27" s="2834">
        <v>5791</v>
      </c>
      <c r="GM27" s="2835">
        <v>10711</v>
      </c>
      <c r="GN27" s="2836">
        <v>13370</v>
      </c>
      <c r="GO27" s="2836">
        <v>7098</v>
      </c>
      <c r="GP27" s="2837">
        <v>6567</v>
      </c>
      <c r="GQ27" s="2838">
        <v>10428</v>
      </c>
      <c r="GR27" s="2838">
        <v>13744</v>
      </c>
      <c r="GS27" s="2839">
        <v>6746.2918205594042</v>
      </c>
      <c r="GT27" s="2840">
        <v>7345</v>
      </c>
      <c r="GU27" s="2841">
        <v>10515</v>
      </c>
      <c r="GV27" s="2841">
        <v>13109</v>
      </c>
      <c r="GW27" s="2842">
        <v>6458</v>
      </c>
      <c r="GX27" s="2838">
        <v>6899</v>
      </c>
      <c r="GY27" s="2838">
        <v>10516</v>
      </c>
      <c r="GZ27" s="2838">
        <v>13313</v>
      </c>
      <c r="HA27" s="2838">
        <v>7903</v>
      </c>
      <c r="HB27" s="2843">
        <v>9155</v>
      </c>
      <c r="HC27" s="2843">
        <v>12031</v>
      </c>
      <c r="HD27" s="2843">
        <v>15400</v>
      </c>
      <c r="HE27" s="2843">
        <v>9113</v>
      </c>
      <c r="HF27" s="2844">
        <v>9114</v>
      </c>
      <c r="HG27" s="2844">
        <v>12526</v>
      </c>
      <c r="HH27" s="2844">
        <v>15886</v>
      </c>
      <c r="HI27" s="2844">
        <v>9760</v>
      </c>
      <c r="HJ27" s="2845">
        <v>10561</v>
      </c>
      <c r="HK27" s="2845">
        <v>7025</v>
      </c>
      <c r="HL27" s="2845">
        <v>17227</v>
      </c>
      <c r="HM27" s="2846">
        <f t="shared" si="1"/>
        <v>10610</v>
      </c>
      <c r="HN27" s="2846">
        <f t="shared" si="2"/>
        <v>13956</v>
      </c>
      <c r="HO27" s="2846">
        <f t="shared" si="3"/>
        <v>15942</v>
      </c>
      <c r="HP27" s="2846">
        <f t="shared" si="4"/>
        <v>9860</v>
      </c>
      <c r="HQ27" s="2847">
        <f t="shared" si="5"/>
        <v>9780</v>
      </c>
      <c r="HR27" s="2847">
        <f t="shared" si="6"/>
        <v>16873</v>
      </c>
      <c r="HS27" s="2727"/>
      <c r="HT27" s="2726"/>
      <c r="HU27" s="2838"/>
      <c r="HV27" s="2843"/>
      <c r="HW27" s="2843"/>
      <c r="HX27" s="2843"/>
      <c r="HY27" s="2838"/>
      <c r="HZ27" s="2843"/>
      <c r="IA27" s="2843"/>
      <c r="IB27" s="2843"/>
      <c r="IC27" s="2843"/>
      <c r="ID27" s="2843"/>
      <c r="IE27" s="2843"/>
      <c r="IF27" s="2843"/>
      <c r="IG27" s="2843"/>
      <c r="IH27" s="2843"/>
      <c r="II27" s="2843"/>
      <c r="IJ27" s="2843"/>
      <c r="IK27" s="2848">
        <v>34563</v>
      </c>
      <c r="IL27" s="3353">
        <v>37465</v>
      </c>
      <c r="IM27" s="3353">
        <v>36970</v>
      </c>
      <c r="IN27" s="3353">
        <v>37485.291820559403</v>
      </c>
      <c r="IO27" s="3353">
        <v>37427</v>
      </c>
      <c r="IP27" s="3353">
        <v>38631</v>
      </c>
      <c r="IQ27" s="3353">
        <v>45699</v>
      </c>
      <c r="IR27" s="3353">
        <v>47449</v>
      </c>
      <c r="IS27" s="3354">
        <v>52059</v>
      </c>
      <c r="IT27" s="3354">
        <f t="shared" si="7"/>
        <v>50646</v>
      </c>
      <c r="IU27" s="3355">
        <f t="shared" si="8"/>
        <v>42318</v>
      </c>
      <c r="IV27" s="3285"/>
      <c r="IW27" s="3285"/>
      <c r="IX27" s="3285"/>
      <c r="IY27" s="3286"/>
      <c r="IZ27" s="3287"/>
      <c r="JA27" s="3764"/>
      <c r="JC27" s="3285"/>
      <c r="JD27" s="3231"/>
      <c r="JE27" s="3231"/>
      <c r="JF27" s="3231"/>
      <c r="JG27" s="3231"/>
      <c r="JH27" s="2723"/>
      <c r="JI27" s="3262"/>
      <c r="JJ27" s="2723"/>
      <c r="JK27" s="2723"/>
      <c r="JL27" s="2723"/>
      <c r="JM27" s="2723"/>
      <c r="JN27" s="2723"/>
      <c r="JO27" s="2723"/>
      <c r="JP27" s="2723"/>
      <c r="JQ27" s="2723"/>
      <c r="JS27" s="3231"/>
      <c r="JT27" s="3231"/>
      <c r="JU27" s="3231"/>
      <c r="JV27" s="3231"/>
      <c r="JW27" s="3231"/>
      <c r="JX27" s="3231"/>
      <c r="JY27" s="3231"/>
      <c r="JZ27" s="3231"/>
      <c r="KA27" s="3231"/>
      <c r="KB27" s="3231"/>
      <c r="KC27" s="3231"/>
      <c r="KD27" s="3231"/>
      <c r="KE27" s="3231"/>
      <c r="KF27" s="3231"/>
      <c r="KG27" s="3231"/>
      <c r="KH27" s="3231"/>
      <c r="KI27" s="3231"/>
      <c r="KJ27" s="3231"/>
      <c r="KK27" s="3231"/>
      <c r="KL27" s="3231"/>
      <c r="KM27" s="3231"/>
      <c r="KN27" s="3231"/>
      <c r="KO27" s="3231"/>
    </row>
    <row r="28" spans="1:301" ht="21.9" hidden="1" customHeight="1">
      <c r="A28" s="2723"/>
      <c r="B28" s="3231"/>
      <c r="C28" s="3322" t="s">
        <v>469</v>
      </c>
      <c r="D28" s="3323">
        <v>5654</v>
      </c>
      <c r="E28" s="3324">
        <v>4915</v>
      </c>
      <c r="F28" s="3324">
        <v>5564</v>
      </c>
      <c r="G28" s="3324">
        <v>4398</v>
      </c>
      <c r="H28" s="3324">
        <v>5572</v>
      </c>
      <c r="I28" s="3324">
        <v>7426</v>
      </c>
      <c r="J28" s="3324">
        <v>8960</v>
      </c>
      <c r="K28" s="3324">
        <v>8205</v>
      </c>
      <c r="L28" s="3324">
        <v>6306</v>
      </c>
      <c r="M28" s="3324">
        <v>5800</v>
      </c>
      <c r="N28" s="3324">
        <v>6066</v>
      </c>
      <c r="O28" s="3325">
        <v>7005</v>
      </c>
      <c r="P28" s="3326">
        <v>6860</v>
      </c>
      <c r="Q28" s="3327">
        <v>7455</v>
      </c>
      <c r="R28" s="3327">
        <v>6647</v>
      </c>
      <c r="S28" s="3327">
        <v>4627</v>
      </c>
      <c r="T28" s="3327">
        <v>6683</v>
      </c>
      <c r="U28" s="3327">
        <v>7645</v>
      </c>
      <c r="V28" s="3327">
        <v>9085</v>
      </c>
      <c r="W28" s="3327">
        <v>8152</v>
      </c>
      <c r="X28" s="3327">
        <v>6570</v>
      </c>
      <c r="Y28" s="3327">
        <v>6055</v>
      </c>
      <c r="Z28" s="3327">
        <v>6175</v>
      </c>
      <c r="AA28" s="3328">
        <v>7240</v>
      </c>
      <c r="AB28" s="3329">
        <v>7190</v>
      </c>
      <c r="AC28" s="3330">
        <v>5707</v>
      </c>
      <c r="AD28" s="3330">
        <v>5975</v>
      </c>
      <c r="AE28" s="3330">
        <v>5323</v>
      </c>
      <c r="AF28" s="3330">
        <v>6730</v>
      </c>
      <c r="AG28" s="3330">
        <v>8220</v>
      </c>
      <c r="AH28" s="3330">
        <v>8798</v>
      </c>
      <c r="AI28" s="3330">
        <v>8882</v>
      </c>
      <c r="AJ28" s="3330">
        <v>6612</v>
      </c>
      <c r="AK28" s="3330">
        <v>6320</v>
      </c>
      <c r="AL28" s="3330">
        <v>6462</v>
      </c>
      <c r="AM28" s="3330">
        <v>9032</v>
      </c>
      <c r="AN28" s="3331">
        <v>8275</v>
      </c>
      <c r="AO28" s="3331">
        <v>7345</v>
      </c>
      <c r="AP28" s="3331">
        <v>6679</v>
      </c>
      <c r="AQ28" s="3331">
        <v>5123</v>
      </c>
      <c r="AR28" s="3331">
        <v>7247</v>
      </c>
      <c r="AS28" s="3331">
        <v>7774</v>
      </c>
      <c r="AT28" s="3331">
        <v>8783</v>
      </c>
      <c r="AU28" s="3331">
        <v>8297</v>
      </c>
      <c r="AV28" s="3331">
        <v>6097</v>
      </c>
      <c r="AW28" s="3331">
        <v>6370</v>
      </c>
      <c r="AX28" s="3331">
        <v>6207.0074267803311</v>
      </c>
      <c r="AY28" s="3332">
        <v>8153</v>
      </c>
      <c r="AZ28" s="3333">
        <v>7587</v>
      </c>
      <c r="BA28" s="3334">
        <v>6001</v>
      </c>
      <c r="BB28" s="3334">
        <v>6682</v>
      </c>
      <c r="BC28" s="3334">
        <v>5914</v>
      </c>
      <c r="BD28" s="3334">
        <v>7061</v>
      </c>
      <c r="BE28" s="3334">
        <v>7779</v>
      </c>
      <c r="BF28" s="3334">
        <v>8534</v>
      </c>
      <c r="BG28" s="3334">
        <v>7995</v>
      </c>
      <c r="BH28" s="3334">
        <v>5723</v>
      </c>
      <c r="BI28" s="3334">
        <v>6085</v>
      </c>
      <c r="BJ28" s="3334">
        <v>6121</v>
      </c>
      <c r="BK28" s="3335">
        <v>8675</v>
      </c>
      <c r="BL28" s="3336">
        <v>7297</v>
      </c>
      <c r="BM28" s="3337">
        <v>6451</v>
      </c>
      <c r="BN28" s="3337">
        <v>6874</v>
      </c>
      <c r="BO28" s="3337">
        <v>5785</v>
      </c>
      <c r="BP28" s="3337">
        <v>7291</v>
      </c>
      <c r="BQ28" s="3337">
        <v>8639</v>
      </c>
      <c r="BR28" s="3337">
        <v>9166</v>
      </c>
      <c r="BS28" s="3337">
        <v>7989</v>
      </c>
      <c r="BT28" s="3338">
        <v>6493</v>
      </c>
      <c r="BU28" s="3338">
        <v>6686</v>
      </c>
      <c r="BV28" s="3338">
        <v>6933</v>
      </c>
      <c r="BW28" s="3409">
        <v>10765</v>
      </c>
      <c r="BX28" s="3410">
        <v>9236</v>
      </c>
      <c r="BY28" s="3341">
        <v>7932</v>
      </c>
      <c r="BZ28" s="3341">
        <v>8951</v>
      </c>
      <c r="CA28" s="3341">
        <v>6594</v>
      </c>
      <c r="CB28" s="3341">
        <v>9272</v>
      </c>
      <c r="CC28" s="3341">
        <v>10749</v>
      </c>
      <c r="CD28" s="3341">
        <v>11103</v>
      </c>
      <c r="CE28" s="3341">
        <v>10155</v>
      </c>
      <c r="CF28" s="3341">
        <v>9057</v>
      </c>
      <c r="CG28" s="3341">
        <v>9085</v>
      </c>
      <c r="CH28" s="3341">
        <v>10100</v>
      </c>
      <c r="CI28" s="3342">
        <v>14105</v>
      </c>
      <c r="CJ28" s="3343">
        <v>10955</v>
      </c>
      <c r="CK28" s="3344">
        <v>9918</v>
      </c>
      <c r="CL28" s="3344">
        <v>9739</v>
      </c>
      <c r="CM28" s="3344">
        <v>8807</v>
      </c>
      <c r="CN28" s="3344">
        <v>10458</v>
      </c>
      <c r="CO28" s="3344">
        <v>12114</v>
      </c>
      <c r="CP28" s="3344">
        <v>12476</v>
      </c>
      <c r="CQ28" s="3344">
        <v>11563</v>
      </c>
      <c r="CR28" s="3344">
        <v>11510</v>
      </c>
      <c r="CS28" s="3344">
        <v>11150</v>
      </c>
      <c r="CT28" s="3344">
        <v>11317</v>
      </c>
      <c r="CU28" s="3345">
        <v>17206</v>
      </c>
      <c r="CV28" s="3426">
        <v>12571</v>
      </c>
      <c r="CW28" s="3344">
        <v>10448</v>
      </c>
      <c r="CX28" s="3427">
        <v>11701</v>
      </c>
      <c r="CY28" s="3427">
        <v>10719</v>
      </c>
      <c r="CZ28" s="3427">
        <v>12067</v>
      </c>
      <c r="DA28" s="3427">
        <v>11756</v>
      </c>
      <c r="DB28" s="3427">
        <v>12625</v>
      </c>
      <c r="DC28" s="3427">
        <v>10222</v>
      </c>
      <c r="DD28" s="3347">
        <v>10257</v>
      </c>
      <c r="DE28" s="3347">
        <v>10199</v>
      </c>
      <c r="DF28" s="3334"/>
      <c r="DG28" s="3334"/>
      <c r="DH28" s="3428">
        <v>10815</v>
      </c>
      <c r="DI28" s="3429">
        <v>9301</v>
      </c>
      <c r="DJ28" s="3429">
        <v>10107</v>
      </c>
      <c r="DK28" s="3350">
        <v>6887</v>
      </c>
      <c r="DL28" s="3350">
        <v>9356</v>
      </c>
      <c r="DM28" s="3350">
        <v>10160</v>
      </c>
      <c r="DN28" s="3350">
        <v>11496</v>
      </c>
      <c r="DO28" s="3350">
        <v>9164</v>
      </c>
      <c r="DP28" s="3350">
        <v>7295</v>
      </c>
      <c r="DQ28" s="3350">
        <v>9034</v>
      </c>
      <c r="DR28" s="3350">
        <v>7601</v>
      </c>
      <c r="DS28" s="3349">
        <v>12898</v>
      </c>
      <c r="DT28" s="3351">
        <v>10141</v>
      </c>
      <c r="DU28" s="3351">
        <v>8750</v>
      </c>
      <c r="DV28" s="3351">
        <v>9930</v>
      </c>
      <c r="DW28" s="3351">
        <v>8737</v>
      </c>
      <c r="DX28" s="3351">
        <v>9281</v>
      </c>
      <c r="DY28" s="3351">
        <v>10625</v>
      </c>
      <c r="DZ28" s="3352"/>
      <c r="EA28" s="3352"/>
      <c r="EB28" s="3352"/>
      <c r="EC28" s="3352"/>
      <c r="ED28" s="3352"/>
      <c r="EE28" s="3352"/>
      <c r="EF28" s="3351">
        <v>10141</v>
      </c>
      <c r="EG28" s="3351">
        <v>8750</v>
      </c>
      <c r="EH28" s="3351">
        <v>9930</v>
      </c>
      <c r="EI28" s="3351">
        <v>8737</v>
      </c>
      <c r="EJ28" s="3351">
        <v>9281</v>
      </c>
      <c r="EK28" s="3351">
        <v>10625</v>
      </c>
      <c r="EL28" s="3352"/>
      <c r="EM28" s="3352"/>
      <c r="EN28" s="3352"/>
      <c r="EO28" s="3352"/>
      <c r="EP28" s="3352"/>
      <c r="EQ28" s="3352"/>
      <c r="ER28" s="3351">
        <v>10141</v>
      </c>
      <c r="ES28" s="3351">
        <v>8750</v>
      </c>
      <c r="ET28" s="3351">
        <v>9930</v>
      </c>
      <c r="EU28" s="3351">
        <v>8737</v>
      </c>
      <c r="EV28" s="3351">
        <v>9281</v>
      </c>
      <c r="EW28" s="3351">
        <v>10625</v>
      </c>
      <c r="EX28" s="3352"/>
      <c r="EY28" s="3352"/>
      <c r="EZ28" s="3352"/>
      <c r="FA28" s="3352"/>
      <c r="FB28" s="3352"/>
      <c r="FC28" s="3352"/>
      <c r="FD28" s="2826"/>
      <c r="FE28" s="2826"/>
      <c r="FF28" s="2826"/>
      <c r="FG28" s="2826"/>
      <c r="FH28" s="2826"/>
      <c r="FI28" s="2826"/>
      <c r="FJ28" s="2826"/>
      <c r="FK28" s="2826"/>
      <c r="FL28" s="2826"/>
      <c r="FM28" s="2826"/>
      <c r="FN28" s="2826"/>
      <c r="FO28" s="2826"/>
      <c r="FP28" s="2827"/>
      <c r="FQ28" s="2826"/>
      <c r="FR28" s="2826"/>
      <c r="FS28" s="2826"/>
      <c r="FT28" s="2826"/>
      <c r="FU28" s="2826"/>
      <c r="FV28" s="2826"/>
      <c r="FW28" s="2826"/>
      <c r="FX28" s="2826"/>
      <c r="FY28" s="2826"/>
      <c r="FZ28" s="2826"/>
      <c r="GA28" s="2826"/>
      <c r="GB28" s="2752"/>
      <c r="GC28" s="2726"/>
      <c r="GD28" s="2828">
        <v>16133</v>
      </c>
      <c r="GE28" s="2829">
        <v>17396</v>
      </c>
      <c r="GF28" s="2829">
        <v>23471</v>
      </c>
      <c r="GG28" s="2830">
        <v>18871</v>
      </c>
      <c r="GH28" s="2831">
        <v>20962</v>
      </c>
      <c r="GI28" s="2832">
        <v>18955</v>
      </c>
      <c r="GJ28" s="2832">
        <v>23807</v>
      </c>
      <c r="GK28" s="2833">
        <v>19470</v>
      </c>
      <c r="GL28" s="2834">
        <v>18872</v>
      </c>
      <c r="GM28" s="2835">
        <v>20273</v>
      </c>
      <c r="GN28" s="2836">
        <v>24292</v>
      </c>
      <c r="GO28" s="2836">
        <v>21814</v>
      </c>
      <c r="GP28" s="2837">
        <v>22299</v>
      </c>
      <c r="GQ28" s="2838">
        <v>20144</v>
      </c>
      <c r="GR28" s="2838">
        <v>23177</v>
      </c>
      <c r="GS28" s="2839">
        <v>20730.007426780332</v>
      </c>
      <c r="GT28" s="2840">
        <v>20270</v>
      </c>
      <c r="GU28" s="2841">
        <v>20754</v>
      </c>
      <c r="GV28" s="2841">
        <v>22252</v>
      </c>
      <c r="GW28" s="2842">
        <v>20881</v>
      </c>
      <c r="GX28" s="2838">
        <v>20622</v>
      </c>
      <c r="GY28" s="2838">
        <v>21715</v>
      </c>
      <c r="GZ28" s="2838">
        <v>23648</v>
      </c>
      <c r="HA28" s="2838">
        <v>24384</v>
      </c>
      <c r="HB28" s="2843">
        <v>26119</v>
      </c>
      <c r="HC28" s="2843">
        <v>26615</v>
      </c>
      <c r="HD28" s="2843">
        <v>30315</v>
      </c>
      <c r="HE28" s="2843">
        <v>33290</v>
      </c>
      <c r="HF28" s="2844">
        <v>30612</v>
      </c>
      <c r="HG28" s="2844">
        <v>31379</v>
      </c>
      <c r="HH28" s="2844">
        <v>35189</v>
      </c>
      <c r="HI28" s="2844">
        <v>39673</v>
      </c>
      <c r="HJ28" s="2845">
        <v>34720</v>
      </c>
      <c r="HK28" s="2845">
        <v>32985</v>
      </c>
      <c r="HL28" s="2845">
        <v>33046</v>
      </c>
      <c r="HM28" s="2846">
        <f t="shared" si="1"/>
        <v>30223</v>
      </c>
      <c r="HN28" s="2846">
        <f t="shared" si="2"/>
        <v>26403</v>
      </c>
      <c r="HO28" s="2846">
        <f t="shared" si="3"/>
        <v>27955</v>
      </c>
      <c r="HP28" s="2846">
        <f t="shared" si="4"/>
        <v>29533</v>
      </c>
      <c r="HQ28" s="2847">
        <f t="shared" si="5"/>
        <v>28821</v>
      </c>
      <c r="HR28" s="2847">
        <f t="shared" si="6"/>
        <v>28643</v>
      </c>
      <c r="HS28" s="2727"/>
      <c r="HT28" s="2726"/>
      <c r="HU28" s="2838"/>
      <c r="HV28" s="2843"/>
      <c r="HW28" s="2843"/>
      <c r="HX28" s="2843"/>
      <c r="HY28" s="2838"/>
      <c r="HZ28" s="2843"/>
      <c r="IA28" s="2843"/>
      <c r="IB28" s="2843"/>
      <c r="IC28" s="2843"/>
      <c r="ID28" s="2843"/>
      <c r="IE28" s="2843"/>
      <c r="IF28" s="2843"/>
      <c r="IG28" s="2843"/>
      <c r="IH28" s="2843"/>
      <c r="II28" s="2843"/>
      <c r="IJ28" s="2843"/>
      <c r="IK28" s="2848">
        <v>75871</v>
      </c>
      <c r="IL28" s="3353">
        <v>83194</v>
      </c>
      <c r="IM28" s="3353">
        <v>85251</v>
      </c>
      <c r="IN28" s="3353">
        <v>86350.007426780328</v>
      </c>
      <c r="IO28" s="3353">
        <v>84157</v>
      </c>
      <c r="IP28" s="3353">
        <v>90369</v>
      </c>
      <c r="IQ28" s="3353">
        <v>116339</v>
      </c>
      <c r="IR28" s="3353">
        <v>137213</v>
      </c>
      <c r="IS28" s="3354">
        <v>141088</v>
      </c>
      <c r="IT28" s="3354">
        <f t="shared" si="7"/>
        <v>113440</v>
      </c>
      <c r="IU28" s="3355">
        <f t="shared" si="8"/>
        <v>103456</v>
      </c>
      <c r="IV28" s="3285"/>
      <c r="IW28" s="3285"/>
      <c r="IX28" s="3285"/>
      <c r="IY28" s="3286"/>
      <c r="IZ28" s="3287"/>
      <c r="JA28" s="3764"/>
      <c r="JC28" s="3285"/>
      <c r="JD28" s="3231"/>
      <c r="JE28" s="3231"/>
      <c r="JF28" s="3231"/>
      <c r="JG28" s="3231"/>
      <c r="JH28" s="2723"/>
      <c r="JI28" s="3262"/>
      <c r="JJ28" s="2723"/>
      <c r="JK28" s="2723"/>
      <c r="JL28" s="2723"/>
      <c r="JM28" s="2723"/>
      <c r="JN28" s="2723"/>
      <c r="JO28" s="2723"/>
      <c r="JP28" s="2723"/>
      <c r="JQ28" s="2723"/>
      <c r="JS28" s="3231"/>
      <c r="JT28" s="3231"/>
      <c r="JU28" s="3231"/>
      <c r="JV28" s="3231"/>
      <c r="JW28" s="3231"/>
      <c r="JX28" s="3231"/>
      <c r="JY28" s="3231"/>
      <c r="JZ28" s="3231"/>
      <c r="KA28" s="3231"/>
      <c r="KB28" s="3231"/>
      <c r="KC28" s="3231"/>
      <c r="KD28" s="3231"/>
      <c r="KE28" s="3231"/>
      <c r="KF28" s="3231"/>
      <c r="KG28" s="3231"/>
      <c r="KH28" s="3231"/>
      <c r="KI28" s="3231"/>
      <c r="KJ28" s="3231"/>
      <c r="KK28" s="3231"/>
      <c r="KL28" s="3231"/>
      <c r="KM28" s="3231"/>
      <c r="KN28" s="3231"/>
      <c r="KO28" s="3231"/>
    </row>
    <row r="29" spans="1:301" ht="21.9" hidden="1" customHeight="1">
      <c r="A29" s="2723"/>
      <c r="B29" s="3231"/>
      <c r="C29" s="3322" t="s">
        <v>470</v>
      </c>
      <c r="D29" s="3323">
        <v>6029</v>
      </c>
      <c r="E29" s="3324">
        <v>6320</v>
      </c>
      <c r="F29" s="3324">
        <v>6593</v>
      </c>
      <c r="G29" s="3324">
        <v>5871</v>
      </c>
      <c r="H29" s="3324">
        <v>6139</v>
      </c>
      <c r="I29" s="3324">
        <v>7734</v>
      </c>
      <c r="J29" s="3324">
        <v>9192</v>
      </c>
      <c r="K29" s="3324">
        <v>8563</v>
      </c>
      <c r="L29" s="3324">
        <v>7342</v>
      </c>
      <c r="M29" s="3324">
        <v>7169</v>
      </c>
      <c r="N29" s="3324">
        <v>7853</v>
      </c>
      <c r="O29" s="3325">
        <v>7789</v>
      </c>
      <c r="P29" s="3326">
        <v>7018</v>
      </c>
      <c r="Q29" s="3327">
        <v>9593</v>
      </c>
      <c r="R29" s="3327">
        <v>7207</v>
      </c>
      <c r="S29" s="3327">
        <v>6892</v>
      </c>
      <c r="T29" s="3327">
        <v>7411</v>
      </c>
      <c r="U29" s="3327">
        <v>8422</v>
      </c>
      <c r="V29" s="3327">
        <v>9242</v>
      </c>
      <c r="W29" s="3327">
        <v>8961</v>
      </c>
      <c r="X29" s="3327">
        <v>7931</v>
      </c>
      <c r="Y29" s="3327">
        <v>7962</v>
      </c>
      <c r="Z29" s="3327">
        <v>8363</v>
      </c>
      <c r="AA29" s="3328">
        <v>7479</v>
      </c>
      <c r="AB29" s="3329">
        <v>7202</v>
      </c>
      <c r="AC29" s="3330">
        <v>6736</v>
      </c>
      <c r="AD29" s="3330">
        <v>7102</v>
      </c>
      <c r="AE29" s="3330">
        <v>6826</v>
      </c>
      <c r="AF29" s="3330">
        <v>6795</v>
      </c>
      <c r="AG29" s="3330">
        <v>8823</v>
      </c>
      <c r="AH29" s="3330">
        <v>9350</v>
      </c>
      <c r="AI29" s="3330">
        <v>9411</v>
      </c>
      <c r="AJ29" s="3330">
        <v>7891</v>
      </c>
      <c r="AK29" s="3330">
        <v>8066</v>
      </c>
      <c r="AL29" s="3330">
        <v>8819</v>
      </c>
      <c r="AM29" s="3330">
        <v>9234</v>
      </c>
      <c r="AN29" s="3331">
        <v>8430</v>
      </c>
      <c r="AO29" s="3331">
        <v>9311</v>
      </c>
      <c r="AP29" s="3331">
        <v>7938</v>
      </c>
      <c r="AQ29" s="3331">
        <v>7173</v>
      </c>
      <c r="AR29" s="3331">
        <v>8141</v>
      </c>
      <c r="AS29" s="3331">
        <v>8925</v>
      </c>
      <c r="AT29" s="3331">
        <v>8979</v>
      </c>
      <c r="AU29" s="3331">
        <v>9172</v>
      </c>
      <c r="AV29" s="3331">
        <v>7740</v>
      </c>
      <c r="AW29" s="3331">
        <v>8594</v>
      </c>
      <c r="AX29" s="3331">
        <v>9203.4412146379436</v>
      </c>
      <c r="AY29" s="3332">
        <v>8791</v>
      </c>
      <c r="AZ29" s="3333">
        <v>7776</v>
      </c>
      <c r="BA29" s="3334">
        <v>7689</v>
      </c>
      <c r="BB29" s="3334">
        <v>8392</v>
      </c>
      <c r="BC29" s="3334">
        <v>7914</v>
      </c>
      <c r="BD29" s="3334">
        <v>8151</v>
      </c>
      <c r="BE29" s="3334">
        <v>9227</v>
      </c>
      <c r="BF29" s="3334">
        <v>9490</v>
      </c>
      <c r="BG29" s="3334">
        <v>8927</v>
      </c>
      <c r="BH29" s="3334">
        <v>7828</v>
      </c>
      <c r="BI29" s="3334">
        <v>8219</v>
      </c>
      <c r="BJ29" s="3334">
        <v>9261</v>
      </c>
      <c r="BK29" s="3335">
        <v>9202</v>
      </c>
      <c r="BL29" s="3336">
        <v>8311</v>
      </c>
      <c r="BM29" s="3337">
        <v>8506</v>
      </c>
      <c r="BN29" s="3337">
        <v>8329</v>
      </c>
      <c r="BO29" s="3337">
        <v>7889</v>
      </c>
      <c r="BP29" s="3337">
        <v>8667</v>
      </c>
      <c r="BQ29" s="3337">
        <v>10458</v>
      </c>
      <c r="BR29" s="3337">
        <v>10279</v>
      </c>
      <c r="BS29" s="3337">
        <v>9684</v>
      </c>
      <c r="BT29" s="3338">
        <v>8785</v>
      </c>
      <c r="BU29" s="3338">
        <v>9761</v>
      </c>
      <c r="BV29" s="3338">
        <v>10441</v>
      </c>
      <c r="BW29" s="3409">
        <v>11406</v>
      </c>
      <c r="BX29" s="3410">
        <v>9284</v>
      </c>
      <c r="BY29" s="3341">
        <v>9338</v>
      </c>
      <c r="BZ29" s="3341">
        <v>10071</v>
      </c>
      <c r="CA29" s="3341">
        <v>8993</v>
      </c>
      <c r="CB29" s="3341">
        <v>10849</v>
      </c>
      <c r="CC29" s="3341">
        <v>12259</v>
      </c>
      <c r="CD29" s="3341">
        <v>12314</v>
      </c>
      <c r="CE29" s="3341">
        <v>11375</v>
      </c>
      <c r="CF29" s="3341">
        <v>11613</v>
      </c>
      <c r="CG29" s="3341">
        <v>12389</v>
      </c>
      <c r="CH29" s="3341">
        <v>13139</v>
      </c>
      <c r="CI29" s="3342">
        <v>14462</v>
      </c>
      <c r="CJ29" s="3343">
        <v>10930</v>
      </c>
      <c r="CK29" s="3344">
        <v>11995</v>
      </c>
      <c r="CL29" s="3344">
        <v>11100</v>
      </c>
      <c r="CM29" s="3344">
        <v>10862</v>
      </c>
      <c r="CN29" s="3344">
        <v>11733</v>
      </c>
      <c r="CO29" s="3344">
        <v>12003</v>
      </c>
      <c r="CP29" s="3344">
        <v>13926</v>
      </c>
      <c r="CQ29" s="3344">
        <v>12817</v>
      </c>
      <c r="CR29" s="3344">
        <v>13513</v>
      </c>
      <c r="CS29" s="3344">
        <v>13905</v>
      </c>
      <c r="CT29" s="3344">
        <v>15077</v>
      </c>
      <c r="CU29" s="3345">
        <v>17653</v>
      </c>
      <c r="CV29" s="3426">
        <v>12315</v>
      </c>
      <c r="CW29" s="3344">
        <v>11584</v>
      </c>
      <c r="CX29" s="3427">
        <v>12730</v>
      </c>
      <c r="CY29" s="3427">
        <v>12697</v>
      </c>
      <c r="CZ29" s="3427">
        <v>12265</v>
      </c>
      <c r="DA29" s="3427">
        <v>13305</v>
      </c>
      <c r="DB29" s="3427">
        <v>13465</v>
      </c>
      <c r="DC29" s="3427">
        <v>10972</v>
      </c>
      <c r="DD29" s="3347">
        <v>11895</v>
      </c>
      <c r="DE29" s="3347">
        <v>12606</v>
      </c>
      <c r="DF29" s="3334"/>
      <c r="DG29" s="3334"/>
      <c r="DH29" s="3428">
        <v>10727</v>
      </c>
      <c r="DI29" s="3429">
        <v>10917</v>
      </c>
      <c r="DJ29" s="3429">
        <v>10677</v>
      </c>
      <c r="DK29" s="3350">
        <v>8509</v>
      </c>
      <c r="DL29" s="3350">
        <v>9397</v>
      </c>
      <c r="DM29" s="3350">
        <v>10768</v>
      </c>
      <c r="DN29" s="3350">
        <v>11406</v>
      </c>
      <c r="DO29" s="3350">
        <v>9483</v>
      </c>
      <c r="DP29" s="3350">
        <v>8828</v>
      </c>
      <c r="DQ29" s="3350">
        <v>11717</v>
      </c>
      <c r="DR29" s="3350">
        <v>10093</v>
      </c>
      <c r="DS29" s="3349">
        <v>12601</v>
      </c>
      <c r="DT29" s="3351">
        <v>9755</v>
      </c>
      <c r="DU29" s="3351">
        <v>9550</v>
      </c>
      <c r="DV29" s="3351">
        <v>10196</v>
      </c>
      <c r="DW29" s="3351">
        <v>10015</v>
      </c>
      <c r="DX29" s="3351">
        <v>9097</v>
      </c>
      <c r="DY29" s="3351">
        <v>11146</v>
      </c>
      <c r="DZ29" s="3352"/>
      <c r="EA29" s="3352"/>
      <c r="EB29" s="3352"/>
      <c r="EC29" s="3352"/>
      <c r="ED29" s="3352"/>
      <c r="EE29" s="3352"/>
      <c r="EF29" s="3351">
        <v>9755</v>
      </c>
      <c r="EG29" s="3351">
        <v>9550</v>
      </c>
      <c r="EH29" s="3351">
        <v>10196</v>
      </c>
      <c r="EI29" s="3351">
        <v>10015</v>
      </c>
      <c r="EJ29" s="3351">
        <v>9097</v>
      </c>
      <c r="EK29" s="3351">
        <v>11146</v>
      </c>
      <c r="EL29" s="3352"/>
      <c r="EM29" s="3352"/>
      <c r="EN29" s="3352"/>
      <c r="EO29" s="3352"/>
      <c r="EP29" s="3352"/>
      <c r="EQ29" s="3352"/>
      <c r="ER29" s="3351">
        <v>9755</v>
      </c>
      <c r="ES29" s="3351">
        <v>9550</v>
      </c>
      <c r="ET29" s="3351">
        <v>10196</v>
      </c>
      <c r="EU29" s="3351">
        <v>10015</v>
      </c>
      <c r="EV29" s="3351">
        <v>9097</v>
      </c>
      <c r="EW29" s="3351">
        <v>11146</v>
      </c>
      <c r="EX29" s="3352"/>
      <c r="EY29" s="3352"/>
      <c r="EZ29" s="3352"/>
      <c r="FA29" s="3352"/>
      <c r="FB29" s="3352"/>
      <c r="FC29" s="3352"/>
      <c r="FD29" s="2826"/>
      <c r="FE29" s="2826"/>
      <c r="FF29" s="2826"/>
      <c r="FG29" s="2826"/>
      <c r="FH29" s="2826"/>
      <c r="FI29" s="2826"/>
      <c r="FJ29" s="2826"/>
      <c r="FK29" s="2826"/>
      <c r="FL29" s="2826"/>
      <c r="FM29" s="2826"/>
      <c r="FN29" s="2826"/>
      <c r="FO29" s="2826"/>
      <c r="FP29" s="2827"/>
      <c r="FQ29" s="2826"/>
      <c r="FR29" s="2826"/>
      <c r="FS29" s="2826"/>
      <c r="FT29" s="2826"/>
      <c r="FU29" s="2826"/>
      <c r="FV29" s="2826"/>
      <c r="FW29" s="2826"/>
      <c r="FX29" s="2826"/>
      <c r="FY29" s="2826"/>
      <c r="FZ29" s="2826"/>
      <c r="GA29" s="2826"/>
      <c r="GB29" s="2752"/>
      <c r="GC29" s="2726"/>
      <c r="GD29" s="2828">
        <v>18942</v>
      </c>
      <c r="GE29" s="2829">
        <v>19744</v>
      </c>
      <c r="GF29" s="2829">
        <v>25097</v>
      </c>
      <c r="GG29" s="2830">
        <v>22811</v>
      </c>
      <c r="GH29" s="2831">
        <v>23818</v>
      </c>
      <c r="GI29" s="2832">
        <v>22725</v>
      </c>
      <c r="GJ29" s="2832">
        <v>26134</v>
      </c>
      <c r="GK29" s="2833">
        <v>23804</v>
      </c>
      <c r="GL29" s="2834">
        <v>21040</v>
      </c>
      <c r="GM29" s="2835">
        <v>22444</v>
      </c>
      <c r="GN29" s="2836">
        <v>26652</v>
      </c>
      <c r="GO29" s="2836">
        <v>26119</v>
      </c>
      <c r="GP29" s="2837">
        <v>25679</v>
      </c>
      <c r="GQ29" s="2838">
        <v>24239</v>
      </c>
      <c r="GR29" s="2838">
        <v>25891</v>
      </c>
      <c r="GS29" s="2839">
        <v>26588.441214637944</v>
      </c>
      <c r="GT29" s="2840">
        <v>23857</v>
      </c>
      <c r="GU29" s="2841">
        <v>25292</v>
      </c>
      <c r="GV29" s="2841">
        <v>26245</v>
      </c>
      <c r="GW29" s="2842">
        <v>26682</v>
      </c>
      <c r="GX29" s="2838">
        <v>25146</v>
      </c>
      <c r="GY29" s="2838">
        <v>27014</v>
      </c>
      <c r="GZ29" s="2838">
        <v>28748</v>
      </c>
      <c r="HA29" s="2838">
        <v>31608</v>
      </c>
      <c r="HB29" s="2843">
        <v>28693</v>
      </c>
      <c r="HC29" s="2843">
        <v>32101</v>
      </c>
      <c r="HD29" s="2843">
        <v>35302</v>
      </c>
      <c r="HE29" s="2843">
        <v>39990</v>
      </c>
      <c r="HF29" s="2844">
        <v>34025</v>
      </c>
      <c r="HG29" s="2844">
        <v>34598</v>
      </c>
      <c r="HH29" s="2844">
        <v>40648</v>
      </c>
      <c r="HI29" s="2844">
        <v>46635</v>
      </c>
      <c r="HJ29" s="2845">
        <v>36629</v>
      </c>
      <c r="HK29" s="2845">
        <v>37568</v>
      </c>
      <c r="HL29" s="2845">
        <v>37043</v>
      </c>
      <c r="HM29" s="2846">
        <f t="shared" si="1"/>
        <v>32321</v>
      </c>
      <c r="HN29" s="2846">
        <f t="shared" si="2"/>
        <v>28674</v>
      </c>
      <c r="HO29" s="2846">
        <f t="shared" si="3"/>
        <v>29717</v>
      </c>
      <c r="HP29" s="2846">
        <f t="shared" si="4"/>
        <v>34411</v>
      </c>
      <c r="HQ29" s="2847">
        <f t="shared" si="5"/>
        <v>29501</v>
      </c>
      <c r="HR29" s="2847">
        <f t="shared" si="6"/>
        <v>30258</v>
      </c>
      <c r="HS29" s="2727"/>
      <c r="HT29" s="2726"/>
      <c r="HU29" s="2838"/>
      <c r="HV29" s="2843"/>
      <c r="HW29" s="2843"/>
      <c r="HX29" s="2843"/>
      <c r="HY29" s="2838"/>
      <c r="HZ29" s="2843"/>
      <c r="IA29" s="2843"/>
      <c r="IB29" s="2843"/>
      <c r="IC29" s="2843"/>
      <c r="ID29" s="2843"/>
      <c r="IE29" s="2843"/>
      <c r="IF29" s="2843"/>
      <c r="IG29" s="2843"/>
      <c r="IH29" s="2843"/>
      <c r="II29" s="2843"/>
      <c r="IJ29" s="2843"/>
      <c r="IK29" s="2848">
        <v>86594</v>
      </c>
      <c r="IL29" s="3353">
        <v>96481</v>
      </c>
      <c r="IM29" s="3353">
        <v>96255</v>
      </c>
      <c r="IN29" s="3353">
        <v>102397.44121463795</v>
      </c>
      <c r="IO29" s="3353">
        <v>102076</v>
      </c>
      <c r="IP29" s="3353">
        <v>112516</v>
      </c>
      <c r="IQ29" s="3353">
        <v>136086</v>
      </c>
      <c r="IR29" s="3353">
        <v>155514</v>
      </c>
      <c r="IS29" s="3354">
        <v>156564</v>
      </c>
      <c r="IT29" s="3354">
        <f t="shared" si="7"/>
        <v>124151</v>
      </c>
      <c r="IU29" s="3355">
        <f t="shared" si="8"/>
        <v>112481</v>
      </c>
      <c r="IV29" s="3285"/>
      <c r="IW29" s="3285"/>
      <c r="IX29" s="3285"/>
      <c r="IY29" s="3286"/>
      <c r="IZ29" s="3287"/>
      <c r="JA29" s="3764"/>
      <c r="JC29" s="3285"/>
      <c r="JD29" s="3231"/>
      <c r="JE29" s="3231"/>
      <c r="JF29" s="3231"/>
      <c r="JG29" s="3231"/>
      <c r="JH29" s="2723"/>
      <c r="JI29" s="3262"/>
      <c r="JJ29" s="2723"/>
      <c r="JK29" s="2723"/>
      <c r="JL29" s="2723"/>
      <c r="JM29" s="2723"/>
      <c r="JN29" s="2723"/>
      <c r="JO29" s="2723"/>
      <c r="JP29" s="2723"/>
      <c r="JQ29" s="2723"/>
      <c r="JS29" s="3231"/>
      <c r="JT29" s="3231"/>
      <c r="JU29" s="3231"/>
      <c r="JV29" s="3231"/>
      <c r="JW29" s="3231"/>
      <c r="JX29" s="3231"/>
      <c r="JY29" s="3231"/>
      <c r="JZ29" s="3231"/>
      <c r="KA29" s="3231"/>
      <c r="KB29" s="3231"/>
      <c r="KC29" s="3231"/>
      <c r="KD29" s="3231"/>
      <c r="KE29" s="3231"/>
      <c r="KF29" s="3231"/>
      <c r="KG29" s="3231"/>
      <c r="KH29" s="3231"/>
      <c r="KI29" s="3231"/>
      <c r="KJ29" s="3231"/>
      <c r="KK29" s="3231"/>
      <c r="KL29" s="3231"/>
      <c r="KM29" s="3231"/>
      <c r="KN29" s="3231"/>
      <c r="KO29" s="3231"/>
    </row>
    <row r="30" spans="1:301" ht="21.9" hidden="1" customHeight="1">
      <c r="A30" s="2723"/>
      <c r="B30" s="3231"/>
      <c r="C30" s="3322" t="s">
        <v>471</v>
      </c>
      <c r="D30" s="3323">
        <v>5249</v>
      </c>
      <c r="E30" s="3324">
        <v>5363</v>
      </c>
      <c r="F30" s="3324">
        <v>6058</v>
      </c>
      <c r="G30" s="3324">
        <v>5138</v>
      </c>
      <c r="H30" s="3324">
        <v>5401</v>
      </c>
      <c r="I30" s="3324">
        <v>6770</v>
      </c>
      <c r="J30" s="3324">
        <v>8705</v>
      </c>
      <c r="K30" s="3324">
        <v>7782</v>
      </c>
      <c r="L30" s="3324">
        <v>6227</v>
      </c>
      <c r="M30" s="3324">
        <v>6722</v>
      </c>
      <c r="N30" s="3324">
        <v>7258</v>
      </c>
      <c r="O30" s="3325">
        <v>6440</v>
      </c>
      <c r="P30" s="3326">
        <v>5955</v>
      </c>
      <c r="Q30" s="3327">
        <v>8853</v>
      </c>
      <c r="R30" s="3327">
        <v>6703</v>
      </c>
      <c r="S30" s="3327">
        <v>6269</v>
      </c>
      <c r="T30" s="3327">
        <v>6454</v>
      </c>
      <c r="U30" s="3327">
        <v>7991</v>
      </c>
      <c r="V30" s="3327">
        <v>8830</v>
      </c>
      <c r="W30" s="3327">
        <v>8072</v>
      </c>
      <c r="X30" s="3327">
        <v>6701</v>
      </c>
      <c r="Y30" s="3327">
        <v>7497</v>
      </c>
      <c r="Z30" s="3327">
        <v>7733</v>
      </c>
      <c r="AA30" s="3328">
        <v>6662</v>
      </c>
      <c r="AB30" s="3329">
        <v>6229</v>
      </c>
      <c r="AC30" s="3330">
        <v>6061</v>
      </c>
      <c r="AD30" s="3330">
        <v>6574</v>
      </c>
      <c r="AE30" s="3330">
        <v>6466</v>
      </c>
      <c r="AF30" s="3330">
        <v>5731</v>
      </c>
      <c r="AG30" s="3330">
        <v>7912</v>
      </c>
      <c r="AH30" s="3330">
        <v>8969</v>
      </c>
      <c r="AI30" s="3330">
        <v>8144</v>
      </c>
      <c r="AJ30" s="3330">
        <v>6492</v>
      </c>
      <c r="AK30" s="3330">
        <v>6994</v>
      </c>
      <c r="AL30" s="3330">
        <v>7801</v>
      </c>
      <c r="AM30" s="3330">
        <v>7494</v>
      </c>
      <c r="AN30" s="3331">
        <v>6714</v>
      </c>
      <c r="AO30" s="3331">
        <v>7673</v>
      </c>
      <c r="AP30" s="3331">
        <v>7373</v>
      </c>
      <c r="AQ30" s="3331">
        <v>6302</v>
      </c>
      <c r="AR30" s="3331">
        <v>6796</v>
      </c>
      <c r="AS30" s="3331">
        <v>7833</v>
      </c>
      <c r="AT30" s="3331">
        <v>8811</v>
      </c>
      <c r="AU30" s="3331">
        <v>7840</v>
      </c>
      <c r="AV30" s="3331">
        <v>6569</v>
      </c>
      <c r="AW30" s="3331">
        <v>7711</v>
      </c>
      <c r="AX30" s="3331">
        <v>7804.2925792090082</v>
      </c>
      <c r="AY30" s="3332">
        <v>7193</v>
      </c>
      <c r="AZ30" s="3333">
        <v>6507</v>
      </c>
      <c r="BA30" s="3334">
        <v>6844</v>
      </c>
      <c r="BB30" s="3334">
        <v>7755</v>
      </c>
      <c r="BC30" s="3334">
        <v>7107</v>
      </c>
      <c r="BD30" s="3334">
        <v>7344</v>
      </c>
      <c r="BE30" s="3334">
        <v>8589</v>
      </c>
      <c r="BF30" s="3334">
        <v>9423</v>
      </c>
      <c r="BG30" s="3334">
        <v>8289</v>
      </c>
      <c r="BH30" s="3334">
        <v>7298</v>
      </c>
      <c r="BI30" s="3334">
        <v>7527</v>
      </c>
      <c r="BJ30" s="3334">
        <v>8537</v>
      </c>
      <c r="BK30" s="3335">
        <v>7990</v>
      </c>
      <c r="BL30" s="3336">
        <v>6975</v>
      </c>
      <c r="BM30" s="3337">
        <v>7185</v>
      </c>
      <c r="BN30" s="3337">
        <v>8151</v>
      </c>
      <c r="BO30" s="3337">
        <v>7512</v>
      </c>
      <c r="BP30" s="3337">
        <v>7915</v>
      </c>
      <c r="BQ30" s="3337">
        <v>10111</v>
      </c>
      <c r="BR30" s="3337">
        <v>10486</v>
      </c>
      <c r="BS30" s="3337">
        <v>9048</v>
      </c>
      <c r="BT30" s="3338">
        <v>8431</v>
      </c>
      <c r="BU30" s="3338">
        <v>9329</v>
      </c>
      <c r="BV30" s="3338">
        <v>9566</v>
      </c>
      <c r="BW30" s="3409">
        <v>9604</v>
      </c>
      <c r="BX30" s="3410">
        <v>8135</v>
      </c>
      <c r="BY30" s="3341">
        <v>8014</v>
      </c>
      <c r="BZ30" s="3341">
        <v>9164</v>
      </c>
      <c r="CA30" s="3341">
        <v>8563</v>
      </c>
      <c r="CB30" s="3341">
        <v>9162</v>
      </c>
      <c r="CC30" s="3341">
        <v>10850</v>
      </c>
      <c r="CD30" s="3341">
        <v>11773</v>
      </c>
      <c r="CE30" s="3341">
        <v>9960</v>
      </c>
      <c r="CF30" s="3341">
        <v>9763</v>
      </c>
      <c r="CG30" s="3341">
        <v>10335</v>
      </c>
      <c r="CH30" s="3341">
        <v>11289</v>
      </c>
      <c r="CI30" s="3342">
        <v>11139</v>
      </c>
      <c r="CJ30" s="3343">
        <v>9026</v>
      </c>
      <c r="CK30" s="3344">
        <v>10213</v>
      </c>
      <c r="CL30" s="3344">
        <v>10003</v>
      </c>
      <c r="CM30" s="3344">
        <v>9562</v>
      </c>
      <c r="CN30" s="3344">
        <v>9741</v>
      </c>
      <c r="CO30" s="3344">
        <v>10076</v>
      </c>
      <c r="CP30" s="3344">
        <v>13494</v>
      </c>
      <c r="CQ30" s="3344">
        <v>10997</v>
      </c>
      <c r="CR30" s="3344">
        <v>10964</v>
      </c>
      <c r="CS30" s="3344">
        <v>11818</v>
      </c>
      <c r="CT30" s="3344">
        <v>12979</v>
      </c>
      <c r="CU30" s="3345">
        <v>13743</v>
      </c>
      <c r="CV30" s="3426">
        <v>9945</v>
      </c>
      <c r="CW30" s="3344">
        <v>9633</v>
      </c>
      <c r="CX30" s="3427">
        <v>11129</v>
      </c>
      <c r="CY30" s="3427">
        <v>10296</v>
      </c>
      <c r="CZ30" s="3427">
        <v>10349</v>
      </c>
      <c r="DA30" s="3427">
        <v>12133</v>
      </c>
      <c r="DB30" s="3427">
        <v>13279</v>
      </c>
      <c r="DC30" s="3427">
        <v>9977</v>
      </c>
      <c r="DD30" s="3347">
        <v>10332</v>
      </c>
      <c r="DE30" s="3347">
        <v>10928</v>
      </c>
      <c r="DF30" s="3334"/>
      <c r="DG30" s="3334"/>
      <c r="DH30" s="3428">
        <v>9232</v>
      </c>
      <c r="DI30" s="3429">
        <v>9733</v>
      </c>
      <c r="DJ30" s="3429">
        <v>9861</v>
      </c>
      <c r="DK30" s="3350">
        <v>7938</v>
      </c>
      <c r="DL30" s="3350">
        <v>8302</v>
      </c>
      <c r="DM30" s="3350">
        <v>10699</v>
      </c>
      <c r="DN30" s="3350">
        <v>11981</v>
      </c>
      <c r="DO30" s="3350">
        <v>8833</v>
      </c>
      <c r="DP30" s="3350">
        <v>7942</v>
      </c>
      <c r="DQ30" s="3350">
        <v>10780</v>
      </c>
      <c r="DR30" s="3350">
        <v>9579</v>
      </c>
      <c r="DS30" s="3349">
        <v>11179</v>
      </c>
      <c r="DT30" s="3351">
        <v>8435</v>
      </c>
      <c r="DU30" s="3351">
        <v>8473</v>
      </c>
      <c r="DV30" s="3351">
        <v>9640</v>
      </c>
      <c r="DW30" s="3351">
        <v>9136</v>
      </c>
      <c r="DX30" s="3351">
        <v>8284</v>
      </c>
      <c r="DY30" s="3351">
        <v>11469</v>
      </c>
      <c r="DZ30" s="3352"/>
      <c r="EA30" s="3352"/>
      <c r="EB30" s="3352"/>
      <c r="EC30" s="3352"/>
      <c r="ED30" s="3352"/>
      <c r="EE30" s="3352"/>
      <c r="EF30" s="3351">
        <v>8435</v>
      </c>
      <c r="EG30" s="3351">
        <v>8473</v>
      </c>
      <c r="EH30" s="3351">
        <v>9640</v>
      </c>
      <c r="EI30" s="3351">
        <v>9136</v>
      </c>
      <c r="EJ30" s="3351">
        <v>8284</v>
      </c>
      <c r="EK30" s="3351">
        <v>11469</v>
      </c>
      <c r="EL30" s="3352"/>
      <c r="EM30" s="3352"/>
      <c r="EN30" s="3352"/>
      <c r="EO30" s="3352"/>
      <c r="EP30" s="3352"/>
      <c r="EQ30" s="3352"/>
      <c r="ER30" s="3351">
        <v>8435</v>
      </c>
      <c r="ES30" s="3351">
        <v>8473</v>
      </c>
      <c r="ET30" s="3351">
        <v>9640</v>
      </c>
      <c r="EU30" s="3351">
        <v>9136</v>
      </c>
      <c r="EV30" s="3351">
        <v>8284</v>
      </c>
      <c r="EW30" s="3351">
        <v>11469</v>
      </c>
      <c r="EX30" s="3352"/>
      <c r="EY30" s="3352"/>
      <c r="EZ30" s="3352"/>
      <c r="FA30" s="3352"/>
      <c r="FB30" s="3352"/>
      <c r="FC30" s="3352"/>
      <c r="FD30" s="2826"/>
      <c r="FE30" s="2826"/>
      <c r="FF30" s="2826"/>
      <c r="FG30" s="2826"/>
      <c r="FH30" s="2826"/>
      <c r="FI30" s="2826"/>
      <c r="FJ30" s="2826"/>
      <c r="FK30" s="2826"/>
      <c r="FL30" s="2826"/>
      <c r="FM30" s="2826"/>
      <c r="FN30" s="2826"/>
      <c r="FO30" s="2826"/>
      <c r="FP30" s="2827"/>
      <c r="FQ30" s="2826"/>
      <c r="FR30" s="2826"/>
      <c r="FS30" s="2826"/>
      <c r="FT30" s="2826"/>
      <c r="FU30" s="2826"/>
      <c r="FV30" s="2826"/>
      <c r="FW30" s="2826"/>
      <c r="FX30" s="2826"/>
      <c r="FY30" s="2826"/>
      <c r="FZ30" s="2826"/>
      <c r="GA30" s="2826"/>
      <c r="GB30" s="2752"/>
      <c r="GC30" s="2726"/>
      <c r="GD30" s="2828">
        <v>16670</v>
      </c>
      <c r="GE30" s="2829">
        <v>17309</v>
      </c>
      <c r="GF30" s="2829">
        <v>22714</v>
      </c>
      <c r="GG30" s="2830">
        <v>20420</v>
      </c>
      <c r="GH30" s="2831">
        <v>21511</v>
      </c>
      <c r="GI30" s="2832">
        <v>20714</v>
      </c>
      <c r="GJ30" s="2832">
        <v>23603</v>
      </c>
      <c r="GK30" s="2833">
        <v>21892</v>
      </c>
      <c r="GL30" s="2834">
        <v>18864</v>
      </c>
      <c r="GM30" s="2835">
        <v>20109</v>
      </c>
      <c r="GN30" s="2836">
        <v>23605</v>
      </c>
      <c r="GO30" s="2836">
        <v>22289</v>
      </c>
      <c r="GP30" s="2837">
        <v>21760</v>
      </c>
      <c r="GQ30" s="2838">
        <v>20931</v>
      </c>
      <c r="GR30" s="2838">
        <v>23220</v>
      </c>
      <c r="GS30" s="2839">
        <v>22708.29257920901</v>
      </c>
      <c r="GT30" s="2840">
        <v>21106</v>
      </c>
      <c r="GU30" s="2841">
        <v>23040</v>
      </c>
      <c r="GV30" s="2841">
        <v>25010</v>
      </c>
      <c r="GW30" s="2842">
        <v>24054</v>
      </c>
      <c r="GX30" s="2838">
        <v>22311</v>
      </c>
      <c r="GY30" s="2838">
        <v>25538</v>
      </c>
      <c r="GZ30" s="2838">
        <v>27965</v>
      </c>
      <c r="HA30" s="2838">
        <v>28499</v>
      </c>
      <c r="HB30" s="2843">
        <v>25313</v>
      </c>
      <c r="HC30" s="2843">
        <v>28575</v>
      </c>
      <c r="HD30" s="2843">
        <v>31496</v>
      </c>
      <c r="HE30" s="2843">
        <v>32763</v>
      </c>
      <c r="HF30" s="2844">
        <v>29242</v>
      </c>
      <c r="HG30" s="2844">
        <v>29379</v>
      </c>
      <c r="HH30" s="2844">
        <v>36309</v>
      </c>
      <c r="HI30" s="2844">
        <v>38540</v>
      </c>
      <c r="HJ30" s="2845">
        <v>30707</v>
      </c>
      <c r="HK30" s="2845">
        <v>31573</v>
      </c>
      <c r="HL30" s="2845">
        <v>34184</v>
      </c>
      <c r="HM30" s="2846">
        <f t="shared" si="1"/>
        <v>28826</v>
      </c>
      <c r="HN30" s="2846">
        <f t="shared" si="2"/>
        <v>26939</v>
      </c>
      <c r="HO30" s="2846">
        <f t="shared" si="3"/>
        <v>28756</v>
      </c>
      <c r="HP30" s="2846">
        <f t="shared" si="4"/>
        <v>31538</v>
      </c>
      <c r="HQ30" s="2847">
        <f t="shared" si="5"/>
        <v>26548</v>
      </c>
      <c r="HR30" s="2847">
        <f t="shared" si="6"/>
        <v>28889</v>
      </c>
      <c r="HS30" s="2727"/>
      <c r="HT30" s="2726"/>
      <c r="HU30" s="2838"/>
      <c r="HV30" s="2843"/>
      <c r="HW30" s="2843"/>
      <c r="HX30" s="2843"/>
      <c r="HY30" s="2838"/>
      <c r="HZ30" s="2843"/>
      <c r="IA30" s="2843"/>
      <c r="IB30" s="2843"/>
      <c r="IC30" s="2843"/>
      <c r="ID30" s="2843"/>
      <c r="IE30" s="2843"/>
      <c r="IF30" s="2843"/>
      <c r="IG30" s="2843"/>
      <c r="IH30" s="2843"/>
      <c r="II30" s="2843"/>
      <c r="IJ30" s="2843"/>
      <c r="IK30" s="2848">
        <v>77113</v>
      </c>
      <c r="IL30" s="3353">
        <v>87720</v>
      </c>
      <c r="IM30" s="3353">
        <v>84867</v>
      </c>
      <c r="IN30" s="3353">
        <v>88619.29257920901</v>
      </c>
      <c r="IO30" s="3353">
        <v>93210</v>
      </c>
      <c r="IP30" s="3353">
        <v>104313</v>
      </c>
      <c r="IQ30" s="3353">
        <v>118147</v>
      </c>
      <c r="IR30" s="3353">
        <v>132616</v>
      </c>
      <c r="IS30" s="3354">
        <v>134723</v>
      </c>
      <c r="IT30" s="3354">
        <f t="shared" si="7"/>
        <v>115262</v>
      </c>
      <c r="IU30" s="3355">
        <f t="shared" si="8"/>
        <v>103750</v>
      </c>
      <c r="IV30" s="3285"/>
      <c r="IW30" s="3285"/>
      <c r="IX30" s="3285"/>
      <c r="IY30" s="3286"/>
      <c r="IZ30" s="3287"/>
      <c r="JA30" s="3764"/>
      <c r="JC30" s="3285"/>
      <c r="JD30" s="3231"/>
      <c r="JE30" s="3231"/>
      <c r="JF30" s="3231"/>
      <c r="JG30" s="3231"/>
      <c r="JH30" s="2723"/>
      <c r="JI30" s="3262"/>
      <c r="JJ30" s="2723"/>
      <c r="JK30" s="2723"/>
      <c r="JL30" s="2723"/>
      <c r="JM30" s="2723"/>
      <c r="JN30" s="2723"/>
      <c r="JO30" s="2723"/>
      <c r="JP30" s="2723"/>
      <c r="JQ30" s="2723"/>
      <c r="JS30" s="3231"/>
      <c r="JT30" s="3231"/>
      <c r="JU30" s="3231"/>
      <c r="JV30" s="3231"/>
      <c r="JW30" s="3231"/>
      <c r="JX30" s="3231"/>
      <c r="JY30" s="3231"/>
      <c r="JZ30" s="3231"/>
      <c r="KA30" s="3231"/>
      <c r="KB30" s="3231"/>
      <c r="KC30" s="3231"/>
      <c r="KD30" s="3231"/>
      <c r="KE30" s="3231"/>
      <c r="KF30" s="3231"/>
      <c r="KG30" s="3231"/>
      <c r="KH30" s="3231"/>
      <c r="KI30" s="3231"/>
      <c r="KJ30" s="3231"/>
      <c r="KK30" s="3231"/>
      <c r="KL30" s="3231"/>
      <c r="KM30" s="3231"/>
      <c r="KN30" s="3231"/>
      <c r="KO30" s="3231"/>
    </row>
    <row r="31" spans="1:301" ht="18.75" hidden="1" customHeight="1">
      <c r="A31" s="2723"/>
      <c r="B31" s="3231"/>
      <c r="C31" s="3322" t="s">
        <v>472</v>
      </c>
      <c r="D31" s="3323">
        <v>6672</v>
      </c>
      <c r="E31" s="3324">
        <v>6708</v>
      </c>
      <c r="F31" s="3324">
        <v>7169</v>
      </c>
      <c r="G31" s="3324">
        <v>6383</v>
      </c>
      <c r="H31" s="3324">
        <v>6238</v>
      </c>
      <c r="I31" s="3324">
        <v>6996</v>
      </c>
      <c r="J31" s="3324">
        <v>9044</v>
      </c>
      <c r="K31" s="3324">
        <v>7836</v>
      </c>
      <c r="L31" s="3324">
        <v>6632</v>
      </c>
      <c r="M31" s="3324">
        <v>8725</v>
      </c>
      <c r="N31" s="3324">
        <v>8659</v>
      </c>
      <c r="O31" s="3325">
        <v>6968</v>
      </c>
      <c r="P31" s="3326">
        <v>7959</v>
      </c>
      <c r="Q31" s="3327">
        <v>11891</v>
      </c>
      <c r="R31" s="3327">
        <v>8225</v>
      </c>
      <c r="S31" s="3327">
        <v>8215</v>
      </c>
      <c r="T31" s="3327">
        <v>8531</v>
      </c>
      <c r="U31" s="3327">
        <v>8312</v>
      </c>
      <c r="V31" s="3327">
        <v>9382</v>
      </c>
      <c r="W31" s="3327">
        <v>8562</v>
      </c>
      <c r="X31" s="3327">
        <v>7637</v>
      </c>
      <c r="Y31" s="3327">
        <v>9462</v>
      </c>
      <c r="Z31" s="3327">
        <v>9578</v>
      </c>
      <c r="AA31" s="3328">
        <v>7207</v>
      </c>
      <c r="AB31" s="3329">
        <v>8097</v>
      </c>
      <c r="AC31" s="3330">
        <v>7836</v>
      </c>
      <c r="AD31" s="3330">
        <v>7907</v>
      </c>
      <c r="AE31" s="3330">
        <v>8024</v>
      </c>
      <c r="AF31" s="3330">
        <v>7446</v>
      </c>
      <c r="AG31" s="3330">
        <v>8206</v>
      </c>
      <c r="AH31" s="3330">
        <v>9271</v>
      </c>
      <c r="AI31" s="3330">
        <v>8146</v>
      </c>
      <c r="AJ31" s="3330">
        <v>7185</v>
      </c>
      <c r="AK31" s="3330">
        <v>8791</v>
      </c>
      <c r="AL31" s="3330">
        <v>8866</v>
      </c>
      <c r="AM31" s="3330">
        <v>7816</v>
      </c>
      <c r="AN31" s="3331">
        <v>8016</v>
      </c>
      <c r="AO31" s="3331">
        <v>8658</v>
      </c>
      <c r="AP31" s="3331">
        <v>8634</v>
      </c>
      <c r="AQ31" s="3331">
        <v>7470</v>
      </c>
      <c r="AR31" s="3331">
        <v>8414</v>
      </c>
      <c r="AS31" s="3331">
        <v>8062</v>
      </c>
      <c r="AT31" s="3331">
        <v>9141</v>
      </c>
      <c r="AU31" s="3331">
        <v>8013</v>
      </c>
      <c r="AV31" s="3331">
        <v>7025</v>
      </c>
      <c r="AW31" s="3331">
        <v>9359</v>
      </c>
      <c r="AX31" s="3331">
        <v>8625.034997704086</v>
      </c>
      <c r="AY31" s="3332">
        <v>7631</v>
      </c>
      <c r="AZ31" s="3333">
        <v>8001</v>
      </c>
      <c r="BA31" s="3334">
        <v>8521</v>
      </c>
      <c r="BB31" s="3334">
        <v>8954</v>
      </c>
      <c r="BC31" s="3334">
        <v>8843</v>
      </c>
      <c r="BD31" s="3334">
        <v>9030</v>
      </c>
      <c r="BE31" s="3334">
        <v>8832</v>
      </c>
      <c r="BF31" s="3334">
        <v>10139</v>
      </c>
      <c r="BG31" s="3334">
        <v>8387</v>
      </c>
      <c r="BH31" s="3334">
        <v>8198</v>
      </c>
      <c r="BI31" s="3334">
        <v>10241</v>
      </c>
      <c r="BJ31" s="3334">
        <v>10460</v>
      </c>
      <c r="BK31" s="3335">
        <v>8316</v>
      </c>
      <c r="BL31" s="3336">
        <v>7703</v>
      </c>
      <c r="BM31" s="3337">
        <v>7414</v>
      </c>
      <c r="BN31" s="3337">
        <v>9563</v>
      </c>
      <c r="BO31" s="3337">
        <v>8993</v>
      </c>
      <c r="BP31" s="3337">
        <v>9925</v>
      </c>
      <c r="BQ31" s="3337">
        <v>10333</v>
      </c>
      <c r="BR31" s="3337">
        <v>11231</v>
      </c>
      <c r="BS31" s="3337">
        <v>10107</v>
      </c>
      <c r="BT31" s="3338">
        <v>9577</v>
      </c>
      <c r="BU31" s="3338">
        <v>11637</v>
      </c>
      <c r="BV31" s="3338">
        <v>11814</v>
      </c>
      <c r="BW31" s="3409">
        <v>10183</v>
      </c>
      <c r="BX31" s="3410">
        <v>10328</v>
      </c>
      <c r="BY31" s="3341">
        <v>9950</v>
      </c>
      <c r="BZ31" s="3341">
        <v>10909</v>
      </c>
      <c r="CA31" s="3341">
        <v>10251</v>
      </c>
      <c r="CB31" s="3341">
        <v>10979</v>
      </c>
      <c r="CC31" s="3341">
        <v>11233</v>
      </c>
      <c r="CD31" s="3341">
        <v>12350</v>
      </c>
      <c r="CE31" s="3341">
        <v>10430</v>
      </c>
      <c r="CF31" s="3341">
        <v>11212</v>
      </c>
      <c r="CG31" s="3341">
        <v>12601</v>
      </c>
      <c r="CH31" s="3341">
        <v>13173</v>
      </c>
      <c r="CI31" s="3342">
        <v>11657</v>
      </c>
      <c r="CJ31" s="3343">
        <v>11448</v>
      </c>
      <c r="CK31" s="3344">
        <v>8292</v>
      </c>
      <c r="CL31" s="3344">
        <v>11358</v>
      </c>
      <c r="CM31" s="3344">
        <v>11357</v>
      </c>
      <c r="CN31" s="3344">
        <v>11716</v>
      </c>
      <c r="CO31" s="3344">
        <v>7861</v>
      </c>
      <c r="CP31" s="3344">
        <v>13540</v>
      </c>
      <c r="CQ31" s="3344">
        <v>11514</v>
      </c>
      <c r="CR31" s="3344">
        <v>12106</v>
      </c>
      <c r="CS31" s="3344">
        <v>13774</v>
      </c>
      <c r="CT31" s="3344">
        <v>14766</v>
      </c>
      <c r="CU31" s="3345">
        <v>14079</v>
      </c>
      <c r="CV31" s="3426">
        <v>12710</v>
      </c>
      <c r="CW31" s="3344">
        <v>11817</v>
      </c>
      <c r="CX31" s="3427">
        <v>12523</v>
      </c>
      <c r="CY31" s="3427">
        <v>11452</v>
      </c>
      <c r="CZ31" s="3427">
        <v>12493</v>
      </c>
      <c r="DA31" s="3427">
        <v>11979</v>
      </c>
      <c r="DB31" s="3427">
        <v>13860</v>
      </c>
      <c r="DC31" s="3427">
        <v>10712</v>
      </c>
      <c r="DD31" s="3347">
        <v>11579</v>
      </c>
      <c r="DE31" s="3347">
        <v>13715</v>
      </c>
      <c r="DF31" s="3334"/>
      <c r="DG31" s="3334"/>
      <c r="DH31" s="3428">
        <v>11853</v>
      </c>
      <c r="DI31" s="3429">
        <v>11898</v>
      </c>
      <c r="DJ31" s="3429">
        <v>12000</v>
      </c>
      <c r="DK31" s="3350">
        <v>10423</v>
      </c>
      <c r="DL31" s="3350">
        <v>10630</v>
      </c>
      <c r="DM31" s="3350">
        <v>11650</v>
      </c>
      <c r="DN31" s="3350">
        <v>13251</v>
      </c>
      <c r="DO31" s="3350">
        <v>10154</v>
      </c>
      <c r="DP31" s="3350">
        <v>9653</v>
      </c>
      <c r="DQ31" s="3350">
        <v>14086</v>
      </c>
      <c r="DR31" s="3350">
        <v>12283</v>
      </c>
      <c r="DS31" s="3349">
        <v>12337</v>
      </c>
      <c r="DT31" s="3351">
        <v>11762</v>
      </c>
      <c r="DU31" s="3351">
        <v>11143</v>
      </c>
      <c r="DV31" s="3351">
        <v>12365</v>
      </c>
      <c r="DW31" s="3351">
        <v>11940</v>
      </c>
      <c r="DX31" s="3351">
        <v>11371</v>
      </c>
      <c r="DY31" s="3351">
        <v>12714</v>
      </c>
      <c r="DZ31" s="3352"/>
      <c r="EA31" s="3352"/>
      <c r="EB31" s="3352"/>
      <c r="EC31" s="3352"/>
      <c r="ED31" s="3352"/>
      <c r="EE31" s="3352"/>
      <c r="EF31" s="3351">
        <v>11762</v>
      </c>
      <c r="EG31" s="3351">
        <v>11143</v>
      </c>
      <c r="EH31" s="3351">
        <v>12365</v>
      </c>
      <c r="EI31" s="3351">
        <v>11940</v>
      </c>
      <c r="EJ31" s="3351">
        <v>11371</v>
      </c>
      <c r="EK31" s="3351">
        <v>12714</v>
      </c>
      <c r="EL31" s="3352"/>
      <c r="EM31" s="3352"/>
      <c r="EN31" s="3352"/>
      <c r="EO31" s="3352"/>
      <c r="EP31" s="3352"/>
      <c r="EQ31" s="3352"/>
      <c r="ER31" s="3351">
        <v>11762</v>
      </c>
      <c r="ES31" s="3351">
        <v>11143</v>
      </c>
      <c r="ET31" s="3351">
        <v>12365</v>
      </c>
      <c r="EU31" s="3351">
        <v>11940</v>
      </c>
      <c r="EV31" s="3351">
        <v>11371</v>
      </c>
      <c r="EW31" s="3351">
        <v>12714</v>
      </c>
      <c r="EX31" s="3352"/>
      <c r="EY31" s="3352"/>
      <c r="EZ31" s="3352"/>
      <c r="FA31" s="3352"/>
      <c r="FB31" s="3352"/>
      <c r="FC31" s="3352"/>
      <c r="FD31" s="2826"/>
      <c r="FE31" s="2826"/>
      <c r="FF31" s="2826"/>
      <c r="FG31" s="2826"/>
      <c r="FH31" s="2826"/>
      <c r="FI31" s="2826"/>
      <c r="FJ31" s="2826"/>
      <c r="FK31" s="2826"/>
      <c r="FL31" s="2826"/>
      <c r="FM31" s="2826"/>
      <c r="FN31" s="2826"/>
      <c r="FO31" s="2826"/>
      <c r="FP31" s="2827"/>
      <c r="FQ31" s="2826"/>
      <c r="FR31" s="2826"/>
      <c r="FS31" s="2826"/>
      <c r="FT31" s="2826"/>
      <c r="FU31" s="2826"/>
      <c r="FV31" s="2826"/>
      <c r="FW31" s="2826"/>
      <c r="FX31" s="2826"/>
      <c r="FY31" s="2826"/>
      <c r="FZ31" s="2826"/>
      <c r="GA31" s="2826"/>
      <c r="GB31" s="2752"/>
      <c r="GC31" s="2726"/>
      <c r="GD31" s="2828">
        <v>20549</v>
      </c>
      <c r="GE31" s="2829">
        <v>19617</v>
      </c>
      <c r="GF31" s="2829">
        <v>23512</v>
      </c>
      <c r="GG31" s="2830">
        <v>24352</v>
      </c>
      <c r="GH31" s="2831">
        <v>28075</v>
      </c>
      <c r="GI31" s="2832">
        <v>25058</v>
      </c>
      <c r="GJ31" s="2832">
        <v>25581</v>
      </c>
      <c r="GK31" s="2833">
        <v>26247</v>
      </c>
      <c r="GL31" s="2834">
        <v>23840</v>
      </c>
      <c r="GM31" s="2835">
        <v>23676</v>
      </c>
      <c r="GN31" s="2836">
        <v>24602</v>
      </c>
      <c r="GO31" s="2836">
        <v>25473</v>
      </c>
      <c r="GP31" s="2837">
        <v>25308</v>
      </c>
      <c r="GQ31" s="2838">
        <v>23946</v>
      </c>
      <c r="GR31" s="2838">
        <v>24179</v>
      </c>
      <c r="GS31" s="2839">
        <v>25615.034997704086</v>
      </c>
      <c r="GT31" s="2840">
        <v>25476</v>
      </c>
      <c r="GU31" s="2841">
        <v>26705</v>
      </c>
      <c r="GV31" s="2841">
        <v>26724</v>
      </c>
      <c r="GW31" s="2842">
        <v>29017</v>
      </c>
      <c r="GX31" s="2838">
        <v>24680</v>
      </c>
      <c r="GY31" s="2838">
        <v>29251</v>
      </c>
      <c r="GZ31" s="2838">
        <v>30915</v>
      </c>
      <c r="HA31" s="2838">
        <v>33634</v>
      </c>
      <c r="HB31" s="2843">
        <v>31187</v>
      </c>
      <c r="HC31" s="2843">
        <v>32463</v>
      </c>
      <c r="HD31" s="2843">
        <v>33992</v>
      </c>
      <c r="HE31" s="2843">
        <v>37431</v>
      </c>
      <c r="HF31" s="2844">
        <v>31098</v>
      </c>
      <c r="HG31" s="2844">
        <v>30934</v>
      </c>
      <c r="HH31" s="2844">
        <v>38828</v>
      </c>
      <c r="HI31" s="2844">
        <v>42619</v>
      </c>
      <c r="HJ31" s="2845">
        <v>37050</v>
      </c>
      <c r="HK31" s="2845">
        <v>37660</v>
      </c>
      <c r="HL31" s="2845">
        <v>38287</v>
      </c>
      <c r="HM31" s="2846">
        <f t="shared" si="1"/>
        <v>35751</v>
      </c>
      <c r="HN31" s="2846">
        <f t="shared" si="2"/>
        <v>32703</v>
      </c>
      <c r="HO31" s="2846">
        <f t="shared" si="3"/>
        <v>33058</v>
      </c>
      <c r="HP31" s="2846">
        <f t="shared" si="4"/>
        <v>38706</v>
      </c>
      <c r="HQ31" s="2847">
        <f t="shared" si="5"/>
        <v>35270</v>
      </c>
      <c r="HR31" s="2847">
        <f t="shared" si="6"/>
        <v>36025</v>
      </c>
      <c r="HS31" s="2727"/>
      <c r="HT31" s="2726"/>
      <c r="HU31" s="2838"/>
      <c r="HV31" s="2843"/>
      <c r="HW31" s="2843"/>
      <c r="HX31" s="2843"/>
      <c r="HY31" s="2838"/>
      <c r="HZ31" s="2843"/>
      <c r="IA31" s="2843"/>
      <c r="IB31" s="2843"/>
      <c r="IC31" s="2843"/>
      <c r="ID31" s="2843"/>
      <c r="IE31" s="2843"/>
      <c r="IF31" s="2843"/>
      <c r="IG31" s="2843"/>
      <c r="IH31" s="2843"/>
      <c r="II31" s="2843"/>
      <c r="IJ31" s="2843"/>
      <c r="IK31" s="2848">
        <v>88030</v>
      </c>
      <c r="IL31" s="3353">
        <v>104961</v>
      </c>
      <c r="IM31" s="3353">
        <v>97591</v>
      </c>
      <c r="IN31" s="3353">
        <v>99048.03499770409</v>
      </c>
      <c r="IO31" s="3353">
        <v>107922</v>
      </c>
      <c r="IP31" s="3353">
        <v>118480</v>
      </c>
      <c r="IQ31" s="3353">
        <v>135073</v>
      </c>
      <c r="IR31" s="3353">
        <v>141811</v>
      </c>
      <c r="IS31" s="3354">
        <v>151685</v>
      </c>
      <c r="IT31" s="3354">
        <f t="shared" si="7"/>
        <v>140127</v>
      </c>
      <c r="IU31" s="3355">
        <f t="shared" si="8"/>
        <v>129808</v>
      </c>
      <c r="IV31" s="3285"/>
      <c r="IW31" s="3285"/>
      <c r="IX31" s="3285"/>
      <c r="IY31" s="3286"/>
      <c r="IZ31" s="3287"/>
      <c r="JA31" s="3764"/>
      <c r="JC31" s="3285"/>
      <c r="JD31" s="3231"/>
      <c r="JE31" s="3231"/>
      <c r="JF31" s="3231"/>
      <c r="JG31" s="3231"/>
      <c r="JH31" s="2723"/>
      <c r="JI31" s="3262"/>
      <c r="JJ31" s="2723"/>
      <c r="JK31" s="2723"/>
      <c r="JL31" s="2723"/>
      <c r="JM31" s="2723"/>
      <c r="JN31" s="2723"/>
      <c r="JO31" s="2723"/>
      <c r="JP31" s="2723"/>
      <c r="JQ31" s="2723"/>
      <c r="JS31" s="3231"/>
      <c r="JT31" s="3231"/>
      <c r="JU31" s="3231"/>
      <c r="JV31" s="3231"/>
      <c r="JW31" s="3231"/>
      <c r="JX31" s="3231"/>
      <c r="JY31" s="3231"/>
      <c r="JZ31" s="3231"/>
      <c r="KA31" s="3231"/>
      <c r="KB31" s="3231"/>
      <c r="KC31" s="3231"/>
      <c r="KD31" s="3231"/>
      <c r="KE31" s="3231"/>
      <c r="KF31" s="3231"/>
      <c r="KG31" s="3231"/>
      <c r="KH31" s="3231"/>
      <c r="KI31" s="3231"/>
      <c r="KJ31" s="3231"/>
      <c r="KK31" s="3231"/>
      <c r="KL31" s="3231"/>
      <c r="KM31" s="3231"/>
      <c r="KN31" s="3231"/>
      <c r="KO31" s="3231"/>
    </row>
    <row r="32" spans="1:301" ht="21.9" hidden="1" customHeight="1">
      <c r="A32" s="2723"/>
      <c r="B32" s="3231"/>
      <c r="C32" s="3322" t="s">
        <v>473</v>
      </c>
      <c r="D32" s="3323">
        <v>2625</v>
      </c>
      <c r="E32" s="3324">
        <v>2509</v>
      </c>
      <c r="F32" s="3324">
        <v>2564</v>
      </c>
      <c r="G32" s="3324">
        <v>2172</v>
      </c>
      <c r="H32" s="3324">
        <v>2098</v>
      </c>
      <c r="I32" s="3324">
        <v>2131</v>
      </c>
      <c r="J32" s="3324">
        <v>2453</v>
      </c>
      <c r="K32" s="3324">
        <v>2148</v>
      </c>
      <c r="L32" s="3324">
        <v>2061</v>
      </c>
      <c r="M32" s="3324">
        <v>3163</v>
      </c>
      <c r="N32" s="3324">
        <v>2902</v>
      </c>
      <c r="O32" s="3325">
        <v>2363</v>
      </c>
      <c r="P32" s="3326">
        <v>3166</v>
      </c>
      <c r="Q32" s="3327">
        <v>4621</v>
      </c>
      <c r="R32" s="3327">
        <v>3034</v>
      </c>
      <c r="S32" s="3327">
        <v>2586</v>
      </c>
      <c r="T32" s="3327">
        <v>2858</v>
      </c>
      <c r="U32" s="3327">
        <v>2583</v>
      </c>
      <c r="V32" s="3327">
        <v>2469</v>
      </c>
      <c r="W32" s="3327">
        <v>2482</v>
      </c>
      <c r="X32" s="3327">
        <v>2471</v>
      </c>
      <c r="Y32" s="3327">
        <v>3446</v>
      </c>
      <c r="Z32" s="3327">
        <v>3515</v>
      </c>
      <c r="AA32" s="3328">
        <v>2458</v>
      </c>
      <c r="AB32" s="3329">
        <v>3363</v>
      </c>
      <c r="AC32" s="3330">
        <v>3073</v>
      </c>
      <c r="AD32" s="3330">
        <v>2999</v>
      </c>
      <c r="AE32" s="3330">
        <v>2597</v>
      </c>
      <c r="AF32" s="3330">
        <v>2732</v>
      </c>
      <c r="AG32" s="3330">
        <v>2645</v>
      </c>
      <c r="AH32" s="3330">
        <v>2440</v>
      </c>
      <c r="AI32" s="3330">
        <v>2381</v>
      </c>
      <c r="AJ32" s="3330">
        <v>2218</v>
      </c>
      <c r="AK32" s="3330">
        <v>3019</v>
      </c>
      <c r="AL32" s="3330">
        <v>3332</v>
      </c>
      <c r="AM32" s="3330">
        <v>2574</v>
      </c>
      <c r="AN32" s="3331">
        <v>3261</v>
      </c>
      <c r="AO32" s="3331">
        <v>2925</v>
      </c>
      <c r="AP32" s="3331">
        <v>2934</v>
      </c>
      <c r="AQ32" s="3331">
        <v>2641</v>
      </c>
      <c r="AR32" s="3331">
        <v>2842</v>
      </c>
      <c r="AS32" s="3331">
        <v>2628</v>
      </c>
      <c r="AT32" s="3331">
        <v>2453</v>
      </c>
      <c r="AU32" s="3331">
        <v>2085</v>
      </c>
      <c r="AV32" s="3331">
        <v>2289</v>
      </c>
      <c r="AW32" s="3331">
        <v>3541</v>
      </c>
      <c r="AX32" s="3331">
        <v>3009.3888678152889</v>
      </c>
      <c r="AY32" s="3332">
        <v>2342</v>
      </c>
      <c r="AZ32" s="3333">
        <v>2900</v>
      </c>
      <c r="BA32" s="3334">
        <v>3495</v>
      </c>
      <c r="BB32" s="3334">
        <v>3266</v>
      </c>
      <c r="BC32" s="3334">
        <v>2825</v>
      </c>
      <c r="BD32" s="3334">
        <v>3019</v>
      </c>
      <c r="BE32" s="3334">
        <v>2666</v>
      </c>
      <c r="BF32" s="3334">
        <v>2611</v>
      </c>
      <c r="BG32" s="3334">
        <v>2378</v>
      </c>
      <c r="BH32" s="3334">
        <v>2695</v>
      </c>
      <c r="BI32" s="3334">
        <v>3969</v>
      </c>
      <c r="BJ32" s="3334">
        <v>4061</v>
      </c>
      <c r="BK32" s="3335">
        <v>2603</v>
      </c>
      <c r="BL32" s="3336">
        <v>3250</v>
      </c>
      <c r="BM32" s="3337">
        <v>2858</v>
      </c>
      <c r="BN32" s="3337">
        <v>3568</v>
      </c>
      <c r="BO32" s="3337">
        <v>3142</v>
      </c>
      <c r="BP32" s="3337">
        <v>3612</v>
      </c>
      <c r="BQ32" s="3337">
        <v>3412</v>
      </c>
      <c r="BR32" s="3337">
        <v>2980</v>
      </c>
      <c r="BS32" s="3337">
        <v>3151</v>
      </c>
      <c r="BT32" s="3338">
        <v>3410</v>
      </c>
      <c r="BU32" s="3338">
        <v>4715</v>
      </c>
      <c r="BV32" s="3338">
        <v>4387</v>
      </c>
      <c r="BW32" s="3409">
        <v>3312</v>
      </c>
      <c r="BX32" s="3410">
        <v>3973</v>
      </c>
      <c r="BY32" s="3341">
        <v>3771</v>
      </c>
      <c r="BZ32" s="3341">
        <v>3954</v>
      </c>
      <c r="CA32" s="3341">
        <v>3582</v>
      </c>
      <c r="CB32" s="3341">
        <v>3928</v>
      </c>
      <c r="CC32" s="3341">
        <v>3554</v>
      </c>
      <c r="CD32" s="3341">
        <v>3620</v>
      </c>
      <c r="CE32" s="3341">
        <v>3189</v>
      </c>
      <c r="CF32" s="3341">
        <v>3988</v>
      </c>
      <c r="CG32" s="3341">
        <v>4917</v>
      </c>
      <c r="CH32" s="3341">
        <v>4146</v>
      </c>
      <c r="CI32" s="3342">
        <v>3570</v>
      </c>
      <c r="CJ32" s="3343">
        <v>4680</v>
      </c>
      <c r="CK32" s="3344">
        <v>7348</v>
      </c>
      <c r="CL32" s="3344">
        <v>4278</v>
      </c>
      <c r="CM32" s="3344">
        <v>4082</v>
      </c>
      <c r="CN32" s="3344">
        <v>4324</v>
      </c>
      <c r="CO32" s="3344">
        <v>6303</v>
      </c>
      <c r="CP32" s="3344">
        <v>3984</v>
      </c>
      <c r="CQ32" s="3344">
        <v>3436</v>
      </c>
      <c r="CR32" s="3344">
        <v>4243</v>
      </c>
      <c r="CS32" s="3344">
        <v>5398</v>
      </c>
      <c r="CT32" s="3344">
        <v>5554</v>
      </c>
      <c r="CU32" s="3345">
        <v>4282</v>
      </c>
      <c r="CV32" s="3426">
        <v>5054</v>
      </c>
      <c r="CW32" s="3344">
        <v>5235</v>
      </c>
      <c r="CX32" s="3427">
        <v>5112</v>
      </c>
      <c r="CY32" s="3427">
        <v>4585</v>
      </c>
      <c r="CZ32" s="3427">
        <v>4901</v>
      </c>
      <c r="DA32" s="3427">
        <v>4284</v>
      </c>
      <c r="DB32" s="3427">
        <v>4291</v>
      </c>
      <c r="DC32" s="3427">
        <v>3476</v>
      </c>
      <c r="DD32" s="3347">
        <v>4291</v>
      </c>
      <c r="DE32" s="3347">
        <v>5772</v>
      </c>
      <c r="DF32" s="3334"/>
      <c r="DG32" s="3334"/>
      <c r="DH32" s="3428">
        <v>5230</v>
      </c>
      <c r="DI32" s="3429">
        <v>4957</v>
      </c>
      <c r="DJ32" s="3429">
        <v>4742</v>
      </c>
      <c r="DK32" s="3350">
        <v>4250</v>
      </c>
      <c r="DL32" s="3350">
        <v>4587</v>
      </c>
      <c r="DM32" s="3350">
        <v>4188</v>
      </c>
      <c r="DN32" s="3350">
        <v>3892</v>
      </c>
      <c r="DO32" s="3350">
        <v>3256</v>
      </c>
      <c r="DP32" s="3350">
        <v>3943</v>
      </c>
      <c r="DQ32" s="3350">
        <v>5355</v>
      </c>
      <c r="DR32" s="3350">
        <v>5366</v>
      </c>
      <c r="DS32" s="3349">
        <v>4423</v>
      </c>
      <c r="DT32" s="3351">
        <v>5443</v>
      </c>
      <c r="DU32" s="3351">
        <v>4983</v>
      </c>
      <c r="DV32" s="3351">
        <v>5269</v>
      </c>
      <c r="DW32" s="3351">
        <v>4794</v>
      </c>
      <c r="DX32" s="3351">
        <v>4906</v>
      </c>
      <c r="DY32" s="3351">
        <v>5044</v>
      </c>
      <c r="DZ32" s="3352"/>
      <c r="EA32" s="3352"/>
      <c r="EB32" s="3352"/>
      <c r="EC32" s="3352"/>
      <c r="ED32" s="3352"/>
      <c r="EE32" s="3352"/>
      <c r="EF32" s="3351">
        <v>5443</v>
      </c>
      <c r="EG32" s="3351">
        <v>4983</v>
      </c>
      <c r="EH32" s="3351">
        <v>5269</v>
      </c>
      <c r="EI32" s="3351">
        <v>4794</v>
      </c>
      <c r="EJ32" s="3351">
        <v>4906</v>
      </c>
      <c r="EK32" s="3351">
        <v>5044</v>
      </c>
      <c r="EL32" s="3352"/>
      <c r="EM32" s="3352"/>
      <c r="EN32" s="3352"/>
      <c r="EO32" s="3352"/>
      <c r="EP32" s="3352"/>
      <c r="EQ32" s="3352"/>
      <c r="ER32" s="3351">
        <v>5443</v>
      </c>
      <c r="ES32" s="3351">
        <v>4983</v>
      </c>
      <c r="ET32" s="3351">
        <v>5269</v>
      </c>
      <c r="EU32" s="3351">
        <v>4794</v>
      </c>
      <c r="EV32" s="3351">
        <v>4906</v>
      </c>
      <c r="EW32" s="3351">
        <v>5044</v>
      </c>
      <c r="EX32" s="3352"/>
      <c r="EY32" s="3352"/>
      <c r="EZ32" s="3352"/>
      <c r="FA32" s="3352"/>
      <c r="FB32" s="3352"/>
      <c r="FC32" s="3352"/>
      <c r="FD32" s="2826"/>
      <c r="FE32" s="2826"/>
      <c r="FF32" s="2826"/>
      <c r="FG32" s="2826"/>
      <c r="FH32" s="2826"/>
      <c r="FI32" s="2826"/>
      <c r="FJ32" s="2826"/>
      <c r="FK32" s="2826"/>
      <c r="FL32" s="2826"/>
      <c r="FM32" s="2826"/>
      <c r="FN32" s="2826"/>
      <c r="FO32" s="2826"/>
      <c r="FP32" s="2827"/>
      <c r="FQ32" s="2826"/>
      <c r="FR32" s="2826"/>
      <c r="FS32" s="2826"/>
      <c r="FT32" s="2826"/>
      <c r="FU32" s="2826"/>
      <c r="FV32" s="2826"/>
      <c r="FW32" s="2826"/>
      <c r="FX32" s="2826"/>
      <c r="FY32" s="2826"/>
      <c r="FZ32" s="2826"/>
      <c r="GA32" s="2826"/>
      <c r="GB32" s="2752"/>
      <c r="GC32" s="2726"/>
      <c r="GD32" s="2828">
        <v>7698</v>
      </c>
      <c r="GE32" s="2829">
        <v>6401</v>
      </c>
      <c r="GF32" s="2829">
        <v>6662</v>
      </c>
      <c r="GG32" s="2830">
        <v>8428</v>
      </c>
      <c r="GH32" s="2831">
        <v>10821</v>
      </c>
      <c r="GI32" s="2832">
        <v>8027</v>
      </c>
      <c r="GJ32" s="2832">
        <v>7422</v>
      </c>
      <c r="GK32" s="2833">
        <v>9419</v>
      </c>
      <c r="GL32" s="2834">
        <v>9435</v>
      </c>
      <c r="GM32" s="2835">
        <v>7974</v>
      </c>
      <c r="GN32" s="2836">
        <v>7039</v>
      </c>
      <c r="GO32" s="2836">
        <v>8925</v>
      </c>
      <c r="GP32" s="2837">
        <v>9120</v>
      </c>
      <c r="GQ32" s="2838">
        <v>8111</v>
      </c>
      <c r="GR32" s="2838">
        <v>6827</v>
      </c>
      <c r="GS32" s="2839">
        <v>8892.3888678152889</v>
      </c>
      <c r="GT32" s="2840">
        <v>9661</v>
      </c>
      <c r="GU32" s="2841">
        <v>8510</v>
      </c>
      <c r="GV32" s="2841">
        <v>7684</v>
      </c>
      <c r="GW32" s="2842">
        <v>10633</v>
      </c>
      <c r="GX32" s="2838">
        <v>9676</v>
      </c>
      <c r="GY32" s="2838">
        <v>10166</v>
      </c>
      <c r="GZ32" s="2838">
        <v>9541</v>
      </c>
      <c r="HA32" s="2838">
        <v>12414</v>
      </c>
      <c r="HB32" s="2843">
        <v>11698</v>
      </c>
      <c r="HC32" s="2843">
        <v>11064</v>
      </c>
      <c r="HD32" s="2843">
        <v>10797</v>
      </c>
      <c r="HE32" s="2843">
        <v>12633</v>
      </c>
      <c r="HF32" s="2844">
        <v>16306</v>
      </c>
      <c r="HG32" s="2844">
        <v>14709</v>
      </c>
      <c r="HH32" s="2844">
        <v>12818</v>
      </c>
      <c r="HI32" s="2844">
        <v>15234</v>
      </c>
      <c r="HJ32" s="2845">
        <v>15401</v>
      </c>
      <c r="HK32" s="2845">
        <v>15258</v>
      </c>
      <c r="HL32" s="2845">
        <v>13539</v>
      </c>
      <c r="HM32" s="2846">
        <f t="shared" si="1"/>
        <v>14929</v>
      </c>
      <c r="HN32" s="2846">
        <f t="shared" si="2"/>
        <v>13025</v>
      </c>
      <c r="HO32" s="2846">
        <f t="shared" si="3"/>
        <v>11091</v>
      </c>
      <c r="HP32" s="2846">
        <f t="shared" si="4"/>
        <v>15144</v>
      </c>
      <c r="HQ32" s="2847">
        <f t="shared" si="5"/>
        <v>15695</v>
      </c>
      <c r="HR32" s="2847">
        <f t="shared" si="6"/>
        <v>14744</v>
      </c>
      <c r="HS32" s="2727"/>
      <c r="HT32" s="2726"/>
      <c r="HU32" s="2838"/>
      <c r="HV32" s="2843"/>
      <c r="HW32" s="2843"/>
      <c r="HX32" s="2843"/>
      <c r="HY32" s="2838"/>
      <c r="HZ32" s="2843"/>
      <c r="IA32" s="2843"/>
      <c r="IB32" s="2843"/>
      <c r="IC32" s="2843"/>
      <c r="ID32" s="2843"/>
      <c r="IE32" s="2843"/>
      <c r="IF32" s="2843"/>
      <c r="IG32" s="2843"/>
      <c r="IH32" s="2843"/>
      <c r="II32" s="2843"/>
      <c r="IJ32" s="2843"/>
      <c r="IK32" s="2848">
        <v>29189</v>
      </c>
      <c r="IL32" s="3353">
        <v>35689</v>
      </c>
      <c r="IM32" s="3353">
        <v>33373</v>
      </c>
      <c r="IN32" s="3353">
        <v>32950.388867815287</v>
      </c>
      <c r="IO32" s="3353">
        <v>36488</v>
      </c>
      <c r="IP32" s="3353">
        <v>41797</v>
      </c>
      <c r="IQ32" s="3353">
        <v>46192</v>
      </c>
      <c r="IR32" s="3353">
        <v>57912</v>
      </c>
      <c r="IS32" s="3354">
        <v>56837</v>
      </c>
      <c r="IT32" s="3354">
        <f t="shared" si="7"/>
        <v>54402</v>
      </c>
      <c r="IU32" s="3355">
        <f t="shared" si="8"/>
        <v>52782</v>
      </c>
      <c r="IV32" s="3285"/>
      <c r="IW32" s="3285"/>
      <c r="IX32" s="3285"/>
      <c r="IY32" s="3286"/>
      <c r="IZ32" s="3287"/>
      <c r="JA32" s="3764"/>
      <c r="JC32" s="3285"/>
      <c r="JD32" s="3231"/>
      <c r="JE32" s="3231"/>
      <c r="JF32" s="3231"/>
      <c r="JG32" s="3231"/>
      <c r="JH32" s="2723"/>
      <c r="JI32" s="3262"/>
      <c r="JJ32" s="2723"/>
      <c r="JK32" s="2723"/>
      <c r="JL32" s="2723"/>
      <c r="JM32" s="2723"/>
      <c r="JN32" s="2723"/>
      <c r="JO32" s="2723"/>
      <c r="JP32" s="2723"/>
      <c r="JQ32" s="2723"/>
      <c r="JS32" s="3231"/>
      <c r="JT32" s="3231"/>
      <c r="JU32" s="3231"/>
      <c r="JV32" s="3231"/>
      <c r="JW32" s="3231"/>
      <c r="JX32" s="3231"/>
      <c r="JY32" s="3231"/>
      <c r="JZ32" s="3231"/>
      <c r="KA32" s="3231"/>
      <c r="KB32" s="3231"/>
      <c r="KC32" s="3231"/>
      <c r="KD32" s="3231"/>
      <c r="KE32" s="3231"/>
      <c r="KF32" s="3231"/>
      <c r="KG32" s="3231"/>
      <c r="KH32" s="3231"/>
      <c r="KI32" s="3231"/>
      <c r="KJ32" s="3231"/>
      <c r="KK32" s="3231"/>
      <c r="KL32" s="3231"/>
      <c r="KM32" s="3231"/>
      <c r="KN32" s="3231"/>
      <c r="KO32" s="3231"/>
    </row>
    <row r="33" spans="1:301" ht="21.9" hidden="1" customHeight="1">
      <c r="A33" s="2723"/>
      <c r="B33" s="3231"/>
      <c r="C33" s="3322" t="s">
        <v>157</v>
      </c>
      <c r="D33" s="3323">
        <v>125</v>
      </c>
      <c r="E33" s="3324">
        <v>126</v>
      </c>
      <c r="F33" s="3324">
        <v>147</v>
      </c>
      <c r="G33" s="3324">
        <v>118</v>
      </c>
      <c r="H33" s="3324">
        <v>106</v>
      </c>
      <c r="I33" s="3324">
        <v>139</v>
      </c>
      <c r="J33" s="3324">
        <v>2</v>
      </c>
      <c r="K33" s="3324">
        <v>173</v>
      </c>
      <c r="L33" s="3324">
        <v>160</v>
      </c>
      <c r="M33" s="3324">
        <v>163</v>
      </c>
      <c r="N33" s="3324">
        <v>131</v>
      </c>
      <c r="O33" s="3325">
        <v>127</v>
      </c>
      <c r="P33" s="3326">
        <v>91</v>
      </c>
      <c r="Q33" s="3327">
        <v>144</v>
      </c>
      <c r="R33" s="3327">
        <v>129</v>
      </c>
      <c r="S33" s="3327">
        <v>127</v>
      </c>
      <c r="T33" s="3327">
        <v>129</v>
      </c>
      <c r="U33" s="3327">
        <v>173</v>
      </c>
      <c r="V33" s="3327">
        <v>182</v>
      </c>
      <c r="W33" s="3327">
        <v>261</v>
      </c>
      <c r="X33" s="3327">
        <v>181</v>
      </c>
      <c r="Y33" s="3327">
        <v>139</v>
      </c>
      <c r="Z33" s="3327">
        <v>150</v>
      </c>
      <c r="AA33" s="3328">
        <v>206</v>
      </c>
      <c r="AB33" s="3329">
        <v>154</v>
      </c>
      <c r="AC33" s="3330">
        <v>134</v>
      </c>
      <c r="AD33" s="3330">
        <v>161</v>
      </c>
      <c r="AE33" s="3330">
        <v>139</v>
      </c>
      <c r="AF33" s="3330">
        <v>0</v>
      </c>
      <c r="AG33" s="3330">
        <v>214</v>
      </c>
      <c r="AH33" s="3330">
        <v>479</v>
      </c>
      <c r="AI33" s="3330">
        <v>367</v>
      </c>
      <c r="AJ33" s="3330">
        <v>188</v>
      </c>
      <c r="AK33" s="3330">
        <v>176</v>
      </c>
      <c r="AL33" s="3330">
        <v>181</v>
      </c>
      <c r="AM33" s="3330">
        <v>242</v>
      </c>
      <c r="AN33" s="3331">
        <v>149</v>
      </c>
      <c r="AO33" s="3331">
        <v>304</v>
      </c>
      <c r="AP33" s="3331">
        <v>184</v>
      </c>
      <c r="AQ33" s="3331">
        <v>140</v>
      </c>
      <c r="AR33" s="3331">
        <v>126</v>
      </c>
      <c r="AS33" s="3331">
        <v>213</v>
      </c>
      <c r="AT33" s="3331">
        <v>199</v>
      </c>
      <c r="AU33" s="3331">
        <v>124</v>
      </c>
      <c r="AV33" s="3331">
        <v>121</v>
      </c>
      <c r="AW33" s="3331">
        <v>213</v>
      </c>
      <c r="AX33" s="3331">
        <v>256.81540857274052</v>
      </c>
      <c r="AY33" s="3332">
        <v>153</v>
      </c>
      <c r="AZ33" s="3333">
        <v>148</v>
      </c>
      <c r="BA33" s="3334">
        <v>161</v>
      </c>
      <c r="BB33" s="3334">
        <v>140</v>
      </c>
      <c r="BC33" s="3334">
        <v>124</v>
      </c>
      <c r="BD33" s="3334">
        <v>158</v>
      </c>
      <c r="BE33" s="3334">
        <v>187</v>
      </c>
      <c r="BF33" s="3334">
        <v>242</v>
      </c>
      <c r="BG33" s="3334">
        <v>199</v>
      </c>
      <c r="BH33" s="3334">
        <v>150</v>
      </c>
      <c r="BI33" s="3334">
        <v>133</v>
      </c>
      <c r="BJ33" s="3334">
        <v>154</v>
      </c>
      <c r="BK33" s="3335">
        <v>156</v>
      </c>
      <c r="BL33" s="3336">
        <v>0</v>
      </c>
      <c r="BM33" s="3337">
        <v>0</v>
      </c>
      <c r="BN33" s="3337">
        <v>0</v>
      </c>
      <c r="BO33" s="3337">
        <v>186</v>
      </c>
      <c r="BP33" s="3337">
        <v>262</v>
      </c>
      <c r="BQ33" s="3337">
        <v>308</v>
      </c>
      <c r="BR33" s="3337">
        <v>470</v>
      </c>
      <c r="BS33" s="3337">
        <v>0</v>
      </c>
      <c r="BT33" s="3338">
        <v>185</v>
      </c>
      <c r="BU33" s="3430">
        <v>287</v>
      </c>
      <c r="BV33" s="3338">
        <v>253</v>
      </c>
      <c r="BW33" s="3409">
        <v>238</v>
      </c>
      <c r="BX33" s="3431">
        <v>285</v>
      </c>
      <c r="BY33" s="3432">
        <v>291</v>
      </c>
      <c r="BZ33" s="3432">
        <v>229</v>
      </c>
      <c r="CA33" s="3432">
        <v>212</v>
      </c>
      <c r="CB33" s="3432">
        <v>0</v>
      </c>
      <c r="CC33" s="3432">
        <v>0</v>
      </c>
      <c r="CD33" s="3432">
        <v>169</v>
      </c>
      <c r="CE33" s="3432">
        <v>1</v>
      </c>
      <c r="CF33" s="3432">
        <v>1</v>
      </c>
      <c r="CG33" s="3432">
        <v>1</v>
      </c>
      <c r="CH33" s="3341">
        <v>350</v>
      </c>
      <c r="CI33" s="3342">
        <v>0</v>
      </c>
      <c r="CJ33" s="3343">
        <v>1</v>
      </c>
      <c r="CK33" s="3344">
        <v>606</v>
      </c>
      <c r="CL33" s="3344">
        <v>1</v>
      </c>
      <c r="CM33" s="3344">
        <v>4</v>
      </c>
      <c r="CN33" s="3344">
        <v>0</v>
      </c>
      <c r="CO33" s="3344">
        <v>0</v>
      </c>
      <c r="CP33" s="3344">
        <v>0</v>
      </c>
      <c r="CQ33" s="3344">
        <v>0</v>
      </c>
      <c r="CR33" s="3344">
        <v>0</v>
      </c>
      <c r="CS33" s="3344">
        <v>0</v>
      </c>
      <c r="CT33" s="3344">
        <v>0</v>
      </c>
      <c r="CU33" s="3345">
        <v>0</v>
      </c>
      <c r="CV33" s="3426">
        <v>0</v>
      </c>
      <c r="CW33" s="3344">
        <v>0</v>
      </c>
      <c r="CX33" s="3427">
        <v>0</v>
      </c>
      <c r="CY33" s="3427">
        <v>0</v>
      </c>
      <c r="CZ33" s="3427">
        <v>0</v>
      </c>
      <c r="DA33" s="3427">
        <v>0</v>
      </c>
      <c r="DB33" s="3427">
        <v>2</v>
      </c>
      <c r="DC33" s="3427">
        <v>2</v>
      </c>
      <c r="DD33" s="3347">
        <v>1</v>
      </c>
      <c r="DE33" s="3347">
        <v>23</v>
      </c>
      <c r="DF33" s="3334"/>
      <c r="DG33" s="3334"/>
      <c r="DH33" s="3433" t="s">
        <v>390</v>
      </c>
      <c r="DI33" s="3434" t="s">
        <v>390</v>
      </c>
      <c r="DJ33" s="3434" t="s">
        <v>390</v>
      </c>
      <c r="DK33" s="3435" t="s">
        <v>390</v>
      </c>
      <c r="DL33" s="3435" t="s">
        <v>390</v>
      </c>
      <c r="DM33" s="3435" t="s">
        <v>390</v>
      </c>
      <c r="DN33" s="3435" t="s">
        <v>390</v>
      </c>
      <c r="DO33" s="3435" t="s">
        <v>390</v>
      </c>
      <c r="DP33" s="3350">
        <v>2</v>
      </c>
      <c r="DQ33" s="3350">
        <v>2</v>
      </c>
      <c r="DR33" s="3350">
        <v>1</v>
      </c>
      <c r="DS33" s="3436" t="s">
        <v>390</v>
      </c>
      <c r="DT33" s="3437" t="s">
        <v>390</v>
      </c>
      <c r="DU33" s="3437" t="s">
        <v>390</v>
      </c>
      <c r="DV33" s="3437" t="s">
        <v>390</v>
      </c>
      <c r="DW33" s="3437" t="s">
        <v>390</v>
      </c>
      <c r="DX33" s="3437" t="s">
        <v>390</v>
      </c>
      <c r="DY33" s="3437" t="s">
        <v>390</v>
      </c>
      <c r="DZ33" s="3438"/>
      <c r="EA33" s="3438"/>
      <c r="EB33" s="3438"/>
      <c r="EC33" s="3438"/>
      <c r="ED33" s="3438"/>
      <c r="EE33" s="3438"/>
      <c r="EF33" s="3437" t="s">
        <v>390</v>
      </c>
      <c r="EG33" s="3437" t="s">
        <v>390</v>
      </c>
      <c r="EH33" s="3437" t="s">
        <v>390</v>
      </c>
      <c r="EI33" s="3437" t="s">
        <v>390</v>
      </c>
      <c r="EJ33" s="3437" t="s">
        <v>390</v>
      </c>
      <c r="EK33" s="3437" t="s">
        <v>390</v>
      </c>
      <c r="EL33" s="3438"/>
      <c r="EM33" s="3438"/>
      <c r="EN33" s="3438"/>
      <c r="EO33" s="3438"/>
      <c r="EP33" s="3438"/>
      <c r="EQ33" s="3438"/>
      <c r="ER33" s="3437" t="s">
        <v>390</v>
      </c>
      <c r="ES33" s="3437" t="s">
        <v>390</v>
      </c>
      <c r="ET33" s="3437" t="s">
        <v>390</v>
      </c>
      <c r="EU33" s="3437" t="s">
        <v>390</v>
      </c>
      <c r="EV33" s="3437" t="s">
        <v>390</v>
      </c>
      <c r="EW33" s="3437" t="s">
        <v>390</v>
      </c>
      <c r="EX33" s="3438"/>
      <c r="EY33" s="3438"/>
      <c r="EZ33" s="3438"/>
      <c r="FA33" s="3438"/>
      <c r="FB33" s="3438"/>
      <c r="FC33" s="3438"/>
      <c r="FD33" s="2868"/>
      <c r="FE33" s="2868"/>
      <c r="FF33" s="2868"/>
      <c r="FG33" s="2868"/>
      <c r="FH33" s="2868"/>
      <c r="FI33" s="2868"/>
      <c r="FJ33" s="2868"/>
      <c r="FK33" s="2868"/>
      <c r="FL33" s="2868"/>
      <c r="FM33" s="2868"/>
      <c r="FN33" s="2868"/>
      <c r="FO33" s="2868"/>
      <c r="FP33" s="2869"/>
      <c r="FQ33" s="2868"/>
      <c r="FR33" s="2868"/>
      <c r="FS33" s="2868"/>
      <c r="FT33" s="2868"/>
      <c r="FU33" s="2868"/>
      <c r="FV33" s="2868"/>
      <c r="FW33" s="2868"/>
      <c r="FX33" s="2868"/>
      <c r="FY33" s="2868"/>
      <c r="FZ33" s="2868"/>
      <c r="GA33" s="2868"/>
      <c r="GB33" s="2756"/>
      <c r="GC33" s="2726"/>
      <c r="GD33" s="2828">
        <v>398</v>
      </c>
      <c r="GE33" s="2829">
        <v>363</v>
      </c>
      <c r="GF33" s="2829">
        <v>335</v>
      </c>
      <c r="GG33" s="2830">
        <v>421</v>
      </c>
      <c r="GH33" s="2831">
        <v>364</v>
      </c>
      <c r="GI33" s="2832">
        <v>429</v>
      </c>
      <c r="GJ33" s="2832">
        <v>624</v>
      </c>
      <c r="GK33" s="2833">
        <v>495</v>
      </c>
      <c r="GL33" s="2834">
        <v>449</v>
      </c>
      <c r="GM33" s="2835">
        <v>353</v>
      </c>
      <c r="GN33" s="2836">
        <v>1034</v>
      </c>
      <c r="GO33" s="2836">
        <v>599</v>
      </c>
      <c r="GP33" s="2837">
        <v>637</v>
      </c>
      <c r="GQ33" s="2838">
        <v>479</v>
      </c>
      <c r="GR33" s="2838">
        <v>444</v>
      </c>
      <c r="GS33" s="2839">
        <v>622.81540857274058</v>
      </c>
      <c r="GT33" s="2840">
        <v>449</v>
      </c>
      <c r="GU33" s="2841">
        <v>469</v>
      </c>
      <c r="GV33" s="2841">
        <v>591</v>
      </c>
      <c r="GW33" s="2842">
        <v>443</v>
      </c>
      <c r="GX33" s="2838">
        <v>0</v>
      </c>
      <c r="GY33" s="2838">
        <v>756</v>
      </c>
      <c r="GZ33" s="2838">
        <v>655</v>
      </c>
      <c r="HA33" s="2838">
        <v>778</v>
      </c>
      <c r="HB33" s="2843">
        <v>805</v>
      </c>
      <c r="HC33" s="2843">
        <v>212</v>
      </c>
      <c r="HD33" s="2843">
        <v>171</v>
      </c>
      <c r="HE33" s="2843">
        <v>351</v>
      </c>
      <c r="HF33" s="2844">
        <v>608</v>
      </c>
      <c r="HG33" s="2844">
        <v>4</v>
      </c>
      <c r="HH33" s="2844">
        <v>0</v>
      </c>
      <c r="HI33" s="2844">
        <v>0</v>
      </c>
      <c r="HJ33" s="2845">
        <v>0</v>
      </c>
      <c r="HK33" s="2845">
        <v>23</v>
      </c>
      <c r="HL33" s="2845">
        <v>27</v>
      </c>
      <c r="HM33" s="2870" t="s">
        <v>390</v>
      </c>
      <c r="HN33" s="2870" t="s">
        <v>390</v>
      </c>
      <c r="HO33" s="2870" t="s">
        <v>390</v>
      </c>
      <c r="HP33" s="2870">
        <v>3</v>
      </c>
      <c r="HQ33" s="2871" t="s">
        <v>390</v>
      </c>
      <c r="HR33" s="2871" t="s">
        <v>390</v>
      </c>
      <c r="HS33" s="2727"/>
      <c r="HT33" s="2726"/>
      <c r="HU33" s="2838"/>
      <c r="HV33" s="2843"/>
      <c r="HW33" s="2843"/>
      <c r="HX33" s="2843"/>
      <c r="HY33" s="2838"/>
      <c r="HZ33" s="2843"/>
      <c r="IA33" s="2843"/>
      <c r="IB33" s="2843"/>
      <c r="IC33" s="2843"/>
      <c r="ID33" s="2843"/>
      <c r="IE33" s="2843"/>
      <c r="IF33" s="2843"/>
      <c r="IG33" s="2843"/>
      <c r="IH33" s="2843"/>
      <c r="II33" s="2843"/>
      <c r="IJ33" s="2843"/>
      <c r="IK33" s="2848">
        <v>1517</v>
      </c>
      <c r="IL33" s="3353">
        <v>1912</v>
      </c>
      <c r="IM33" s="3353">
        <v>2435</v>
      </c>
      <c r="IN33" s="3353">
        <v>2182.8154085727406</v>
      </c>
      <c r="IO33" s="3353">
        <v>1952</v>
      </c>
      <c r="IP33" s="3353">
        <v>2189</v>
      </c>
      <c r="IQ33" s="3353">
        <v>1539</v>
      </c>
      <c r="IR33" s="3353">
        <v>612</v>
      </c>
      <c r="IS33" s="3354">
        <v>28</v>
      </c>
      <c r="IT33" s="3354">
        <f t="shared" si="7"/>
        <v>5</v>
      </c>
      <c r="IU33" s="3355">
        <f t="shared" si="8"/>
        <v>5</v>
      </c>
      <c r="IV33" s="3285"/>
      <c r="IW33" s="3285"/>
      <c r="IX33" s="3285"/>
      <c r="IY33" s="3286"/>
      <c r="IZ33" s="3287"/>
      <c r="JA33" s="3764"/>
      <c r="JC33" s="3285"/>
      <c r="JD33" s="3231"/>
      <c r="JE33" s="3231"/>
      <c r="JF33" s="3231"/>
      <c r="JG33" s="3231"/>
      <c r="JH33" s="2723"/>
      <c r="JI33" s="3262"/>
      <c r="JJ33" s="2723"/>
      <c r="JK33" s="2723"/>
      <c r="JL33" s="2723"/>
      <c r="JM33" s="2723"/>
      <c r="JN33" s="2723"/>
      <c r="JO33" s="2723"/>
      <c r="JP33" s="2723"/>
      <c r="JQ33" s="2723"/>
      <c r="JS33" s="3231"/>
      <c r="JT33" s="3231"/>
      <c r="JU33" s="3231"/>
      <c r="JV33" s="3231"/>
      <c r="JW33" s="3231"/>
      <c r="JX33" s="3231"/>
      <c r="JY33" s="3231"/>
      <c r="JZ33" s="3231"/>
      <c r="KA33" s="3231"/>
      <c r="KB33" s="3231"/>
      <c r="KC33" s="3231"/>
      <c r="KD33" s="3231"/>
      <c r="KE33" s="3231"/>
      <c r="KF33" s="3231"/>
      <c r="KG33" s="3231"/>
      <c r="KH33" s="3231"/>
      <c r="KI33" s="3231"/>
      <c r="KJ33" s="3231"/>
      <c r="KK33" s="3231"/>
      <c r="KL33" s="3231"/>
      <c r="KM33" s="3231"/>
      <c r="KN33" s="3231"/>
      <c r="KO33" s="3231"/>
    </row>
    <row r="34" spans="1:301" ht="21.9" hidden="1" customHeight="1" thickBot="1">
      <c r="A34" s="2723"/>
      <c r="B34" s="3231"/>
      <c r="C34" s="3322" t="s">
        <v>52</v>
      </c>
      <c r="D34" s="3356">
        <v>29447</v>
      </c>
      <c r="E34" s="3357">
        <v>29249</v>
      </c>
      <c r="F34" s="3357">
        <v>32536</v>
      </c>
      <c r="G34" s="3357">
        <v>26929</v>
      </c>
      <c r="H34" s="3357">
        <v>28526</v>
      </c>
      <c r="I34" s="3357">
        <v>41105</v>
      </c>
      <c r="J34" s="3357">
        <v>49933</v>
      </c>
      <c r="K34" s="3357">
        <v>42244</v>
      </c>
      <c r="L34" s="3357">
        <v>31407</v>
      </c>
      <c r="M34" s="3357">
        <v>33891</v>
      </c>
      <c r="N34" s="3357">
        <v>35806</v>
      </c>
      <c r="O34" s="3358">
        <v>36780</v>
      </c>
      <c r="P34" s="3359">
        <v>34991</v>
      </c>
      <c r="Q34" s="3360">
        <v>46490</v>
      </c>
      <c r="R34" s="3360">
        <v>36805</v>
      </c>
      <c r="S34" s="3360">
        <v>31105</v>
      </c>
      <c r="T34" s="3360">
        <v>35598</v>
      </c>
      <c r="U34" s="3360">
        <v>45584</v>
      </c>
      <c r="V34" s="3360">
        <v>50484</v>
      </c>
      <c r="W34" s="3360">
        <v>43576</v>
      </c>
      <c r="X34" s="3360">
        <v>34318</v>
      </c>
      <c r="Y34" s="3360">
        <v>36977</v>
      </c>
      <c r="Z34" s="3360">
        <v>38290</v>
      </c>
      <c r="AA34" s="3361">
        <v>37281</v>
      </c>
      <c r="AB34" s="3329">
        <v>35904</v>
      </c>
      <c r="AC34" s="3330">
        <v>32995</v>
      </c>
      <c r="AD34" s="3330">
        <v>34242</v>
      </c>
      <c r="AE34" s="3330">
        <v>33161</v>
      </c>
      <c r="AF34" s="3330">
        <v>32773</v>
      </c>
      <c r="AG34" s="3330">
        <v>46796</v>
      </c>
      <c r="AH34" s="3330">
        <v>50069</v>
      </c>
      <c r="AI34" s="3330">
        <v>44378</v>
      </c>
      <c r="AJ34" s="3330">
        <v>33494</v>
      </c>
      <c r="AK34" s="3330">
        <v>35959</v>
      </c>
      <c r="AL34" s="3330">
        <v>38401</v>
      </c>
      <c r="AM34" s="3330">
        <v>43693</v>
      </c>
      <c r="AN34" s="3331">
        <v>38603</v>
      </c>
      <c r="AO34" s="3331">
        <v>39843</v>
      </c>
      <c r="AP34" s="3331">
        <v>38029</v>
      </c>
      <c r="AQ34" s="3331">
        <v>31598</v>
      </c>
      <c r="AR34" s="3331">
        <v>37116</v>
      </c>
      <c r="AS34" s="3331">
        <v>46093</v>
      </c>
      <c r="AT34" s="3331">
        <v>49766</v>
      </c>
      <c r="AU34" s="3331">
        <v>42481</v>
      </c>
      <c r="AV34" s="3331">
        <v>33003</v>
      </c>
      <c r="AW34" s="3331">
        <v>38298</v>
      </c>
      <c r="AX34" s="3331">
        <v>38171</v>
      </c>
      <c r="AY34" s="3332">
        <v>41220</v>
      </c>
      <c r="AZ34" s="3362">
        <v>37463</v>
      </c>
      <c r="BA34" s="3363">
        <v>35978</v>
      </c>
      <c r="BB34" s="3363">
        <v>39415</v>
      </c>
      <c r="BC34" s="3363">
        <v>35949</v>
      </c>
      <c r="BD34" s="3363">
        <v>38023</v>
      </c>
      <c r="BE34" s="3363">
        <v>47844</v>
      </c>
      <c r="BF34" s="3363">
        <v>51152</v>
      </c>
      <c r="BG34" s="3363">
        <v>43036</v>
      </c>
      <c r="BH34" s="3363">
        <v>34628</v>
      </c>
      <c r="BI34" s="3363">
        <v>38582</v>
      </c>
      <c r="BJ34" s="3363">
        <v>41073</v>
      </c>
      <c r="BK34" s="3364">
        <v>44235</v>
      </c>
      <c r="BL34" s="3365">
        <v>37773</v>
      </c>
      <c r="BM34" s="3366">
        <v>35654</v>
      </c>
      <c r="BN34" s="3366">
        <v>40663</v>
      </c>
      <c r="BO34" s="3366">
        <v>36524</v>
      </c>
      <c r="BP34" s="3366">
        <v>40720</v>
      </c>
      <c r="BQ34" s="3366">
        <v>54166</v>
      </c>
      <c r="BR34" s="3366">
        <v>56168</v>
      </c>
      <c r="BS34" s="3366">
        <v>46212</v>
      </c>
      <c r="BT34" s="3367">
        <v>39747</v>
      </c>
      <c r="BU34" s="3367">
        <v>44864</v>
      </c>
      <c r="BV34" s="3367">
        <v>46422</v>
      </c>
      <c r="BW34" s="3411">
        <v>54545</v>
      </c>
      <c r="BX34" s="3412">
        <v>46137</v>
      </c>
      <c r="BY34" s="3413">
        <v>43174</v>
      </c>
      <c r="BZ34" s="3413">
        <v>49027</v>
      </c>
      <c r="CA34" s="3413">
        <v>41634</v>
      </c>
      <c r="CB34" s="3413">
        <v>48103</v>
      </c>
      <c r="CC34" s="3413">
        <v>61054</v>
      </c>
      <c r="CD34" s="3413">
        <v>64119</v>
      </c>
      <c r="CE34" s="3413">
        <v>52709</v>
      </c>
      <c r="CF34" s="3413">
        <v>49386</v>
      </c>
      <c r="CG34" s="3413">
        <v>52967</v>
      </c>
      <c r="CH34" s="3413">
        <v>56261</v>
      </c>
      <c r="CI34" s="3371">
        <v>64359</v>
      </c>
      <c r="CJ34" s="3372">
        <v>51688</v>
      </c>
      <c r="CK34" s="3373">
        <v>53622</v>
      </c>
      <c r="CL34" s="3373">
        <v>51748</v>
      </c>
      <c r="CM34" s="3373">
        <v>49570</v>
      </c>
      <c r="CN34" s="3373">
        <v>52174</v>
      </c>
      <c r="CO34" s="3373">
        <v>58795</v>
      </c>
      <c r="CP34" s="3373">
        <v>71099</v>
      </c>
      <c r="CQ34" s="3373">
        <v>57790</v>
      </c>
      <c r="CR34" s="3373">
        <v>55854</v>
      </c>
      <c r="CS34" s="3373">
        <v>59469</v>
      </c>
      <c r="CT34" s="3373">
        <v>63257</v>
      </c>
      <c r="CU34" s="3374">
        <v>77949</v>
      </c>
      <c r="CV34" s="3375">
        <v>58224</v>
      </c>
      <c r="CW34" s="3376">
        <v>53321</v>
      </c>
      <c r="CX34" s="3377">
        <v>59393</v>
      </c>
      <c r="CY34" s="3377">
        <v>53854</v>
      </c>
      <c r="CZ34" s="3377">
        <v>56638</v>
      </c>
      <c r="DA34" s="3377">
        <v>67138</v>
      </c>
      <c r="DB34" s="3377">
        <v>73006</v>
      </c>
      <c r="DC34" s="3377">
        <v>52994</v>
      </c>
      <c r="DD34" s="3378">
        <v>51643</v>
      </c>
      <c r="DE34" s="3378">
        <v>56449</v>
      </c>
      <c r="DF34" s="3334"/>
      <c r="DG34" s="3334"/>
      <c r="DH34" s="3379">
        <v>52833</v>
      </c>
      <c r="DI34" s="3380">
        <v>51438</v>
      </c>
      <c r="DJ34" s="3380">
        <v>54420</v>
      </c>
      <c r="DK34" s="3381">
        <v>40983</v>
      </c>
      <c r="DL34" s="3350">
        <v>46162</v>
      </c>
      <c r="DM34" s="3350">
        <v>61277</v>
      </c>
      <c r="DN34" s="3350">
        <v>66352</v>
      </c>
      <c r="DO34" s="3350">
        <v>47805</v>
      </c>
      <c r="DP34" s="3350">
        <v>40169</v>
      </c>
      <c r="DQ34" s="3350">
        <v>53831</v>
      </c>
      <c r="DR34" s="3350">
        <v>48311</v>
      </c>
      <c r="DS34" s="3382">
        <v>64045</v>
      </c>
      <c r="DT34" s="3382">
        <v>50614</v>
      </c>
      <c r="DU34" s="3382">
        <v>47432</v>
      </c>
      <c r="DV34" s="3382">
        <v>53021</v>
      </c>
      <c r="DW34" s="3382">
        <v>50208</v>
      </c>
      <c r="DX34" s="3382">
        <v>47035</v>
      </c>
      <c r="DY34" s="3437">
        <v>65872</v>
      </c>
      <c r="DZ34" s="3438"/>
      <c r="EA34" s="3438"/>
      <c r="EB34" s="3438"/>
      <c r="EC34" s="3438"/>
      <c r="ED34" s="3438"/>
      <c r="EE34" s="3438"/>
      <c r="EF34" s="3382">
        <v>50614</v>
      </c>
      <c r="EG34" s="3382">
        <v>47432</v>
      </c>
      <c r="EH34" s="3382">
        <v>53021</v>
      </c>
      <c r="EI34" s="3382">
        <v>50208</v>
      </c>
      <c r="EJ34" s="3382">
        <v>47035</v>
      </c>
      <c r="EK34" s="3437">
        <v>65872</v>
      </c>
      <c r="EL34" s="3438"/>
      <c r="EM34" s="3438"/>
      <c r="EN34" s="3438"/>
      <c r="EO34" s="3438"/>
      <c r="EP34" s="3438"/>
      <c r="EQ34" s="3438"/>
      <c r="ER34" s="3382">
        <v>50614</v>
      </c>
      <c r="ES34" s="3382">
        <v>47432</v>
      </c>
      <c r="ET34" s="3382">
        <v>53021</v>
      </c>
      <c r="EU34" s="3382">
        <v>50208</v>
      </c>
      <c r="EV34" s="3382">
        <v>47035</v>
      </c>
      <c r="EW34" s="3437">
        <v>65872</v>
      </c>
      <c r="EX34" s="3438"/>
      <c r="EY34" s="3438"/>
      <c r="EZ34" s="3438"/>
      <c r="FA34" s="3438"/>
      <c r="FB34" s="3438"/>
      <c r="FC34" s="3438"/>
      <c r="FD34" s="2868"/>
      <c r="FE34" s="2868"/>
      <c r="FF34" s="2868"/>
      <c r="FG34" s="2868"/>
      <c r="FH34" s="2868"/>
      <c r="FI34" s="2868"/>
      <c r="FJ34" s="2868"/>
      <c r="FK34" s="2868"/>
      <c r="FL34" s="2868"/>
      <c r="FM34" s="2868"/>
      <c r="FN34" s="2868"/>
      <c r="FO34" s="2868"/>
      <c r="FP34" s="2869"/>
      <c r="FQ34" s="2868"/>
      <c r="FR34" s="2868"/>
      <c r="FS34" s="2868"/>
      <c r="FT34" s="2868"/>
      <c r="FU34" s="2868"/>
      <c r="FV34" s="2868"/>
      <c r="FW34" s="2868"/>
      <c r="FX34" s="2868"/>
      <c r="FY34" s="2868"/>
      <c r="FZ34" s="2868"/>
      <c r="GA34" s="2868"/>
      <c r="GB34" s="2756"/>
      <c r="GC34" s="2726"/>
      <c r="GD34" s="2849">
        <v>91232</v>
      </c>
      <c r="GE34" s="2850">
        <v>96560</v>
      </c>
      <c r="GF34" s="2850">
        <v>123584</v>
      </c>
      <c r="GG34" s="2851">
        <v>106477</v>
      </c>
      <c r="GH34" s="2852">
        <v>118286</v>
      </c>
      <c r="GI34" s="2853">
        <v>112287</v>
      </c>
      <c r="GJ34" s="2853">
        <v>128378</v>
      </c>
      <c r="GK34" s="2854">
        <v>112548</v>
      </c>
      <c r="GL34" s="2855">
        <v>103141</v>
      </c>
      <c r="GM34" s="2856">
        <v>112730</v>
      </c>
      <c r="GN34" s="2856">
        <v>127941</v>
      </c>
      <c r="GO34" s="2856">
        <v>118053</v>
      </c>
      <c r="GP34" s="2857">
        <v>116475</v>
      </c>
      <c r="GQ34" s="2858">
        <v>114807</v>
      </c>
      <c r="GR34" s="2858">
        <v>125250</v>
      </c>
      <c r="GS34" s="2866">
        <v>117689</v>
      </c>
      <c r="GT34" s="2859">
        <v>112856</v>
      </c>
      <c r="GU34" s="2860">
        <v>121816</v>
      </c>
      <c r="GV34" s="2860">
        <v>128816</v>
      </c>
      <c r="GW34" s="2861">
        <v>123890</v>
      </c>
      <c r="GX34" s="2838">
        <v>114090</v>
      </c>
      <c r="GY34" s="2838">
        <v>131410</v>
      </c>
      <c r="GZ34" s="2838">
        <v>142127</v>
      </c>
      <c r="HA34" s="2838">
        <v>145831</v>
      </c>
      <c r="HB34" s="2843">
        <v>138338</v>
      </c>
      <c r="HC34" s="2843">
        <v>150791</v>
      </c>
      <c r="HD34" s="2843">
        <v>166214</v>
      </c>
      <c r="HE34" s="2843">
        <v>173587</v>
      </c>
      <c r="HF34" s="2844">
        <v>157058</v>
      </c>
      <c r="HG34" s="2844">
        <v>160539</v>
      </c>
      <c r="HH34" s="2844">
        <v>188358</v>
      </c>
      <c r="HI34" s="2844">
        <v>200675</v>
      </c>
      <c r="HJ34" s="2845">
        <v>170938</v>
      </c>
      <c r="HK34" s="2845">
        <v>166941</v>
      </c>
      <c r="HL34" s="2845">
        <v>182449</v>
      </c>
      <c r="HM34" s="2846">
        <f>+DH34+DI34+DJ34</f>
        <v>158691</v>
      </c>
      <c r="HN34" s="2846">
        <f>+DM34+DL34+DK34</f>
        <v>148422</v>
      </c>
      <c r="HO34" s="2846">
        <f>+DP34+DO34+DN34</f>
        <v>154326</v>
      </c>
      <c r="HP34" s="2846">
        <f>+DQ34+DR34+DS34</f>
        <v>166187</v>
      </c>
      <c r="HQ34" s="2847">
        <f>+DT34+DU34+DV34</f>
        <v>151067</v>
      </c>
      <c r="HR34" s="2847">
        <f>+DW34+DX34+DY34</f>
        <v>163115</v>
      </c>
      <c r="HS34" s="2727"/>
      <c r="HT34" s="2726"/>
      <c r="HU34" s="2838"/>
      <c r="HV34" s="2843"/>
      <c r="HW34" s="2843"/>
      <c r="HX34" s="2843"/>
      <c r="HY34" s="2838"/>
      <c r="HZ34" s="2843"/>
      <c r="IA34" s="2843"/>
      <c r="IB34" s="2843"/>
      <c r="IC34" s="2843"/>
      <c r="ID34" s="2843"/>
      <c r="IE34" s="2843"/>
      <c r="IF34" s="2843"/>
      <c r="IG34" s="2843"/>
      <c r="IH34" s="2843"/>
      <c r="II34" s="2843"/>
      <c r="IJ34" s="2843"/>
      <c r="IK34" s="2862">
        <v>417853</v>
      </c>
      <c r="IL34" s="3385">
        <v>471499</v>
      </c>
      <c r="IM34" s="3385">
        <v>461865</v>
      </c>
      <c r="IN34" s="3385">
        <v>474221</v>
      </c>
      <c r="IO34" s="3385">
        <v>487378</v>
      </c>
      <c r="IP34" s="3385">
        <v>533458</v>
      </c>
      <c r="IQ34" s="3385">
        <v>628930</v>
      </c>
      <c r="IR34" s="3385">
        <v>703015</v>
      </c>
      <c r="IS34" s="3354">
        <v>723866</v>
      </c>
      <c r="IT34" s="3354">
        <f t="shared" si="7"/>
        <v>625407</v>
      </c>
      <c r="IU34" s="3355">
        <f t="shared" si="8"/>
        <v>568343</v>
      </c>
      <c r="IV34" s="3285"/>
      <c r="IW34" s="3285"/>
      <c r="IX34" s="3285"/>
      <c r="IY34" s="3286"/>
      <c r="IZ34" s="3287"/>
      <c r="JA34" s="3764"/>
      <c r="JC34" s="3285"/>
      <c r="JD34" s="3231"/>
      <c r="JE34" s="3231"/>
      <c r="JF34" s="3231"/>
      <c r="JG34" s="3231"/>
      <c r="JH34" s="2723"/>
      <c r="JI34" s="3262"/>
      <c r="JJ34" s="2723"/>
      <c r="JK34" s="2723"/>
      <c r="JL34" s="2723"/>
      <c r="JM34" s="2723"/>
      <c r="JN34" s="2723"/>
      <c r="JO34" s="2723"/>
      <c r="JP34" s="2723"/>
      <c r="JQ34" s="2723"/>
      <c r="JS34" s="3231"/>
      <c r="JT34" s="3231"/>
      <c r="JU34" s="3231"/>
      <c r="JV34" s="3231"/>
      <c r="JW34" s="3231"/>
      <c r="JX34" s="3231"/>
      <c r="JY34" s="3231"/>
      <c r="JZ34" s="3231"/>
      <c r="KA34" s="3231"/>
      <c r="KB34" s="3231"/>
      <c r="KC34" s="3231"/>
      <c r="KD34" s="3231"/>
      <c r="KE34" s="3231"/>
      <c r="KF34" s="3231"/>
      <c r="KG34" s="3231"/>
      <c r="KH34" s="3231"/>
      <c r="KI34" s="3231"/>
      <c r="KJ34" s="3231"/>
      <c r="KK34" s="3231"/>
      <c r="KL34" s="3231"/>
      <c r="KM34" s="3231"/>
      <c r="KN34" s="3231"/>
      <c r="KO34" s="3231"/>
    </row>
    <row r="35" spans="1:301" ht="18.75" hidden="1" customHeight="1">
      <c r="A35" s="2723"/>
      <c r="B35" s="3439"/>
      <c r="C35" s="3440"/>
      <c r="D35" s="3441"/>
      <c r="E35" s="3441"/>
      <c r="F35" s="3441"/>
      <c r="G35" s="3441"/>
      <c r="H35" s="3441"/>
      <c r="I35" s="3441"/>
      <c r="J35" s="3441"/>
      <c r="K35" s="3441"/>
      <c r="L35" s="3441"/>
      <c r="M35" s="3441"/>
      <c r="N35" s="3441"/>
      <c r="O35" s="3441"/>
      <c r="P35" s="3441"/>
      <c r="Q35" s="3441"/>
      <c r="R35" s="3441"/>
      <c r="S35" s="3441"/>
      <c r="T35" s="3441"/>
      <c r="U35" s="3441"/>
      <c r="V35" s="3441"/>
      <c r="W35" s="3441"/>
      <c r="X35" s="3441"/>
      <c r="Y35" s="3441"/>
      <c r="Z35" s="3441"/>
      <c r="AA35" s="3441"/>
      <c r="AB35" s="3416">
        <v>35904</v>
      </c>
      <c r="AC35" s="3416">
        <v>32995</v>
      </c>
      <c r="AD35" s="3416">
        <v>34242</v>
      </c>
      <c r="AE35" s="3416">
        <v>33161</v>
      </c>
      <c r="AF35" s="3442"/>
      <c r="AG35" s="3416">
        <v>46796</v>
      </c>
      <c r="AH35" s="3416">
        <v>50069</v>
      </c>
      <c r="AI35" s="3416">
        <v>44378</v>
      </c>
      <c r="AJ35" s="3416">
        <v>33494</v>
      </c>
      <c r="AK35" s="3416">
        <v>35959</v>
      </c>
      <c r="AL35" s="3416">
        <v>38401</v>
      </c>
      <c r="AM35" s="3416">
        <v>43693</v>
      </c>
      <c r="AN35" s="3416">
        <v>429092</v>
      </c>
      <c r="AO35" s="3441"/>
      <c r="AP35" s="3441"/>
      <c r="AQ35" s="3441"/>
      <c r="AR35" s="3441"/>
      <c r="AS35" s="3441"/>
      <c r="AT35" s="3441"/>
      <c r="AU35" s="3441"/>
      <c r="AV35" s="3441"/>
      <c r="AW35" s="3441"/>
      <c r="AX35" s="3441"/>
      <c r="AY35" s="3441"/>
      <c r="AZ35" s="3441">
        <v>0</v>
      </c>
      <c r="BA35" s="3441">
        <v>0</v>
      </c>
      <c r="BB35" s="3441">
        <v>0</v>
      </c>
      <c r="BC35" s="3441"/>
      <c r="BD35" s="3441"/>
      <c r="BE35" s="3441"/>
      <c r="BF35" s="3441"/>
      <c r="BG35" s="3441"/>
      <c r="BH35" s="3441"/>
      <c r="BI35" s="3441"/>
      <c r="BJ35" s="3441"/>
      <c r="BK35" s="3441"/>
      <c r="BL35" s="3416"/>
      <c r="BM35" s="3416"/>
      <c r="BN35" s="3416"/>
      <c r="BO35" s="3416"/>
      <c r="BP35" s="3416"/>
      <c r="BQ35" s="3416"/>
      <c r="BR35" s="3443"/>
      <c r="BS35" s="3416"/>
      <c r="BT35" s="3441"/>
      <c r="BU35" s="3441">
        <v>0</v>
      </c>
      <c r="BV35" s="3441">
        <v>0</v>
      </c>
      <c r="BW35" s="3416">
        <v>0</v>
      </c>
      <c r="BX35" s="3441">
        <v>0</v>
      </c>
      <c r="BY35" s="3441">
        <v>0</v>
      </c>
      <c r="BZ35" s="3441">
        <v>0</v>
      </c>
      <c r="CA35" s="3441">
        <v>0</v>
      </c>
      <c r="CB35" s="3441">
        <v>0</v>
      </c>
      <c r="CC35" s="3441">
        <v>0</v>
      </c>
      <c r="CD35" s="3441">
        <v>0</v>
      </c>
      <c r="CE35" s="3441">
        <v>0</v>
      </c>
      <c r="CF35" s="3441">
        <v>0</v>
      </c>
      <c r="CG35" s="3441">
        <v>0</v>
      </c>
      <c r="CH35" s="3441"/>
      <c r="CI35" s="3441"/>
      <c r="CJ35" s="3441"/>
      <c r="CK35" s="3441"/>
      <c r="CL35" s="3441">
        <v>51748</v>
      </c>
      <c r="CM35" s="3441"/>
      <c r="CN35" s="3441"/>
      <c r="CO35" s="3441"/>
      <c r="CP35" s="3441"/>
      <c r="CQ35" s="3441"/>
      <c r="CR35" s="3441"/>
      <c r="CS35" s="3441"/>
      <c r="CT35" s="3441"/>
      <c r="CU35" s="3441"/>
      <c r="CV35" s="3441">
        <v>0</v>
      </c>
      <c r="CW35" s="3441"/>
      <c r="CX35" s="3441"/>
      <c r="CY35" s="3441"/>
      <c r="CZ35" s="3441"/>
      <c r="DA35" s="3441"/>
      <c r="DB35" s="3441">
        <v>73006</v>
      </c>
      <c r="DC35" s="3441">
        <v>73006</v>
      </c>
      <c r="DD35" s="3441"/>
      <c r="DE35" s="3416"/>
      <c r="DF35" s="3416"/>
      <c r="DG35" s="3416"/>
      <c r="DH35" s="3444"/>
      <c r="DI35" s="3444"/>
      <c r="DJ35" s="3444"/>
      <c r="DK35" s="3444"/>
      <c r="DL35" s="3444"/>
      <c r="DM35" s="3444"/>
      <c r="DN35" s="3444"/>
      <c r="DO35" s="3444"/>
      <c r="DP35" s="3444"/>
      <c r="DQ35" s="3444"/>
      <c r="DR35" s="3444"/>
      <c r="DS35" s="3444"/>
      <c r="DT35" s="3444"/>
      <c r="DU35" s="3444"/>
      <c r="DV35" s="3444"/>
      <c r="DW35" s="3444"/>
      <c r="DX35" s="3444"/>
      <c r="DY35" s="3444"/>
      <c r="DZ35" s="3444"/>
      <c r="EA35" s="3444"/>
      <c r="EB35" s="3444"/>
      <c r="EC35" s="3444"/>
      <c r="ED35" s="3444"/>
      <c r="EE35" s="3444"/>
      <c r="EF35" s="3444"/>
      <c r="EG35" s="3444"/>
      <c r="EH35" s="3444"/>
      <c r="EI35" s="3444"/>
      <c r="EJ35" s="3444"/>
      <c r="EK35" s="3444"/>
      <c r="EL35" s="3444"/>
      <c r="EM35" s="3444"/>
      <c r="EN35" s="3444"/>
      <c r="EO35" s="3444"/>
      <c r="EP35" s="3444"/>
      <c r="EQ35" s="3444"/>
      <c r="ER35" s="3444"/>
      <c r="ES35" s="3444"/>
      <c r="ET35" s="3444"/>
      <c r="EU35" s="3444"/>
      <c r="EV35" s="3444"/>
      <c r="EW35" s="3444"/>
      <c r="EX35" s="3444"/>
      <c r="EY35" s="3444"/>
      <c r="EZ35" s="3444"/>
      <c r="FA35" s="3444"/>
      <c r="FB35" s="3444"/>
      <c r="FC35" s="3444"/>
      <c r="FD35" s="2759"/>
      <c r="FE35" s="2759"/>
      <c r="FF35" s="2759"/>
      <c r="FG35" s="2759"/>
      <c r="FH35" s="2759"/>
      <c r="FI35" s="2759"/>
      <c r="FJ35" s="2759"/>
      <c r="FK35" s="2759"/>
      <c r="FL35" s="2759"/>
      <c r="FM35" s="2759"/>
      <c r="FN35" s="2759"/>
      <c r="FO35" s="2759"/>
      <c r="FP35" s="2760"/>
      <c r="FQ35" s="2759"/>
      <c r="FR35" s="2759"/>
      <c r="FS35" s="2759"/>
      <c r="FT35" s="2759"/>
      <c r="FU35" s="2759"/>
      <c r="FV35" s="2759"/>
      <c r="FW35" s="2759"/>
      <c r="FX35" s="2759"/>
      <c r="FY35" s="2759"/>
      <c r="FZ35" s="2759"/>
      <c r="GA35" s="2759"/>
      <c r="GB35" s="2752"/>
      <c r="GC35" s="2726"/>
      <c r="GD35" s="2733"/>
      <c r="GE35" s="2733"/>
      <c r="GF35" s="2733"/>
      <c r="GG35" s="2733"/>
      <c r="GH35" s="2733"/>
      <c r="GI35" s="2733"/>
      <c r="GJ35" s="2733"/>
      <c r="GK35" s="2733"/>
      <c r="GL35" s="2733"/>
      <c r="GM35" s="2730"/>
      <c r="GN35" s="2733"/>
      <c r="GO35" s="2733"/>
      <c r="GP35" s="2733"/>
      <c r="GQ35" s="2733"/>
      <c r="GR35" s="2733"/>
      <c r="GS35" s="2733"/>
      <c r="GT35" s="2730"/>
      <c r="GU35" s="2730"/>
      <c r="GV35" s="2730"/>
      <c r="GW35" s="2730"/>
      <c r="GX35" s="2733"/>
      <c r="GY35" s="2733"/>
      <c r="GZ35" s="2733"/>
      <c r="HA35" s="2733"/>
      <c r="HB35" s="2733"/>
      <c r="HC35" s="2733"/>
      <c r="HD35" s="2733"/>
      <c r="HE35" s="2733"/>
      <c r="HF35" s="2733"/>
      <c r="HG35" s="2733"/>
      <c r="HH35" s="2733"/>
      <c r="HI35" s="2733"/>
      <c r="HJ35" s="2733"/>
      <c r="HK35" s="2733"/>
      <c r="HL35" s="2733"/>
      <c r="HM35" s="2762"/>
      <c r="HN35" s="2762"/>
      <c r="HO35" s="2762"/>
      <c r="HP35" s="2762"/>
      <c r="HQ35" s="2762"/>
      <c r="HR35" s="2762"/>
      <c r="HS35" s="2762"/>
      <c r="HT35" s="2733"/>
      <c r="HU35" s="2733"/>
      <c r="HV35" s="2733"/>
      <c r="HW35" s="2733"/>
      <c r="HX35" s="2733"/>
      <c r="HY35" s="2733"/>
      <c r="HZ35" s="2733"/>
      <c r="IA35" s="2733"/>
      <c r="IB35" s="2733"/>
      <c r="IC35" s="2733"/>
      <c r="ID35" s="2733"/>
      <c r="IE35" s="2733"/>
      <c r="IF35" s="2733"/>
      <c r="IG35" s="2733"/>
      <c r="IH35" s="2733"/>
      <c r="II35" s="2733"/>
      <c r="IJ35" s="2733"/>
      <c r="IK35" s="2761"/>
      <c r="IL35" s="3398"/>
      <c r="IM35" s="3398"/>
      <c r="IN35" s="3398"/>
      <c r="IO35" s="3398"/>
      <c r="IP35" s="3398"/>
      <c r="IQ35" s="3398"/>
      <c r="IR35" s="3398"/>
      <c r="IS35" s="3398"/>
      <c r="IT35" s="3398"/>
      <c r="IU35" s="3399"/>
      <c r="IV35" s="3445"/>
      <c r="IW35" s="3445"/>
      <c r="IX35" s="3445"/>
      <c r="IY35" s="3446"/>
      <c r="IZ35" s="3447"/>
      <c r="JA35" s="3764"/>
      <c r="JC35" s="3445"/>
      <c r="JD35" s="2723"/>
      <c r="JE35" s="2723"/>
      <c r="JF35" s="2723"/>
      <c r="JG35" s="2723"/>
      <c r="JH35" s="2723"/>
      <c r="JI35" s="3262"/>
      <c r="JJ35" s="2723"/>
      <c r="JK35" s="2723"/>
      <c r="JL35" s="2723"/>
      <c r="JM35" s="2723"/>
      <c r="JN35" s="2723"/>
      <c r="JO35" s="2723"/>
      <c r="JP35" s="2723"/>
      <c r="JQ35" s="2723"/>
      <c r="JS35" s="2723"/>
      <c r="JT35" s="2723"/>
      <c r="JU35" s="2723"/>
      <c r="JV35" s="2723"/>
      <c r="JW35" s="2723"/>
      <c r="JX35" s="2723"/>
      <c r="JY35" s="2723"/>
      <c r="JZ35" s="2723"/>
      <c r="KA35" s="2723"/>
      <c r="KB35" s="2723"/>
      <c r="KC35" s="2723"/>
      <c r="KD35" s="2723"/>
      <c r="KE35" s="2723"/>
      <c r="KF35" s="2723"/>
      <c r="KG35" s="2723"/>
      <c r="KH35" s="2723"/>
      <c r="KI35" s="2723"/>
      <c r="KJ35" s="2723"/>
      <c r="KK35" s="2723"/>
      <c r="KL35" s="2723"/>
      <c r="KM35" s="2723"/>
      <c r="KN35" s="2723"/>
      <c r="KO35" s="2723"/>
    </row>
    <row r="36" spans="1:301" ht="19.5" hidden="1" customHeight="1" thickBot="1">
      <c r="A36" s="2723"/>
      <c r="B36" s="2723"/>
      <c r="C36" s="3386"/>
      <c r="D36" s="2725"/>
      <c r="E36" s="2725"/>
      <c r="F36" s="2725"/>
      <c r="G36" s="2725"/>
      <c r="H36" s="2725"/>
      <c r="I36" s="2725"/>
      <c r="J36" s="2725"/>
      <c r="K36" s="2725"/>
      <c r="L36" s="2725"/>
      <c r="M36" s="2725"/>
      <c r="N36" s="2725"/>
      <c r="O36" s="3448"/>
      <c r="P36" s="3449"/>
      <c r="Q36" s="3415"/>
      <c r="R36" s="3415"/>
      <c r="S36" s="3415"/>
      <c r="T36" s="3415"/>
      <c r="U36" s="3415"/>
      <c r="V36" s="3415"/>
      <c r="W36" s="3415"/>
      <c r="X36" s="3415"/>
      <c r="Y36" s="3450"/>
      <c r="Z36" s="3450"/>
      <c r="AA36" s="3450"/>
      <c r="AB36" s="3415">
        <v>0</v>
      </c>
      <c r="AC36" s="3415">
        <v>0</v>
      </c>
      <c r="AD36" s="3415">
        <v>0</v>
      </c>
      <c r="AE36" s="3415">
        <v>0</v>
      </c>
      <c r="AF36" s="3415">
        <v>32773</v>
      </c>
      <c r="AG36" s="3415">
        <v>0</v>
      </c>
      <c r="AH36" s="3415">
        <v>0</v>
      </c>
      <c r="AI36" s="3415">
        <v>0</v>
      </c>
      <c r="AJ36" s="3415">
        <v>0</v>
      </c>
      <c r="AK36" s="3415">
        <v>0</v>
      </c>
      <c r="AL36" s="3415">
        <v>0</v>
      </c>
      <c r="AM36" s="3415">
        <v>0</v>
      </c>
      <c r="AN36" s="3415">
        <v>-390489</v>
      </c>
      <c r="AO36" s="3450"/>
      <c r="AP36" s="3450"/>
      <c r="AQ36" s="3450"/>
      <c r="AR36" s="3450"/>
      <c r="AS36" s="3450"/>
      <c r="AT36" s="3415"/>
      <c r="AU36" s="3415"/>
      <c r="AV36" s="3415"/>
      <c r="AW36" s="3415"/>
      <c r="AX36" s="3450"/>
      <c r="AY36" s="3450"/>
      <c r="AZ36" s="2725"/>
      <c r="BA36" s="2725"/>
      <c r="BB36" s="2725"/>
      <c r="BC36" s="2725"/>
      <c r="BD36" s="2725"/>
      <c r="BE36" s="2725"/>
      <c r="BF36" s="2725"/>
      <c r="BG36" s="2725"/>
      <c r="BH36" s="2725"/>
      <c r="BI36" s="2725"/>
      <c r="BJ36" s="2725"/>
      <c r="BK36" s="2725"/>
      <c r="BL36" s="2730"/>
      <c r="BM36" s="2730"/>
      <c r="BN36" s="2730"/>
      <c r="BO36" s="2730"/>
      <c r="BP36" s="2730"/>
      <c r="BQ36" s="2730"/>
      <c r="BR36" s="2730"/>
      <c r="BS36" s="2730"/>
      <c r="BT36" s="2730"/>
      <c r="BU36" s="2730"/>
      <c r="BV36" s="2730"/>
      <c r="BW36" s="2730"/>
      <c r="BX36" s="2730"/>
      <c r="BY36" s="2730"/>
      <c r="BZ36" s="2730"/>
      <c r="CA36" s="2730"/>
      <c r="CB36" s="2730"/>
      <c r="CC36" s="2730"/>
      <c r="CD36" s="2730"/>
      <c r="CE36" s="2730"/>
      <c r="CF36" s="2730"/>
      <c r="CG36" s="2730"/>
      <c r="CH36" s="2730"/>
      <c r="CI36" s="2730"/>
      <c r="CJ36" s="2730"/>
      <c r="CK36" s="2730"/>
      <c r="CL36" s="2730"/>
      <c r="CM36" s="2730"/>
      <c r="CN36" s="2730"/>
      <c r="CO36" s="2730"/>
      <c r="CP36" s="2730"/>
      <c r="CQ36" s="2730"/>
      <c r="CR36" s="2730"/>
      <c r="CS36" s="2730"/>
      <c r="CT36" s="2730"/>
      <c r="CU36" s="2730"/>
      <c r="CV36" s="2730"/>
      <c r="CW36" s="2730"/>
      <c r="CX36" s="2730"/>
      <c r="CY36" s="2730"/>
      <c r="CZ36" s="2730"/>
      <c r="DA36" s="2730"/>
      <c r="DB36" s="2730"/>
      <c r="DC36" s="2730"/>
      <c r="DD36" s="2730"/>
      <c r="DE36" s="2730"/>
      <c r="DF36" s="2730"/>
      <c r="DG36" s="2730"/>
      <c r="DH36" s="2688"/>
      <c r="DI36" s="2688"/>
      <c r="DJ36" s="2688"/>
      <c r="DK36" s="2688"/>
      <c r="DL36" s="2688"/>
      <c r="DM36" s="2688"/>
      <c r="DN36" s="2688"/>
      <c r="DO36" s="2688"/>
      <c r="DP36" s="2688"/>
      <c r="DQ36" s="2688"/>
      <c r="DR36" s="2688"/>
      <c r="DS36" s="2688"/>
      <c r="DT36" s="2688"/>
      <c r="DU36" s="2688"/>
      <c r="DV36" s="2688"/>
      <c r="DW36" s="2688"/>
      <c r="DX36" s="2688"/>
      <c r="DY36" s="2688"/>
      <c r="DZ36" s="2688"/>
      <c r="EA36" s="2688"/>
      <c r="EB36" s="2688"/>
      <c r="EC36" s="2688"/>
      <c r="ED36" s="2688"/>
      <c r="EE36" s="2688"/>
      <c r="EF36" s="2688"/>
      <c r="EG36" s="2688"/>
      <c r="EH36" s="2688"/>
      <c r="EI36" s="2688"/>
      <c r="EJ36" s="2688"/>
      <c r="EK36" s="2688"/>
      <c r="EL36" s="2688"/>
      <c r="EM36" s="2688"/>
      <c r="EN36" s="2688"/>
      <c r="EO36" s="2688"/>
      <c r="EP36" s="2688"/>
      <c r="EQ36" s="2688"/>
      <c r="ER36" s="2688"/>
      <c r="ES36" s="2688"/>
      <c r="ET36" s="2688"/>
      <c r="EU36" s="2688"/>
      <c r="EV36" s="2688"/>
      <c r="EW36" s="2688"/>
      <c r="EX36" s="2688"/>
      <c r="EY36" s="2688"/>
      <c r="EZ36" s="2688"/>
      <c r="FA36" s="2688"/>
      <c r="FB36" s="2688"/>
      <c r="FC36" s="2688"/>
      <c r="FD36" s="2759"/>
      <c r="FE36" s="2759"/>
      <c r="FF36" s="2759"/>
      <c r="FG36" s="2759"/>
      <c r="FH36" s="2759"/>
      <c r="FI36" s="2759"/>
      <c r="FJ36" s="2759"/>
      <c r="FK36" s="2759"/>
      <c r="FL36" s="2759"/>
      <c r="FM36" s="2759"/>
      <c r="FN36" s="2759"/>
      <c r="FO36" s="2759"/>
      <c r="FP36" s="2760"/>
      <c r="FQ36" s="2759"/>
      <c r="FR36" s="2759"/>
      <c r="FS36" s="2759"/>
      <c r="FT36" s="2759"/>
      <c r="FU36" s="2759"/>
      <c r="FV36" s="2759"/>
      <c r="FW36" s="2759"/>
      <c r="FX36" s="2759"/>
      <c r="FY36" s="2759"/>
      <c r="FZ36" s="2759"/>
      <c r="GA36" s="2759"/>
      <c r="GB36" s="2752"/>
      <c r="GC36" s="2726"/>
      <c r="GD36" s="2724"/>
      <c r="GE36" s="2724"/>
      <c r="GF36" s="2724"/>
      <c r="GG36" s="2724"/>
      <c r="GH36" s="2724"/>
      <c r="GI36" s="2724"/>
      <c r="GJ36" s="2724"/>
      <c r="GK36" s="2730"/>
      <c r="GL36" s="2725"/>
      <c r="GM36" s="2725"/>
      <c r="GN36" s="2725"/>
      <c r="GO36" s="2724"/>
      <c r="GP36" s="2724"/>
      <c r="GQ36" s="2724"/>
      <c r="GR36" s="2724"/>
      <c r="GS36" s="2724"/>
      <c r="GT36" s="2725"/>
      <c r="GU36" s="2725"/>
      <c r="GV36" s="2725"/>
      <c r="GW36" s="2725"/>
      <c r="GX36" s="2726"/>
      <c r="GY36" s="2726"/>
      <c r="GZ36" s="2726"/>
      <c r="HA36" s="2726"/>
      <c r="HB36" s="2726"/>
      <c r="HC36" s="2726"/>
      <c r="HD36" s="2726"/>
      <c r="HE36" s="2726"/>
      <c r="HF36" s="2726"/>
      <c r="HG36" s="2726"/>
      <c r="HH36" s="2726"/>
      <c r="HI36" s="2726"/>
      <c r="HJ36" s="2726"/>
      <c r="HK36" s="2726"/>
      <c r="HL36" s="2726"/>
      <c r="HM36" s="2727"/>
      <c r="HN36" s="2727"/>
      <c r="HO36" s="2727"/>
      <c r="HP36" s="2727"/>
      <c r="HQ36" s="2727"/>
      <c r="HR36" s="2727"/>
      <c r="HS36" s="2727"/>
      <c r="HT36" s="2726"/>
      <c r="HU36" s="2726"/>
      <c r="HV36" s="2726"/>
      <c r="HW36" s="2726"/>
      <c r="HX36" s="2726"/>
      <c r="HY36" s="2726"/>
      <c r="HZ36" s="2726"/>
      <c r="IA36" s="2726"/>
      <c r="IB36" s="2726"/>
      <c r="IC36" s="2726"/>
      <c r="ID36" s="2726"/>
      <c r="IE36" s="2726"/>
      <c r="IF36" s="2726"/>
      <c r="IG36" s="2726"/>
      <c r="IH36" s="2726"/>
      <c r="II36" s="2726"/>
      <c r="IJ36" s="2726"/>
      <c r="IK36" s="2763"/>
      <c r="IL36" s="3451"/>
      <c r="IM36" s="3451"/>
      <c r="IN36" s="3451"/>
      <c r="IO36" s="3451"/>
      <c r="IP36" s="3451"/>
      <c r="IQ36" s="3224"/>
      <c r="IR36" s="3224"/>
      <c r="IS36" s="3224"/>
      <c r="IT36" s="3224"/>
      <c r="IU36" s="3225"/>
      <c r="IV36" s="3285"/>
      <c r="IW36" s="3285"/>
      <c r="IX36" s="3285"/>
      <c r="IY36" s="3286"/>
      <c r="IZ36" s="3287"/>
      <c r="JA36" s="3764"/>
      <c r="JC36" s="3285"/>
      <c r="JD36" s="2723"/>
      <c r="JE36" s="2723"/>
      <c r="JF36" s="2723"/>
      <c r="JG36" s="2723"/>
      <c r="JH36" s="2723"/>
      <c r="JI36" s="3262"/>
      <c r="JJ36" s="2723"/>
      <c r="JK36" s="2723"/>
      <c r="JL36" s="2723"/>
      <c r="JM36" s="2723"/>
      <c r="JN36" s="2723"/>
      <c r="JO36" s="2723"/>
      <c r="JP36" s="2723"/>
      <c r="JQ36" s="2723"/>
      <c r="JS36" s="2723"/>
      <c r="JT36" s="2723"/>
      <c r="JU36" s="2723"/>
      <c r="JV36" s="2723"/>
      <c r="JW36" s="2723"/>
      <c r="JX36" s="2723"/>
      <c r="JY36" s="2723"/>
      <c r="JZ36" s="2723"/>
      <c r="KA36" s="2723"/>
      <c r="KB36" s="2723"/>
      <c r="KC36" s="2723"/>
      <c r="KD36" s="2723"/>
      <c r="KE36" s="2723"/>
      <c r="KF36" s="2723"/>
      <c r="KG36" s="2723"/>
      <c r="KH36" s="2723"/>
      <c r="KI36" s="2723"/>
      <c r="KJ36" s="2723"/>
      <c r="KK36" s="2723"/>
      <c r="KL36" s="2723"/>
      <c r="KM36" s="2723"/>
      <c r="KN36" s="2723"/>
      <c r="KO36" s="2723"/>
    </row>
    <row r="37" spans="1:301" ht="18" hidden="1" customHeight="1">
      <c r="A37" s="2723"/>
      <c r="B37" s="2723"/>
      <c r="C37" s="3271" t="s">
        <v>451</v>
      </c>
      <c r="D37" s="5423">
        <v>2007</v>
      </c>
      <c r="E37" s="5423"/>
      <c r="F37" s="5423"/>
      <c r="G37" s="5423"/>
      <c r="H37" s="5423"/>
      <c r="I37" s="5423"/>
      <c r="J37" s="5423"/>
      <c r="K37" s="5423"/>
      <c r="L37" s="5423"/>
      <c r="M37" s="5423"/>
      <c r="N37" s="5423"/>
      <c r="O37" s="5424"/>
      <c r="P37" s="5425">
        <v>2008</v>
      </c>
      <c r="Q37" s="5426"/>
      <c r="R37" s="5426"/>
      <c r="S37" s="5426"/>
      <c r="T37" s="5426"/>
      <c r="U37" s="5426"/>
      <c r="V37" s="5426"/>
      <c r="W37" s="5426"/>
      <c r="X37" s="5426"/>
      <c r="Y37" s="5426"/>
      <c r="Z37" s="5426"/>
      <c r="AA37" s="5426"/>
      <c r="AB37" s="5451">
        <v>2009</v>
      </c>
      <c r="AC37" s="5452"/>
      <c r="AD37" s="5452"/>
      <c r="AE37" s="5452"/>
      <c r="AF37" s="5452"/>
      <c r="AG37" s="5452"/>
      <c r="AH37" s="5452"/>
      <c r="AI37" s="5452"/>
      <c r="AJ37" s="5452"/>
      <c r="AK37" s="5452"/>
      <c r="AL37" s="5452"/>
      <c r="AM37" s="5453"/>
      <c r="AN37" s="5430">
        <v>2010</v>
      </c>
      <c r="AO37" s="5431"/>
      <c r="AP37" s="5431"/>
      <c r="AQ37" s="5431"/>
      <c r="AR37" s="5431"/>
      <c r="AS37" s="5431"/>
      <c r="AT37" s="5431"/>
      <c r="AU37" s="5431"/>
      <c r="AV37" s="5431"/>
      <c r="AW37" s="5431"/>
      <c r="AX37" s="5431"/>
      <c r="AY37" s="5431"/>
      <c r="AZ37" s="5432">
        <v>2011</v>
      </c>
      <c r="BA37" s="5433"/>
      <c r="BB37" s="5433"/>
      <c r="BC37" s="5433"/>
      <c r="BD37" s="5433"/>
      <c r="BE37" s="5433"/>
      <c r="BF37" s="5433"/>
      <c r="BG37" s="5433"/>
      <c r="BH37" s="5433"/>
      <c r="BI37" s="5433"/>
      <c r="BJ37" s="5433"/>
      <c r="BK37" s="5434"/>
      <c r="BL37" s="5435">
        <v>2012</v>
      </c>
      <c r="BM37" s="5436"/>
      <c r="BN37" s="5436"/>
      <c r="BO37" s="3837"/>
      <c r="BP37" s="3837"/>
      <c r="BQ37" s="3837"/>
      <c r="BR37" s="3837"/>
      <c r="BS37" s="3837"/>
      <c r="BT37" s="3272"/>
      <c r="BU37" s="3272"/>
      <c r="BV37" s="3272"/>
      <c r="BW37" s="3400"/>
      <c r="BX37" s="3401">
        <v>2013</v>
      </c>
      <c r="BY37" s="3402"/>
      <c r="BZ37" s="3402"/>
      <c r="CA37" s="3402"/>
      <c r="CB37" s="3402"/>
      <c r="CC37" s="3402"/>
      <c r="CD37" s="3402"/>
      <c r="CE37" s="3402"/>
      <c r="CF37" s="3402"/>
      <c r="CG37" s="3402"/>
      <c r="CH37" s="3402"/>
      <c r="CI37" s="3402"/>
      <c r="CJ37" s="3276">
        <v>2014</v>
      </c>
      <c r="CK37" s="3277"/>
      <c r="CL37" s="3277"/>
      <c r="CM37" s="3277"/>
      <c r="CN37" s="3277"/>
      <c r="CO37" s="3277"/>
      <c r="CP37" s="3277"/>
      <c r="CQ37" s="3277"/>
      <c r="CR37" s="3277"/>
      <c r="CS37" s="3277"/>
      <c r="CT37" s="3277"/>
      <c r="CU37" s="3278"/>
      <c r="CV37" s="3279">
        <v>2015</v>
      </c>
      <c r="CW37" s="3280"/>
      <c r="CX37" s="3280"/>
      <c r="CY37" s="3280"/>
      <c r="CZ37" s="3280"/>
      <c r="DA37" s="3280"/>
      <c r="DB37" s="3280"/>
      <c r="DC37" s="3280"/>
      <c r="DD37" s="3280"/>
      <c r="DE37" s="3403"/>
      <c r="DF37" s="3281"/>
      <c r="DG37" s="3281"/>
      <c r="DH37" s="5454">
        <v>2016</v>
      </c>
      <c r="DI37" s="5455"/>
      <c r="DJ37" s="5455"/>
      <c r="DK37" s="5455"/>
      <c r="DL37" s="5455"/>
      <c r="DM37" s="5455"/>
      <c r="DN37" s="5455"/>
      <c r="DO37" s="5455"/>
      <c r="DP37" s="5455"/>
      <c r="DQ37" s="5455"/>
      <c r="DR37" s="5455"/>
      <c r="DS37" s="5456"/>
      <c r="DT37" s="3404">
        <v>2017</v>
      </c>
      <c r="DU37" s="3404"/>
      <c r="DV37" s="3404"/>
      <c r="DW37" s="3404"/>
      <c r="DX37" s="3404"/>
      <c r="DY37" s="3404"/>
      <c r="DZ37" s="3405"/>
      <c r="EA37" s="3405"/>
      <c r="EB37" s="3405"/>
      <c r="EC37" s="3405"/>
      <c r="ED37" s="3405"/>
      <c r="EE37" s="3405"/>
      <c r="EF37" s="3404">
        <v>2017</v>
      </c>
      <c r="EG37" s="3404"/>
      <c r="EH37" s="3404"/>
      <c r="EI37" s="3404"/>
      <c r="EJ37" s="3404"/>
      <c r="EK37" s="3404"/>
      <c r="EL37" s="3405"/>
      <c r="EM37" s="3405"/>
      <c r="EN37" s="3405"/>
      <c r="EO37" s="3405"/>
      <c r="EP37" s="3405"/>
      <c r="EQ37" s="3405"/>
      <c r="ER37" s="3404">
        <v>2017</v>
      </c>
      <c r="ES37" s="3404"/>
      <c r="ET37" s="3404"/>
      <c r="EU37" s="3404"/>
      <c r="EV37" s="3404"/>
      <c r="EW37" s="3404"/>
      <c r="EX37" s="3405"/>
      <c r="EY37" s="3405"/>
      <c r="EZ37" s="3405"/>
      <c r="FA37" s="3405"/>
      <c r="FB37" s="3405"/>
      <c r="FC37" s="3405"/>
      <c r="FD37" s="2748"/>
      <c r="FE37" s="2748"/>
      <c r="FF37" s="2748"/>
      <c r="FG37" s="2748"/>
      <c r="FH37" s="2748"/>
      <c r="FI37" s="2748"/>
      <c r="FJ37" s="2748"/>
      <c r="FK37" s="2748"/>
      <c r="FL37" s="2748"/>
      <c r="FM37" s="2748"/>
      <c r="FN37" s="2748"/>
      <c r="FO37" s="2748"/>
      <c r="FP37" s="2747"/>
      <c r="FQ37" s="2748"/>
      <c r="FR37" s="2748"/>
      <c r="FS37" s="2748"/>
      <c r="FT37" s="2748"/>
      <c r="FU37" s="2748"/>
      <c r="FV37" s="2748"/>
      <c r="FW37" s="2748"/>
      <c r="FX37" s="2748"/>
      <c r="FY37" s="2748"/>
      <c r="FZ37" s="2748"/>
      <c r="GA37" s="2748"/>
      <c r="GB37" s="2749"/>
      <c r="GC37" s="2726"/>
      <c r="GD37" s="5440">
        <v>2007</v>
      </c>
      <c r="GE37" s="5441"/>
      <c r="GF37" s="5441"/>
      <c r="GG37" s="5441"/>
      <c r="GH37" s="5442">
        <v>2008</v>
      </c>
      <c r="GI37" s="5443"/>
      <c r="GJ37" s="5443"/>
      <c r="GK37" s="5444"/>
      <c r="GL37" s="5457">
        <v>2009</v>
      </c>
      <c r="GM37" s="5458"/>
      <c r="GN37" s="5458"/>
      <c r="GO37" s="5458"/>
      <c r="GP37" s="5459">
        <v>2010</v>
      </c>
      <c r="GQ37" s="5460"/>
      <c r="GR37" s="5460"/>
      <c r="GS37" s="5461"/>
      <c r="GT37" s="5462">
        <v>2011</v>
      </c>
      <c r="GU37" s="5463"/>
      <c r="GV37" s="5463"/>
      <c r="GW37" s="5464"/>
      <c r="GX37" s="5466">
        <v>2012</v>
      </c>
      <c r="GY37" s="5466"/>
      <c r="GZ37" s="5466"/>
      <c r="HA37" s="5466"/>
      <c r="HB37" s="2800">
        <v>2013</v>
      </c>
      <c r="HC37" s="2800"/>
      <c r="HD37" s="2800"/>
      <c r="HE37" s="2800"/>
      <c r="HF37" s="2801">
        <v>2014</v>
      </c>
      <c r="HG37" s="2801"/>
      <c r="HH37" s="2801"/>
      <c r="HI37" s="2801"/>
      <c r="HJ37" s="2802">
        <v>2015</v>
      </c>
      <c r="HK37" s="2802"/>
      <c r="HL37" s="2802"/>
      <c r="HM37" s="2803">
        <v>2016</v>
      </c>
      <c r="HN37" s="2803"/>
      <c r="HO37" s="2803"/>
      <c r="HP37" s="2803"/>
      <c r="HQ37" s="2804">
        <v>2017</v>
      </c>
      <c r="HR37" s="2804"/>
      <c r="HS37" s="2727"/>
      <c r="HT37" s="2726"/>
      <c r="HU37" s="2726"/>
      <c r="HV37" s="2800"/>
      <c r="HW37" s="2800"/>
      <c r="HX37" s="2800"/>
      <c r="HY37" s="2726"/>
      <c r="HZ37" s="2800"/>
      <c r="IA37" s="2800"/>
      <c r="IB37" s="2800"/>
      <c r="IC37" s="2800"/>
      <c r="ID37" s="2800"/>
      <c r="IE37" s="2800"/>
      <c r="IF37" s="2800"/>
      <c r="IG37" s="2800"/>
      <c r="IH37" s="2800"/>
      <c r="II37" s="2800"/>
      <c r="IJ37" s="2800"/>
      <c r="IK37" s="2805">
        <v>2007</v>
      </c>
      <c r="IL37" s="3284">
        <v>2008</v>
      </c>
      <c r="IM37" s="3284">
        <v>2009</v>
      </c>
      <c r="IN37" s="3284">
        <v>2010</v>
      </c>
      <c r="IO37" s="3284">
        <v>2011</v>
      </c>
      <c r="IP37" s="3284">
        <v>2012</v>
      </c>
      <c r="IQ37" s="3284">
        <v>2013</v>
      </c>
      <c r="IR37" s="3284">
        <v>2014</v>
      </c>
      <c r="IS37" s="5467" t="s">
        <v>452</v>
      </c>
      <c r="IT37" s="5467">
        <v>2016</v>
      </c>
      <c r="IU37" s="5447" t="str">
        <f>+IU15</f>
        <v>jul 2016 - jun 2017</v>
      </c>
      <c r="IV37" s="3285"/>
      <c r="IW37" s="3285"/>
      <c r="IX37" s="3285"/>
      <c r="IY37" s="3286"/>
      <c r="IZ37" s="3287"/>
      <c r="JA37" s="3764"/>
      <c r="JC37" s="3285"/>
      <c r="JD37" s="2723"/>
      <c r="JE37" s="2723"/>
      <c r="JF37" s="2723"/>
      <c r="JG37" s="2723"/>
      <c r="JH37" s="2723"/>
      <c r="JI37" s="3262"/>
      <c r="JJ37" s="2723"/>
      <c r="JK37" s="2723"/>
      <c r="JL37" s="2723"/>
      <c r="JM37" s="2723"/>
      <c r="JN37" s="2723"/>
      <c r="JO37" s="2723"/>
      <c r="JP37" s="2723"/>
      <c r="JQ37" s="2723"/>
      <c r="JS37" s="2723"/>
      <c r="JT37" s="2723"/>
      <c r="JU37" s="2723"/>
      <c r="JV37" s="2723"/>
      <c r="JW37" s="2723"/>
      <c r="JX37" s="2723"/>
      <c r="JY37" s="2723"/>
      <c r="JZ37" s="2723"/>
      <c r="KA37" s="2723"/>
      <c r="KB37" s="2723"/>
      <c r="KC37" s="2723"/>
      <c r="KD37" s="2723"/>
      <c r="KE37" s="2723"/>
      <c r="KF37" s="2723"/>
      <c r="KG37" s="2723"/>
      <c r="KH37" s="2723"/>
      <c r="KI37" s="2723"/>
      <c r="KJ37" s="2723"/>
      <c r="KK37" s="2723"/>
      <c r="KL37" s="2723"/>
      <c r="KM37" s="2723"/>
      <c r="KN37" s="2723"/>
      <c r="KO37" s="2723"/>
    </row>
    <row r="38" spans="1:301" ht="4.5" hidden="1" customHeight="1">
      <c r="A38" s="2723"/>
      <c r="B38" s="2723"/>
      <c r="C38" s="3263"/>
      <c r="D38" s="3264"/>
      <c r="E38" s="3264"/>
      <c r="F38" s="3264"/>
      <c r="G38" s="3264"/>
      <c r="H38" s="3264"/>
      <c r="I38" s="3264"/>
      <c r="J38" s="3264"/>
      <c r="K38" s="3264"/>
      <c r="L38" s="3264"/>
      <c r="M38" s="3264"/>
      <c r="N38" s="3264"/>
      <c r="O38" s="3264"/>
      <c r="P38" s="3264"/>
      <c r="Q38" s="3264"/>
      <c r="R38" s="3264"/>
      <c r="S38" s="3264"/>
      <c r="T38" s="3264"/>
      <c r="U38" s="3264"/>
      <c r="V38" s="3264"/>
      <c r="W38" s="3264"/>
      <c r="X38" s="3264"/>
      <c r="Y38" s="3264"/>
      <c r="Z38" s="3264"/>
      <c r="AA38" s="3264"/>
      <c r="AB38" s="3264"/>
      <c r="AC38" s="3264"/>
      <c r="AD38" s="3264"/>
      <c r="AE38" s="3264"/>
      <c r="AF38" s="3264"/>
      <c r="AG38" s="3264"/>
      <c r="AH38" s="3264"/>
      <c r="AI38" s="3264"/>
      <c r="AJ38" s="3264"/>
      <c r="AK38" s="3264"/>
      <c r="AL38" s="3264"/>
      <c r="AM38" s="3264"/>
      <c r="AN38" s="3264"/>
      <c r="AO38" s="3264"/>
      <c r="AP38" s="3264"/>
      <c r="AQ38" s="3264"/>
      <c r="AR38" s="3264"/>
      <c r="AS38" s="3264"/>
      <c r="AT38" s="3264"/>
      <c r="AU38" s="3264"/>
      <c r="AV38" s="3264"/>
      <c r="AW38" s="3264"/>
      <c r="AX38" s="3264"/>
      <c r="AY38" s="3264"/>
      <c r="AZ38" s="3452"/>
      <c r="BA38" s="3453"/>
      <c r="BB38" s="3453"/>
      <c r="BC38" s="3453"/>
      <c r="BD38" s="3453"/>
      <c r="BE38" s="3453"/>
      <c r="BF38" s="3453"/>
      <c r="BG38" s="3453"/>
      <c r="BH38" s="3453"/>
      <c r="BI38" s="3453"/>
      <c r="BJ38" s="3453"/>
      <c r="BK38" s="3454"/>
      <c r="BL38" s="3290"/>
      <c r="BM38" s="3281"/>
      <c r="BN38" s="3281"/>
      <c r="BO38" s="3281"/>
      <c r="BP38" s="3281"/>
      <c r="BQ38" s="3281"/>
      <c r="BR38" s="3281"/>
      <c r="BS38" s="3281"/>
      <c r="BT38" s="3281"/>
      <c r="BU38" s="3281"/>
      <c r="BV38" s="3281"/>
      <c r="BW38" s="3291"/>
      <c r="BX38" s="3290"/>
      <c r="BY38" s="3281"/>
      <c r="BZ38" s="3281"/>
      <c r="CA38" s="3281"/>
      <c r="CB38" s="3281"/>
      <c r="CC38" s="3281"/>
      <c r="CD38" s="3281"/>
      <c r="CE38" s="3281"/>
      <c r="CF38" s="3281"/>
      <c r="CG38" s="3281"/>
      <c r="CH38" s="3281"/>
      <c r="CI38" s="3281"/>
      <c r="CJ38" s="3295"/>
      <c r="CK38" s="3296"/>
      <c r="CL38" s="3296"/>
      <c r="CM38" s="3296"/>
      <c r="CN38" s="3296"/>
      <c r="CO38" s="3296"/>
      <c r="CP38" s="3296"/>
      <c r="CQ38" s="3296"/>
      <c r="CR38" s="3296"/>
      <c r="CS38" s="3296"/>
      <c r="CT38" s="3296"/>
      <c r="CU38" s="3297"/>
      <c r="CV38" s="3298"/>
      <c r="CW38" s="3299"/>
      <c r="CX38" s="3299"/>
      <c r="CY38" s="3299"/>
      <c r="CZ38" s="3299"/>
      <c r="DA38" s="3299"/>
      <c r="DB38" s="3299"/>
      <c r="DC38" s="3299"/>
      <c r="DD38" s="3299"/>
      <c r="DE38" s="3406"/>
      <c r="DF38" s="3299"/>
      <c r="DG38" s="3299"/>
      <c r="DH38" s="3300"/>
      <c r="DI38" s="3300"/>
      <c r="DJ38" s="3300"/>
      <c r="DK38" s="3300"/>
      <c r="DL38" s="3300"/>
      <c r="DM38" s="3300"/>
      <c r="DN38" s="3300"/>
      <c r="DO38" s="3300"/>
      <c r="DP38" s="3300"/>
      <c r="DQ38" s="3300"/>
      <c r="DR38" s="3300"/>
      <c r="DS38" s="3300"/>
      <c r="DT38" s="3301"/>
      <c r="DU38" s="3301"/>
      <c r="DV38" s="3301"/>
      <c r="DW38" s="3301"/>
      <c r="DX38" s="3301"/>
      <c r="DY38" s="3301"/>
      <c r="DZ38" s="3302"/>
      <c r="EA38" s="3302"/>
      <c r="EB38" s="3302"/>
      <c r="EC38" s="3302"/>
      <c r="ED38" s="3302"/>
      <c r="EE38" s="3302"/>
      <c r="EF38" s="3301"/>
      <c r="EG38" s="3301"/>
      <c r="EH38" s="3301"/>
      <c r="EI38" s="3301"/>
      <c r="EJ38" s="3301"/>
      <c r="EK38" s="3301"/>
      <c r="EL38" s="3302"/>
      <c r="EM38" s="3302"/>
      <c r="EN38" s="3302"/>
      <c r="EO38" s="3302"/>
      <c r="EP38" s="3302"/>
      <c r="EQ38" s="3302"/>
      <c r="ER38" s="3301"/>
      <c r="ES38" s="3301"/>
      <c r="ET38" s="3301"/>
      <c r="EU38" s="3301"/>
      <c r="EV38" s="3301"/>
      <c r="EW38" s="3301"/>
      <c r="EX38" s="3302"/>
      <c r="EY38" s="3302"/>
      <c r="EZ38" s="3302"/>
      <c r="FA38" s="3302"/>
      <c r="FB38" s="3302"/>
      <c r="FC38" s="3302"/>
      <c r="FD38" s="2806"/>
      <c r="FE38" s="2806"/>
      <c r="FF38" s="2806"/>
      <c r="FG38" s="2806"/>
      <c r="FH38" s="2806"/>
      <c r="FI38" s="2806"/>
      <c r="FJ38" s="2806"/>
      <c r="FK38" s="2806"/>
      <c r="FL38" s="2806"/>
      <c r="FM38" s="2806"/>
      <c r="FN38" s="2806"/>
      <c r="FO38" s="2806"/>
      <c r="FP38" s="2807"/>
      <c r="FQ38" s="2806"/>
      <c r="FR38" s="2806"/>
      <c r="FS38" s="2806"/>
      <c r="FT38" s="2806"/>
      <c r="FU38" s="2806"/>
      <c r="FV38" s="2806"/>
      <c r="FW38" s="2806"/>
      <c r="FX38" s="2806"/>
      <c r="FY38" s="2806"/>
      <c r="FZ38" s="2806"/>
      <c r="GA38" s="2806"/>
      <c r="GB38" s="2749"/>
      <c r="GC38" s="2726"/>
      <c r="GD38" s="2798"/>
      <c r="GE38" s="2798"/>
      <c r="GF38" s="2798"/>
      <c r="GG38" s="2798"/>
      <c r="GH38" s="2798"/>
      <c r="GI38" s="2798"/>
      <c r="GJ38" s="2798"/>
      <c r="GK38" s="2798"/>
      <c r="GL38" s="2798"/>
      <c r="GM38" s="2798"/>
      <c r="GN38" s="2798"/>
      <c r="GO38" s="2798"/>
      <c r="GP38" s="2798"/>
      <c r="GQ38" s="2798"/>
      <c r="GR38" s="2798"/>
      <c r="GS38" s="2798"/>
      <c r="GT38" s="2809"/>
      <c r="GU38" s="2809"/>
      <c r="GV38" s="2809"/>
      <c r="GW38" s="2809"/>
      <c r="GX38" s="5466"/>
      <c r="GY38" s="5466"/>
      <c r="GZ38" s="5466"/>
      <c r="HA38" s="5466"/>
      <c r="HB38" s="3838"/>
      <c r="HC38" s="3838"/>
      <c r="HD38" s="3838"/>
      <c r="HE38" s="3838"/>
      <c r="HF38" s="2810"/>
      <c r="HG38" s="2810"/>
      <c r="HH38" s="2810"/>
      <c r="HI38" s="2810"/>
      <c r="HJ38" s="2810"/>
      <c r="HK38" s="2810"/>
      <c r="HL38" s="2810"/>
      <c r="HM38" s="2872"/>
      <c r="HN38" s="2872"/>
      <c r="HO38" s="2872"/>
      <c r="HP38" s="2872"/>
      <c r="HQ38" s="2872"/>
      <c r="HR38" s="2872"/>
      <c r="HS38" s="2748"/>
      <c r="HT38" s="2798"/>
      <c r="HU38" s="2809"/>
      <c r="HV38" s="3838"/>
      <c r="HW38" s="3838"/>
      <c r="HX38" s="3838"/>
      <c r="HY38" s="2809"/>
      <c r="HZ38" s="3838"/>
      <c r="IA38" s="3838"/>
      <c r="IB38" s="3838"/>
      <c r="IC38" s="3838"/>
      <c r="ID38" s="3838"/>
      <c r="IE38" s="3838"/>
      <c r="IF38" s="3838"/>
      <c r="IG38" s="3838"/>
      <c r="IH38" s="3838"/>
      <c r="II38" s="3838"/>
      <c r="IJ38" s="3838"/>
      <c r="IK38" s="2799"/>
      <c r="IL38" s="3266"/>
      <c r="IM38" s="3266"/>
      <c r="IN38" s="3266"/>
      <c r="IO38" s="3266"/>
      <c r="IP38" s="3266"/>
      <c r="IQ38" s="3266"/>
      <c r="IR38" s="3266"/>
      <c r="IS38" s="5467"/>
      <c r="IT38" s="5467"/>
      <c r="IU38" s="5448"/>
      <c r="IV38" s="3268"/>
      <c r="IW38" s="3268"/>
      <c r="IX38" s="3268"/>
      <c r="IY38" s="3269"/>
      <c r="IZ38" s="3270"/>
      <c r="JA38" s="3764"/>
      <c r="JC38" s="3268"/>
      <c r="JD38" s="2723"/>
      <c r="JE38" s="2723"/>
      <c r="JF38" s="2723"/>
      <c r="JG38" s="2723"/>
      <c r="JH38" s="2723"/>
      <c r="JI38" s="3262"/>
      <c r="JJ38" s="2723"/>
      <c r="JK38" s="2723"/>
      <c r="JL38" s="2723"/>
      <c r="JM38" s="2723"/>
      <c r="JN38" s="2723"/>
      <c r="JO38" s="2723"/>
      <c r="JP38" s="2723"/>
      <c r="JQ38" s="2723"/>
      <c r="JS38" s="2723"/>
      <c r="JT38" s="2723"/>
      <c r="JU38" s="2723"/>
      <c r="JV38" s="2723"/>
      <c r="JW38" s="2723"/>
      <c r="JX38" s="2723"/>
      <c r="JY38" s="2723"/>
      <c r="JZ38" s="2723"/>
      <c r="KA38" s="2723"/>
      <c r="KB38" s="2723"/>
      <c r="KC38" s="2723"/>
      <c r="KD38" s="2723"/>
      <c r="KE38" s="2723"/>
      <c r="KF38" s="2723"/>
      <c r="KG38" s="2723"/>
      <c r="KH38" s="2723"/>
      <c r="KI38" s="2723"/>
      <c r="KJ38" s="2723"/>
      <c r="KK38" s="2723"/>
      <c r="KL38" s="2723"/>
      <c r="KM38" s="2723"/>
      <c r="KN38" s="2723"/>
      <c r="KO38" s="2723"/>
    </row>
    <row r="39" spans="1:301" ht="21" hidden="1" customHeight="1">
      <c r="A39" s="2723"/>
      <c r="B39" s="2723"/>
      <c r="C39" s="3242" t="s">
        <v>474</v>
      </c>
      <c r="D39" s="3304" t="s">
        <v>36</v>
      </c>
      <c r="E39" s="3305" t="s">
        <v>37</v>
      </c>
      <c r="F39" s="3305" t="s">
        <v>38</v>
      </c>
      <c r="G39" s="3305" t="s">
        <v>39</v>
      </c>
      <c r="H39" s="3305" t="s">
        <v>40</v>
      </c>
      <c r="I39" s="3305" t="s">
        <v>41</v>
      </c>
      <c r="J39" s="3305" t="s">
        <v>42</v>
      </c>
      <c r="K39" s="3305" t="s">
        <v>43</v>
      </c>
      <c r="L39" s="3305" t="s">
        <v>44</v>
      </c>
      <c r="M39" s="3305" t="s">
        <v>45</v>
      </c>
      <c r="N39" s="3305" t="s">
        <v>46</v>
      </c>
      <c r="O39" s="3306" t="s">
        <v>47</v>
      </c>
      <c r="P39" s="3307" t="s">
        <v>36</v>
      </c>
      <c r="Q39" s="3305" t="s">
        <v>37</v>
      </c>
      <c r="R39" s="3305" t="s">
        <v>38</v>
      </c>
      <c r="S39" s="3305" t="s">
        <v>39</v>
      </c>
      <c r="T39" s="3305" t="s">
        <v>40</v>
      </c>
      <c r="U39" s="3305" t="s">
        <v>41</v>
      </c>
      <c r="V39" s="3305" t="s">
        <v>42</v>
      </c>
      <c r="W39" s="3305" t="s">
        <v>43</v>
      </c>
      <c r="X39" s="3305" t="s">
        <v>44</v>
      </c>
      <c r="Y39" s="3305" t="s">
        <v>45</v>
      </c>
      <c r="Z39" s="3305" t="s">
        <v>46</v>
      </c>
      <c r="AA39" s="3455" t="s">
        <v>47</v>
      </c>
      <c r="AB39" s="3308" t="s">
        <v>36</v>
      </c>
      <c r="AC39" s="3309" t="s">
        <v>37</v>
      </c>
      <c r="AD39" s="3309" t="s">
        <v>38</v>
      </c>
      <c r="AE39" s="3309" t="s">
        <v>39</v>
      </c>
      <c r="AF39" s="3309" t="s">
        <v>40</v>
      </c>
      <c r="AG39" s="3309" t="s">
        <v>41</v>
      </c>
      <c r="AH39" s="3309" t="s">
        <v>42</v>
      </c>
      <c r="AI39" s="3309" t="s">
        <v>43</v>
      </c>
      <c r="AJ39" s="3309" t="s">
        <v>44</v>
      </c>
      <c r="AK39" s="3309" t="s">
        <v>45</v>
      </c>
      <c r="AL39" s="3309" t="s">
        <v>46</v>
      </c>
      <c r="AM39" s="3309" t="s">
        <v>47</v>
      </c>
      <c r="AN39" s="3309" t="s">
        <v>36</v>
      </c>
      <c r="AO39" s="3309" t="s">
        <v>37</v>
      </c>
      <c r="AP39" s="3309" t="s">
        <v>38</v>
      </c>
      <c r="AQ39" s="3309" t="s">
        <v>39</v>
      </c>
      <c r="AR39" s="3309" t="s">
        <v>40</v>
      </c>
      <c r="AS39" s="3309" t="s">
        <v>41</v>
      </c>
      <c r="AT39" s="3309" t="s">
        <v>42</v>
      </c>
      <c r="AU39" s="3309" t="s">
        <v>43</v>
      </c>
      <c r="AV39" s="3309" t="s">
        <v>44</v>
      </c>
      <c r="AW39" s="3309" t="s">
        <v>45</v>
      </c>
      <c r="AX39" s="3309" t="s">
        <v>46</v>
      </c>
      <c r="AY39" s="3310" t="s">
        <v>47</v>
      </c>
      <c r="AZ39" s="3311" t="s">
        <v>36</v>
      </c>
      <c r="BA39" s="3312" t="s">
        <v>37</v>
      </c>
      <c r="BB39" s="3312" t="s">
        <v>38</v>
      </c>
      <c r="BC39" s="3312" t="s">
        <v>39</v>
      </c>
      <c r="BD39" s="3312" t="s">
        <v>40</v>
      </c>
      <c r="BE39" s="3312" t="s">
        <v>41</v>
      </c>
      <c r="BF39" s="3312" t="s">
        <v>42</v>
      </c>
      <c r="BG39" s="3312" t="s">
        <v>43</v>
      </c>
      <c r="BH39" s="3312" t="s">
        <v>44</v>
      </c>
      <c r="BI39" s="3312" t="s">
        <v>45</v>
      </c>
      <c r="BJ39" s="3312" t="s">
        <v>46</v>
      </c>
      <c r="BK39" s="3313" t="s">
        <v>47</v>
      </c>
      <c r="BL39" s="3314" t="s">
        <v>36</v>
      </c>
      <c r="BM39" s="3315" t="s">
        <v>37</v>
      </c>
      <c r="BN39" s="3315" t="s">
        <v>38</v>
      </c>
      <c r="BO39" s="3315" t="s">
        <v>39</v>
      </c>
      <c r="BP39" s="3315" t="s">
        <v>40</v>
      </c>
      <c r="BQ39" s="3315" t="s">
        <v>41</v>
      </c>
      <c r="BR39" s="3315" t="s">
        <v>42</v>
      </c>
      <c r="BS39" s="3315" t="s">
        <v>43</v>
      </c>
      <c r="BT39" s="3316" t="s">
        <v>44</v>
      </c>
      <c r="BU39" s="3316" t="s">
        <v>45</v>
      </c>
      <c r="BV39" s="3316" t="s">
        <v>46</v>
      </c>
      <c r="BW39" s="3407" t="s">
        <v>47</v>
      </c>
      <c r="BX39" s="3408" t="s">
        <v>36</v>
      </c>
      <c r="BY39" s="3318" t="s">
        <v>37</v>
      </c>
      <c r="BZ39" s="3318" t="s">
        <v>38</v>
      </c>
      <c r="CA39" s="3318" t="s">
        <v>39</v>
      </c>
      <c r="CB39" s="3318" t="s">
        <v>39</v>
      </c>
      <c r="CC39" s="3318" t="s">
        <v>41</v>
      </c>
      <c r="CD39" s="3318" t="s">
        <v>42</v>
      </c>
      <c r="CE39" s="3318" t="s">
        <v>43</v>
      </c>
      <c r="CF39" s="3318" t="s">
        <v>44</v>
      </c>
      <c r="CG39" s="3318" t="s">
        <v>45</v>
      </c>
      <c r="CH39" s="3318" t="s">
        <v>46</v>
      </c>
      <c r="CI39" s="3318" t="s">
        <v>47</v>
      </c>
      <c r="CJ39" s="3319" t="s">
        <v>36</v>
      </c>
      <c r="CK39" s="3309" t="s">
        <v>37</v>
      </c>
      <c r="CL39" s="3309" t="s">
        <v>38</v>
      </c>
      <c r="CM39" s="3309" t="s">
        <v>39</v>
      </c>
      <c r="CN39" s="3309" t="s">
        <v>40</v>
      </c>
      <c r="CO39" s="3309" t="s">
        <v>41</v>
      </c>
      <c r="CP39" s="3309" t="s">
        <v>42</v>
      </c>
      <c r="CQ39" s="3309" t="s">
        <v>43</v>
      </c>
      <c r="CR39" s="3309" t="s">
        <v>44</v>
      </c>
      <c r="CS39" s="3309" t="s">
        <v>45</v>
      </c>
      <c r="CT39" s="3309" t="s">
        <v>46</v>
      </c>
      <c r="CU39" s="3320" t="s">
        <v>47</v>
      </c>
      <c r="CV39" s="3318" t="s">
        <v>36</v>
      </c>
      <c r="CW39" s="3318" t="s">
        <v>37</v>
      </c>
      <c r="CX39" s="3318" t="s">
        <v>38</v>
      </c>
      <c r="CY39" s="3318" t="s">
        <v>39</v>
      </c>
      <c r="CZ39" s="3318" t="s">
        <v>40</v>
      </c>
      <c r="DA39" s="3318" t="s">
        <v>41</v>
      </c>
      <c r="DB39" s="3318" t="s">
        <v>42</v>
      </c>
      <c r="DC39" s="3318" t="s">
        <v>43</v>
      </c>
      <c r="DD39" s="3318" t="s">
        <v>44</v>
      </c>
      <c r="DE39" s="3318" t="s">
        <v>45</v>
      </c>
      <c r="DF39" s="3318"/>
      <c r="DG39" s="3318"/>
      <c r="DH39" s="2685" t="s">
        <v>36</v>
      </c>
      <c r="DI39" s="2685" t="s">
        <v>37</v>
      </c>
      <c r="DJ39" s="2685" t="s">
        <v>38</v>
      </c>
      <c r="DK39" s="2685" t="s">
        <v>39</v>
      </c>
      <c r="DL39" s="2685" t="s">
        <v>40</v>
      </c>
      <c r="DM39" s="2685" t="s">
        <v>41</v>
      </c>
      <c r="DN39" s="2685" t="s">
        <v>42</v>
      </c>
      <c r="DO39" s="2685" t="s">
        <v>43</v>
      </c>
      <c r="DP39" s="2685" t="s">
        <v>183</v>
      </c>
      <c r="DQ39" s="2685" t="s">
        <v>45</v>
      </c>
      <c r="DR39" s="2685" t="s">
        <v>46</v>
      </c>
      <c r="DS39" s="2685" t="s">
        <v>47</v>
      </c>
      <c r="DT39" s="2684" t="s">
        <v>36</v>
      </c>
      <c r="DU39" s="2684" t="s">
        <v>37</v>
      </c>
      <c r="DV39" s="2684" t="s">
        <v>38</v>
      </c>
      <c r="DW39" s="2684" t="s">
        <v>39</v>
      </c>
      <c r="DX39" s="2684" t="s">
        <v>40</v>
      </c>
      <c r="DY39" s="2684" t="s">
        <v>41</v>
      </c>
      <c r="DZ39" s="2685"/>
      <c r="EA39" s="2685"/>
      <c r="EB39" s="2685"/>
      <c r="EC39" s="2685"/>
      <c r="ED39" s="2685"/>
      <c r="EE39" s="2685"/>
      <c r="EF39" s="2684" t="s">
        <v>36</v>
      </c>
      <c r="EG39" s="2684" t="s">
        <v>37</v>
      </c>
      <c r="EH39" s="2684" t="s">
        <v>38</v>
      </c>
      <c r="EI39" s="2684" t="s">
        <v>39</v>
      </c>
      <c r="EJ39" s="2684" t="s">
        <v>40</v>
      </c>
      <c r="EK39" s="2684" t="s">
        <v>41</v>
      </c>
      <c r="EL39" s="2685"/>
      <c r="EM39" s="2685"/>
      <c r="EN39" s="2685"/>
      <c r="EO39" s="2685"/>
      <c r="EP39" s="2685"/>
      <c r="EQ39" s="2685"/>
      <c r="ER39" s="2684" t="s">
        <v>36</v>
      </c>
      <c r="ES39" s="2684" t="s">
        <v>37</v>
      </c>
      <c r="ET39" s="2684" t="s">
        <v>38</v>
      </c>
      <c r="EU39" s="2684" t="s">
        <v>39</v>
      </c>
      <c r="EV39" s="2684" t="s">
        <v>40</v>
      </c>
      <c r="EW39" s="2684" t="s">
        <v>41</v>
      </c>
      <c r="EX39" s="2685"/>
      <c r="EY39" s="2685"/>
      <c r="EZ39" s="2685"/>
      <c r="FA39" s="2685"/>
      <c r="FB39" s="2685"/>
      <c r="FC39" s="2685"/>
      <c r="FD39" s="2812"/>
      <c r="FE39" s="2812"/>
      <c r="FF39" s="2812"/>
      <c r="FG39" s="2812"/>
      <c r="FH39" s="2812"/>
      <c r="FI39" s="2812"/>
      <c r="FJ39" s="2812"/>
      <c r="FK39" s="2812"/>
      <c r="FL39" s="2812"/>
      <c r="FM39" s="2812"/>
      <c r="FN39" s="2812"/>
      <c r="FO39" s="2812"/>
      <c r="FP39" s="2813"/>
      <c r="FQ39" s="2812"/>
      <c r="FR39" s="2812"/>
      <c r="FS39" s="2812"/>
      <c r="FT39" s="2812"/>
      <c r="FU39" s="2812"/>
      <c r="FV39" s="2812"/>
      <c r="FW39" s="2812"/>
      <c r="FX39" s="2812"/>
      <c r="FY39" s="2812"/>
      <c r="FZ39" s="2812"/>
      <c r="GA39" s="2812"/>
      <c r="GB39" s="2749"/>
      <c r="GC39" s="2726"/>
      <c r="GD39" s="2814" t="s">
        <v>167</v>
      </c>
      <c r="GE39" s="2815" t="s">
        <v>453</v>
      </c>
      <c r="GF39" s="2815" t="s">
        <v>454</v>
      </c>
      <c r="GG39" s="2816" t="s">
        <v>455</v>
      </c>
      <c r="GH39" s="2814" t="s">
        <v>167</v>
      </c>
      <c r="GI39" s="2815" t="s">
        <v>453</v>
      </c>
      <c r="GJ39" s="2815" t="s">
        <v>454</v>
      </c>
      <c r="GK39" s="2816" t="s">
        <v>455</v>
      </c>
      <c r="GL39" s="2817" t="s">
        <v>167</v>
      </c>
      <c r="GM39" s="2818" t="s">
        <v>453</v>
      </c>
      <c r="GN39" s="2818" t="s">
        <v>456</v>
      </c>
      <c r="GO39" s="2818" t="s">
        <v>457</v>
      </c>
      <c r="GP39" s="2819" t="s">
        <v>167</v>
      </c>
      <c r="GQ39" s="2820" t="s">
        <v>458</v>
      </c>
      <c r="GR39" s="2820" t="s">
        <v>459</v>
      </c>
      <c r="GS39" s="2821" t="s">
        <v>455</v>
      </c>
      <c r="GT39" s="2822" t="s">
        <v>167</v>
      </c>
      <c r="GU39" s="2823" t="s">
        <v>453</v>
      </c>
      <c r="GV39" s="2823" t="s">
        <v>456</v>
      </c>
      <c r="GW39" s="2824" t="s">
        <v>457</v>
      </c>
      <c r="GX39" s="2789" t="s">
        <v>167</v>
      </c>
      <c r="GY39" s="2789" t="s">
        <v>453</v>
      </c>
      <c r="GZ39" s="2789" t="s">
        <v>456</v>
      </c>
      <c r="HA39" s="2789" t="s">
        <v>457</v>
      </c>
      <c r="HB39" s="2789" t="s">
        <v>167</v>
      </c>
      <c r="HC39" s="2789" t="s">
        <v>453</v>
      </c>
      <c r="HD39" s="2789" t="s">
        <v>456</v>
      </c>
      <c r="HE39" s="2789" t="s">
        <v>457</v>
      </c>
      <c r="HF39" s="2789" t="s">
        <v>167</v>
      </c>
      <c r="HG39" s="2789" t="s">
        <v>453</v>
      </c>
      <c r="HH39" s="2789" t="s">
        <v>456</v>
      </c>
      <c r="HI39" s="2789" t="s">
        <v>457</v>
      </c>
      <c r="HJ39" s="2789" t="s">
        <v>167</v>
      </c>
      <c r="HK39" s="2789" t="s">
        <v>453</v>
      </c>
      <c r="HL39" s="2789" t="s">
        <v>456</v>
      </c>
      <c r="HM39" s="2792" t="s">
        <v>167</v>
      </c>
      <c r="HN39" s="2792" t="s">
        <v>453</v>
      </c>
      <c r="HO39" s="2792" t="s">
        <v>456</v>
      </c>
      <c r="HP39" s="2792" t="s">
        <v>457</v>
      </c>
      <c r="HQ39" s="2792" t="s">
        <v>167</v>
      </c>
      <c r="HR39" s="2792" t="s">
        <v>453</v>
      </c>
      <c r="HS39" s="2727"/>
      <c r="HT39" s="2726"/>
      <c r="HU39" s="2789"/>
      <c r="HV39" s="2789"/>
      <c r="HW39" s="2789"/>
      <c r="HX39" s="2789"/>
      <c r="HY39" s="2789"/>
      <c r="HZ39" s="2789"/>
      <c r="IA39" s="2789"/>
      <c r="IB39" s="2789"/>
      <c r="IC39" s="2789"/>
      <c r="ID39" s="2789"/>
      <c r="IE39" s="2789"/>
      <c r="IF39" s="2789"/>
      <c r="IG39" s="2789"/>
      <c r="IH39" s="2789"/>
      <c r="II39" s="2789"/>
      <c r="IJ39" s="2789"/>
      <c r="IK39" s="2811" t="s">
        <v>48</v>
      </c>
      <c r="IL39" s="3321" t="s">
        <v>48</v>
      </c>
      <c r="IM39" s="3321" t="s">
        <v>48</v>
      </c>
      <c r="IN39" s="3321" t="s">
        <v>48</v>
      </c>
      <c r="IO39" s="3321" t="s">
        <v>48</v>
      </c>
      <c r="IP39" s="3321" t="s">
        <v>48</v>
      </c>
      <c r="IQ39" s="3321" t="s">
        <v>48</v>
      </c>
      <c r="IR39" s="3321" t="s">
        <v>48</v>
      </c>
      <c r="IS39" s="5467"/>
      <c r="IT39" s="5467" t="s">
        <v>48</v>
      </c>
      <c r="IU39" s="5449"/>
      <c r="IV39" s="3285"/>
      <c r="IW39" s="3285"/>
      <c r="IX39" s="3285"/>
      <c r="IY39" s="3286"/>
      <c r="IZ39" s="3287"/>
      <c r="JA39" s="3764"/>
      <c r="JC39" s="3285"/>
      <c r="JD39" s="2723"/>
      <c r="JE39" s="2723"/>
      <c r="JF39" s="2723"/>
      <c r="JG39" s="2723"/>
      <c r="JH39" s="2723"/>
      <c r="JI39" s="3262"/>
      <c r="JJ39" s="2723"/>
      <c r="JK39" s="2723"/>
      <c r="JL39" s="2723"/>
      <c r="JM39" s="2723"/>
      <c r="JN39" s="2723"/>
      <c r="JO39" s="2723"/>
      <c r="JP39" s="2723"/>
      <c r="JQ39" s="2723"/>
      <c r="JS39" s="2723"/>
      <c r="JT39" s="2723"/>
      <c r="JU39" s="2723"/>
      <c r="JV39" s="2723"/>
      <c r="JW39" s="2723"/>
      <c r="JX39" s="2723"/>
      <c r="JY39" s="2723"/>
      <c r="JZ39" s="2723"/>
      <c r="KA39" s="2723"/>
      <c r="KB39" s="2723"/>
      <c r="KC39" s="2723"/>
      <c r="KD39" s="2723"/>
      <c r="KE39" s="2723"/>
      <c r="KF39" s="2723"/>
      <c r="KG39" s="2723"/>
      <c r="KH39" s="2723"/>
      <c r="KI39" s="2723"/>
      <c r="KJ39" s="2723"/>
      <c r="KK39" s="2723"/>
      <c r="KL39" s="2723"/>
      <c r="KM39" s="2723"/>
      <c r="KN39" s="2723"/>
      <c r="KO39" s="2723"/>
    </row>
    <row r="40" spans="1:301" ht="21.9" hidden="1" customHeight="1">
      <c r="A40" s="2723"/>
      <c r="B40" s="3231"/>
      <c r="C40" s="3322" t="s">
        <v>475</v>
      </c>
      <c r="D40" s="3323">
        <v>20829</v>
      </c>
      <c r="E40" s="3324">
        <v>21637</v>
      </c>
      <c r="F40" s="3324">
        <v>25023</v>
      </c>
      <c r="G40" s="3324">
        <v>20094</v>
      </c>
      <c r="H40" s="3324">
        <v>20825</v>
      </c>
      <c r="I40" s="3324">
        <v>32750</v>
      </c>
      <c r="J40" s="3324">
        <v>40409</v>
      </c>
      <c r="K40" s="3324">
        <v>33102</v>
      </c>
      <c r="L40" s="3324">
        <v>23825</v>
      </c>
      <c r="M40" s="3324">
        <v>25639</v>
      </c>
      <c r="N40" s="3324">
        <v>27763</v>
      </c>
      <c r="O40" s="3325">
        <v>29709</v>
      </c>
      <c r="P40" s="3326">
        <v>26060</v>
      </c>
      <c r="Q40" s="3327">
        <v>35298</v>
      </c>
      <c r="R40" s="3327">
        <v>27832</v>
      </c>
      <c r="S40" s="3327">
        <v>22797</v>
      </c>
      <c r="T40" s="3327">
        <v>26874</v>
      </c>
      <c r="U40" s="3327">
        <v>36617</v>
      </c>
      <c r="V40" s="3327">
        <v>39982</v>
      </c>
      <c r="W40" s="3327">
        <v>31550</v>
      </c>
      <c r="X40" s="3327">
        <v>25910</v>
      </c>
      <c r="Y40" s="3327">
        <v>27723</v>
      </c>
      <c r="Z40" s="3327">
        <v>29160</v>
      </c>
      <c r="AA40" s="3456">
        <v>30583</v>
      </c>
      <c r="AB40" s="3329">
        <v>25687</v>
      </c>
      <c r="AC40" s="3330">
        <v>23336</v>
      </c>
      <c r="AD40" s="3330">
        <v>25122</v>
      </c>
      <c r="AE40" s="3330">
        <v>25032</v>
      </c>
      <c r="AF40" s="3330">
        <v>26550</v>
      </c>
      <c r="AG40" s="3330">
        <v>36546</v>
      </c>
      <c r="AH40" s="3330">
        <v>40480</v>
      </c>
      <c r="AI40" s="3330">
        <v>32979</v>
      </c>
      <c r="AJ40" s="3330">
        <v>23452</v>
      </c>
      <c r="AK40" s="3330">
        <v>25734</v>
      </c>
      <c r="AL40" s="3330">
        <v>28316</v>
      </c>
      <c r="AM40" s="3330">
        <v>32480</v>
      </c>
      <c r="AN40" s="3331">
        <v>26307</v>
      </c>
      <c r="AO40" s="3331">
        <v>28093</v>
      </c>
      <c r="AP40" s="3331">
        <v>28419</v>
      </c>
      <c r="AQ40" s="3331">
        <v>22719</v>
      </c>
      <c r="AR40" s="3331">
        <v>28637</v>
      </c>
      <c r="AS40" s="3331">
        <v>37701</v>
      </c>
      <c r="AT40" s="3331">
        <v>42430</v>
      </c>
      <c r="AU40" s="3331">
        <v>33053</v>
      </c>
      <c r="AV40" s="3331">
        <v>25691</v>
      </c>
      <c r="AW40" s="3331">
        <v>30558</v>
      </c>
      <c r="AX40" s="3331">
        <v>23873.164107887958</v>
      </c>
      <c r="AY40" s="3332">
        <v>35022</v>
      </c>
      <c r="AZ40" s="3333">
        <v>29785</v>
      </c>
      <c r="BA40" s="3334">
        <v>28446</v>
      </c>
      <c r="BB40" s="3334">
        <v>30692</v>
      </c>
      <c r="BC40" s="3334">
        <v>28243</v>
      </c>
      <c r="BD40" s="3334">
        <v>29238</v>
      </c>
      <c r="BE40" s="3334">
        <v>37518</v>
      </c>
      <c r="BF40" s="3334">
        <v>42826</v>
      </c>
      <c r="BG40" s="3334">
        <v>33246</v>
      </c>
      <c r="BH40" s="3334">
        <v>25898</v>
      </c>
      <c r="BI40" s="3334">
        <v>29831</v>
      </c>
      <c r="BJ40" s="3334">
        <v>30140</v>
      </c>
      <c r="BK40" s="3335">
        <v>36539</v>
      </c>
      <c r="BL40" s="3336">
        <v>30980</v>
      </c>
      <c r="BM40" s="3337">
        <v>29241</v>
      </c>
      <c r="BN40" s="3337">
        <v>30216</v>
      </c>
      <c r="BO40" s="3337">
        <v>25991</v>
      </c>
      <c r="BP40" s="3337">
        <v>27389</v>
      </c>
      <c r="BQ40" s="3337">
        <v>40198</v>
      </c>
      <c r="BR40" s="3337">
        <v>43922</v>
      </c>
      <c r="BS40" s="3337">
        <v>32933</v>
      </c>
      <c r="BT40" s="3338">
        <v>25969</v>
      </c>
      <c r="BU40" s="3338">
        <v>30597</v>
      </c>
      <c r="BV40" s="3338">
        <v>29976</v>
      </c>
      <c r="BW40" s="3409">
        <v>41557</v>
      </c>
      <c r="BX40" s="3410">
        <v>31928</v>
      </c>
      <c r="BY40" s="3341">
        <v>29957</v>
      </c>
      <c r="BZ40" s="3341">
        <v>35019</v>
      </c>
      <c r="CA40" s="3341">
        <v>26552</v>
      </c>
      <c r="CB40" s="3341">
        <v>31270</v>
      </c>
      <c r="CC40" s="3341">
        <v>42527</v>
      </c>
      <c r="CD40" s="3341">
        <v>49359</v>
      </c>
      <c r="CE40" s="3341">
        <v>37312</v>
      </c>
      <c r="CF40" s="3341">
        <v>31949</v>
      </c>
      <c r="CG40" s="3341">
        <v>37020</v>
      </c>
      <c r="CH40" s="3341">
        <v>39470</v>
      </c>
      <c r="CI40" s="3342">
        <v>46340</v>
      </c>
      <c r="CJ40" s="3343">
        <v>35074</v>
      </c>
      <c r="CK40" s="3344">
        <v>34120</v>
      </c>
      <c r="CL40" s="3344">
        <v>33458</v>
      </c>
      <c r="CM40" s="3344">
        <v>33984</v>
      </c>
      <c r="CN40" s="3344">
        <v>34139</v>
      </c>
      <c r="CO40" s="3344">
        <v>41752</v>
      </c>
      <c r="CP40" s="3344">
        <v>50973</v>
      </c>
      <c r="CQ40" s="3344">
        <v>39157</v>
      </c>
      <c r="CR40" s="3344">
        <v>36351</v>
      </c>
      <c r="CS40" s="3344">
        <v>40063</v>
      </c>
      <c r="CT40" s="3344">
        <v>42416</v>
      </c>
      <c r="CU40" s="3345">
        <v>57237</v>
      </c>
      <c r="CV40" s="3426">
        <v>39267</v>
      </c>
      <c r="CW40" s="3344">
        <v>36209</v>
      </c>
      <c r="CX40" s="3427">
        <v>41259</v>
      </c>
      <c r="CY40" s="3427">
        <v>37251</v>
      </c>
      <c r="CZ40" s="3427">
        <v>38183</v>
      </c>
      <c r="DA40" s="3427">
        <v>47330</v>
      </c>
      <c r="DB40" s="3427">
        <v>53297</v>
      </c>
      <c r="DC40" s="3427">
        <v>35650</v>
      </c>
      <c r="DD40" s="3347">
        <v>33447</v>
      </c>
      <c r="DE40" s="3347">
        <v>38324</v>
      </c>
      <c r="DF40" s="3334"/>
      <c r="DG40" s="3334"/>
      <c r="DH40" s="3457">
        <v>33818</v>
      </c>
      <c r="DI40" s="3458">
        <v>33169</v>
      </c>
      <c r="DJ40" s="3458">
        <v>37526</v>
      </c>
      <c r="DK40" s="3459">
        <v>25451</v>
      </c>
      <c r="DL40" s="3459">
        <v>28795</v>
      </c>
      <c r="DM40" s="3459">
        <v>40644</v>
      </c>
      <c r="DN40" s="3459">
        <v>46518</v>
      </c>
      <c r="DO40" s="3459">
        <v>29954</v>
      </c>
      <c r="DP40" s="3350">
        <v>25857</v>
      </c>
      <c r="DQ40" s="3350">
        <v>31236</v>
      </c>
      <c r="DR40" s="3350">
        <v>30183</v>
      </c>
      <c r="DS40" s="3349">
        <v>41575</v>
      </c>
      <c r="DT40" s="3351">
        <v>33498</v>
      </c>
      <c r="DU40" s="3351">
        <v>30798</v>
      </c>
      <c r="DV40" s="3351">
        <v>35091</v>
      </c>
      <c r="DW40" s="3351">
        <v>33813</v>
      </c>
      <c r="DX40" s="3351">
        <v>29829</v>
      </c>
      <c r="DY40" s="3351">
        <v>43710</v>
      </c>
      <c r="DZ40" s="3352"/>
      <c r="EA40" s="3352"/>
      <c r="EB40" s="3352"/>
      <c r="EC40" s="3352"/>
      <c r="ED40" s="3352"/>
      <c r="EE40" s="3352"/>
      <c r="EF40" s="3351">
        <v>33498</v>
      </c>
      <c r="EG40" s="3351">
        <v>30798</v>
      </c>
      <c r="EH40" s="3351">
        <v>35091</v>
      </c>
      <c r="EI40" s="3351">
        <v>33813</v>
      </c>
      <c r="EJ40" s="3351">
        <v>29829</v>
      </c>
      <c r="EK40" s="3351">
        <v>43710</v>
      </c>
      <c r="EL40" s="3352"/>
      <c r="EM40" s="3352"/>
      <c r="EN40" s="3352"/>
      <c r="EO40" s="3352"/>
      <c r="EP40" s="3352"/>
      <c r="EQ40" s="3352"/>
      <c r="ER40" s="3351">
        <v>33498</v>
      </c>
      <c r="ES40" s="3351">
        <v>30798</v>
      </c>
      <c r="ET40" s="3351">
        <v>35091</v>
      </c>
      <c r="EU40" s="3351">
        <v>33813</v>
      </c>
      <c r="EV40" s="3351">
        <v>29829</v>
      </c>
      <c r="EW40" s="3351">
        <v>43710</v>
      </c>
      <c r="EX40" s="3352"/>
      <c r="EY40" s="3352"/>
      <c r="EZ40" s="3352"/>
      <c r="FA40" s="3352"/>
      <c r="FB40" s="3352"/>
      <c r="FC40" s="3352"/>
      <c r="FD40" s="2826"/>
      <c r="FE40" s="2826"/>
      <c r="FF40" s="2826"/>
      <c r="FG40" s="2826"/>
      <c r="FH40" s="2826"/>
      <c r="FI40" s="2826"/>
      <c r="FJ40" s="2826"/>
      <c r="FK40" s="2826"/>
      <c r="FL40" s="2826"/>
      <c r="FM40" s="2826"/>
      <c r="FN40" s="2826"/>
      <c r="FO40" s="2826"/>
      <c r="FP40" s="2827"/>
      <c r="FQ40" s="2826"/>
      <c r="FR40" s="2826"/>
      <c r="FS40" s="2826"/>
      <c r="FT40" s="2826"/>
      <c r="FU40" s="2826"/>
      <c r="FV40" s="2826"/>
      <c r="FW40" s="2826"/>
      <c r="FX40" s="2826"/>
      <c r="FY40" s="2826"/>
      <c r="FZ40" s="2826"/>
      <c r="GA40" s="2826"/>
      <c r="GB40" s="2752"/>
      <c r="GC40" s="2726"/>
      <c r="GD40" s="2828">
        <v>67489</v>
      </c>
      <c r="GE40" s="2829">
        <v>73669</v>
      </c>
      <c r="GF40" s="2829">
        <v>97336</v>
      </c>
      <c r="GG40" s="2830">
        <v>83111</v>
      </c>
      <c r="GH40" s="2831">
        <v>89190</v>
      </c>
      <c r="GI40" s="2832">
        <v>86288</v>
      </c>
      <c r="GJ40" s="2832">
        <v>97442</v>
      </c>
      <c r="GK40" s="2833">
        <v>87466</v>
      </c>
      <c r="GL40" s="2834">
        <v>74145</v>
      </c>
      <c r="GM40" s="2835">
        <v>88128</v>
      </c>
      <c r="GN40" s="2836">
        <v>96911</v>
      </c>
      <c r="GO40" s="2836">
        <v>86530</v>
      </c>
      <c r="GP40" s="2837">
        <v>82819</v>
      </c>
      <c r="GQ40" s="2838">
        <v>89057</v>
      </c>
      <c r="GR40" s="2838">
        <v>101174</v>
      </c>
      <c r="GS40" s="2839">
        <v>89453.164107887962</v>
      </c>
      <c r="GT40" s="2840">
        <v>88923</v>
      </c>
      <c r="GU40" s="2841">
        <v>94999</v>
      </c>
      <c r="GV40" s="2841">
        <v>101970</v>
      </c>
      <c r="GW40" s="2842">
        <v>96510</v>
      </c>
      <c r="GX40" s="2838">
        <v>90437</v>
      </c>
      <c r="GY40" s="2838">
        <v>93578</v>
      </c>
      <c r="GZ40" s="2838">
        <v>102824</v>
      </c>
      <c r="HA40" s="2838">
        <v>102130</v>
      </c>
      <c r="HB40" s="2843">
        <v>96904</v>
      </c>
      <c r="HC40" s="2843">
        <v>100349</v>
      </c>
      <c r="HD40" s="2843">
        <v>118620</v>
      </c>
      <c r="HE40" s="2843">
        <v>122830</v>
      </c>
      <c r="HF40" s="2844">
        <v>102652</v>
      </c>
      <c r="HG40" s="2844">
        <v>109875</v>
      </c>
      <c r="HH40" s="2844">
        <v>130193</v>
      </c>
      <c r="HI40" s="2844">
        <v>139716</v>
      </c>
      <c r="HJ40" s="2845">
        <v>116735</v>
      </c>
      <c r="HK40" s="2845">
        <v>113758</v>
      </c>
      <c r="HL40" s="2845">
        <v>127271</v>
      </c>
      <c r="HM40" s="2846">
        <f t="shared" ref="HM40:HM46" si="9">+DH40+DI40+DJ40</f>
        <v>104513</v>
      </c>
      <c r="HN40" s="2846">
        <f t="shared" ref="HN40:HN46" si="10">+DM40+DL40+DK40</f>
        <v>94890</v>
      </c>
      <c r="HO40" s="2846">
        <f t="shared" ref="HO40:HO46" si="11">+DP40+DO40+DN40</f>
        <v>102329</v>
      </c>
      <c r="HP40" s="2846">
        <f t="shared" ref="HP40:HP46" si="12">+DQ40+DR40+DS40</f>
        <v>102994</v>
      </c>
      <c r="HQ40" s="2847">
        <f t="shared" ref="HQ40:HQ46" si="13">+DT40+DU40+DV40</f>
        <v>99387</v>
      </c>
      <c r="HR40" s="2847">
        <f t="shared" ref="HR40:HR46" si="14">+DW40+DX40+DY40</f>
        <v>107352</v>
      </c>
      <c r="HS40" s="2727"/>
      <c r="HT40" s="2726"/>
      <c r="HU40" s="2838"/>
      <c r="HV40" s="2843"/>
      <c r="HW40" s="2843"/>
      <c r="HX40" s="2843"/>
      <c r="HY40" s="2838"/>
      <c r="HZ40" s="2843"/>
      <c r="IA40" s="2843"/>
      <c r="IB40" s="2843"/>
      <c r="IC40" s="2843"/>
      <c r="ID40" s="2843"/>
      <c r="IE40" s="2843"/>
      <c r="IF40" s="2843"/>
      <c r="IG40" s="2843"/>
      <c r="IH40" s="2843"/>
      <c r="II40" s="2843"/>
      <c r="IJ40" s="2843"/>
      <c r="IK40" s="2848">
        <v>321605</v>
      </c>
      <c r="IL40" s="3353">
        <v>360386</v>
      </c>
      <c r="IM40" s="3353">
        <v>345714</v>
      </c>
      <c r="IN40" s="3353">
        <v>362503.16410788795</v>
      </c>
      <c r="IO40" s="3353">
        <v>382402</v>
      </c>
      <c r="IP40" s="3353">
        <v>388969</v>
      </c>
      <c r="IQ40" s="3353">
        <v>438703</v>
      </c>
      <c r="IR40" s="3353">
        <v>478724</v>
      </c>
      <c r="IS40" s="3354">
        <v>499870</v>
      </c>
      <c r="IT40" s="3354">
        <f t="shared" ref="IT40:IT46" si="15">SUM(DI40:DT40)</f>
        <v>404406</v>
      </c>
      <c r="IU40" s="3355">
        <f t="shared" ref="IU40:IU46" si="16">SUM(DO40:EE40)</f>
        <v>365544</v>
      </c>
      <c r="IV40" s="3285"/>
      <c r="IW40" s="3285"/>
      <c r="IX40" s="3285"/>
      <c r="IY40" s="3286"/>
      <c r="IZ40" s="3287"/>
      <c r="JA40" s="3764"/>
      <c r="JC40" s="3285"/>
      <c r="JD40" s="3231"/>
      <c r="JE40" s="3231"/>
      <c r="JF40" s="3231"/>
      <c r="JG40" s="3231"/>
      <c r="JH40" s="2723"/>
      <c r="JI40" s="3262"/>
      <c r="JJ40" s="2723"/>
      <c r="JK40" s="2723"/>
      <c r="JL40" s="2723"/>
      <c r="JM40" s="2723"/>
      <c r="JN40" s="2723"/>
      <c r="JO40" s="2723"/>
      <c r="JP40" s="2723"/>
      <c r="JQ40" s="2723"/>
      <c r="JS40" s="3231"/>
      <c r="JT40" s="3231"/>
      <c r="JU40" s="3231"/>
      <c r="JV40" s="3231"/>
      <c r="JW40" s="3231"/>
      <c r="JX40" s="3231"/>
      <c r="JY40" s="3231"/>
      <c r="JZ40" s="3231"/>
      <c r="KA40" s="3231"/>
      <c r="KB40" s="3231"/>
      <c r="KC40" s="3231"/>
      <c r="KD40" s="3231"/>
      <c r="KE40" s="3231"/>
      <c r="KF40" s="3231"/>
      <c r="KG40" s="3231"/>
      <c r="KH40" s="3231"/>
      <c r="KI40" s="3231"/>
      <c r="KJ40" s="3231"/>
      <c r="KK40" s="3231"/>
      <c r="KL40" s="3231"/>
      <c r="KM40" s="3231"/>
      <c r="KN40" s="3231"/>
      <c r="KO40" s="3231"/>
    </row>
    <row r="41" spans="1:301" ht="21.9" hidden="1" customHeight="1">
      <c r="A41" s="2723"/>
      <c r="B41" s="3231"/>
      <c r="C41" s="3322" t="s">
        <v>83</v>
      </c>
      <c r="D41" s="3323">
        <v>192</v>
      </c>
      <c r="E41" s="3324">
        <v>54</v>
      </c>
      <c r="F41" s="3324">
        <v>61</v>
      </c>
      <c r="G41" s="3324">
        <v>46</v>
      </c>
      <c r="H41" s="3324">
        <v>58</v>
      </c>
      <c r="I41" s="3324">
        <v>81</v>
      </c>
      <c r="J41" s="3324">
        <v>84</v>
      </c>
      <c r="K41" s="3324">
        <v>254</v>
      </c>
      <c r="L41" s="3324">
        <v>150</v>
      </c>
      <c r="M41" s="3324">
        <v>67</v>
      </c>
      <c r="N41" s="3324">
        <v>53</v>
      </c>
      <c r="O41" s="3325">
        <v>30</v>
      </c>
      <c r="P41" s="3326">
        <v>237</v>
      </c>
      <c r="Q41" s="3327">
        <v>128</v>
      </c>
      <c r="R41" s="3327">
        <v>73</v>
      </c>
      <c r="S41" s="3327">
        <v>40</v>
      </c>
      <c r="T41" s="3327">
        <v>66</v>
      </c>
      <c r="U41" s="3327">
        <v>46</v>
      </c>
      <c r="V41" s="3327">
        <v>50</v>
      </c>
      <c r="W41" s="3327">
        <v>211</v>
      </c>
      <c r="X41" s="3327">
        <v>90</v>
      </c>
      <c r="Y41" s="3327">
        <v>48</v>
      </c>
      <c r="Z41" s="3327">
        <v>51</v>
      </c>
      <c r="AA41" s="3456">
        <v>25</v>
      </c>
      <c r="AB41" s="3329">
        <v>188</v>
      </c>
      <c r="AC41" s="3330">
        <v>75</v>
      </c>
      <c r="AD41" s="3330">
        <v>39</v>
      </c>
      <c r="AE41" s="3330">
        <v>40</v>
      </c>
      <c r="AF41" s="3330">
        <v>66</v>
      </c>
      <c r="AG41" s="3330">
        <v>54</v>
      </c>
      <c r="AH41" s="3330">
        <v>44</v>
      </c>
      <c r="AI41" s="3330">
        <v>280</v>
      </c>
      <c r="AJ41" s="3330">
        <v>92</v>
      </c>
      <c r="AK41" s="3330">
        <v>75</v>
      </c>
      <c r="AL41" s="3330">
        <v>46</v>
      </c>
      <c r="AM41" s="3330">
        <v>35</v>
      </c>
      <c r="AN41" s="3331">
        <v>197</v>
      </c>
      <c r="AO41" s="3331">
        <v>50</v>
      </c>
      <c r="AP41" s="3331">
        <v>44</v>
      </c>
      <c r="AQ41" s="3331">
        <v>32</v>
      </c>
      <c r="AR41" s="3331">
        <v>83</v>
      </c>
      <c r="AS41" s="3331">
        <v>39</v>
      </c>
      <c r="AT41" s="3331">
        <v>73</v>
      </c>
      <c r="AU41" s="3331">
        <v>279</v>
      </c>
      <c r="AV41" s="3331">
        <v>128</v>
      </c>
      <c r="AW41" s="3331">
        <v>91</v>
      </c>
      <c r="AX41" s="3331">
        <v>50.29619277685719</v>
      </c>
      <c r="AY41" s="3332">
        <v>47</v>
      </c>
      <c r="AZ41" s="3333">
        <v>385</v>
      </c>
      <c r="BA41" s="3334">
        <v>99</v>
      </c>
      <c r="BB41" s="3334">
        <v>88</v>
      </c>
      <c r="BC41" s="3334">
        <v>73</v>
      </c>
      <c r="BD41" s="3334">
        <v>60</v>
      </c>
      <c r="BE41" s="3334">
        <v>94</v>
      </c>
      <c r="BF41" s="3334">
        <v>69</v>
      </c>
      <c r="BG41" s="3334">
        <v>418</v>
      </c>
      <c r="BH41" s="3334">
        <v>134</v>
      </c>
      <c r="BI41" s="3334">
        <v>100</v>
      </c>
      <c r="BJ41" s="3334">
        <v>88</v>
      </c>
      <c r="BK41" s="3335">
        <v>65</v>
      </c>
      <c r="BL41" s="3336">
        <v>315</v>
      </c>
      <c r="BM41" s="3337">
        <v>297</v>
      </c>
      <c r="BN41" s="3337">
        <v>110</v>
      </c>
      <c r="BO41" s="3337">
        <v>105</v>
      </c>
      <c r="BP41" s="3337">
        <v>179</v>
      </c>
      <c r="BQ41" s="3337">
        <v>242</v>
      </c>
      <c r="BR41" s="3337">
        <v>150</v>
      </c>
      <c r="BS41" s="3337">
        <v>382</v>
      </c>
      <c r="BT41" s="3338">
        <v>198</v>
      </c>
      <c r="BU41" s="3338">
        <v>139</v>
      </c>
      <c r="BV41" s="3338">
        <v>172</v>
      </c>
      <c r="BW41" s="3409">
        <v>68</v>
      </c>
      <c r="BX41" s="3410">
        <v>416</v>
      </c>
      <c r="BY41" s="3341">
        <v>94</v>
      </c>
      <c r="BZ41" s="3341">
        <v>173</v>
      </c>
      <c r="CA41" s="3341">
        <v>135</v>
      </c>
      <c r="CB41" s="3341">
        <v>254</v>
      </c>
      <c r="CC41" s="3341">
        <v>283</v>
      </c>
      <c r="CD41" s="3341">
        <v>161</v>
      </c>
      <c r="CE41" s="3341">
        <v>477</v>
      </c>
      <c r="CF41" s="3341">
        <v>260</v>
      </c>
      <c r="CG41" s="3341">
        <v>193</v>
      </c>
      <c r="CH41" s="3341">
        <v>129</v>
      </c>
      <c r="CI41" s="3342">
        <v>86</v>
      </c>
      <c r="CJ41" s="3343">
        <v>406</v>
      </c>
      <c r="CK41" s="3344">
        <v>175</v>
      </c>
      <c r="CL41" s="3344">
        <v>211</v>
      </c>
      <c r="CM41" s="3344">
        <v>127</v>
      </c>
      <c r="CN41" s="3344">
        <v>308</v>
      </c>
      <c r="CO41" s="3344">
        <v>258</v>
      </c>
      <c r="CP41" s="3344">
        <v>153</v>
      </c>
      <c r="CQ41" s="3344">
        <v>476</v>
      </c>
      <c r="CR41" s="3344">
        <v>217</v>
      </c>
      <c r="CS41" s="3344">
        <v>198</v>
      </c>
      <c r="CT41" s="3344">
        <v>126</v>
      </c>
      <c r="CU41" s="3345">
        <v>98</v>
      </c>
      <c r="CV41" s="3426">
        <v>387</v>
      </c>
      <c r="CW41" s="3344">
        <v>154</v>
      </c>
      <c r="CX41" s="3427">
        <v>213</v>
      </c>
      <c r="CY41" s="3427">
        <v>124</v>
      </c>
      <c r="CZ41" s="3427">
        <v>215</v>
      </c>
      <c r="DA41" s="3427">
        <v>215</v>
      </c>
      <c r="DB41" s="3427">
        <v>174</v>
      </c>
      <c r="DC41" s="3427">
        <v>453</v>
      </c>
      <c r="DD41" s="3347">
        <v>193</v>
      </c>
      <c r="DE41" s="3347">
        <v>182</v>
      </c>
      <c r="DF41" s="3334"/>
      <c r="DG41" s="3334"/>
      <c r="DH41" s="3457">
        <v>343</v>
      </c>
      <c r="DI41" s="3458">
        <v>139</v>
      </c>
      <c r="DJ41" s="3458">
        <v>147</v>
      </c>
      <c r="DK41" s="3459">
        <v>95</v>
      </c>
      <c r="DL41" s="3459">
        <v>207</v>
      </c>
      <c r="DM41" s="3459">
        <v>224</v>
      </c>
      <c r="DN41" s="3459">
        <v>201</v>
      </c>
      <c r="DO41" s="3459">
        <v>337</v>
      </c>
      <c r="DP41" s="3350">
        <v>152</v>
      </c>
      <c r="DQ41" s="3350">
        <v>192</v>
      </c>
      <c r="DR41" s="3350">
        <v>108</v>
      </c>
      <c r="DS41" s="3349">
        <v>66</v>
      </c>
      <c r="DT41" s="3351">
        <v>262</v>
      </c>
      <c r="DU41" s="3351">
        <v>131</v>
      </c>
      <c r="DV41" s="3351">
        <v>164</v>
      </c>
      <c r="DW41" s="3351">
        <v>132</v>
      </c>
      <c r="DX41" s="3351">
        <v>175</v>
      </c>
      <c r="DY41" s="3351">
        <v>184</v>
      </c>
      <c r="DZ41" s="3352"/>
      <c r="EA41" s="3352"/>
      <c r="EB41" s="3352"/>
      <c r="EC41" s="3352"/>
      <c r="ED41" s="3352"/>
      <c r="EE41" s="3352"/>
      <c r="EF41" s="3351">
        <v>262</v>
      </c>
      <c r="EG41" s="3351">
        <v>131</v>
      </c>
      <c r="EH41" s="3351">
        <v>164</v>
      </c>
      <c r="EI41" s="3351">
        <v>132</v>
      </c>
      <c r="EJ41" s="3351">
        <v>175</v>
      </c>
      <c r="EK41" s="3351">
        <v>184</v>
      </c>
      <c r="EL41" s="3352"/>
      <c r="EM41" s="3352"/>
      <c r="EN41" s="3352"/>
      <c r="EO41" s="3352"/>
      <c r="EP41" s="3352"/>
      <c r="EQ41" s="3352"/>
      <c r="ER41" s="3351">
        <v>262</v>
      </c>
      <c r="ES41" s="3351">
        <v>131</v>
      </c>
      <c r="ET41" s="3351">
        <v>164</v>
      </c>
      <c r="EU41" s="3351">
        <v>132</v>
      </c>
      <c r="EV41" s="3351">
        <v>175</v>
      </c>
      <c r="EW41" s="3351">
        <v>184</v>
      </c>
      <c r="EX41" s="3352"/>
      <c r="EY41" s="3352"/>
      <c r="EZ41" s="3352"/>
      <c r="FA41" s="3352"/>
      <c r="FB41" s="3352"/>
      <c r="FC41" s="3352"/>
      <c r="FD41" s="2826"/>
      <c r="FE41" s="2826"/>
      <c r="FF41" s="2826"/>
      <c r="FG41" s="2826"/>
      <c r="FH41" s="2826"/>
      <c r="FI41" s="2826"/>
      <c r="FJ41" s="2826"/>
      <c r="FK41" s="2826"/>
      <c r="FL41" s="2826"/>
      <c r="FM41" s="2826"/>
      <c r="FN41" s="2826"/>
      <c r="FO41" s="2826"/>
      <c r="FP41" s="2827"/>
      <c r="FQ41" s="2826"/>
      <c r="FR41" s="2826"/>
      <c r="FS41" s="2826"/>
      <c r="FT41" s="2826"/>
      <c r="FU41" s="2826"/>
      <c r="FV41" s="2826"/>
      <c r="FW41" s="2826"/>
      <c r="FX41" s="2826"/>
      <c r="FY41" s="2826"/>
      <c r="FZ41" s="2826"/>
      <c r="GA41" s="2826"/>
      <c r="GB41" s="2752"/>
      <c r="GC41" s="2726"/>
      <c r="GD41" s="2828">
        <v>307</v>
      </c>
      <c r="GE41" s="2829">
        <v>185</v>
      </c>
      <c r="GF41" s="2829">
        <v>488</v>
      </c>
      <c r="GG41" s="2830">
        <v>150</v>
      </c>
      <c r="GH41" s="2831">
        <v>438</v>
      </c>
      <c r="GI41" s="2832">
        <v>152</v>
      </c>
      <c r="GJ41" s="2832">
        <v>351</v>
      </c>
      <c r="GK41" s="2833">
        <v>124</v>
      </c>
      <c r="GL41" s="2834">
        <v>302</v>
      </c>
      <c r="GM41" s="2835">
        <v>160</v>
      </c>
      <c r="GN41" s="2836">
        <v>416</v>
      </c>
      <c r="GO41" s="2836">
        <v>156</v>
      </c>
      <c r="GP41" s="2837">
        <v>291</v>
      </c>
      <c r="GQ41" s="2838">
        <v>154</v>
      </c>
      <c r="GR41" s="2838">
        <v>480</v>
      </c>
      <c r="GS41" s="2839">
        <v>188.2961927768572</v>
      </c>
      <c r="GT41" s="2840">
        <v>572</v>
      </c>
      <c r="GU41" s="2841">
        <v>227</v>
      </c>
      <c r="GV41" s="2841">
        <v>621</v>
      </c>
      <c r="GW41" s="2842">
        <v>253</v>
      </c>
      <c r="GX41" s="2838">
        <v>722</v>
      </c>
      <c r="GY41" s="2838">
        <v>526</v>
      </c>
      <c r="GZ41" s="2838">
        <v>730</v>
      </c>
      <c r="HA41" s="2838">
        <v>379</v>
      </c>
      <c r="HB41" s="2843">
        <v>683</v>
      </c>
      <c r="HC41" s="2843">
        <v>672</v>
      </c>
      <c r="HD41" s="2843">
        <v>898</v>
      </c>
      <c r="HE41" s="2843">
        <v>408</v>
      </c>
      <c r="HF41" s="2844">
        <v>792</v>
      </c>
      <c r="HG41" s="2844">
        <v>693</v>
      </c>
      <c r="HH41" s="2844">
        <v>827</v>
      </c>
      <c r="HI41" s="2844">
        <v>422</v>
      </c>
      <c r="HJ41" s="2845">
        <v>754</v>
      </c>
      <c r="HK41" s="2845">
        <v>521</v>
      </c>
      <c r="HL41" s="2845">
        <v>809</v>
      </c>
      <c r="HM41" s="2846">
        <f t="shared" si="9"/>
        <v>629</v>
      </c>
      <c r="HN41" s="2846">
        <f t="shared" si="10"/>
        <v>526</v>
      </c>
      <c r="HO41" s="2846">
        <f t="shared" si="11"/>
        <v>690</v>
      </c>
      <c r="HP41" s="2846">
        <f t="shared" si="12"/>
        <v>366</v>
      </c>
      <c r="HQ41" s="2847">
        <f t="shared" si="13"/>
        <v>557</v>
      </c>
      <c r="HR41" s="2847">
        <f t="shared" si="14"/>
        <v>491</v>
      </c>
      <c r="HS41" s="2727"/>
      <c r="HT41" s="2726"/>
      <c r="HU41" s="2838"/>
      <c r="HV41" s="2843"/>
      <c r="HW41" s="2843"/>
      <c r="HX41" s="2843"/>
      <c r="HY41" s="2838"/>
      <c r="HZ41" s="2843"/>
      <c r="IA41" s="2843"/>
      <c r="IB41" s="2843"/>
      <c r="IC41" s="2843"/>
      <c r="ID41" s="2843"/>
      <c r="IE41" s="2843"/>
      <c r="IF41" s="2843"/>
      <c r="IG41" s="2843"/>
      <c r="IH41" s="2843"/>
      <c r="II41" s="2843"/>
      <c r="IJ41" s="2843"/>
      <c r="IK41" s="2848">
        <v>1130</v>
      </c>
      <c r="IL41" s="3353">
        <v>1065</v>
      </c>
      <c r="IM41" s="3353">
        <v>1034</v>
      </c>
      <c r="IN41" s="3353">
        <v>1113.2961927768572</v>
      </c>
      <c r="IO41" s="3353">
        <v>1673</v>
      </c>
      <c r="IP41" s="3353">
        <v>2357</v>
      </c>
      <c r="IQ41" s="3353">
        <v>2661</v>
      </c>
      <c r="IR41" s="3353">
        <v>2753</v>
      </c>
      <c r="IS41" s="3354">
        <v>2534</v>
      </c>
      <c r="IT41" s="3354">
        <f t="shared" si="15"/>
        <v>2130</v>
      </c>
      <c r="IU41" s="3355">
        <f t="shared" si="16"/>
        <v>1903</v>
      </c>
      <c r="IV41" s="3285"/>
      <c r="IW41" s="3285"/>
      <c r="IX41" s="3285"/>
      <c r="IY41" s="3286"/>
      <c r="IZ41" s="3287"/>
      <c r="JA41" s="3764"/>
      <c r="JC41" s="3285"/>
      <c r="JD41" s="3231"/>
      <c r="JE41" s="3231"/>
      <c r="JF41" s="3231"/>
      <c r="JG41" s="3231"/>
      <c r="JH41" s="2723"/>
      <c r="JI41" s="3262"/>
      <c r="JJ41" s="2723"/>
      <c r="JK41" s="2723"/>
      <c r="JL41" s="2723"/>
      <c r="JM41" s="2723"/>
      <c r="JN41" s="2723"/>
      <c r="JO41" s="2723"/>
      <c r="JP41" s="2723"/>
      <c r="JQ41" s="2723"/>
      <c r="JS41" s="3231"/>
      <c r="JT41" s="3231"/>
      <c r="JU41" s="3231"/>
      <c r="JV41" s="3231"/>
      <c r="JW41" s="3231"/>
      <c r="JX41" s="3231"/>
      <c r="JY41" s="3231"/>
      <c r="JZ41" s="3231"/>
      <c r="KA41" s="3231"/>
      <c r="KB41" s="3231"/>
      <c r="KC41" s="3231"/>
      <c r="KD41" s="3231"/>
      <c r="KE41" s="3231"/>
      <c r="KF41" s="3231"/>
      <c r="KG41" s="3231"/>
      <c r="KH41" s="3231"/>
      <c r="KI41" s="3231"/>
      <c r="KJ41" s="3231"/>
      <c r="KK41" s="3231"/>
      <c r="KL41" s="3231"/>
      <c r="KM41" s="3231"/>
      <c r="KN41" s="3231"/>
      <c r="KO41" s="3231"/>
    </row>
    <row r="42" spans="1:301" ht="21.9" hidden="1" customHeight="1">
      <c r="A42" s="2723"/>
      <c r="B42" s="3231"/>
      <c r="C42" s="3322" t="s">
        <v>80</v>
      </c>
      <c r="D42" s="3323">
        <v>985</v>
      </c>
      <c r="E42" s="3324">
        <v>1104</v>
      </c>
      <c r="F42" s="3324">
        <v>1209</v>
      </c>
      <c r="G42" s="3324">
        <v>1022</v>
      </c>
      <c r="H42" s="3324">
        <v>1335</v>
      </c>
      <c r="I42" s="3324">
        <v>1053</v>
      </c>
      <c r="J42" s="3324">
        <v>1050</v>
      </c>
      <c r="K42" s="3324">
        <v>962</v>
      </c>
      <c r="L42" s="3324">
        <v>1238</v>
      </c>
      <c r="M42" s="3324">
        <v>1260</v>
      </c>
      <c r="N42" s="3324">
        <v>1054</v>
      </c>
      <c r="O42" s="3325">
        <v>542</v>
      </c>
      <c r="P42" s="3326">
        <v>788</v>
      </c>
      <c r="Q42" s="3327">
        <v>1501</v>
      </c>
      <c r="R42" s="3327">
        <v>953</v>
      </c>
      <c r="S42" s="3327">
        <v>1091</v>
      </c>
      <c r="T42" s="3327">
        <v>1044</v>
      </c>
      <c r="U42" s="3327">
        <v>703</v>
      </c>
      <c r="V42" s="3327">
        <v>875</v>
      </c>
      <c r="W42" s="3327">
        <v>785</v>
      </c>
      <c r="X42" s="3327">
        <v>1113</v>
      </c>
      <c r="Y42" s="3327">
        <v>856</v>
      </c>
      <c r="Z42" s="3327">
        <v>1272</v>
      </c>
      <c r="AA42" s="3456">
        <v>563</v>
      </c>
      <c r="AB42" s="3329">
        <v>568</v>
      </c>
      <c r="AC42" s="3330">
        <v>946</v>
      </c>
      <c r="AD42" s="3330">
        <v>1147</v>
      </c>
      <c r="AE42" s="3330">
        <v>565</v>
      </c>
      <c r="AF42" s="3330">
        <v>801</v>
      </c>
      <c r="AG42" s="3330">
        <v>748</v>
      </c>
      <c r="AH42" s="3330">
        <v>623</v>
      </c>
      <c r="AI42" s="3330">
        <v>648</v>
      </c>
      <c r="AJ42" s="3330">
        <v>764</v>
      </c>
      <c r="AK42" s="3330">
        <v>934</v>
      </c>
      <c r="AL42" s="3330">
        <v>752</v>
      </c>
      <c r="AM42" s="3330">
        <v>470</v>
      </c>
      <c r="AN42" s="3331">
        <v>464</v>
      </c>
      <c r="AO42" s="3331">
        <v>562</v>
      </c>
      <c r="AP42" s="3331">
        <v>557</v>
      </c>
      <c r="AQ42" s="3331">
        <v>754</v>
      </c>
      <c r="AR42" s="3331">
        <v>909</v>
      </c>
      <c r="AS42" s="3331">
        <v>740</v>
      </c>
      <c r="AT42" s="3331">
        <v>581</v>
      </c>
      <c r="AU42" s="3331">
        <v>666</v>
      </c>
      <c r="AV42" s="3331">
        <v>1007</v>
      </c>
      <c r="AW42" s="3331">
        <v>1033</v>
      </c>
      <c r="AX42" s="3331">
        <v>649.27812493761098</v>
      </c>
      <c r="AY42" s="3332">
        <v>501</v>
      </c>
      <c r="AZ42" s="3333">
        <v>838</v>
      </c>
      <c r="BA42" s="3334">
        <v>1156</v>
      </c>
      <c r="BB42" s="3334">
        <v>1230</v>
      </c>
      <c r="BC42" s="3334">
        <v>1001</v>
      </c>
      <c r="BD42" s="3334">
        <v>1072</v>
      </c>
      <c r="BE42" s="3334">
        <v>986</v>
      </c>
      <c r="BF42" s="3334">
        <v>987</v>
      </c>
      <c r="BG42" s="3334">
        <v>1081</v>
      </c>
      <c r="BH42" s="3334">
        <v>1340</v>
      </c>
      <c r="BI42" s="3334">
        <v>1699</v>
      </c>
      <c r="BJ42" s="3334">
        <v>2374</v>
      </c>
      <c r="BK42" s="3335">
        <v>1374</v>
      </c>
      <c r="BL42" s="3336">
        <v>1950</v>
      </c>
      <c r="BM42" s="3337">
        <v>1841</v>
      </c>
      <c r="BN42" s="3337">
        <v>2917</v>
      </c>
      <c r="BO42" s="3337">
        <v>2296</v>
      </c>
      <c r="BP42" s="3337">
        <v>3131</v>
      </c>
      <c r="BQ42" s="3337">
        <v>2581</v>
      </c>
      <c r="BR42" s="3337">
        <v>2422</v>
      </c>
      <c r="BS42" s="3337">
        <v>1917</v>
      </c>
      <c r="BT42" s="3338">
        <v>2426</v>
      </c>
      <c r="BU42" s="3338">
        <v>2997</v>
      </c>
      <c r="BV42" s="3338">
        <v>4373</v>
      </c>
      <c r="BW42" s="3409">
        <v>2424</v>
      </c>
      <c r="BX42" s="3410">
        <v>3388</v>
      </c>
      <c r="BY42" s="3341">
        <v>3341</v>
      </c>
      <c r="BZ42" s="3341">
        <v>3874</v>
      </c>
      <c r="CA42" s="3341">
        <v>4632</v>
      </c>
      <c r="CB42" s="3341">
        <v>4453</v>
      </c>
      <c r="CC42" s="3341">
        <v>3996</v>
      </c>
      <c r="CD42" s="3341">
        <v>3740</v>
      </c>
      <c r="CE42" s="3341">
        <v>3336</v>
      </c>
      <c r="CF42" s="3341">
        <v>4692</v>
      </c>
      <c r="CG42" s="3341">
        <v>4492</v>
      </c>
      <c r="CH42" s="3341">
        <v>4299</v>
      </c>
      <c r="CI42" s="3342">
        <v>2714</v>
      </c>
      <c r="CJ42" s="3343">
        <v>3840</v>
      </c>
      <c r="CK42" s="3344">
        <v>4258</v>
      </c>
      <c r="CL42" s="3344">
        <v>4719</v>
      </c>
      <c r="CM42" s="3344">
        <v>3926</v>
      </c>
      <c r="CN42" s="3344">
        <v>4807</v>
      </c>
      <c r="CO42" s="3344">
        <v>3883</v>
      </c>
      <c r="CP42" s="3344">
        <v>4119</v>
      </c>
      <c r="CQ42" s="3344">
        <v>3784</v>
      </c>
      <c r="CR42" s="3344">
        <v>5257</v>
      </c>
      <c r="CS42" s="3344">
        <v>4904</v>
      </c>
      <c r="CT42" s="3344">
        <v>4722</v>
      </c>
      <c r="CU42" s="3345">
        <v>2979</v>
      </c>
      <c r="CV42" s="3426">
        <v>3629</v>
      </c>
      <c r="CW42" s="3344">
        <v>3960</v>
      </c>
      <c r="CX42" s="3427">
        <v>4851</v>
      </c>
      <c r="CY42" s="3427">
        <v>4273</v>
      </c>
      <c r="CZ42" s="3427">
        <v>4279</v>
      </c>
      <c r="DA42" s="3427">
        <v>4253</v>
      </c>
      <c r="DB42" s="3427">
        <v>3757</v>
      </c>
      <c r="DC42" s="3427">
        <v>3291</v>
      </c>
      <c r="DD42" s="3347">
        <v>4327</v>
      </c>
      <c r="DE42" s="3347">
        <v>3989</v>
      </c>
      <c r="DF42" s="3334"/>
      <c r="DG42" s="3334"/>
      <c r="DH42" s="3457">
        <v>3207</v>
      </c>
      <c r="DI42" s="3458">
        <v>3973</v>
      </c>
      <c r="DJ42" s="3458">
        <v>3772</v>
      </c>
      <c r="DK42" s="3459">
        <v>3495</v>
      </c>
      <c r="DL42" s="3459">
        <v>4166</v>
      </c>
      <c r="DM42" s="3459">
        <v>3815</v>
      </c>
      <c r="DN42" s="3459">
        <v>3440</v>
      </c>
      <c r="DO42" s="3459">
        <v>3627</v>
      </c>
      <c r="DP42" s="3381">
        <v>3113</v>
      </c>
      <c r="DQ42" s="3381">
        <v>3415</v>
      </c>
      <c r="DR42" s="3381">
        <v>3346</v>
      </c>
      <c r="DS42" s="3380">
        <v>1732</v>
      </c>
      <c r="DT42" s="3460">
        <v>2634</v>
      </c>
      <c r="DU42" s="3460">
        <v>2539</v>
      </c>
      <c r="DV42" s="3460">
        <v>3537</v>
      </c>
      <c r="DW42" s="3460">
        <v>2559</v>
      </c>
      <c r="DX42" s="3460">
        <v>2979</v>
      </c>
      <c r="DY42" s="3460">
        <v>2860</v>
      </c>
      <c r="DZ42" s="3352"/>
      <c r="EA42" s="3352"/>
      <c r="EB42" s="3352"/>
      <c r="EC42" s="3352"/>
      <c r="ED42" s="3352"/>
      <c r="EE42" s="3352"/>
      <c r="EF42" s="3460">
        <v>2634</v>
      </c>
      <c r="EG42" s="3460">
        <v>2539</v>
      </c>
      <c r="EH42" s="3460">
        <v>3537</v>
      </c>
      <c r="EI42" s="3460">
        <v>2559</v>
      </c>
      <c r="EJ42" s="3460">
        <v>2979</v>
      </c>
      <c r="EK42" s="3460">
        <v>2860</v>
      </c>
      <c r="EL42" s="3352"/>
      <c r="EM42" s="3352"/>
      <c r="EN42" s="3352"/>
      <c r="EO42" s="3352"/>
      <c r="EP42" s="3352"/>
      <c r="EQ42" s="3352"/>
      <c r="ER42" s="3460">
        <v>2634</v>
      </c>
      <c r="ES42" s="3460">
        <v>2539</v>
      </c>
      <c r="ET42" s="3460">
        <v>3537</v>
      </c>
      <c r="EU42" s="3460">
        <v>2559</v>
      </c>
      <c r="EV42" s="3460">
        <v>2979</v>
      </c>
      <c r="EW42" s="3460">
        <v>2860</v>
      </c>
      <c r="EX42" s="3352"/>
      <c r="EY42" s="3352"/>
      <c r="EZ42" s="3352"/>
      <c r="FA42" s="3352"/>
      <c r="FB42" s="3352"/>
      <c r="FC42" s="3352"/>
      <c r="FD42" s="2826"/>
      <c r="FE42" s="2826"/>
      <c r="FF42" s="2826"/>
      <c r="FG42" s="2826"/>
      <c r="FH42" s="2826"/>
      <c r="FI42" s="2826"/>
      <c r="FJ42" s="2826"/>
      <c r="FK42" s="2826"/>
      <c r="FL42" s="2826"/>
      <c r="FM42" s="2826"/>
      <c r="FN42" s="2826"/>
      <c r="FO42" s="2826"/>
      <c r="FP42" s="2827"/>
      <c r="FQ42" s="2826"/>
      <c r="FR42" s="2826"/>
      <c r="FS42" s="2826"/>
      <c r="FT42" s="2826"/>
      <c r="FU42" s="2826"/>
      <c r="FV42" s="2826"/>
      <c r="FW42" s="2826"/>
      <c r="FX42" s="2826"/>
      <c r="FY42" s="2826"/>
      <c r="FZ42" s="2826"/>
      <c r="GA42" s="2826"/>
      <c r="GB42" s="2752"/>
      <c r="GC42" s="2726"/>
      <c r="GD42" s="2828">
        <v>3298</v>
      </c>
      <c r="GE42" s="2829">
        <v>3410</v>
      </c>
      <c r="GF42" s="2829">
        <v>3250</v>
      </c>
      <c r="GG42" s="2830">
        <v>2856</v>
      </c>
      <c r="GH42" s="2831">
        <v>3242</v>
      </c>
      <c r="GI42" s="2832">
        <v>2838</v>
      </c>
      <c r="GJ42" s="2832">
        <v>2773</v>
      </c>
      <c r="GK42" s="2833">
        <v>2691</v>
      </c>
      <c r="GL42" s="2834">
        <v>2661</v>
      </c>
      <c r="GM42" s="2835">
        <v>2114</v>
      </c>
      <c r="GN42" s="2836">
        <v>2035</v>
      </c>
      <c r="GO42" s="2836">
        <v>2156</v>
      </c>
      <c r="GP42" s="2837">
        <v>1583</v>
      </c>
      <c r="GQ42" s="2838">
        <v>2403</v>
      </c>
      <c r="GR42" s="2838">
        <v>2254</v>
      </c>
      <c r="GS42" s="2839">
        <v>2183.2781249376112</v>
      </c>
      <c r="GT42" s="2840">
        <v>3224</v>
      </c>
      <c r="GU42" s="2841">
        <v>3059</v>
      </c>
      <c r="GV42" s="2841">
        <v>3408</v>
      </c>
      <c r="GW42" s="2842">
        <v>5447</v>
      </c>
      <c r="GX42" s="2838">
        <v>6708</v>
      </c>
      <c r="GY42" s="2838">
        <v>8008</v>
      </c>
      <c r="GZ42" s="2838">
        <v>6765</v>
      </c>
      <c r="HA42" s="2838">
        <v>9794</v>
      </c>
      <c r="HB42" s="2843">
        <v>10603</v>
      </c>
      <c r="HC42" s="2843">
        <v>13081</v>
      </c>
      <c r="HD42" s="2843">
        <v>11768</v>
      </c>
      <c r="HE42" s="2843">
        <v>11505</v>
      </c>
      <c r="HF42" s="2844">
        <v>12817</v>
      </c>
      <c r="HG42" s="2844">
        <v>12616</v>
      </c>
      <c r="HH42" s="2844">
        <v>12807</v>
      </c>
      <c r="HI42" s="2844">
        <v>12605</v>
      </c>
      <c r="HJ42" s="2845">
        <v>12440</v>
      </c>
      <c r="HK42" s="2845">
        <v>12541</v>
      </c>
      <c r="HL42" s="2845">
        <v>11037</v>
      </c>
      <c r="HM42" s="2846">
        <f t="shared" si="9"/>
        <v>10952</v>
      </c>
      <c r="HN42" s="2846">
        <f t="shared" si="10"/>
        <v>11476</v>
      </c>
      <c r="HO42" s="2846">
        <f t="shared" si="11"/>
        <v>10180</v>
      </c>
      <c r="HP42" s="2846">
        <f t="shared" si="12"/>
        <v>8493</v>
      </c>
      <c r="HQ42" s="2847">
        <f t="shared" si="13"/>
        <v>8710</v>
      </c>
      <c r="HR42" s="2847">
        <f t="shared" si="14"/>
        <v>8398</v>
      </c>
      <c r="HS42" s="2727"/>
      <c r="HT42" s="2726"/>
      <c r="HU42" s="2838"/>
      <c r="HV42" s="2843"/>
      <c r="HW42" s="2843"/>
      <c r="HX42" s="2843"/>
      <c r="HY42" s="2838"/>
      <c r="HZ42" s="2843"/>
      <c r="IA42" s="2843"/>
      <c r="IB42" s="2843"/>
      <c r="IC42" s="2843"/>
      <c r="ID42" s="2843"/>
      <c r="IE42" s="2843"/>
      <c r="IF42" s="2843"/>
      <c r="IG42" s="2843"/>
      <c r="IH42" s="2843"/>
      <c r="II42" s="2843"/>
      <c r="IJ42" s="2843"/>
      <c r="IK42" s="2848">
        <v>12814</v>
      </c>
      <c r="IL42" s="3353">
        <v>11544</v>
      </c>
      <c r="IM42" s="3353">
        <v>8966</v>
      </c>
      <c r="IN42" s="3353">
        <v>8423.2781249376112</v>
      </c>
      <c r="IO42" s="3353">
        <v>15138</v>
      </c>
      <c r="IP42" s="3353">
        <v>31275</v>
      </c>
      <c r="IQ42" s="3353">
        <v>46957</v>
      </c>
      <c r="IR42" s="3353">
        <v>51198</v>
      </c>
      <c r="IS42" s="3354">
        <v>48310</v>
      </c>
      <c r="IT42" s="3354">
        <f t="shared" si="15"/>
        <v>40528</v>
      </c>
      <c r="IU42" s="3355">
        <f t="shared" si="16"/>
        <v>32341</v>
      </c>
      <c r="IV42" s="3285"/>
      <c r="IW42" s="3285"/>
      <c r="IX42" s="3285"/>
      <c r="IY42" s="3286"/>
      <c r="IZ42" s="3287"/>
      <c r="JA42" s="3764"/>
      <c r="JC42" s="3285"/>
      <c r="JD42" s="3231"/>
      <c r="JE42" s="3231"/>
      <c r="JF42" s="3231"/>
      <c r="JG42" s="3231"/>
      <c r="JH42" s="2723"/>
      <c r="JI42" s="3262"/>
      <c r="JJ42" s="2723"/>
      <c r="JK42" s="2723"/>
      <c r="JL42" s="2723"/>
      <c r="JM42" s="2723"/>
      <c r="JN42" s="2723"/>
      <c r="JO42" s="2723"/>
      <c r="JP42" s="2723"/>
      <c r="JQ42" s="2723"/>
      <c r="JS42" s="3231"/>
      <c r="JT42" s="3231"/>
      <c r="JU42" s="3231"/>
      <c r="JV42" s="3231"/>
      <c r="JW42" s="3231"/>
      <c r="JX42" s="3231"/>
      <c r="JY42" s="3231"/>
      <c r="JZ42" s="3231"/>
      <c r="KA42" s="3231"/>
      <c r="KB42" s="3231"/>
      <c r="KC42" s="3231"/>
      <c r="KD42" s="3231"/>
      <c r="KE42" s="3231"/>
      <c r="KF42" s="3231"/>
      <c r="KG42" s="3231"/>
      <c r="KH42" s="3231"/>
      <c r="KI42" s="3231"/>
      <c r="KJ42" s="3231"/>
      <c r="KK42" s="3231"/>
      <c r="KL42" s="3231"/>
      <c r="KM42" s="3231"/>
      <c r="KN42" s="3231"/>
      <c r="KO42" s="3231"/>
    </row>
    <row r="43" spans="1:301" ht="21.9" hidden="1" customHeight="1">
      <c r="A43" s="2723"/>
      <c r="B43" s="3231"/>
      <c r="C43" s="3322" t="s">
        <v>476</v>
      </c>
      <c r="D43" s="3323">
        <v>775</v>
      </c>
      <c r="E43" s="3324">
        <v>663</v>
      </c>
      <c r="F43" s="3324">
        <v>839</v>
      </c>
      <c r="G43" s="3324">
        <v>756</v>
      </c>
      <c r="H43" s="3324">
        <v>745</v>
      </c>
      <c r="I43" s="3324">
        <v>1105</v>
      </c>
      <c r="J43" s="3324">
        <v>885</v>
      </c>
      <c r="K43" s="3324">
        <v>1294</v>
      </c>
      <c r="L43" s="3324">
        <v>1170</v>
      </c>
      <c r="M43" s="3324">
        <v>1983</v>
      </c>
      <c r="N43" s="3324">
        <v>1503</v>
      </c>
      <c r="O43" s="3325">
        <v>371</v>
      </c>
      <c r="P43" s="3326">
        <v>492</v>
      </c>
      <c r="Q43" s="3327">
        <v>1137</v>
      </c>
      <c r="R43" s="3327">
        <v>845</v>
      </c>
      <c r="S43" s="3327">
        <v>907</v>
      </c>
      <c r="T43" s="3327">
        <v>902</v>
      </c>
      <c r="U43" s="3327">
        <v>541</v>
      </c>
      <c r="V43" s="3327">
        <v>681</v>
      </c>
      <c r="W43" s="3327">
        <v>934</v>
      </c>
      <c r="X43" s="3327">
        <v>803</v>
      </c>
      <c r="Y43" s="3327">
        <v>1300</v>
      </c>
      <c r="Z43" s="3327">
        <v>1180</v>
      </c>
      <c r="AA43" s="3456">
        <v>376</v>
      </c>
      <c r="AB43" s="3329">
        <v>287</v>
      </c>
      <c r="AC43" s="3330">
        <v>551</v>
      </c>
      <c r="AD43" s="3330">
        <v>575</v>
      </c>
      <c r="AE43" s="3330">
        <v>454</v>
      </c>
      <c r="AF43" s="3330">
        <v>409</v>
      </c>
      <c r="AG43" s="3330">
        <v>600</v>
      </c>
      <c r="AH43" s="3330">
        <v>365</v>
      </c>
      <c r="AI43" s="3330">
        <v>647</v>
      </c>
      <c r="AJ43" s="3330">
        <v>463</v>
      </c>
      <c r="AK43" s="3330">
        <v>640</v>
      </c>
      <c r="AL43" s="3330">
        <v>588</v>
      </c>
      <c r="AM43" s="3330">
        <v>189</v>
      </c>
      <c r="AN43" s="3331">
        <v>284</v>
      </c>
      <c r="AO43" s="3331">
        <v>459</v>
      </c>
      <c r="AP43" s="3331">
        <v>424</v>
      </c>
      <c r="AQ43" s="3331">
        <v>336</v>
      </c>
      <c r="AR43" s="3331">
        <v>748</v>
      </c>
      <c r="AS43" s="3331">
        <v>813</v>
      </c>
      <c r="AT43" s="3331">
        <v>587</v>
      </c>
      <c r="AU43" s="3331">
        <v>757</v>
      </c>
      <c r="AV43" s="3331">
        <v>1147</v>
      </c>
      <c r="AW43" s="3331">
        <v>1486</v>
      </c>
      <c r="AX43" s="3331">
        <v>1026.4995707640401</v>
      </c>
      <c r="AY43" s="3332">
        <v>997</v>
      </c>
      <c r="AZ43" s="3333">
        <v>1092</v>
      </c>
      <c r="BA43" s="3334">
        <v>1431</v>
      </c>
      <c r="BB43" s="3334">
        <v>1685</v>
      </c>
      <c r="BC43" s="3334">
        <v>2142</v>
      </c>
      <c r="BD43" s="3334">
        <v>2079</v>
      </c>
      <c r="BE43" s="3334">
        <v>2085</v>
      </c>
      <c r="BF43" s="3334">
        <v>1462</v>
      </c>
      <c r="BG43" s="3334">
        <v>1972</v>
      </c>
      <c r="BH43" s="3334">
        <v>1835</v>
      </c>
      <c r="BI43" s="3334">
        <v>2005</v>
      </c>
      <c r="BJ43" s="3334">
        <v>2645</v>
      </c>
      <c r="BK43" s="3335">
        <v>1587</v>
      </c>
      <c r="BL43" s="3336">
        <v>1036</v>
      </c>
      <c r="BM43" s="3337">
        <v>928</v>
      </c>
      <c r="BN43" s="3337">
        <v>2581</v>
      </c>
      <c r="BO43" s="3337">
        <v>1968</v>
      </c>
      <c r="BP43" s="3337">
        <v>4357</v>
      </c>
      <c r="BQ43" s="3337">
        <v>4615</v>
      </c>
      <c r="BR43" s="3337">
        <v>4308</v>
      </c>
      <c r="BS43" s="3337">
        <v>3216</v>
      </c>
      <c r="BT43" s="3338">
        <v>5385</v>
      </c>
      <c r="BU43" s="3338">
        <v>5215</v>
      </c>
      <c r="BV43" s="3338">
        <v>5331</v>
      </c>
      <c r="BW43" s="3409">
        <v>2034</v>
      </c>
      <c r="BX43" s="3410">
        <v>2290</v>
      </c>
      <c r="BY43" s="3341">
        <v>2702</v>
      </c>
      <c r="BZ43" s="3341">
        <v>4060</v>
      </c>
      <c r="CA43" s="3341">
        <v>3416</v>
      </c>
      <c r="CB43" s="3341">
        <v>3996</v>
      </c>
      <c r="CC43" s="3341">
        <v>3976</v>
      </c>
      <c r="CD43" s="3341">
        <v>3104</v>
      </c>
      <c r="CE43" s="3341">
        <v>2726</v>
      </c>
      <c r="CF43" s="3341">
        <v>3644</v>
      </c>
      <c r="CG43" s="3341">
        <v>3209</v>
      </c>
      <c r="CH43" s="3341">
        <v>3863</v>
      </c>
      <c r="CI43" s="3342">
        <v>3486</v>
      </c>
      <c r="CJ43" s="3343">
        <v>2457</v>
      </c>
      <c r="CK43" s="3344">
        <v>4684</v>
      </c>
      <c r="CL43" s="3344">
        <v>3484</v>
      </c>
      <c r="CM43" s="3344">
        <v>2885</v>
      </c>
      <c r="CN43" s="3344">
        <v>3497</v>
      </c>
      <c r="CO43" s="3344">
        <v>3334</v>
      </c>
      <c r="CP43" s="3344">
        <v>3718</v>
      </c>
      <c r="CQ43" s="3344">
        <v>3400</v>
      </c>
      <c r="CR43" s="3344">
        <v>3970</v>
      </c>
      <c r="CS43" s="3344">
        <v>3836</v>
      </c>
      <c r="CT43" s="3344">
        <v>5097</v>
      </c>
      <c r="CU43" s="3345">
        <v>2490</v>
      </c>
      <c r="CV43" s="3426">
        <v>4070</v>
      </c>
      <c r="CW43" s="3344">
        <v>3451</v>
      </c>
      <c r="CX43" s="3427">
        <v>3710</v>
      </c>
      <c r="CY43" s="3427">
        <v>3644</v>
      </c>
      <c r="CZ43" s="3427">
        <v>4218</v>
      </c>
      <c r="DA43" s="3427">
        <v>3485</v>
      </c>
      <c r="DB43" s="3427">
        <v>3577</v>
      </c>
      <c r="DC43" s="3427">
        <v>3466</v>
      </c>
      <c r="DD43" s="3347">
        <v>3916</v>
      </c>
      <c r="DE43" s="3347">
        <v>3802</v>
      </c>
      <c r="DF43" s="3334"/>
      <c r="DG43" s="3334"/>
      <c r="DH43" s="3457">
        <v>3559</v>
      </c>
      <c r="DI43" s="3458">
        <v>3469</v>
      </c>
      <c r="DJ43" s="3458">
        <v>3261</v>
      </c>
      <c r="DK43" s="3459">
        <v>3285</v>
      </c>
      <c r="DL43" s="3459">
        <v>3105</v>
      </c>
      <c r="DM43" s="3459">
        <v>3612</v>
      </c>
      <c r="DN43" s="3459">
        <v>3531</v>
      </c>
      <c r="DO43" s="3459">
        <v>3455</v>
      </c>
      <c r="DP43" s="3459">
        <v>2257</v>
      </c>
      <c r="DQ43" s="3459">
        <v>4265</v>
      </c>
      <c r="DR43" s="3459">
        <v>3670</v>
      </c>
      <c r="DS43" s="3461">
        <v>1908</v>
      </c>
      <c r="DT43" s="3462">
        <v>2243</v>
      </c>
      <c r="DU43" s="3462">
        <v>2142</v>
      </c>
      <c r="DV43" s="3462">
        <v>2804</v>
      </c>
      <c r="DW43" s="3462">
        <v>2231</v>
      </c>
      <c r="DX43" s="3462">
        <v>2321</v>
      </c>
      <c r="DY43" s="3462">
        <v>2631</v>
      </c>
      <c r="DZ43" s="3463"/>
      <c r="EA43" s="3463"/>
      <c r="EB43" s="3463"/>
      <c r="EC43" s="3463"/>
      <c r="ED43" s="3463"/>
      <c r="EE43" s="3463"/>
      <c r="EF43" s="3462">
        <v>2243</v>
      </c>
      <c r="EG43" s="3462">
        <v>2142</v>
      </c>
      <c r="EH43" s="3462">
        <v>2804</v>
      </c>
      <c r="EI43" s="3462">
        <v>2231</v>
      </c>
      <c r="EJ43" s="3462">
        <v>2321</v>
      </c>
      <c r="EK43" s="3462">
        <v>2631</v>
      </c>
      <c r="EL43" s="3463"/>
      <c r="EM43" s="3463"/>
      <c r="EN43" s="3463"/>
      <c r="EO43" s="3463"/>
      <c r="EP43" s="3463"/>
      <c r="EQ43" s="3463"/>
      <c r="ER43" s="3462">
        <v>2243</v>
      </c>
      <c r="ES43" s="3462">
        <v>2142</v>
      </c>
      <c r="ET43" s="3462">
        <v>2804</v>
      </c>
      <c r="EU43" s="3462">
        <v>2231</v>
      </c>
      <c r="EV43" s="3462">
        <v>2321</v>
      </c>
      <c r="EW43" s="3462">
        <v>2631</v>
      </c>
      <c r="EX43" s="3463"/>
      <c r="EY43" s="3463"/>
      <c r="EZ43" s="3463"/>
      <c r="FA43" s="3463"/>
      <c r="FB43" s="3463"/>
      <c r="FC43" s="3463"/>
      <c r="FD43" s="2826"/>
      <c r="FE43" s="2826"/>
      <c r="FF43" s="2826"/>
      <c r="FG43" s="2826"/>
      <c r="FH43" s="2826"/>
      <c r="FI43" s="2826"/>
      <c r="FJ43" s="2826"/>
      <c r="FK43" s="2826"/>
      <c r="FL43" s="2826"/>
      <c r="FM43" s="2826"/>
      <c r="FN43" s="2826"/>
      <c r="FO43" s="2826"/>
      <c r="FP43" s="2827"/>
      <c r="FQ43" s="2826"/>
      <c r="FR43" s="2826"/>
      <c r="FS43" s="2826"/>
      <c r="FT43" s="2826"/>
      <c r="FU43" s="2826"/>
      <c r="FV43" s="2826"/>
      <c r="FW43" s="2826"/>
      <c r="FX43" s="2826"/>
      <c r="FY43" s="2826"/>
      <c r="FZ43" s="2826"/>
      <c r="GA43" s="2826"/>
      <c r="GB43" s="2752"/>
      <c r="GC43" s="2726"/>
      <c r="GD43" s="2828">
        <v>2277</v>
      </c>
      <c r="GE43" s="2829">
        <v>2606</v>
      </c>
      <c r="GF43" s="2829">
        <v>3349</v>
      </c>
      <c r="GG43" s="2830">
        <v>3857</v>
      </c>
      <c r="GH43" s="2831">
        <v>2474</v>
      </c>
      <c r="GI43" s="2832">
        <v>2350</v>
      </c>
      <c r="GJ43" s="2832">
        <v>2418</v>
      </c>
      <c r="GK43" s="2833">
        <v>2856</v>
      </c>
      <c r="GL43" s="2834">
        <v>1413</v>
      </c>
      <c r="GM43" s="2835">
        <v>1463</v>
      </c>
      <c r="GN43" s="2836">
        <v>1475</v>
      </c>
      <c r="GO43" s="2836">
        <v>1417</v>
      </c>
      <c r="GP43" s="2837">
        <v>1167</v>
      </c>
      <c r="GQ43" s="2838">
        <v>1897</v>
      </c>
      <c r="GR43" s="2838">
        <v>2491</v>
      </c>
      <c r="GS43" s="2839">
        <v>3509.4995707640401</v>
      </c>
      <c r="GT43" s="2840">
        <v>4208</v>
      </c>
      <c r="GU43" s="2841">
        <v>6306</v>
      </c>
      <c r="GV43" s="2841">
        <v>5269</v>
      </c>
      <c r="GW43" s="2842">
        <v>6237</v>
      </c>
      <c r="GX43" s="2838">
        <v>4545</v>
      </c>
      <c r="GY43" s="2838">
        <v>10940</v>
      </c>
      <c r="GZ43" s="2838">
        <v>12909</v>
      </c>
      <c r="HA43" s="2838">
        <v>12580</v>
      </c>
      <c r="HB43" s="2843">
        <v>9052</v>
      </c>
      <c r="HC43" s="2843">
        <v>11388</v>
      </c>
      <c r="HD43" s="2843">
        <v>9474</v>
      </c>
      <c r="HE43" s="2843">
        <v>10558</v>
      </c>
      <c r="HF43" s="2844">
        <v>10625</v>
      </c>
      <c r="HG43" s="2844">
        <v>9716</v>
      </c>
      <c r="HH43" s="2844">
        <v>10954</v>
      </c>
      <c r="HI43" s="2844">
        <v>11423</v>
      </c>
      <c r="HJ43" s="2845">
        <v>11231</v>
      </c>
      <c r="HK43" s="2845">
        <v>11664</v>
      </c>
      <c r="HL43" s="2845">
        <v>10845</v>
      </c>
      <c r="HM43" s="2846">
        <f t="shared" si="9"/>
        <v>10289</v>
      </c>
      <c r="HN43" s="2846">
        <f t="shared" si="10"/>
        <v>10002</v>
      </c>
      <c r="HO43" s="2846">
        <f t="shared" si="11"/>
        <v>9243</v>
      </c>
      <c r="HP43" s="2846">
        <f t="shared" si="12"/>
        <v>9843</v>
      </c>
      <c r="HQ43" s="2847">
        <f t="shared" si="13"/>
        <v>7189</v>
      </c>
      <c r="HR43" s="2847">
        <f t="shared" si="14"/>
        <v>7183</v>
      </c>
      <c r="HS43" s="2727"/>
      <c r="HT43" s="2726"/>
      <c r="HU43" s="2838"/>
      <c r="HV43" s="2843"/>
      <c r="HW43" s="2843"/>
      <c r="HX43" s="2843"/>
      <c r="HY43" s="2838"/>
      <c r="HZ43" s="2843"/>
      <c r="IA43" s="2843"/>
      <c r="IB43" s="2843"/>
      <c r="IC43" s="2843"/>
      <c r="ID43" s="2843"/>
      <c r="IE43" s="2843"/>
      <c r="IF43" s="2843"/>
      <c r="IG43" s="2843"/>
      <c r="IH43" s="2843"/>
      <c r="II43" s="2843"/>
      <c r="IJ43" s="2843"/>
      <c r="IK43" s="2848">
        <v>12089</v>
      </c>
      <c r="IL43" s="3353">
        <v>10098</v>
      </c>
      <c r="IM43" s="3353">
        <v>5768</v>
      </c>
      <c r="IN43" s="3353">
        <v>9064.499570764041</v>
      </c>
      <c r="IO43" s="3353">
        <v>22020</v>
      </c>
      <c r="IP43" s="3353">
        <v>40974</v>
      </c>
      <c r="IQ43" s="3353">
        <v>40472</v>
      </c>
      <c r="IR43" s="3353">
        <v>42852</v>
      </c>
      <c r="IS43" s="3354">
        <v>44926</v>
      </c>
      <c r="IT43" s="3354">
        <f t="shared" si="15"/>
        <v>38061</v>
      </c>
      <c r="IU43" s="3355">
        <f t="shared" si="16"/>
        <v>29927</v>
      </c>
      <c r="IV43" s="3285"/>
      <c r="IW43" s="3285"/>
      <c r="IX43" s="3285"/>
      <c r="IY43" s="3286"/>
      <c r="IZ43" s="3287"/>
      <c r="JA43" s="3764"/>
      <c r="JC43" s="3285"/>
      <c r="JD43" s="3231"/>
      <c r="JE43" s="3231"/>
      <c r="JF43" s="3231"/>
      <c r="JG43" s="3231"/>
      <c r="JH43" s="2723"/>
      <c r="JI43" s="3262"/>
      <c r="JJ43" s="2723"/>
      <c r="JK43" s="2723"/>
      <c r="JL43" s="2723"/>
      <c r="JM43" s="2723"/>
      <c r="JN43" s="2723"/>
      <c r="JO43" s="2723"/>
      <c r="JP43" s="2723"/>
      <c r="JQ43" s="2723"/>
      <c r="JS43" s="3231"/>
      <c r="JT43" s="3231"/>
      <c r="JU43" s="3231"/>
      <c r="JV43" s="3231"/>
      <c r="JW43" s="3231"/>
      <c r="JX43" s="3231"/>
      <c r="JY43" s="3231"/>
      <c r="JZ43" s="3231"/>
      <c r="KA43" s="3231"/>
      <c r="KB43" s="3231"/>
      <c r="KC43" s="3231"/>
      <c r="KD43" s="3231"/>
      <c r="KE43" s="3231"/>
      <c r="KF43" s="3231"/>
      <c r="KG43" s="3231"/>
      <c r="KH43" s="3231"/>
      <c r="KI43" s="3231"/>
      <c r="KJ43" s="3231"/>
      <c r="KK43" s="3231"/>
      <c r="KL43" s="3231"/>
      <c r="KM43" s="3231"/>
      <c r="KN43" s="3231"/>
      <c r="KO43" s="3231"/>
    </row>
    <row r="44" spans="1:301" ht="21.9" hidden="1" customHeight="1">
      <c r="A44" s="2723"/>
      <c r="B44" s="3231"/>
      <c r="C44" s="3322" t="s">
        <v>477</v>
      </c>
      <c r="D44" s="3323">
        <v>1883</v>
      </c>
      <c r="E44" s="3324">
        <v>1657</v>
      </c>
      <c r="F44" s="3324">
        <v>1327</v>
      </c>
      <c r="G44" s="3324">
        <v>1486</v>
      </c>
      <c r="H44" s="3324">
        <v>2201</v>
      </c>
      <c r="I44" s="3324">
        <v>3604</v>
      </c>
      <c r="J44" s="3324">
        <v>3509</v>
      </c>
      <c r="K44" s="3324">
        <v>3236</v>
      </c>
      <c r="L44" s="3324">
        <v>2537</v>
      </c>
      <c r="M44" s="3324">
        <v>2554</v>
      </c>
      <c r="N44" s="3324">
        <v>2676</v>
      </c>
      <c r="O44" s="3325">
        <v>3210</v>
      </c>
      <c r="P44" s="3326">
        <v>2593</v>
      </c>
      <c r="Q44" s="3327">
        <v>2890</v>
      </c>
      <c r="R44" s="3327">
        <v>2030</v>
      </c>
      <c r="S44" s="3327">
        <v>1676</v>
      </c>
      <c r="T44" s="3327">
        <v>1641</v>
      </c>
      <c r="U44" s="3327">
        <v>1567</v>
      </c>
      <c r="V44" s="3327">
        <v>1836</v>
      </c>
      <c r="W44" s="3327">
        <v>2705</v>
      </c>
      <c r="X44" s="3327">
        <v>2156</v>
      </c>
      <c r="Y44" s="3327">
        <v>1860</v>
      </c>
      <c r="Z44" s="3327">
        <v>1845</v>
      </c>
      <c r="AA44" s="3456">
        <v>1709</v>
      </c>
      <c r="AB44" s="3329">
        <v>2679</v>
      </c>
      <c r="AC44" s="3330">
        <v>1612</v>
      </c>
      <c r="AD44" s="3330">
        <v>1971</v>
      </c>
      <c r="AE44" s="3330">
        <v>2265</v>
      </c>
      <c r="AF44" s="3330">
        <v>438</v>
      </c>
      <c r="AG44" s="3330">
        <v>2358</v>
      </c>
      <c r="AH44" s="3330">
        <v>2117</v>
      </c>
      <c r="AI44" s="3330">
        <v>2228</v>
      </c>
      <c r="AJ44" s="3330">
        <v>1865</v>
      </c>
      <c r="AK44" s="3330">
        <v>2161</v>
      </c>
      <c r="AL44" s="3330">
        <v>2220</v>
      </c>
      <c r="AM44" s="3330">
        <v>1801</v>
      </c>
      <c r="AN44" s="3331">
        <v>2783</v>
      </c>
      <c r="AO44" s="3331">
        <v>2057</v>
      </c>
      <c r="AP44" s="3331">
        <v>1543</v>
      </c>
      <c r="AQ44" s="3331">
        <v>1821</v>
      </c>
      <c r="AR44" s="3331">
        <v>2319</v>
      </c>
      <c r="AS44" s="3331">
        <v>2281</v>
      </c>
      <c r="AT44" s="3331">
        <v>2194</v>
      </c>
      <c r="AU44" s="3331">
        <v>2970</v>
      </c>
      <c r="AV44" s="3331">
        <v>2164</v>
      </c>
      <c r="AW44" s="3331">
        <v>2240</v>
      </c>
      <c r="AX44" s="3331">
        <v>10381.591427259478</v>
      </c>
      <c r="AY44" s="3332">
        <v>2371</v>
      </c>
      <c r="AZ44" s="3333">
        <v>2680</v>
      </c>
      <c r="BA44" s="3334">
        <v>2563</v>
      </c>
      <c r="BB44" s="3334">
        <v>1944</v>
      </c>
      <c r="BC44" s="3334">
        <v>2119</v>
      </c>
      <c r="BD44" s="3334">
        <v>1994</v>
      </c>
      <c r="BE44" s="3334">
        <v>2793</v>
      </c>
      <c r="BF44" s="3334">
        <v>2433</v>
      </c>
      <c r="BG44" s="3334">
        <v>2791</v>
      </c>
      <c r="BH44" s="3334">
        <v>2051</v>
      </c>
      <c r="BI44" s="3334">
        <v>1537</v>
      </c>
      <c r="BJ44" s="3334">
        <v>2283</v>
      </c>
      <c r="BK44" s="3335">
        <v>1459</v>
      </c>
      <c r="BL44" s="3336">
        <v>1785</v>
      </c>
      <c r="BM44" s="3337">
        <v>1685</v>
      </c>
      <c r="BN44" s="3337">
        <v>1086</v>
      </c>
      <c r="BO44" s="3337">
        <v>1869</v>
      </c>
      <c r="BP44" s="3337">
        <v>2160</v>
      </c>
      <c r="BQ44" s="3337">
        <v>2332</v>
      </c>
      <c r="BR44" s="3337">
        <v>2240</v>
      </c>
      <c r="BS44" s="3337">
        <v>3166</v>
      </c>
      <c r="BT44" s="3338">
        <v>2134</v>
      </c>
      <c r="BU44" s="3338">
        <v>2416</v>
      </c>
      <c r="BV44" s="3338">
        <v>2694</v>
      </c>
      <c r="BW44" s="3409">
        <v>3297</v>
      </c>
      <c r="BX44" s="3410">
        <v>2413</v>
      </c>
      <c r="BY44" s="3341">
        <v>1877</v>
      </c>
      <c r="BZ44" s="3341">
        <v>1269</v>
      </c>
      <c r="CA44" s="3341">
        <v>1566</v>
      </c>
      <c r="CB44" s="3341">
        <v>1643</v>
      </c>
      <c r="CC44" s="3341">
        <v>1803</v>
      </c>
      <c r="CD44" s="3341">
        <v>925</v>
      </c>
      <c r="CE44" s="3341">
        <v>1671</v>
      </c>
      <c r="CF44" s="3341">
        <v>1492</v>
      </c>
      <c r="CG44" s="3341">
        <v>1377</v>
      </c>
      <c r="CH44" s="3341">
        <v>1546</v>
      </c>
      <c r="CI44" s="3342">
        <v>1822</v>
      </c>
      <c r="CJ44" s="3343">
        <v>1643</v>
      </c>
      <c r="CK44" s="3344">
        <v>1252</v>
      </c>
      <c r="CL44" s="3344">
        <v>982</v>
      </c>
      <c r="CM44" s="3344">
        <v>970</v>
      </c>
      <c r="CN44" s="3344">
        <v>982</v>
      </c>
      <c r="CO44" s="3344">
        <v>987</v>
      </c>
      <c r="CP44" s="3344">
        <v>1121</v>
      </c>
      <c r="CQ44" s="3344">
        <v>1228</v>
      </c>
      <c r="CR44" s="3344">
        <v>1125</v>
      </c>
      <c r="CS44" s="3344">
        <v>1046</v>
      </c>
      <c r="CT44" s="3344">
        <v>1138</v>
      </c>
      <c r="CU44" s="3345">
        <v>1452</v>
      </c>
      <c r="CV44" s="3426">
        <v>1144</v>
      </c>
      <c r="CW44" s="3344">
        <v>995</v>
      </c>
      <c r="CX44" s="3427">
        <v>901</v>
      </c>
      <c r="CY44" s="3427">
        <v>809</v>
      </c>
      <c r="CZ44" s="3427">
        <v>812</v>
      </c>
      <c r="DA44" s="3427">
        <v>1255</v>
      </c>
      <c r="DB44" s="3427">
        <v>1088</v>
      </c>
      <c r="DC44" s="3427">
        <v>1108</v>
      </c>
      <c r="DD44" s="3347">
        <v>1098</v>
      </c>
      <c r="DE44" s="3347">
        <v>1037</v>
      </c>
      <c r="DF44" s="3334"/>
      <c r="DG44" s="3334"/>
      <c r="DH44" s="3457">
        <v>1150</v>
      </c>
      <c r="DI44" s="3458">
        <v>934</v>
      </c>
      <c r="DJ44" s="3458">
        <v>1033</v>
      </c>
      <c r="DK44" s="3459">
        <v>882</v>
      </c>
      <c r="DL44" s="3459">
        <v>982</v>
      </c>
      <c r="DM44" s="3459">
        <v>1399</v>
      </c>
      <c r="DN44" s="3459">
        <v>1302</v>
      </c>
      <c r="DO44" s="3459">
        <v>1196</v>
      </c>
      <c r="DP44" s="3459">
        <v>2903</v>
      </c>
      <c r="DQ44" s="3459">
        <f>4441+5217</f>
        <v>9658</v>
      </c>
      <c r="DR44" s="3459">
        <v>5266</v>
      </c>
      <c r="DS44" s="3461">
        <v>9991</v>
      </c>
      <c r="DT44" s="3462">
        <v>5888</v>
      </c>
      <c r="DU44" s="3462">
        <v>6056</v>
      </c>
      <c r="DV44" s="3462">
        <v>5759</v>
      </c>
      <c r="DW44" s="3462">
        <v>6061</v>
      </c>
      <c r="DX44" s="3462">
        <v>5858</v>
      </c>
      <c r="DY44" s="3462">
        <v>8774</v>
      </c>
      <c r="DZ44" s="3463"/>
      <c r="EA44" s="3463"/>
      <c r="EB44" s="3463"/>
      <c r="EC44" s="3463"/>
      <c r="ED44" s="3463"/>
      <c r="EE44" s="3463"/>
      <c r="EF44" s="3462">
        <v>5888</v>
      </c>
      <c r="EG44" s="3462">
        <v>6056</v>
      </c>
      <c r="EH44" s="3462">
        <v>5759</v>
      </c>
      <c r="EI44" s="3462">
        <v>6061</v>
      </c>
      <c r="EJ44" s="3462">
        <v>5858</v>
      </c>
      <c r="EK44" s="3462">
        <v>8774</v>
      </c>
      <c r="EL44" s="3463"/>
      <c r="EM44" s="3463"/>
      <c r="EN44" s="3463"/>
      <c r="EO44" s="3463"/>
      <c r="EP44" s="3463"/>
      <c r="EQ44" s="3463"/>
      <c r="ER44" s="3462">
        <v>5888</v>
      </c>
      <c r="ES44" s="3462">
        <v>6056</v>
      </c>
      <c r="ET44" s="3462">
        <v>5759</v>
      </c>
      <c r="EU44" s="3462">
        <v>6061</v>
      </c>
      <c r="EV44" s="3462">
        <v>5858</v>
      </c>
      <c r="EW44" s="3462">
        <v>8774</v>
      </c>
      <c r="EX44" s="3463"/>
      <c r="EY44" s="3463"/>
      <c r="EZ44" s="3463"/>
      <c r="FA44" s="3463"/>
      <c r="FB44" s="3463"/>
      <c r="FC44" s="3463"/>
      <c r="FD44" s="2826"/>
      <c r="FE44" s="2826"/>
      <c r="FF44" s="2826"/>
      <c r="FG44" s="2826"/>
      <c r="FH44" s="2826"/>
      <c r="FI44" s="2826"/>
      <c r="FJ44" s="2826"/>
      <c r="FK44" s="2826"/>
      <c r="FL44" s="2826"/>
      <c r="FM44" s="2826"/>
      <c r="FN44" s="2826"/>
      <c r="FO44" s="2826"/>
      <c r="FP44" s="2827"/>
      <c r="FQ44" s="2826"/>
      <c r="FR44" s="2826"/>
      <c r="FS44" s="2826"/>
      <c r="FT44" s="2826"/>
      <c r="FU44" s="2826"/>
      <c r="FV44" s="2826"/>
      <c r="FW44" s="2826"/>
      <c r="FX44" s="2826"/>
      <c r="FY44" s="2826"/>
      <c r="FZ44" s="2826"/>
      <c r="GA44" s="2826"/>
      <c r="GB44" s="2752"/>
      <c r="GC44" s="2726"/>
      <c r="GD44" s="2828">
        <v>4867</v>
      </c>
      <c r="GE44" s="2829">
        <v>7291</v>
      </c>
      <c r="GF44" s="2829">
        <v>9282</v>
      </c>
      <c r="GG44" s="2830">
        <v>8440</v>
      </c>
      <c r="GH44" s="2831">
        <v>7513</v>
      </c>
      <c r="GI44" s="2832">
        <v>4884</v>
      </c>
      <c r="GJ44" s="2832">
        <v>6697</v>
      </c>
      <c r="GK44" s="2833">
        <v>5414</v>
      </c>
      <c r="GL44" s="2834">
        <v>6262</v>
      </c>
      <c r="GM44" s="2835">
        <v>5061</v>
      </c>
      <c r="GN44" s="2836">
        <v>6210</v>
      </c>
      <c r="GO44" s="2836">
        <v>6182</v>
      </c>
      <c r="GP44" s="2837">
        <v>6383</v>
      </c>
      <c r="GQ44" s="2838">
        <v>6421</v>
      </c>
      <c r="GR44" s="2838">
        <v>7328</v>
      </c>
      <c r="GS44" s="2839">
        <v>14992.591427259478</v>
      </c>
      <c r="GT44" s="2840">
        <v>7187</v>
      </c>
      <c r="GU44" s="2841">
        <v>6906</v>
      </c>
      <c r="GV44" s="2841">
        <v>7275</v>
      </c>
      <c r="GW44" s="2842">
        <v>5279</v>
      </c>
      <c r="GX44" s="2838">
        <v>4556</v>
      </c>
      <c r="GY44" s="2838">
        <v>6361</v>
      </c>
      <c r="GZ44" s="2838">
        <v>7540</v>
      </c>
      <c r="HA44" s="2838">
        <v>8407</v>
      </c>
      <c r="HB44" s="2843">
        <v>5559</v>
      </c>
      <c r="HC44" s="2843">
        <v>5012</v>
      </c>
      <c r="HD44" s="2843">
        <v>4088</v>
      </c>
      <c r="HE44" s="2843">
        <v>4745</v>
      </c>
      <c r="HF44" s="2844">
        <v>3877</v>
      </c>
      <c r="HG44" s="2844">
        <v>2939</v>
      </c>
      <c r="HH44" s="2844">
        <v>3395</v>
      </c>
      <c r="HI44" s="2844">
        <v>3636</v>
      </c>
      <c r="HJ44" s="2845">
        <v>3040</v>
      </c>
      <c r="HK44" s="2845">
        <v>2658</v>
      </c>
      <c r="HL44" s="2845">
        <v>3233</v>
      </c>
      <c r="HM44" s="2846">
        <f t="shared" si="9"/>
        <v>3117</v>
      </c>
      <c r="HN44" s="2846">
        <f t="shared" si="10"/>
        <v>3263</v>
      </c>
      <c r="HO44" s="2846">
        <f t="shared" si="11"/>
        <v>5401</v>
      </c>
      <c r="HP44" s="2846">
        <f t="shared" si="12"/>
        <v>24915</v>
      </c>
      <c r="HQ44" s="2847">
        <f t="shared" si="13"/>
        <v>17703</v>
      </c>
      <c r="HR44" s="2847">
        <f t="shared" si="14"/>
        <v>20693</v>
      </c>
      <c r="HS44" s="2727"/>
      <c r="HT44" s="2726"/>
      <c r="HU44" s="2838"/>
      <c r="HV44" s="2843"/>
      <c r="HW44" s="2843"/>
      <c r="HX44" s="2843"/>
      <c r="HY44" s="2838"/>
      <c r="HZ44" s="2843"/>
      <c r="IA44" s="2843"/>
      <c r="IB44" s="2843"/>
      <c r="IC44" s="2843"/>
      <c r="ID44" s="2843"/>
      <c r="IE44" s="2843"/>
      <c r="IF44" s="2843"/>
      <c r="IG44" s="2843"/>
      <c r="IH44" s="2843"/>
      <c r="II44" s="2843"/>
      <c r="IJ44" s="2843"/>
      <c r="IK44" s="2848">
        <v>29880</v>
      </c>
      <c r="IL44" s="3353">
        <v>24508</v>
      </c>
      <c r="IM44" s="3353">
        <v>23715</v>
      </c>
      <c r="IN44" s="3353">
        <v>35124.591427259482</v>
      </c>
      <c r="IO44" s="3353">
        <v>26647</v>
      </c>
      <c r="IP44" s="3353">
        <v>26864</v>
      </c>
      <c r="IQ44" s="3353">
        <v>19404</v>
      </c>
      <c r="IR44" s="3353">
        <v>13926</v>
      </c>
      <c r="IS44" s="3354">
        <v>12837</v>
      </c>
      <c r="IT44" s="3354">
        <f t="shared" si="15"/>
        <v>41434</v>
      </c>
      <c r="IU44" s="3355">
        <f t="shared" si="16"/>
        <v>67410</v>
      </c>
      <c r="IV44" s="3285"/>
      <c r="IW44" s="3285"/>
      <c r="IX44" s="3285"/>
      <c r="IY44" s="3286"/>
      <c r="IZ44" s="3287"/>
      <c r="JA44" s="3764"/>
      <c r="JC44" s="3285"/>
      <c r="JD44" s="3231"/>
      <c r="JE44" s="3231"/>
      <c r="JF44" s="3231"/>
      <c r="JG44" s="3231"/>
      <c r="JH44" s="2723"/>
      <c r="JI44" s="3262"/>
      <c r="JJ44" s="2723"/>
      <c r="JK44" s="2723"/>
      <c r="JL44" s="2723"/>
      <c r="JM44" s="2723"/>
      <c r="JN44" s="2723"/>
      <c r="JO44" s="2723"/>
      <c r="JP44" s="2723"/>
      <c r="JQ44" s="2723"/>
      <c r="JS44" s="3231"/>
      <c r="JT44" s="3231"/>
      <c r="JU44" s="3231"/>
      <c r="JV44" s="3231"/>
      <c r="JW44" s="3231"/>
      <c r="JX44" s="3231"/>
      <c r="JY44" s="3231"/>
      <c r="JZ44" s="3231"/>
      <c r="KA44" s="3231"/>
      <c r="KB44" s="3231"/>
      <c r="KC44" s="3231"/>
      <c r="KD44" s="3231"/>
      <c r="KE44" s="3231"/>
      <c r="KF44" s="3231"/>
      <c r="KG44" s="3231"/>
      <c r="KH44" s="3231"/>
      <c r="KI44" s="3231"/>
      <c r="KJ44" s="3231"/>
      <c r="KK44" s="3231"/>
      <c r="KL44" s="3231"/>
      <c r="KM44" s="3231"/>
      <c r="KN44" s="3231"/>
      <c r="KO44" s="3231"/>
    </row>
    <row r="45" spans="1:301" ht="21.9" hidden="1" customHeight="1">
      <c r="A45" s="2723"/>
      <c r="B45" s="3231"/>
      <c r="C45" s="3322" t="s">
        <v>51</v>
      </c>
      <c r="D45" s="3323">
        <v>4783</v>
      </c>
      <c r="E45" s="3324">
        <v>4134</v>
      </c>
      <c r="F45" s="3324">
        <v>4077</v>
      </c>
      <c r="G45" s="3324">
        <v>3525</v>
      </c>
      <c r="H45" s="3324">
        <v>3362</v>
      </c>
      <c r="I45" s="3324">
        <v>2512</v>
      </c>
      <c r="J45" s="3324">
        <v>3996</v>
      </c>
      <c r="K45" s="3324">
        <v>3396</v>
      </c>
      <c r="L45" s="3324">
        <v>2487</v>
      </c>
      <c r="M45" s="3324">
        <v>2388</v>
      </c>
      <c r="N45" s="3324">
        <v>2757</v>
      </c>
      <c r="O45" s="3325">
        <v>2918</v>
      </c>
      <c r="P45" s="3326">
        <v>4821</v>
      </c>
      <c r="Q45" s="3327">
        <v>5536</v>
      </c>
      <c r="R45" s="3327">
        <v>5072</v>
      </c>
      <c r="S45" s="3327">
        <v>4594</v>
      </c>
      <c r="T45" s="3327">
        <v>5071</v>
      </c>
      <c r="U45" s="3327">
        <v>6110</v>
      </c>
      <c r="V45" s="3327">
        <v>7060</v>
      </c>
      <c r="W45" s="3327">
        <v>7391</v>
      </c>
      <c r="X45" s="3327">
        <v>4246</v>
      </c>
      <c r="Y45" s="3327">
        <v>5190</v>
      </c>
      <c r="Z45" s="3327">
        <v>4782</v>
      </c>
      <c r="AA45" s="3456">
        <v>4025</v>
      </c>
      <c r="AB45" s="3329">
        <v>6495</v>
      </c>
      <c r="AC45" s="3330">
        <v>6475</v>
      </c>
      <c r="AD45" s="3330">
        <v>5388</v>
      </c>
      <c r="AE45" s="3330">
        <v>4805</v>
      </c>
      <c r="AF45" s="3330">
        <v>4509</v>
      </c>
      <c r="AG45" s="3330">
        <v>6490</v>
      </c>
      <c r="AH45" s="3330">
        <v>6440</v>
      </c>
      <c r="AI45" s="3330">
        <v>7596</v>
      </c>
      <c r="AJ45" s="3330">
        <v>6858</v>
      </c>
      <c r="AK45" s="3330">
        <v>6415</v>
      </c>
      <c r="AL45" s="3330">
        <v>6479</v>
      </c>
      <c r="AM45" s="3330">
        <v>8718</v>
      </c>
      <c r="AN45" s="3331">
        <v>8568</v>
      </c>
      <c r="AO45" s="3331">
        <v>8622</v>
      </c>
      <c r="AP45" s="3331">
        <v>7042</v>
      </c>
      <c r="AQ45" s="3331">
        <v>5936</v>
      </c>
      <c r="AR45" s="3331">
        <v>4420</v>
      </c>
      <c r="AS45" s="3331">
        <v>4519</v>
      </c>
      <c r="AT45" s="3331">
        <v>3901</v>
      </c>
      <c r="AU45" s="3331">
        <v>4756</v>
      </c>
      <c r="AV45" s="3331">
        <v>2866</v>
      </c>
      <c r="AW45" s="3331">
        <v>2890</v>
      </c>
      <c r="AX45" s="3331">
        <v>2190.1705763740542</v>
      </c>
      <c r="AY45" s="3332">
        <v>2282</v>
      </c>
      <c r="AZ45" s="3333">
        <v>2683</v>
      </c>
      <c r="BA45" s="3334">
        <v>2283</v>
      </c>
      <c r="BB45" s="3334">
        <v>3776</v>
      </c>
      <c r="BC45" s="3334">
        <v>2371</v>
      </c>
      <c r="BD45" s="3334">
        <v>3580</v>
      </c>
      <c r="BE45" s="3334">
        <v>4368</v>
      </c>
      <c r="BF45" s="3334">
        <v>3375</v>
      </c>
      <c r="BG45" s="3334">
        <v>3528</v>
      </c>
      <c r="BH45" s="3334">
        <v>3370</v>
      </c>
      <c r="BI45" s="3334">
        <v>3410</v>
      </c>
      <c r="BJ45" s="3334">
        <v>3543</v>
      </c>
      <c r="BK45" s="3335">
        <v>3211</v>
      </c>
      <c r="BL45" s="3336">
        <v>1707</v>
      </c>
      <c r="BM45" s="3337">
        <v>1662</v>
      </c>
      <c r="BN45" s="3337">
        <v>3753</v>
      </c>
      <c r="BO45" s="3337">
        <v>4295</v>
      </c>
      <c r="BP45" s="3337">
        <v>3504</v>
      </c>
      <c r="BQ45" s="3337">
        <v>4198</v>
      </c>
      <c r="BR45" s="3337">
        <v>3126</v>
      </c>
      <c r="BS45" s="3337">
        <v>4598</v>
      </c>
      <c r="BT45" s="3338">
        <v>3635</v>
      </c>
      <c r="BU45" s="3338">
        <v>3500</v>
      </c>
      <c r="BV45" s="3338">
        <v>3876</v>
      </c>
      <c r="BW45" s="3409">
        <v>5165</v>
      </c>
      <c r="BX45" s="3410">
        <v>5702</v>
      </c>
      <c r="BY45" s="3341">
        <v>5203</v>
      </c>
      <c r="BZ45" s="3341">
        <v>4632</v>
      </c>
      <c r="CA45" s="3341">
        <v>5333</v>
      </c>
      <c r="CB45" s="3341">
        <v>6487</v>
      </c>
      <c r="CC45" s="3341">
        <v>8469</v>
      </c>
      <c r="CD45" s="3341">
        <v>6830</v>
      </c>
      <c r="CE45" s="3341">
        <v>7187</v>
      </c>
      <c r="CF45" s="3341">
        <v>7349</v>
      </c>
      <c r="CG45" s="3341">
        <v>6676</v>
      </c>
      <c r="CH45" s="3341">
        <v>6954</v>
      </c>
      <c r="CI45" s="3342">
        <v>9911</v>
      </c>
      <c r="CJ45" s="3343">
        <v>8268</v>
      </c>
      <c r="CK45" s="3344">
        <v>9133</v>
      </c>
      <c r="CL45" s="3344">
        <v>8894</v>
      </c>
      <c r="CM45" s="3344">
        <v>7678</v>
      </c>
      <c r="CN45" s="3344">
        <v>8441</v>
      </c>
      <c r="CO45" s="3344">
        <v>8581</v>
      </c>
      <c r="CP45" s="3344">
        <v>11015</v>
      </c>
      <c r="CQ45" s="3344">
        <v>9745</v>
      </c>
      <c r="CR45" s="3344">
        <v>8934</v>
      </c>
      <c r="CS45" s="3344">
        <v>9422</v>
      </c>
      <c r="CT45" s="3344">
        <v>9758</v>
      </c>
      <c r="CU45" s="3345">
        <v>13693</v>
      </c>
      <c r="CV45" s="3426">
        <v>9727</v>
      </c>
      <c r="CW45" s="3344">
        <v>8552</v>
      </c>
      <c r="CX45" s="3427">
        <v>8459</v>
      </c>
      <c r="CY45" s="3427">
        <v>7753</v>
      </c>
      <c r="CZ45" s="3427">
        <v>8931</v>
      </c>
      <c r="DA45" s="3427">
        <v>10600</v>
      </c>
      <c r="DB45" s="3427">
        <v>11113</v>
      </c>
      <c r="DC45" s="3427">
        <v>9026</v>
      </c>
      <c r="DD45" s="3347">
        <v>8662</v>
      </c>
      <c r="DE45" s="3347">
        <v>9115</v>
      </c>
      <c r="DF45" s="3334"/>
      <c r="DG45" s="3334"/>
      <c r="DH45" s="3457">
        <v>10756</v>
      </c>
      <c r="DI45" s="3458">
        <v>9754</v>
      </c>
      <c r="DJ45" s="3458">
        <v>8681</v>
      </c>
      <c r="DK45" s="3459">
        <v>7775</v>
      </c>
      <c r="DL45" s="3459">
        <v>8907</v>
      </c>
      <c r="DM45" s="3459">
        <v>11583</v>
      </c>
      <c r="DN45" s="3459">
        <v>11360</v>
      </c>
      <c r="DO45" s="3459">
        <v>9236</v>
      </c>
      <c r="DP45" s="3459">
        <v>5887</v>
      </c>
      <c r="DQ45" s="3459">
        <v>5065</v>
      </c>
      <c r="DR45" s="3459">
        <v>5738</v>
      </c>
      <c r="DS45" s="3461">
        <v>8773</v>
      </c>
      <c r="DT45" s="3464">
        <v>6089</v>
      </c>
      <c r="DU45" s="3464">
        <v>5766</v>
      </c>
      <c r="DV45" s="3464">
        <v>5666</v>
      </c>
      <c r="DW45" s="3464">
        <v>5412</v>
      </c>
      <c r="DX45" s="3464">
        <v>5624</v>
      </c>
      <c r="DY45" s="3464">
        <v>7707</v>
      </c>
      <c r="DZ45" s="3465"/>
      <c r="EA45" s="3465"/>
      <c r="EB45" s="3465"/>
      <c r="EC45" s="3465"/>
      <c r="ED45" s="3465"/>
      <c r="EE45" s="3465"/>
      <c r="EF45" s="3464">
        <v>6089</v>
      </c>
      <c r="EG45" s="3464">
        <v>5766</v>
      </c>
      <c r="EH45" s="3464">
        <v>5666</v>
      </c>
      <c r="EI45" s="3464">
        <v>5412</v>
      </c>
      <c r="EJ45" s="3464">
        <v>5624</v>
      </c>
      <c r="EK45" s="3464">
        <v>7707</v>
      </c>
      <c r="EL45" s="3465"/>
      <c r="EM45" s="3465"/>
      <c r="EN45" s="3465"/>
      <c r="EO45" s="3465"/>
      <c r="EP45" s="3465"/>
      <c r="EQ45" s="3465"/>
      <c r="ER45" s="3464">
        <v>6089</v>
      </c>
      <c r="ES45" s="3464">
        <v>5766</v>
      </c>
      <c r="ET45" s="3464">
        <v>5666</v>
      </c>
      <c r="EU45" s="3464">
        <v>5412</v>
      </c>
      <c r="EV45" s="3464">
        <v>5624</v>
      </c>
      <c r="EW45" s="3464">
        <v>7707</v>
      </c>
      <c r="EX45" s="3465"/>
      <c r="EY45" s="3465"/>
      <c r="EZ45" s="3465"/>
      <c r="FA45" s="3465"/>
      <c r="FB45" s="3465"/>
      <c r="FC45" s="3465"/>
      <c r="FD45" s="2873"/>
      <c r="FE45" s="2873"/>
      <c r="FF45" s="2873"/>
      <c r="FG45" s="2873"/>
      <c r="FH45" s="2873"/>
      <c r="FI45" s="2873"/>
      <c r="FJ45" s="2873"/>
      <c r="FK45" s="2873"/>
      <c r="FL45" s="2873"/>
      <c r="FM45" s="2873"/>
      <c r="FN45" s="2873"/>
      <c r="FO45" s="2873"/>
      <c r="FP45" s="2874"/>
      <c r="FQ45" s="2873"/>
      <c r="FR45" s="2873"/>
      <c r="FS45" s="2873"/>
      <c r="FT45" s="2873"/>
      <c r="FU45" s="2873"/>
      <c r="FV45" s="2873"/>
      <c r="FW45" s="2873"/>
      <c r="FX45" s="2873"/>
      <c r="FY45" s="2873"/>
      <c r="FZ45" s="2873"/>
      <c r="GA45" s="2873"/>
      <c r="GB45" s="2875"/>
      <c r="GC45" s="2726"/>
      <c r="GD45" s="2828">
        <v>12994</v>
      </c>
      <c r="GE45" s="2829">
        <v>9399</v>
      </c>
      <c r="GF45" s="2829">
        <v>9879</v>
      </c>
      <c r="GG45" s="2830">
        <v>8063</v>
      </c>
      <c r="GH45" s="2831">
        <v>15429</v>
      </c>
      <c r="GI45" s="2832">
        <v>15775</v>
      </c>
      <c r="GJ45" s="2832">
        <v>18697</v>
      </c>
      <c r="GK45" s="2833">
        <v>13997</v>
      </c>
      <c r="GL45" s="2834">
        <v>18358</v>
      </c>
      <c r="GM45" s="2835">
        <v>15804</v>
      </c>
      <c r="GN45" s="2836">
        <v>20894</v>
      </c>
      <c r="GO45" s="2836">
        <v>21612</v>
      </c>
      <c r="GP45" s="2837">
        <v>24232</v>
      </c>
      <c r="GQ45" s="2838">
        <v>14873</v>
      </c>
      <c r="GR45" s="2838">
        <v>11523</v>
      </c>
      <c r="GS45" s="2839">
        <v>7362.1705763740538</v>
      </c>
      <c r="GT45" s="2840">
        <v>8742</v>
      </c>
      <c r="GU45" s="2841">
        <v>10319</v>
      </c>
      <c r="GV45" s="2841">
        <v>10273</v>
      </c>
      <c r="GW45" s="2842">
        <v>10164</v>
      </c>
      <c r="GX45" s="2838">
        <v>7122</v>
      </c>
      <c r="GY45" s="2838">
        <v>11997</v>
      </c>
      <c r="GZ45" s="2838">
        <v>11359</v>
      </c>
      <c r="HA45" s="2838">
        <v>12541</v>
      </c>
      <c r="HB45" s="2843">
        <v>15537</v>
      </c>
      <c r="HC45" s="2843">
        <v>20289</v>
      </c>
      <c r="HD45" s="2843">
        <v>21366</v>
      </c>
      <c r="HE45" s="2843">
        <v>23541</v>
      </c>
      <c r="HF45" s="2844">
        <v>26295</v>
      </c>
      <c r="HG45" s="2844">
        <v>24700</v>
      </c>
      <c r="HH45" s="2844">
        <v>30182</v>
      </c>
      <c r="HI45" s="2844">
        <v>32873</v>
      </c>
      <c r="HJ45" s="2845">
        <v>26738</v>
      </c>
      <c r="HK45" s="2845">
        <v>25799</v>
      </c>
      <c r="HL45" s="2845">
        <v>29254</v>
      </c>
      <c r="HM45" s="2846">
        <f t="shared" si="9"/>
        <v>29191</v>
      </c>
      <c r="HN45" s="2846">
        <f t="shared" si="10"/>
        <v>28265</v>
      </c>
      <c r="HO45" s="2846">
        <f t="shared" si="11"/>
        <v>26483</v>
      </c>
      <c r="HP45" s="2846">
        <f t="shared" si="12"/>
        <v>19576</v>
      </c>
      <c r="HQ45" s="2847">
        <f t="shared" si="13"/>
        <v>17521</v>
      </c>
      <c r="HR45" s="2847">
        <f t="shared" si="14"/>
        <v>18743</v>
      </c>
      <c r="HS45" s="2727"/>
      <c r="HT45" s="2726"/>
      <c r="HU45" s="2838"/>
      <c r="HV45" s="2843"/>
      <c r="HW45" s="2843"/>
      <c r="HX45" s="2843"/>
      <c r="HY45" s="2838"/>
      <c r="HZ45" s="2843"/>
      <c r="IA45" s="2843"/>
      <c r="IB45" s="2843"/>
      <c r="IC45" s="2843"/>
      <c r="ID45" s="2843"/>
      <c r="IE45" s="2843"/>
      <c r="IF45" s="2843"/>
      <c r="IG45" s="2843"/>
      <c r="IH45" s="2843"/>
      <c r="II45" s="2843"/>
      <c r="IJ45" s="2843"/>
      <c r="IK45" s="2848">
        <v>40335</v>
      </c>
      <c r="IL45" s="3353">
        <v>63898</v>
      </c>
      <c r="IM45" s="3353">
        <v>76668</v>
      </c>
      <c r="IN45" s="3353">
        <v>57992.170576374054</v>
      </c>
      <c r="IO45" s="3353">
        <v>39498</v>
      </c>
      <c r="IP45" s="3353">
        <v>43019</v>
      </c>
      <c r="IQ45" s="3353">
        <v>80733</v>
      </c>
      <c r="IR45" s="3353">
        <v>113562</v>
      </c>
      <c r="IS45" s="3354">
        <v>115389</v>
      </c>
      <c r="IT45" s="3354">
        <f t="shared" si="15"/>
        <v>98848</v>
      </c>
      <c r="IU45" s="3355">
        <f t="shared" si="16"/>
        <v>70963</v>
      </c>
      <c r="IV45" s="3285"/>
      <c r="IW45" s="3285"/>
      <c r="IX45" s="3285"/>
      <c r="IY45" s="3286"/>
      <c r="IZ45" s="3287"/>
      <c r="JA45" s="3764"/>
      <c r="JC45" s="3285"/>
      <c r="JD45" s="3231"/>
      <c r="JE45" s="3231"/>
      <c r="JF45" s="3231"/>
      <c r="JG45" s="3231"/>
      <c r="JH45" s="2723"/>
      <c r="JI45" s="3262"/>
      <c r="JJ45" s="2723"/>
      <c r="JK45" s="2723"/>
      <c r="JL45" s="2723"/>
      <c r="JM45" s="2723"/>
      <c r="JN45" s="2723"/>
      <c r="JO45" s="2723"/>
      <c r="JP45" s="2723"/>
      <c r="JQ45" s="2723"/>
      <c r="JS45" s="3231"/>
      <c r="JT45" s="3231"/>
      <c r="JU45" s="3231"/>
      <c r="JV45" s="3231"/>
      <c r="JW45" s="3231"/>
      <c r="JX45" s="3231"/>
      <c r="JY45" s="3231"/>
      <c r="JZ45" s="3231"/>
      <c r="KA45" s="3231"/>
      <c r="KB45" s="3231"/>
      <c r="KC45" s="3231"/>
      <c r="KD45" s="3231"/>
      <c r="KE45" s="3231"/>
      <c r="KF45" s="3231"/>
      <c r="KG45" s="3231"/>
      <c r="KH45" s="3231"/>
      <c r="KI45" s="3231"/>
      <c r="KJ45" s="3231"/>
      <c r="KK45" s="3231"/>
      <c r="KL45" s="3231"/>
      <c r="KM45" s="3231"/>
      <c r="KN45" s="3231"/>
      <c r="KO45" s="3231"/>
    </row>
    <row r="46" spans="1:301" ht="21.9" hidden="1" customHeight="1" thickBot="1">
      <c r="A46" s="2723"/>
      <c r="B46" s="3231"/>
      <c r="C46" s="3322" t="s">
        <v>52</v>
      </c>
      <c r="D46" s="3356">
        <v>29447</v>
      </c>
      <c r="E46" s="3357">
        <v>29249</v>
      </c>
      <c r="F46" s="3357">
        <v>32536</v>
      </c>
      <c r="G46" s="3357">
        <v>26929</v>
      </c>
      <c r="H46" s="3357">
        <v>28526</v>
      </c>
      <c r="I46" s="3357">
        <v>41105</v>
      </c>
      <c r="J46" s="3357">
        <v>49933</v>
      </c>
      <c r="K46" s="3357">
        <v>42244</v>
      </c>
      <c r="L46" s="3357">
        <v>31407</v>
      </c>
      <c r="M46" s="3357">
        <v>33891</v>
      </c>
      <c r="N46" s="3357">
        <v>35806</v>
      </c>
      <c r="O46" s="3358">
        <v>36780</v>
      </c>
      <c r="P46" s="3359">
        <v>34991</v>
      </c>
      <c r="Q46" s="3360">
        <v>46490</v>
      </c>
      <c r="R46" s="3360">
        <v>36805</v>
      </c>
      <c r="S46" s="3360">
        <v>31105</v>
      </c>
      <c r="T46" s="3360">
        <v>35598</v>
      </c>
      <c r="U46" s="3360">
        <v>45584</v>
      </c>
      <c r="V46" s="3360">
        <v>50484</v>
      </c>
      <c r="W46" s="3360">
        <v>43576</v>
      </c>
      <c r="X46" s="3360">
        <v>34318</v>
      </c>
      <c r="Y46" s="3360">
        <v>36977</v>
      </c>
      <c r="Z46" s="3360">
        <v>38290</v>
      </c>
      <c r="AA46" s="3466">
        <v>37281</v>
      </c>
      <c r="AB46" s="3329">
        <v>35904</v>
      </c>
      <c r="AC46" s="3330">
        <v>32995</v>
      </c>
      <c r="AD46" s="3330">
        <v>34242</v>
      </c>
      <c r="AE46" s="3330">
        <v>33161</v>
      </c>
      <c r="AF46" s="3330">
        <v>32773</v>
      </c>
      <c r="AG46" s="3330">
        <v>46796</v>
      </c>
      <c r="AH46" s="3330">
        <v>50069</v>
      </c>
      <c r="AI46" s="3330">
        <v>44378</v>
      </c>
      <c r="AJ46" s="3330">
        <v>33494</v>
      </c>
      <c r="AK46" s="3330">
        <v>35959</v>
      </c>
      <c r="AL46" s="3330">
        <v>38401</v>
      </c>
      <c r="AM46" s="3330">
        <v>43693</v>
      </c>
      <c r="AN46" s="3331">
        <v>38603</v>
      </c>
      <c r="AO46" s="3331">
        <v>39843</v>
      </c>
      <c r="AP46" s="3331">
        <v>38029</v>
      </c>
      <c r="AQ46" s="3331">
        <v>31598</v>
      </c>
      <c r="AR46" s="3331">
        <v>37116</v>
      </c>
      <c r="AS46" s="3331">
        <v>46093</v>
      </c>
      <c r="AT46" s="3331">
        <v>49766</v>
      </c>
      <c r="AU46" s="3331">
        <v>42481</v>
      </c>
      <c r="AV46" s="3331">
        <v>33003</v>
      </c>
      <c r="AW46" s="3331">
        <v>38298</v>
      </c>
      <c r="AX46" s="3331">
        <v>38170.999999999993</v>
      </c>
      <c r="AY46" s="3332">
        <v>41220</v>
      </c>
      <c r="AZ46" s="3362">
        <v>37463</v>
      </c>
      <c r="BA46" s="3363">
        <v>35978</v>
      </c>
      <c r="BB46" s="3363">
        <v>39415</v>
      </c>
      <c r="BC46" s="3363">
        <v>35949</v>
      </c>
      <c r="BD46" s="3363">
        <v>38023</v>
      </c>
      <c r="BE46" s="3363">
        <v>47844</v>
      </c>
      <c r="BF46" s="3363">
        <v>51152</v>
      </c>
      <c r="BG46" s="3363">
        <v>43036</v>
      </c>
      <c r="BH46" s="3363">
        <v>34628</v>
      </c>
      <c r="BI46" s="3363">
        <v>38582</v>
      </c>
      <c r="BJ46" s="3363">
        <v>41073</v>
      </c>
      <c r="BK46" s="3364">
        <v>44235</v>
      </c>
      <c r="BL46" s="3365">
        <v>37773</v>
      </c>
      <c r="BM46" s="3366">
        <v>35654</v>
      </c>
      <c r="BN46" s="3366">
        <v>40663</v>
      </c>
      <c r="BO46" s="3366">
        <v>36524</v>
      </c>
      <c r="BP46" s="3366">
        <v>40720</v>
      </c>
      <c r="BQ46" s="3366">
        <v>54166</v>
      </c>
      <c r="BR46" s="3366">
        <v>56168</v>
      </c>
      <c r="BS46" s="3366">
        <v>46212</v>
      </c>
      <c r="BT46" s="3367">
        <v>39747</v>
      </c>
      <c r="BU46" s="3367">
        <v>44864</v>
      </c>
      <c r="BV46" s="3367">
        <v>46422</v>
      </c>
      <c r="BW46" s="3411">
        <v>54545</v>
      </c>
      <c r="BX46" s="3412">
        <v>46137</v>
      </c>
      <c r="BY46" s="3413">
        <v>43174</v>
      </c>
      <c r="BZ46" s="3413">
        <v>49027</v>
      </c>
      <c r="CA46" s="3413">
        <v>41634</v>
      </c>
      <c r="CB46" s="3413">
        <v>48103</v>
      </c>
      <c r="CC46" s="3413">
        <v>61054</v>
      </c>
      <c r="CD46" s="3413">
        <v>64119</v>
      </c>
      <c r="CE46" s="3413">
        <v>52709</v>
      </c>
      <c r="CF46" s="3413">
        <v>49386</v>
      </c>
      <c r="CG46" s="3413">
        <v>52967</v>
      </c>
      <c r="CH46" s="3413">
        <v>56261</v>
      </c>
      <c r="CI46" s="3467">
        <v>64359</v>
      </c>
      <c r="CJ46" s="3372">
        <v>51688</v>
      </c>
      <c r="CK46" s="3373">
        <v>53622</v>
      </c>
      <c r="CL46" s="3373">
        <v>51748</v>
      </c>
      <c r="CM46" s="3373">
        <v>49570</v>
      </c>
      <c r="CN46" s="3373">
        <v>52174</v>
      </c>
      <c r="CO46" s="3373">
        <v>58795</v>
      </c>
      <c r="CP46" s="3373">
        <v>71099</v>
      </c>
      <c r="CQ46" s="3373">
        <v>57790</v>
      </c>
      <c r="CR46" s="3373">
        <v>55854</v>
      </c>
      <c r="CS46" s="3373">
        <v>59469</v>
      </c>
      <c r="CT46" s="3373">
        <v>63257</v>
      </c>
      <c r="CU46" s="3374">
        <v>77949</v>
      </c>
      <c r="CV46" s="3375">
        <v>58224</v>
      </c>
      <c r="CW46" s="3376">
        <v>53321</v>
      </c>
      <c r="CX46" s="3377">
        <v>59393</v>
      </c>
      <c r="CY46" s="3377">
        <v>53854</v>
      </c>
      <c r="CZ46" s="3377">
        <v>56638</v>
      </c>
      <c r="DA46" s="3377">
        <v>67138</v>
      </c>
      <c r="DB46" s="3377">
        <v>73006</v>
      </c>
      <c r="DC46" s="3377">
        <v>52994</v>
      </c>
      <c r="DD46" s="3378">
        <v>51643</v>
      </c>
      <c r="DE46" s="3378">
        <v>56449</v>
      </c>
      <c r="DF46" s="3334"/>
      <c r="DG46" s="3334"/>
      <c r="DH46" s="3379">
        <v>52833</v>
      </c>
      <c r="DI46" s="3380">
        <v>51438</v>
      </c>
      <c r="DJ46" s="3380">
        <v>54420</v>
      </c>
      <c r="DK46" s="3381">
        <v>40983</v>
      </c>
      <c r="DL46" s="3381">
        <v>46162</v>
      </c>
      <c r="DM46" s="3381">
        <v>61277</v>
      </c>
      <c r="DN46" s="3381">
        <v>66352</v>
      </c>
      <c r="DO46" s="3381">
        <v>47805</v>
      </c>
      <c r="DP46" s="3381">
        <v>40169</v>
      </c>
      <c r="DQ46" s="3381">
        <v>53831</v>
      </c>
      <c r="DR46" s="3381">
        <v>48311</v>
      </c>
      <c r="DS46" s="3468">
        <v>64045</v>
      </c>
      <c r="DT46" s="3469">
        <v>50614</v>
      </c>
      <c r="DU46" s="3469">
        <v>47432</v>
      </c>
      <c r="DV46" s="3469">
        <v>53021</v>
      </c>
      <c r="DW46" s="3469">
        <v>50208</v>
      </c>
      <c r="DX46" s="3469">
        <v>46786</v>
      </c>
      <c r="DY46" s="3469">
        <v>65866</v>
      </c>
      <c r="DZ46" s="3470"/>
      <c r="EA46" s="3470"/>
      <c r="EB46" s="3470"/>
      <c r="EC46" s="3470"/>
      <c r="ED46" s="3470"/>
      <c r="EE46" s="3470"/>
      <c r="EF46" s="3469">
        <v>50614</v>
      </c>
      <c r="EG46" s="3469">
        <v>47432</v>
      </c>
      <c r="EH46" s="3469">
        <v>53021</v>
      </c>
      <c r="EI46" s="3469">
        <v>50208</v>
      </c>
      <c r="EJ46" s="3469">
        <v>46786</v>
      </c>
      <c r="EK46" s="3469">
        <v>65866</v>
      </c>
      <c r="EL46" s="3470"/>
      <c r="EM46" s="3470"/>
      <c r="EN46" s="3470"/>
      <c r="EO46" s="3470"/>
      <c r="EP46" s="3470"/>
      <c r="EQ46" s="3470"/>
      <c r="ER46" s="3469">
        <v>50614</v>
      </c>
      <c r="ES46" s="3469">
        <v>47432</v>
      </c>
      <c r="ET46" s="3469">
        <v>53021</v>
      </c>
      <c r="EU46" s="3469">
        <v>50208</v>
      </c>
      <c r="EV46" s="3469">
        <v>46786</v>
      </c>
      <c r="EW46" s="3469">
        <v>65866</v>
      </c>
      <c r="EX46" s="3470"/>
      <c r="EY46" s="3470"/>
      <c r="EZ46" s="3470"/>
      <c r="FA46" s="3470"/>
      <c r="FB46" s="3470"/>
      <c r="FC46" s="3470"/>
      <c r="FD46" s="2873"/>
      <c r="FE46" s="2873"/>
      <c r="FF46" s="2873"/>
      <c r="FG46" s="2873"/>
      <c r="FH46" s="2873"/>
      <c r="FI46" s="2873"/>
      <c r="FJ46" s="2873"/>
      <c r="FK46" s="2873"/>
      <c r="FL46" s="2873"/>
      <c r="FM46" s="2873"/>
      <c r="FN46" s="2873"/>
      <c r="FO46" s="2873"/>
      <c r="FP46" s="2874"/>
      <c r="FQ46" s="2873"/>
      <c r="FR46" s="2873"/>
      <c r="FS46" s="2873"/>
      <c r="FT46" s="2873"/>
      <c r="FU46" s="2873"/>
      <c r="FV46" s="2873"/>
      <c r="FW46" s="2873"/>
      <c r="FX46" s="2873"/>
      <c r="FY46" s="2873"/>
      <c r="FZ46" s="2873"/>
      <c r="GA46" s="2873"/>
      <c r="GB46" s="2875"/>
      <c r="GC46" s="2726"/>
      <c r="GD46" s="2849">
        <v>91232</v>
      </c>
      <c r="GE46" s="2850">
        <v>96560</v>
      </c>
      <c r="GF46" s="2850">
        <v>123584</v>
      </c>
      <c r="GG46" s="2851">
        <v>106477</v>
      </c>
      <c r="GH46" s="2852">
        <v>118286</v>
      </c>
      <c r="GI46" s="2853">
        <v>112287</v>
      </c>
      <c r="GJ46" s="2853">
        <v>128378</v>
      </c>
      <c r="GK46" s="2854">
        <v>112548</v>
      </c>
      <c r="GL46" s="2855">
        <v>103141</v>
      </c>
      <c r="GM46" s="2856">
        <v>112730</v>
      </c>
      <c r="GN46" s="2856">
        <v>127941</v>
      </c>
      <c r="GO46" s="2856">
        <v>118053</v>
      </c>
      <c r="GP46" s="2857">
        <v>116475</v>
      </c>
      <c r="GQ46" s="2858">
        <v>114805</v>
      </c>
      <c r="GR46" s="2858">
        <v>125250</v>
      </c>
      <c r="GS46" s="2866">
        <v>117689</v>
      </c>
      <c r="GT46" s="2859">
        <v>112856</v>
      </c>
      <c r="GU46" s="2860">
        <v>121816</v>
      </c>
      <c r="GV46" s="2860">
        <v>128816</v>
      </c>
      <c r="GW46" s="2861">
        <v>123890</v>
      </c>
      <c r="GX46" s="2838">
        <v>114090</v>
      </c>
      <c r="GY46" s="2838">
        <v>131410</v>
      </c>
      <c r="GZ46" s="2838">
        <v>142127</v>
      </c>
      <c r="HA46" s="2838">
        <v>145831</v>
      </c>
      <c r="HB46" s="2843">
        <v>138338</v>
      </c>
      <c r="HC46" s="2843">
        <v>150791</v>
      </c>
      <c r="HD46" s="2843">
        <v>166214</v>
      </c>
      <c r="HE46" s="2843">
        <v>173587</v>
      </c>
      <c r="HF46" s="2844">
        <v>157058</v>
      </c>
      <c r="HG46" s="2844">
        <v>160539</v>
      </c>
      <c r="HH46" s="2844">
        <v>188358</v>
      </c>
      <c r="HI46" s="2844">
        <v>200675</v>
      </c>
      <c r="HJ46" s="2845">
        <v>170938</v>
      </c>
      <c r="HK46" s="2845">
        <v>166941</v>
      </c>
      <c r="HL46" s="2845">
        <v>182449</v>
      </c>
      <c r="HM46" s="2846">
        <f t="shared" si="9"/>
        <v>158691</v>
      </c>
      <c r="HN46" s="2846">
        <f t="shared" si="10"/>
        <v>148422</v>
      </c>
      <c r="HO46" s="2846">
        <f t="shared" si="11"/>
        <v>154326</v>
      </c>
      <c r="HP46" s="2846">
        <f t="shared" si="12"/>
        <v>166187</v>
      </c>
      <c r="HQ46" s="2847">
        <f t="shared" si="13"/>
        <v>151067</v>
      </c>
      <c r="HR46" s="2847">
        <f t="shared" si="14"/>
        <v>162860</v>
      </c>
      <c r="HS46" s="2727"/>
      <c r="HT46" s="2726"/>
      <c r="HU46" s="2838"/>
      <c r="HV46" s="2843"/>
      <c r="HW46" s="2843"/>
      <c r="HX46" s="2843"/>
      <c r="HY46" s="2838"/>
      <c r="HZ46" s="2843"/>
      <c r="IA46" s="2843"/>
      <c r="IB46" s="2843"/>
      <c r="IC46" s="2843"/>
      <c r="ID46" s="2843"/>
      <c r="IE46" s="2843"/>
      <c r="IF46" s="2843"/>
      <c r="IG46" s="2843"/>
      <c r="IH46" s="2843"/>
      <c r="II46" s="2843"/>
      <c r="IJ46" s="2843"/>
      <c r="IK46" s="2862">
        <v>417853</v>
      </c>
      <c r="IL46" s="3385">
        <v>471499</v>
      </c>
      <c r="IM46" s="3385">
        <v>461865</v>
      </c>
      <c r="IN46" s="3385">
        <v>474221</v>
      </c>
      <c r="IO46" s="3385">
        <v>487378</v>
      </c>
      <c r="IP46" s="3385">
        <v>533458</v>
      </c>
      <c r="IQ46" s="3385">
        <v>628930</v>
      </c>
      <c r="IR46" s="3385">
        <v>703015</v>
      </c>
      <c r="IS46" s="3354">
        <v>723866</v>
      </c>
      <c r="IT46" s="3354">
        <f t="shared" si="15"/>
        <v>625407</v>
      </c>
      <c r="IU46" s="3355">
        <f t="shared" si="16"/>
        <v>568088</v>
      </c>
      <c r="IV46" s="3285"/>
      <c r="IW46" s="3285"/>
      <c r="IX46" s="3285"/>
      <c r="IY46" s="3286"/>
      <c r="IZ46" s="3287"/>
      <c r="JA46" s="3764"/>
      <c r="JC46" s="3285"/>
      <c r="JD46" s="3231"/>
      <c r="JE46" s="3231"/>
      <c r="JF46" s="3231"/>
      <c r="JG46" s="3231"/>
      <c r="JH46" s="2723"/>
      <c r="JI46" s="3262"/>
      <c r="JJ46" s="2723"/>
      <c r="JK46" s="2723"/>
      <c r="JL46" s="2723"/>
      <c r="JM46" s="2723"/>
      <c r="JN46" s="2723"/>
      <c r="JO46" s="2723"/>
      <c r="JP46" s="2723"/>
      <c r="JQ46" s="2723"/>
      <c r="JS46" s="3231"/>
      <c r="JT46" s="3231"/>
      <c r="JU46" s="3231"/>
      <c r="JV46" s="3231"/>
      <c r="JW46" s="3231"/>
      <c r="JX46" s="3231"/>
      <c r="JY46" s="3231"/>
      <c r="JZ46" s="3231"/>
      <c r="KA46" s="3231"/>
      <c r="KB46" s="3231"/>
      <c r="KC46" s="3231"/>
      <c r="KD46" s="3231"/>
      <c r="KE46" s="3231"/>
      <c r="KF46" s="3231"/>
      <c r="KG46" s="3231"/>
      <c r="KH46" s="3231"/>
      <c r="KI46" s="3231"/>
      <c r="KJ46" s="3231"/>
      <c r="KK46" s="3231"/>
      <c r="KL46" s="3231"/>
      <c r="KM46" s="3231"/>
      <c r="KN46" s="3231"/>
      <c r="KO46" s="3231"/>
    </row>
    <row r="47" spans="1:301" ht="18.75" hidden="1" customHeight="1">
      <c r="A47" s="2723"/>
      <c r="B47" s="3471"/>
      <c r="C47" s="3472"/>
      <c r="D47" s="3473">
        <v>0</v>
      </c>
      <c r="E47" s="3473">
        <v>0</v>
      </c>
      <c r="F47" s="3473">
        <v>0</v>
      </c>
      <c r="G47" s="3474">
        <v>0</v>
      </c>
      <c r="H47" s="3473">
        <v>0</v>
      </c>
      <c r="I47" s="3473">
        <v>0</v>
      </c>
      <c r="J47" s="3473">
        <v>0</v>
      </c>
      <c r="K47" s="3473">
        <v>0</v>
      </c>
      <c r="L47" s="3473">
        <v>0</v>
      </c>
      <c r="M47" s="3474">
        <v>0</v>
      </c>
      <c r="N47" s="3473">
        <v>0</v>
      </c>
      <c r="O47" s="3473">
        <v>0</v>
      </c>
      <c r="P47" s="3473">
        <v>0</v>
      </c>
      <c r="Q47" s="3473">
        <v>0</v>
      </c>
      <c r="R47" s="3473">
        <v>0</v>
      </c>
      <c r="S47" s="3474">
        <v>0</v>
      </c>
      <c r="T47" s="3473">
        <v>0</v>
      </c>
      <c r="U47" s="3473">
        <v>0</v>
      </c>
      <c r="V47" s="3473">
        <v>0</v>
      </c>
      <c r="W47" s="3473">
        <v>0</v>
      </c>
      <c r="X47" s="3473">
        <v>0</v>
      </c>
      <c r="Y47" s="3473">
        <v>0</v>
      </c>
      <c r="Z47" s="3473">
        <v>0</v>
      </c>
      <c r="AA47" s="3473">
        <v>0</v>
      </c>
      <c r="AB47" s="3473">
        <v>0</v>
      </c>
      <c r="AC47" s="3473">
        <v>0</v>
      </c>
      <c r="AD47" s="3473">
        <v>0</v>
      </c>
      <c r="AE47" s="3473">
        <v>0</v>
      </c>
      <c r="AF47" s="3473">
        <v>0</v>
      </c>
      <c r="AG47" s="3473">
        <v>0</v>
      </c>
      <c r="AH47" s="3473">
        <v>0</v>
      </c>
      <c r="AI47" s="3473">
        <v>0</v>
      </c>
      <c r="AJ47" s="3473">
        <v>0</v>
      </c>
      <c r="AK47" s="3473">
        <v>0</v>
      </c>
      <c r="AL47" s="3473">
        <v>0</v>
      </c>
      <c r="AM47" s="3473">
        <v>0</v>
      </c>
      <c r="AN47" s="3473">
        <v>0</v>
      </c>
      <c r="AO47" s="3473">
        <v>0</v>
      </c>
      <c r="AP47" s="3473">
        <v>0</v>
      </c>
      <c r="AQ47" s="3473">
        <v>0</v>
      </c>
      <c r="AR47" s="3473">
        <v>0</v>
      </c>
      <c r="AS47" s="3473">
        <v>0</v>
      </c>
      <c r="AT47" s="3473">
        <v>0</v>
      </c>
      <c r="AU47" s="3473">
        <v>0</v>
      </c>
      <c r="AV47" s="3473">
        <v>0</v>
      </c>
      <c r="AW47" s="3473">
        <v>0</v>
      </c>
      <c r="AX47" s="3473">
        <v>38170.999999999993</v>
      </c>
      <c r="AY47" s="3473">
        <v>0</v>
      </c>
      <c r="AZ47" s="3475">
        <v>0</v>
      </c>
      <c r="BA47" s="3475">
        <v>0</v>
      </c>
      <c r="BB47" s="3475">
        <v>0</v>
      </c>
      <c r="BC47" s="3475">
        <v>0</v>
      </c>
      <c r="BD47" s="3475">
        <v>0</v>
      </c>
      <c r="BE47" s="3475">
        <v>0</v>
      </c>
      <c r="BF47" s="3475"/>
      <c r="BG47" s="3475">
        <v>0</v>
      </c>
      <c r="BH47" s="3475"/>
      <c r="BI47" s="3475">
        <v>0</v>
      </c>
      <c r="BJ47" s="3475"/>
      <c r="BK47" s="3475">
        <v>0</v>
      </c>
      <c r="BL47" s="3475"/>
      <c r="BM47" s="3475"/>
      <c r="BN47" s="3475"/>
      <c r="BO47" s="3475">
        <v>0</v>
      </c>
      <c r="BP47" s="3475"/>
      <c r="BQ47" s="3475"/>
      <c r="BR47" s="3475"/>
      <c r="BS47" s="3475"/>
      <c r="BT47" s="3475"/>
      <c r="BU47" s="3475"/>
      <c r="BV47" s="3475"/>
      <c r="BW47" s="3475"/>
      <c r="BX47" s="3475"/>
      <c r="BY47" s="3475"/>
      <c r="BZ47" s="3475"/>
      <c r="CA47" s="3475"/>
      <c r="CB47" s="3475"/>
      <c r="CC47" s="3475"/>
      <c r="CD47" s="3475"/>
      <c r="CE47" s="3475"/>
      <c r="CF47" s="3475"/>
      <c r="CG47" s="3475"/>
      <c r="CH47" s="3475"/>
      <c r="CI47" s="3475"/>
      <c r="CJ47" s="3475"/>
      <c r="CK47" s="3475"/>
      <c r="CL47" s="3475"/>
      <c r="CM47" s="3475"/>
      <c r="CN47" s="3475"/>
      <c r="CO47" s="3475"/>
      <c r="CP47" s="3475"/>
      <c r="CQ47" s="3475"/>
      <c r="CR47" s="3475"/>
      <c r="CS47" s="3475"/>
      <c r="CT47" s="3475"/>
      <c r="CU47" s="3475"/>
      <c r="CV47" s="3475">
        <v>0</v>
      </c>
      <c r="CW47" s="3475"/>
      <c r="CX47" s="3475"/>
      <c r="CY47" s="3475"/>
      <c r="CZ47" s="3475"/>
      <c r="DA47" s="3475"/>
      <c r="DB47" s="3475"/>
      <c r="DC47" s="3475"/>
      <c r="DD47" s="3475"/>
      <c r="DE47" s="3475"/>
      <c r="DF47" s="3475"/>
      <c r="DG47" s="3475"/>
      <c r="DH47" s="3476"/>
      <c r="DI47" s="3476"/>
      <c r="DJ47" s="3476"/>
      <c r="DK47" s="3476"/>
      <c r="DL47" s="3476"/>
      <c r="DM47" s="3476"/>
      <c r="DN47" s="3476"/>
      <c r="DO47" s="3476"/>
      <c r="DP47" s="3476"/>
      <c r="DQ47" s="3476"/>
      <c r="DR47" s="3476"/>
      <c r="DS47" s="3476"/>
      <c r="DT47" s="3476"/>
      <c r="DU47" s="3476"/>
      <c r="DV47" s="3476"/>
      <c r="DW47" s="3476"/>
      <c r="DX47" s="3476"/>
      <c r="DY47" s="3476"/>
      <c r="DZ47" s="3476"/>
      <c r="EA47" s="3476"/>
      <c r="EB47" s="3476"/>
      <c r="EC47" s="3476"/>
      <c r="ED47" s="3476"/>
      <c r="EE47" s="3476"/>
      <c r="EF47" s="3476"/>
      <c r="EG47" s="3476"/>
      <c r="EH47" s="3476"/>
      <c r="EI47" s="3476"/>
      <c r="EJ47" s="3476"/>
      <c r="EK47" s="3476"/>
      <c r="EL47" s="3476"/>
      <c r="EM47" s="3476"/>
      <c r="EN47" s="3476"/>
      <c r="EO47" s="3476"/>
      <c r="EP47" s="3476"/>
      <c r="EQ47" s="3476"/>
      <c r="ER47" s="3476"/>
      <c r="ES47" s="3476"/>
      <c r="ET47" s="3476"/>
      <c r="EU47" s="3476"/>
      <c r="EV47" s="3476"/>
      <c r="EW47" s="3476"/>
      <c r="EX47" s="3476"/>
      <c r="EY47" s="3476"/>
      <c r="EZ47" s="3476"/>
      <c r="FA47" s="3476"/>
      <c r="FB47" s="3476"/>
      <c r="FC47" s="3476"/>
      <c r="FD47" s="2759"/>
      <c r="FE47" s="2759"/>
      <c r="FF47" s="2759"/>
      <c r="FG47" s="2759"/>
      <c r="FH47" s="2759"/>
      <c r="FI47" s="2759"/>
      <c r="FJ47" s="2759"/>
      <c r="FK47" s="2759"/>
      <c r="FL47" s="2759"/>
      <c r="FM47" s="2759"/>
      <c r="FN47" s="2759"/>
      <c r="FO47" s="2759"/>
      <c r="FP47" s="2760"/>
      <c r="FQ47" s="2759"/>
      <c r="FR47" s="2759"/>
      <c r="FS47" s="2759"/>
      <c r="FT47" s="2759"/>
      <c r="FU47" s="2759"/>
      <c r="FV47" s="2759"/>
      <c r="FW47" s="2759"/>
      <c r="FX47" s="2759"/>
      <c r="FY47" s="2759"/>
      <c r="FZ47" s="2759"/>
      <c r="GA47" s="2759"/>
      <c r="GB47" s="2752"/>
      <c r="GC47" s="2730">
        <v>0</v>
      </c>
      <c r="GD47" s="2730">
        <v>0</v>
      </c>
      <c r="GE47" s="2730">
        <v>0</v>
      </c>
      <c r="GF47" s="2730">
        <v>0</v>
      </c>
      <c r="GG47" s="2730">
        <v>0</v>
      </c>
      <c r="GH47" s="2730">
        <v>0</v>
      </c>
      <c r="GI47" s="2730">
        <v>0</v>
      </c>
      <c r="GJ47" s="2730">
        <v>0</v>
      </c>
      <c r="GK47" s="2730">
        <v>0</v>
      </c>
      <c r="GL47" s="2730">
        <v>0</v>
      </c>
      <c r="GM47" s="2730">
        <v>0</v>
      </c>
      <c r="GN47" s="2730">
        <v>0</v>
      </c>
      <c r="GO47" s="2730">
        <v>0</v>
      </c>
      <c r="GP47" s="2730">
        <v>0</v>
      </c>
      <c r="GQ47" s="2730">
        <v>-2</v>
      </c>
      <c r="GR47" s="2730">
        <v>0</v>
      </c>
      <c r="GS47" s="2730">
        <v>0</v>
      </c>
      <c r="GT47" s="2730">
        <v>0</v>
      </c>
      <c r="GU47" s="2730"/>
      <c r="GV47" s="2730"/>
      <c r="GW47" s="2730"/>
      <c r="GX47" s="2730">
        <v>0</v>
      </c>
      <c r="GY47" s="2730"/>
      <c r="GZ47" s="2730"/>
      <c r="HA47" s="2730"/>
      <c r="HB47" s="2730"/>
      <c r="HC47" s="2730"/>
      <c r="HD47" s="2730"/>
      <c r="HE47" s="2730"/>
      <c r="HF47" s="2730"/>
      <c r="HG47" s="2730"/>
      <c r="HH47" s="2730"/>
      <c r="HI47" s="2730"/>
      <c r="HJ47" s="2730"/>
      <c r="HK47" s="2730"/>
      <c r="HL47" s="2730"/>
      <c r="HM47" s="2759"/>
      <c r="HN47" s="2759"/>
      <c r="HO47" s="2759"/>
      <c r="HP47" s="2759"/>
      <c r="HQ47" s="2759"/>
      <c r="HR47" s="2759"/>
      <c r="HS47" s="2759"/>
      <c r="HT47" s="2730"/>
      <c r="HU47" s="2730"/>
      <c r="HV47" s="2730"/>
      <c r="HW47" s="2730"/>
      <c r="HX47" s="2730"/>
      <c r="HY47" s="2730"/>
      <c r="HZ47" s="2730"/>
      <c r="IA47" s="2730"/>
      <c r="IB47" s="2730"/>
      <c r="IC47" s="2730"/>
      <c r="ID47" s="2730"/>
      <c r="IE47" s="2730"/>
      <c r="IF47" s="2730"/>
      <c r="IG47" s="2730"/>
      <c r="IH47" s="2730"/>
      <c r="II47" s="2730"/>
      <c r="IJ47" s="2730"/>
      <c r="IK47" s="2761"/>
      <c r="IL47" s="3422"/>
      <c r="IM47" s="3422"/>
      <c r="IN47" s="3422"/>
      <c r="IO47" s="3422"/>
      <c r="IP47" s="3422"/>
      <c r="IQ47" s="3422"/>
      <c r="IR47" s="3422"/>
      <c r="IS47" s="3422"/>
      <c r="IT47" s="3422"/>
      <c r="IU47" s="3399"/>
      <c r="IV47" s="3477"/>
      <c r="IW47" s="3477"/>
      <c r="IX47" s="3477"/>
      <c r="IY47" s="3478"/>
      <c r="IZ47" s="3479"/>
      <c r="JA47" s="3764"/>
      <c r="JC47" s="3477"/>
      <c r="JD47" s="2723"/>
      <c r="JE47" s="2723"/>
      <c r="JF47" s="2723"/>
      <c r="JG47" s="2723"/>
      <c r="JH47" s="2723"/>
      <c r="JI47" s="3262"/>
      <c r="JJ47" s="2723"/>
      <c r="JK47" s="2723"/>
      <c r="JL47" s="2723"/>
      <c r="JM47" s="2723"/>
      <c r="JN47" s="2723"/>
      <c r="JO47" s="2723"/>
      <c r="JP47" s="2723"/>
      <c r="JQ47" s="2723"/>
      <c r="JS47" s="2723"/>
      <c r="JT47" s="2723"/>
      <c r="JU47" s="2723"/>
      <c r="JV47" s="2723"/>
      <c r="JW47" s="2723"/>
      <c r="JX47" s="2723"/>
      <c r="JY47" s="2723"/>
      <c r="JZ47" s="2723"/>
      <c r="KA47" s="2723"/>
      <c r="KB47" s="2723"/>
      <c r="KC47" s="2723"/>
      <c r="KD47" s="2723"/>
      <c r="KE47" s="2723"/>
      <c r="KF47" s="2723"/>
      <c r="KG47" s="2723"/>
      <c r="KH47" s="2723"/>
      <c r="KI47" s="2723"/>
      <c r="KJ47" s="2723"/>
      <c r="KK47" s="2723"/>
      <c r="KL47" s="2723"/>
      <c r="KM47" s="2723"/>
      <c r="KN47" s="2723"/>
      <c r="KO47" s="2723"/>
    </row>
    <row r="48" spans="1:301" ht="19.5" hidden="1" customHeight="1" thickBot="1">
      <c r="A48" s="2723"/>
      <c r="B48" s="2723"/>
      <c r="C48" s="3242"/>
      <c r="D48" s="2725"/>
      <c r="E48" s="2730"/>
      <c r="F48" s="2730"/>
      <c r="G48" s="2730"/>
      <c r="H48" s="2730"/>
      <c r="I48" s="2730"/>
      <c r="J48" s="2730"/>
      <c r="K48" s="2730"/>
      <c r="L48" s="2730"/>
      <c r="M48" s="2730"/>
      <c r="N48" s="2730"/>
      <c r="O48" s="3420"/>
      <c r="P48" s="3415"/>
      <c r="Q48" s="3415"/>
      <c r="R48" s="3415"/>
      <c r="S48" s="3415"/>
      <c r="T48" s="3415"/>
      <c r="U48" s="3415"/>
      <c r="V48" s="3415"/>
      <c r="W48" s="3415"/>
      <c r="X48" s="3415"/>
      <c r="Y48" s="3415"/>
      <c r="Z48" s="3415"/>
      <c r="AA48" s="3421"/>
      <c r="AB48" s="3415"/>
      <c r="AC48" s="3415"/>
      <c r="AD48" s="3415"/>
      <c r="AE48" s="3415"/>
      <c r="AF48" s="3415"/>
      <c r="AG48" s="3415"/>
      <c r="AH48" s="3415"/>
      <c r="AI48" s="3415"/>
      <c r="AJ48" s="3415"/>
      <c r="AK48" s="3415"/>
      <c r="AL48" s="3415"/>
      <c r="AM48" s="3415"/>
      <c r="AN48" s="3415"/>
      <c r="AO48" s="3415"/>
      <c r="AP48" s="3415"/>
      <c r="AQ48" s="3415"/>
      <c r="AR48" s="3415"/>
      <c r="AS48" s="3415"/>
      <c r="AT48" s="3415"/>
      <c r="AU48" s="3415"/>
      <c r="AV48" s="3415"/>
      <c r="AW48" s="3415"/>
      <c r="AX48" s="3415"/>
      <c r="AY48" s="3415"/>
      <c r="AZ48" s="2730"/>
      <c r="BA48" s="2730"/>
      <c r="BB48" s="2730"/>
      <c r="BC48" s="2730"/>
      <c r="BD48" s="2730"/>
      <c r="BE48" s="2730"/>
      <c r="BF48" s="2730"/>
      <c r="BG48" s="2730"/>
      <c r="BH48" s="2730"/>
      <c r="BI48" s="2730"/>
      <c r="BJ48" s="2730"/>
      <c r="BK48" s="2730"/>
      <c r="BL48" s="2730"/>
      <c r="BM48" s="2730"/>
      <c r="BN48" s="2730"/>
      <c r="BO48" s="2730"/>
      <c r="BP48" s="2730"/>
      <c r="BQ48" s="2730"/>
      <c r="BR48" s="2730"/>
      <c r="BS48" s="2730"/>
      <c r="BT48" s="2730"/>
      <c r="BU48" s="2730"/>
      <c r="BV48" s="2730"/>
      <c r="BW48" s="2730"/>
      <c r="BX48" s="2730"/>
      <c r="BY48" s="2730"/>
      <c r="BZ48" s="2730"/>
      <c r="CA48" s="2730"/>
      <c r="CB48" s="2730"/>
      <c r="CC48" s="2730"/>
      <c r="CD48" s="2730"/>
      <c r="CE48" s="2730"/>
      <c r="CF48" s="2730"/>
      <c r="CG48" s="2730"/>
      <c r="CH48" s="2730"/>
      <c r="CI48" s="2730"/>
      <c r="CJ48" s="2730"/>
      <c r="CK48" s="2730"/>
      <c r="CL48" s="2730"/>
      <c r="CM48" s="2730"/>
      <c r="CN48" s="2730"/>
      <c r="CO48" s="2730"/>
      <c r="CP48" s="2730"/>
      <c r="CQ48" s="2730"/>
      <c r="CR48" s="2730"/>
      <c r="CS48" s="2730"/>
      <c r="CT48" s="2730"/>
      <c r="CU48" s="2730"/>
      <c r="CV48" s="2730"/>
      <c r="CW48" s="2730"/>
      <c r="CX48" s="2730"/>
      <c r="CY48" s="2730"/>
      <c r="CZ48" s="2730"/>
      <c r="DA48" s="2730"/>
      <c r="DB48" s="2730"/>
      <c r="DC48" s="2730"/>
      <c r="DD48" s="2730"/>
      <c r="DE48" s="2730"/>
      <c r="DF48" s="2730"/>
      <c r="DG48" s="2730"/>
      <c r="DH48" s="2688"/>
      <c r="DI48" s="2688"/>
      <c r="DJ48" s="2688"/>
      <c r="DK48" s="2688"/>
      <c r="DL48" s="2688"/>
      <c r="DM48" s="2688"/>
      <c r="DN48" s="2688"/>
      <c r="DO48" s="2688"/>
      <c r="DP48" s="2688"/>
      <c r="DQ48" s="2688"/>
      <c r="DR48" s="2688"/>
      <c r="DS48" s="2688"/>
      <c r="DT48" s="2688"/>
      <c r="DU48" s="2688"/>
      <c r="DV48" s="2688"/>
      <c r="DW48" s="2688"/>
      <c r="DX48" s="2688"/>
      <c r="DY48" s="2688"/>
      <c r="DZ48" s="2688"/>
      <c r="EA48" s="2688"/>
      <c r="EB48" s="2688"/>
      <c r="EC48" s="2688"/>
      <c r="ED48" s="2688"/>
      <c r="EE48" s="2688"/>
      <c r="EF48" s="2688"/>
      <c r="EG48" s="2688"/>
      <c r="EH48" s="2688"/>
      <c r="EI48" s="2688"/>
      <c r="EJ48" s="2688"/>
      <c r="EK48" s="2688"/>
      <c r="EL48" s="2688"/>
      <c r="EM48" s="2688"/>
      <c r="EN48" s="2688"/>
      <c r="EO48" s="2688"/>
      <c r="EP48" s="2688"/>
      <c r="EQ48" s="2688"/>
      <c r="ER48" s="2688"/>
      <c r="ES48" s="2688"/>
      <c r="ET48" s="2688"/>
      <c r="EU48" s="2688"/>
      <c r="EV48" s="2688"/>
      <c r="EW48" s="2688"/>
      <c r="EX48" s="2688"/>
      <c r="EY48" s="2688"/>
      <c r="EZ48" s="2688"/>
      <c r="FA48" s="2688"/>
      <c r="FB48" s="2688"/>
      <c r="FC48" s="2688"/>
      <c r="FD48" s="2759"/>
      <c r="FE48" s="2759"/>
      <c r="FF48" s="2759"/>
      <c r="FG48" s="2759"/>
      <c r="FH48" s="2759"/>
      <c r="FI48" s="2759"/>
      <c r="FJ48" s="2759"/>
      <c r="FK48" s="2759"/>
      <c r="FL48" s="2759"/>
      <c r="FM48" s="2759"/>
      <c r="FN48" s="2759"/>
      <c r="FO48" s="2759"/>
      <c r="FP48" s="2760"/>
      <c r="FQ48" s="2759"/>
      <c r="FR48" s="2759"/>
      <c r="FS48" s="2759"/>
      <c r="FT48" s="2759"/>
      <c r="FU48" s="2759"/>
      <c r="FV48" s="2759"/>
      <c r="FW48" s="2759"/>
      <c r="FX48" s="2759"/>
      <c r="FY48" s="2759"/>
      <c r="FZ48" s="2759"/>
      <c r="GA48" s="2759"/>
      <c r="GB48" s="2752"/>
      <c r="GC48" s="2726"/>
      <c r="GD48" s="2733"/>
      <c r="GE48" s="2733"/>
      <c r="GF48" s="2733"/>
      <c r="GG48" s="2733"/>
      <c r="GH48" s="2733"/>
      <c r="GI48" s="2733"/>
      <c r="GJ48" s="2733"/>
      <c r="GK48" s="2733"/>
      <c r="GL48" s="2730"/>
      <c r="GM48" s="2730"/>
      <c r="GN48" s="2730"/>
      <c r="GO48" s="2733"/>
      <c r="GP48" s="2733"/>
      <c r="GQ48" s="2733"/>
      <c r="GR48" s="2733"/>
      <c r="GS48" s="2733"/>
      <c r="GT48" s="2730"/>
      <c r="GU48" s="2730"/>
      <c r="GV48" s="2730"/>
      <c r="GW48" s="2730"/>
      <c r="GX48" s="2726"/>
      <c r="GY48" s="2726"/>
      <c r="GZ48" s="2726"/>
      <c r="HA48" s="2726"/>
      <c r="HB48" s="2726"/>
      <c r="HC48" s="2726"/>
      <c r="HD48" s="2726"/>
      <c r="HE48" s="2726"/>
      <c r="HF48" s="2726"/>
      <c r="HG48" s="2726"/>
      <c r="HH48" s="2726"/>
      <c r="HI48" s="2726"/>
      <c r="HJ48" s="2726"/>
      <c r="HK48" s="2726"/>
      <c r="HL48" s="2726"/>
      <c r="HM48" s="2727"/>
      <c r="HN48" s="2727"/>
      <c r="HO48" s="2727"/>
      <c r="HP48" s="2727"/>
      <c r="HQ48" s="2727"/>
      <c r="HR48" s="2727"/>
      <c r="HS48" s="2727"/>
      <c r="HT48" s="2726"/>
      <c r="HU48" s="2726"/>
      <c r="HV48" s="2726"/>
      <c r="HW48" s="2726"/>
      <c r="HX48" s="2726"/>
      <c r="HY48" s="2726"/>
      <c r="HZ48" s="2726"/>
      <c r="IA48" s="2726"/>
      <c r="IB48" s="2726"/>
      <c r="IC48" s="2726"/>
      <c r="ID48" s="2726"/>
      <c r="IE48" s="2726"/>
      <c r="IF48" s="2726"/>
      <c r="IG48" s="2726"/>
      <c r="IH48" s="2726"/>
      <c r="II48" s="2726"/>
      <c r="IJ48" s="2726"/>
      <c r="IK48" s="2753"/>
      <c r="IL48" s="3398"/>
      <c r="IM48" s="3398"/>
      <c r="IN48" s="3398"/>
      <c r="IO48" s="3398"/>
      <c r="IP48" s="3398"/>
      <c r="IQ48" s="3398"/>
      <c r="IR48" s="3398"/>
      <c r="IS48" s="3398"/>
      <c r="IT48" s="3398"/>
      <c r="IU48" s="3399"/>
      <c r="IV48" s="3285"/>
      <c r="IW48" s="3285"/>
      <c r="IX48" s="3285"/>
      <c r="IY48" s="3286"/>
      <c r="IZ48" s="3287"/>
      <c r="JA48" s="3764"/>
      <c r="JC48" s="3285"/>
      <c r="JD48" s="2723"/>
      <c r="JE48" s="2723"/>
      <c r="JF48" s="2723"/>
      <c r="JG48" s="2723"/>
      <c r="JH48" s="2723"/>
      <c r="JI48" s="3262"/>
      <c r="JJ48" s="2723"/>
      <c r="JK48" s="2723"/>
      <c r="JL48" s="2723"/>
      <c r="JM48" s="2723"/>
      <c r="JN48" s="2723"/>
      <c r="JO48" s="2723"/>
      <c r="JP48" s="2723"/>
      <c r="JQ48" s="2723"/>
      <c r="JS48" s="2723"/>
      <c r="JT48" s="2723"/>
      <c r="JU48" s="2723"/>
      <c r="JV48" s="2723"/>
      <c r="JW48" s="2723"/>
      <c r="JX48" s="2723"/>
      <c r="JY48" s="2723"/>
      <c r="JZ48" s="2723"/>
      <c r="KA48" s="2723"/>
      <c r="KB48" s="2723"/>
      <c r="KC48" s="2723"/>
      <c r="KD48" s="2723"/>
      <c r="KE48" s="2723"/>
      <c r="KF48" s="2723"/>
      <c r="KG48" s="2723"/>
      <c r="KH48" s="2723"/>
      <c r="KI48" s="2723"/>
      <c r="KJ48" s="2723"/>
      <c r="KK48" s="2723"/>
      <c r="KL48" s="2723"/>
      <c r="KM48" s="2723"/>
      <c r="KN48" s="2723"/>
      <c r="KO48" s="2723"/>
    </row>
    <row r="49" spans="1:301" ht="41.4" customHeight="1" thickBot="1">
      <c r="A49" s="2723"/>
      <c r="B49" s="3480"/>
      <c r="C49" s="3844" t="s">
        <v>1517</v>
      </c>
      <c r="D49" s="5325">
        <v>2007</v>
      </c>
      <c r="E49" s="5325"/>
      <c r="F49" s="5325"/>
      <c r="G49" s="5325"/>
      <c r="H49" s="5325"/>
      <c r="I49" s="5325"/>
      <c r="J49" s="5325"/>
      <c r="K49" s="5325"/>
      <c r="L49" s="5325"/>
      <c r="M49" s="5325"/>
      <c r="N49" s="5325"/>
      <c r="O49" s="5326"/>
      <c r="P49" s="5327">
        <v>2008</v>
      </c>
      <c r="Q49" s="5328"/>
      <c r="R49" s="5328"/>
      <c r="S49" s="5328"/>
      <c r="T49" s="5328"/>
      <c r="U49" s="5328"/>
      <c r="V49" s="5328"/>
      <c r="W49" s="5328"/>
      <c r="X49" s="5328"/>
      <c r="Y49" s="5328"/>
      <c r="Z49" s="5328"/>
      <c r="AA49" s="5329"/>
      <c r="AB49" s="5330">
        <v>2009</v>
      </c>
      <c r="AC49" s="5331"/>
      <c r="AD49" s="5331"/>
      <c r="AE49" s="5331"/>
      <c r="AF49" s="5331"/>
      <c r="AG49" s="5331"/>
      <c r="AH49" s="5331"/>
      <c r="AI49" s="5331"/>
      <c r="AJ49" s="5331"/>
      <c r="AK49" s="5331"/>
      <c r="AL49" s="5331"/>
      <c r="AM49" s="5332"/>
      <c r="AN49" s="5344">
        <v>2010</v>
      </c>
      <c r="AO49" s="5345"/>
      <c r="AP49" s="5345"/>
      <c r="AQ49" s="5345"/>
      <c r="AR49" s="5345"/>
      <c r="AS49" s="5345"/>
      <c r="AT49" s="5345"/>
      <c r="AU49" s="5345"/>
      <c r="AV49" s="5345"/>
      <c r="AW49" s="5345"/>
      <c r="AX49" s="5345"/>
      <c r="AY49" s="5346"/>
      <c r="AZ49" s="5347">
        <v>2011</v>
      </c>
      <c r="BA49" s="5348"/>
      <c r="BB49" s="5348"/>
      <c r="BC49" s="5348"/>
      <c r="BD49" s="5348"/>
      <c r="BE49" s="5348"/>
      <c r="BF49" s="5348"/>
      <c r="BG49" s="5348"/>
      <c r="BH49" s="5348"/>
      <c r="BI49" s="5348"/>
      <c r="BJ49" s="5348"/>
      <c r="BK49" s="5349"/>
      <c r="BL49" s="5350">
        <v>2012</v>
      </c>
      <c r="BM49" s="5351"/>
      <c r="BN49" s="5351"/>
      <c r="BO49" s="5351"/>
      <c r="BP49" s="5351"/>
      <c r="BQ49" s="5351"/>
      <c r="BR49" s="5351"/>
      <c r="BS49" s="5351"/>
      <c r="BT49" s="5351"/>
      <c r="BU49" s="5351"/>
      <c r="BV49" s="5351"/>
      <c r="BW49" s="5352"/>
      <c r="BX49" s="5353">
        <v>2013</v>
      </c>
      <c r="BY49" s="5348"/>
      <c r="BZ49" s="5348"/>
      <c r="CA49" s="5348"/>
      <c r="CB49" s="5348"/>
      <c r="CC49" s="5348"/>
      <c r="CD49" s="5348"/>
      <c r="CE49" s="5348"/>
      <c r="CF49" s="5348"/>
      <c r="CG49" s="5348"/>
      <c r="CH49" s="5348"/>
      <c r="CI49" s="5354"/>
      <c r="CJ49" s="5355">
        <v>2014</v>
      </c>
      <c r="CK49" s="5356"/>
      <c r="CL49" s="5356"/>
      <c r="CM49" s="5356"/>
      <c r="CN49" s="5356"/>
      <c r="CO49" s="5356"/>
      <c r="CP49" s="5356"/>
      <c r="CQ49" s="5356"/>
      <c r="CR49" s="5356"/>
      <c r="CS49" s="5356"/>
      <c r="CT49" s="5356"/>
      <c r="CU49" s="5357"/>
      <c r="CV49" s="5338">
        <v>2015</v>
      </c>
      <c r="CW49" s="5339"/>
      <c r="CX49" s="5339"/>
      <c r="CY49" s="5339"/>
      <c r="CZ49" s="5339"/>
      <c r="DA49" s="5339"/>
      <c r="DB49" s="5339"/>
      <c r="DC49" s="5339"/>
      <c r="DD49" s="5339"/>
      <c r="DE49" s="5339"/>
      <c r="DF49" s="5339"/>
      <c r="DG49" s="5340"/>
      <c r="DH49" s="5341">
        <v>2016</v>
      </c>
      <c r="DI49" s="5342"/>
      <c r="DJ49" s="5342"/>
      <c r="DK49" s="5342"/>
      <c r="DL49" s="5342"/>
      <c r="DM49" s="5342"/>
      <c r="DN49" s="5342"/>
      <c r="DO49" s="5342"/>
      <c r="DP49" s="5342"/>
      <c r="DQ49" s="5342"/>
      <c r="DR49" s="5342"/>
      <c r="DS49" s="5343"/>
      <c r="DT49" s="5333">
        <v>2017</v>
      </c>
      <c r="DU49" s="5334"/>
      <c r="DV49" s="5334"/>
      <c r="DW49" s="5334"/>
      <c r="DX49" s="5334"/>
      <c r="DY49" s="5334"/>
      <c r="DZ49" s="5334"/>
      <c r="EA49" s="5334"/>
      <c r="EB49" s="5334"/>
      <c r="EC49" s="5334"/>
      <c r="ED49" s="5334"/>
      <c r="EE49" s="5335"/>
      <c r="EF49" s="5336">
        <v>2018</v>
      </c>
      <c r="EG49" s="5337"/>
      <c r="EH49" s="5337"/>
      <c r="EI49" s="5337"/>
      <c r="EJ49" s="5337"/>
      <c r="EK49" s="5337"/>
      <c r="EL49" s="5337"/>
      <c r="EM49" s="5337"/>
      <c r="EN49" s="5337"/>
      <c r="EO49" s="5337"/>
      <c r="EP49" s="5337"/>
      <c r="EQ49" s="5337"/>
      <c r="ER49" s="3481">
        <v>2019</v>
      </c>
      <c r="ES49" s="3482"/>
      <c r="ET49" s="3482"/>
      <c r="EU49" s="3482"/>
      <c r="EV49" s="3482"/>
      <c r="EW49" s="3482"/>
      <c r="EX49" s="3482"/>
      <c r="EY49" s="3482"/>
      <c r="EZ49" s="3482"/>
      <c r="FA49" s="3482"/>
      <c r="FB49" s="3482"/>
      <c r="FC49" s="3482"/>
      <c r="FD49" s="2876">
        <v>2020</v>
      </c>
      <c r="FE49" s="2877"/>
      <c r="FF49" s="2877"/>
      <c r="FG49" s="2877"/>
      <c r="FH49" s="2877"/>
      <c r="FI49" s="2877"/>
      <c r="FJ49" s="2877"/>
      <c r="FK49" s="2877"/>
      <c r="FL49" s="2877"/>
      <c r="FM49" s="2877"/>
      <c r="FN49" s="2877"/>
      <c r="FO49" s="2877"/>
      <c r="FP49" s="3842">
        <v>2021</v>
      </c>
      <c r="FQ49" s="3843"/>
      <c r="FR49" s="3843"/>
      <c r="FS49" s="3843"/>
      <c r="FT49" s="3843"/>
      <c r="FU49" s="3843"/>
      <c r="FV49" s="3843"/>
      <c r="FW49" s="3843"/>
      <c r="FX49" s="3843"/>
      <c r="FY49" s="3843"/>
      <c r="FZ49" s="3843"/>
      <c r="GA49" s="3843"/>
      <c r="GB49" s="2878"/>
      <c r="GC49" s="5363">
        <v>2007</v>
      </c>
      <c r="GD49" s="5364"/>
      <c r="GE49" s="5364"/>
      <c r="GF49" s="5365"/>
      <c r="GG49" s="5366">
        <v>2008</v>
      </c>
      <c r="GH49" s="5367"/>
      <c r="GI49" s="5367"/>
      <c r="GJ49" s="5368"/>
      <c r="GK49" s="5369">
        <v>2009</v>
      </c>
      <c r="GL49" s="5370"/>
      <c r="GM49" s="5370"/>
      <c r="GN49" s="5371"/>
      <c r="GO49" s="5380">
        <v>2010</v>
      </c>
      <c r="GP49" s="5381"/>
      <c r="GQ49" s="5381"/>
      <c r="GR49" s="5382"/>
      <c r="GS49" s="5384">
        <v>2011</v>
      </c>
      <c r="GT49" s="5385"/>
      <c r="GU49" s="5385"/>
      <c r="GV49" s="5386"/>
      <c r="GW49" s="5387">
        <v>2012</v>
      </c>
      <c r="GX49" s="5379"/>
      <c r="GY49" s="5379"/>
      <c r="GZ49" s="5379"/>
      <c r="HA49" s="5388">
        <v>2013</v>
      </c>
      <c r="HB49" s="5388"/>
      <c r="HC49" s="5388"/>
      <c r="HD49" s="5388"/>
      <c r="HE49" s="5389">
        <v>2014</v>
      </c>
      <c r="HF49" s="5389"/>
      <c r="HG49" s="5389"/>
      <c r="HH49" s="5389"/>
      <c r="HI49" s="5390">
        <v>2015</v>
      </c>
      <c r="HJ49" s="5390"/>
      <c r="HK49" s="5390"/>
      <c r="HL49" s="5390"/>
      <c r="HM49" s="5372">
        <v>2016</v>
      </c>
      <c r="HN49" s="5372"/>
      <c r="HO49" s="5372"/>
      <c r="HP49" s="5372"/>
      <c r="HQ49" s="5379">
        <v>2017</v>
      </c>
      <c r="HR49" s="5379"/>
      <c r="HS49" s="5379"/>
      <c r="HT49" s="5379"/>
      <c r="HU49" s="5359">
        <v>2018</v>
      </c>
      <c r="HV49" s="5360"/>
      <c r="HW49" s="5360"/>
      <c r="HX49" s="5360"/>
      <c r="HY49" s="5373">
        <v>2019</v>
      </c>
      <c r="HZ49" s="5374"/>
      <c r="IA49" s="5374"/>
      <c r="IB49" s="5374"/>
      <c r="IC49" s="2876">
        <v>2020</v>
      </c>
      <c r="ID49" s="2877"/>
      <c r="IE49" s="2877"/>
      <c r="IF49" s="2879"/>
      <c r="IG49" s="3842">
        <v>2021</v>
      </c>
      <c r="IH49" s="3843"/>
      <c r="II49" s="3843"/>
      <c r="IJ49" s="3843"/>
      <c r="IK49" s="2734"/>
      <c r="IL49" s="3483">
        <v>2007</v>
      </c>
      <c r="IM49" s="3484">
        <v>2008</v>
      </c>
      <c r="IN49" s="3484">
        <v>2009</v>
      </c>
      <c r="IO49" s="3484">
        <v>2010</v>
      </c>
      <c r="IP49" s="3484">
        <v>2011</v>
      </c>
      <c r="IQ49" s="3484">
        <v>2012</v>
      </c>
      <c r="IR49" s="3484">
        <v>2013</v>
      </c>
      <c r="IS49" s="3484">
        <v>2014</v>
      </c>
      <c r="IT49" s="3484">
        <v>2015</v>
      </c>
      <c r="IU49" s="3484">
        <v>2016</v>
      </c>
      <c r="IV49" s="3484">
        <v>2017</v>
      </c>
      <c r="IW49" s="3485">
        <v>2018</v>
      </c>
      <c r="IX49" s="3486">
        <v>2019</v>
      </c>
      <c r="IY49" s="3487">
        <v>2020</v>
      </c>
      <c r="IZ49" s="3488" t="s">
        <v>1441</v>
      </c>
      <c r="JA49" s="3768">
        <v>2021</v>
      </c>
      <c r="JC49" s="5391" t="s">
        <v>1510</v>
      </c>
      <c r="JD49" s="5383" t="s">
        <v>827</v>
      </c>
      <c r="JE49" s="5358" t="s">
        <v>592</v>
      </c>
      <c r="JF49" s="5358" t="s">
        <v>880</v>
      </c>
      <c r="JG49" s="5358" t="s">
        <v>1502</v>
      </c>
      <c r="JH49" s="5358" t="s">
        <v>1504</v>
      </c>
      <c r="JI49" s="5377" t="s">
        <v>1503</v>
      </c>
      <c r="JJ49" s="731"/>
      <c r="JK49" s="5362" t="s">
        <v>603</v>
      </c>
      <c r="JL49" s="5361" t="s">
        <v>874</v>
      </c>
      <c r="JM49" s="5361" t="s">
        <v>878</v>
      </c>
      <c r="JN49" s="5361" t="s">
        <v>879</v>
      </c>
      <c r="JO49" s="5361" t="s">
        <v>1505</v>
      </c>
      <c r="JP49" s="5378" t="s">
        <v>1512</v>
      </c>
      <c r="JQ49" s="5375" t="s">
        <v>1506</v>
      </c>
      <c r="JS49" s="3480"/>
      <c r="JT49" s="3480"/>
      <c r="JU49" s="3480"/>
      <c r="JV49" s="3480"/>
      <c r="JW49" s="3480"/>
      <c r="JX49" s="3480"/>
      <c r="JY49" s="3480"/>
      <c r="JZ49" s="3480"/>
      <c r="KA49" s="3480"/>
      <c r="KB49" s="3480"/>
      <c r="KC49" s="3480"/>
      <c r="KD49" s="3480"/>
      <c r="KE49" s="3480"/>
      <c r="KF49" s="3480"/>
      <c r="KG49" s="3480"/>
      <c r="KH49" s="3480"/>
      <c r="KI49" s="3480"/>
      <c r="KJ49" s="3480"/>
      <c r="KK49" s="3480"/>
      <c r="KL49" s="3480"/>
      <c r="KM49" s="3480"/>
      <c r="KN49" s="3480"/>
      <c r="KO49" s="3480"/>
    </row>
    <row r="50" spans="1:301" ht="4.5" customHeight="1">
      <c r="A50" s="2723"/>
      <c r="B50" s="3480"/>
      <c r="C50" s="3844"/>
      <c r="D50" s="3489"/>
      <c r="E50" s="3489"/>
      <c r="F50" s="3489"/>
      <c r="G50" s="3489"/>
      <c r="H50" s="3489"/>
      <c r="I50" s="3489"/>
      <c r="J50" s="3489"/>
      <c r="K50" s="3489"/>
      <c r="L50" s="3489"/>
      <c r="M50" s="3489"/>
      <c r="N50" s="3489"/>
      <c r="O50" s="3490"/>
      <c r="P50" s="3491"/>
      <c r="Q50" s="3489"/>
      <c r="R50" s="3489"/>
      <c r="S50" s="3489"/>
      <c r="T50" s="3489"/>
      <c r="U50" s="3489"/>
      <c r="V50" s="3489"/>
      <c r="W50" s="3489"/>
      <c r="X50" s="3489"/>
      <c r="Y50" s="3489"/>
      <c r="Z50" s="3489"/>
      <c r="AA50" s="3490"/>
      <c r="AB50" s="3491"/>
      <c r="AC50" s="3489"/>
      <c r="AD50" s="3489"/>
      <c r="AE50" s="3489"/>
      <c r="AF50" s="3489"/>
      <c r="AG50" s="3489"/>
      <c r="AH50" s="3489"/>
      <c r="AI50" s="3489"/>
      <c r="AJ50" s="3489"/>
      <c r="AK50" s="3489"/>
      <c r="AL50" s="3489"/>
      <c r="AM50" s="3490"/>
      <c r="AN50" s="3491"/>
      <c r="AO50" s="3489"/>
      <c r="AP50" s="3489"/>
      <c r="AQ50" s="3489"/>
      <c r="AR50" s="3489"/>
      <c r="AS50" s="3489"/>
      <c r="AT50" s="3489"/>
      <c r="AU50" s="3489"/>
      <c r="AV50" s="3489"/>
      <c r="AW50" s="3489"/>
      <c r="AX50" s="3489"/>
      <c r="AY50" s="3490"/>
      <c r="AZ50" s="3489"/>
      <c r="BA50" s="3489"/>
      <c r="BB50" s="3489"/>
      <c r="BC50" s="3489"/>
      <c r="BD50" s="3489"/>
      <c r="BE50" s="3489"/>
      <c r="BF50" s="3489"/>
      <c r="BG50" s="3489"/>
      <c r="BH50" s="3489"/>
      <c r="BI50" s="3489"/>
      <c r="BJ50" s="3489"/>
      <c r="BK50" s="3492"/>
      <c r="BL50" s="3493"/>
      <c r="BM50" s="3494"/>
      <c r="BN50" s="3494"/>
      <c r="BO50" s="3494"/>
      <c r="BP50" s="3494"/>
      <c r="BQ50" s="3494"/>
      <c r="BR50" s="3494"/>
      <c r="BS50" s="3494"/>
      <c r="BT50" s="3494"/>
      <c r="BU50" s="3494"/>
      <c r="BV50" s="3494"/>
      <c r="BW50" s="3495"/>
      <c r="BX50" s="3493"/>
      <c r="BY50" s="3494"/>
      <c r="BZ50" s="3494"/>
      <c r="CA50" s="3494"/>
      <c r="CB50" s="3494"/>
      <c r="CC50" s="3494"/>
      <c r="CD50" s="3494"/>
      <c r="CE50" s="3494"/>
      <c r="CF50" s="3494"/>
      <c r="CG50" s="3494"/>
      <c r="CH50" s="3494"/>
      <c r="CI50" s="3494"/>
      <c r="CJ50" s="3496"/>
      <c r="CK50" s="3497"/>
      <c r="CL50" s="3497"/>
      <c r="CM50" s="3497"/>
      <c r="CN50" s="3497"/>
      <c r="CO50" s="3497"/>
      <c r="CP50" s="3497"/>
      <c r="CQ50" s="3497"/>
      <c r="CR50" s="3497"/>
      <c r="CS50" s="3497"/>
      <c r="CT50" s="3497"/>
      <c r="CU50" s="3498"/>
      <c r="CV50" s="3499"/>
      <c r="CW50" s="3500"/>
      <c r="CX50" s="3500"/>
      <c r="CY50" s="3500"/>
      <c r="CZ50" s="3500"/>
      <c r="DA50" s="3500"/>
      <c r="DB50" s="3500"/>
      <c r="DC50" s="3500"/>
      <c r="DD50" s="3500"/>
      <c r="DE50" s="3500"/>
      <c r="DF50" s="3500"/>
      <c r="DG50" s="3501"/>
      <c r="DH50" s="3502"/>
      <c r="DI50" s="3503"/>
      <c r="DJ50" s="3503"/>
      <c r="DK50" s="3503"/>
      <c r="DL50" s="3503"/>
      <c r="DM50" s="3503"/>
      <c r="DN50" s="3503"/>
      <c r="DO50" s="3503"/>
      <c r="DP50" s="3503"/>
      <c r="DQ50" s="3503"/>
      <c r="DR50" s="3503"/>
      <c r="DS50" s="3504"/>
      <c r="DT50" s="3505"/>
      <c r="DU50" s="3506"/>
      <c r="DV50" s="3506"/>
      <c r="DW50" s="3506"/>
      <c r="DX50" s="3506"/>
      <c r="DY50" s="3506"/>
      <c r="DZ50" s="3506"/>
      <c r="EA50" s="3506"/>
      <c r="EB50" s="3506"/>
      <c r="EC50" s="3506"/>
      <c r="ED50" s="3506"/>
      <c r="EE50" s="3506"/>
      <c r="EF50" s="3507"/>
      <c r="EG50" s="3508"/>
      <c r="EH50" s="3508"/>
      <c r="EI50" s="3508"/>
      <c r="EJ50" s="3508"/>
      <c r="EK50" s="3508"/>
      <c r="EL50" s="3508"/>
      <c r="EM50" s="3508"/>
      <c r="EN50" s="3508"/>
      <c r="EO50" s="3494"/>
      <c r="EP50" s="3508"/>
      <c r="EQ50" s="3508"/>
      <c r="ER50" s="3507"/>
      <c r="ES50" s="3508"/>
      <c r="ET50" s="3508"/>
      <c r="EU50" s="3508"/>
      <c r="EV50" s="3508"/>
      <c r="EW50" s="3508"/>
      <c r="EX50" s="3508"/>
      <c r="EY50" s="3508"/>
      <c r="EZ50" s="3508"/>
      <c r="FA50" s="3508"/>
      <c r="FB50" s="3508"/>
      <c r="FC50" s="3508"/>
      <c r="FD50" s="2880"/>
      <c r="FE50" s="2881"/>
      <c r="FF50" s="2881"/>
      <c r="FG50" s="2881"/>
      <c r="FH50" s="2881"/>
      <c r="FI50" s="2881"/>
      <c r="FJ50" s="2881"/>
      <c r="FK50" s="2881"/>
      <c r="FL50" s="2881"/>
      <c r="FM50" s="2881"/>
      <c r="FN50" s="2881"/>
      <c r="FO50" s="2881"/>
      <c r="FP50" s="2882"/>
      <c r="FQ50" s="3835"/>
      <c r="FR50" s="3835"/>
      <c r="FS50" s="3835"/>
      <c r="FT50" s="3835"/>
      <c r="FU50" s="3835"/>
      <c r="FV50" s="3835"/>
      <c r="FW50" s="3835"/>
      <c r="FX50" s="3835"/>
      <c r="FY50" s="3835"/>
      <c r="FZ50" s="3835"/>
      <c r="GA50" s="3835"/>
      <c r="GB50" s="2878"/>
      <c r="GC50" s="1212"/>
      <c r="GD50" s="1212"/>
      <c r="GE50" s="1212"/>
      <c r="GF50" s="1212"/>
      <c r="GG50" s="1212"/>
      <c r="GH50" s="1212"/>
      <c r="GI50" s="1212"/>
      <c r="GJ50" s="1212"/>
      <c r="GK50" s="1212"/>
      <c r="GL50" s="1212"/>
      <c r="GM50" s="1212"/>
      <c r="GN50" s="1212"/>
      <c r="GO50" s="1212"/>
      <c r="GP50" s="1212"/>
      <c r="GQ50" s="1212"/>
      <c r="GR50" s="1212"/>
      <c r="GS50" s="2883"/>
      <c r="GT50" s="2883"/>
      <c r="GU50" s="2883"/>
      <c r="GV50" s="2883"/>
      <c r="GW50" s="2884"/>
      <c r="GX50" s="2884"/>
      <c r="GY50" s="2884"/>
      <c r="GZ50" s="2884"/>
      <c r="HA50" s="2885"/>
      <c r="HB50" s="2885"/>
      <c r="HC50" s="2885"/>
      <c r="HD50" s="2885"/>
      <c r="HE50" s="2886"/>
      <c r="HF50" s="2886"/>
      <c r="HG50" s="2886"/>
      <c r="HH50" s="2886"/>
      <c r="HI50" s="2887"/>
      <c r="HJ50" s="2887"/>
      <c r="HK50" s="2887"/>
      <c r="HL50" s="2887"/>
      <c r="HM50" s="2888"/>
      <c r="HN50" s="2888"/>
      <c r="HO50" s="2888"/>
      <c r="HP50" s="2888"/>
      <c r="HQ50" s="2889"/>
      <c r="HR50" s="2889"/>
      <c r="HS50" s="2889"/>
      <c r="HT50" s="2889"/>
      <c r="HU50" s="2890"/>
      <c r="HV50" s="2885"/>
      <c r="HW50" s="2885"/>
      <c r="HX50" s="2885"/>
      <c r="HY50" s="2890"/>
      <c r="HZ50" s="2885"/>
      <c r="IA50" s="2885"/>
      <c r="IB50" s="2885"/>
      <c r="IC50" s="2880"/>
      <c r="ID50" s="2881"/>
      <c r="IE50" s="2881"/>
      <c r="IF50" s="2891"/>
      <c r="IG50" s="2882"/>
      <c r="IH50" s="3835"/>
      <c r="II50" s="3835"/>
      <c r="IJ50" s="3835"/>
      <c r="IK50" s="2892"/>
      <c r="IL50" s="3509"/>
      <c r="IM50" s="3510"/>
      <c r="IN50" s="3510"/>
      <c r="IO50" s="3510"/>
      <c r="IP50" s="3510"/>
      <c r="IQ50" s="3510"/>
      <c r="IR50" s="3510"/>
      <c r="IS50" s="3510"/>
      <c r="IT50" s="3510"/>
      <c r="IU50" s="3510"/>
      <c r="IV50" s="3510"/>
      <c r="IW50" s="3510"/>
      <c r="IX50" s="3510"/>
      <c r="IY50" s="3511"/>
      <c r="IZ50" s="3512"/>
      <c r="JA50" s="3764"/>
      <c r="JC50" s="5392"/>
      <c r="JD50" s="5383"/>
      <c r="JE50" s="5358"/>
      <c r="JF50" s="5358"/>
      <c r="JG50" s="5358"/>
      <c r="JH50" s="5358"/>
      <c r="JI50" s="5377"/>
      <c r="JJ50" s="731"/>
      <c r="JK50" s="5362"/>
      <c r="JL50" s="5361"/>
      <c r="JM50" s="5361"/>
      <c r="JN50" s="5361"/>
      <c r="JO50" s="5361"/>
      <c r="JP50" s="5378"/>
      <c r="JQ50" s="5375"/>
      <c r="JS50" s="3480"/>
      <c r="JT50" s="3480"/>
      <c r="JU50" s="3480"/>
      <c r="JV50" s="3480"/>
      <c r="JW50" s="3480"/>
      <c r="JX50" s="3480"/>
      <c r="JY50" s="3480"/>
      <c r="JZ50" s="3480"/>
      <c r="KA50" s="3480"/>
      <c r="KB50" s="3480"/>
      <c r="KC50" s="3480"/>
      <c r="KD50" s="3480"/>
      <c r="KE50" s="3480"/>
      <c r="KF50" s="3480"/>
      <c r="KG50" s="3480"/>
      <c r="KH50" s="3480"/>
      <c r="KI50" s="3480"/>
      <c r="KJ50" s="3480"/>
      <c r="KK50" s="3480"/>
      <c r="KL50" s="3480"/>
      <c r="KM50" s="3480"/>
      <c r="KN50" s="3480"/>
      <c r="KO50" s="3480"/>
    </row>
    <row r="51" spans="1:301" ht="15" thickBot="1">
      <c r="A51" s="2723"/>
      <c r="B51" s="3480"/>
      <c r="C51" s="3845" t="s">
        <v>1586</v>
      </c>
      <c r="D51" s="3513" t="s">
        <v>36</v>
      </c>
      <c r="E51" s="2691" t="s">
        <v>37</v>
      </c>
      <c r="F51" s="2691" t="s">
        <v>38</v>
      </c>
      <c r="G51" s="2691" t="s">
        <v>39</v>
      </c>
      <c r="H51" s="2691" t="s">
        <v>40</v>
      </c>
      <c r="I51" s="2691" t="s">
        <v>41</v>
      </c>
      <c r="J51" s="2691" t="s">
        <v>42</v>
      </c>
      <c r="K51" s="2691" t="s">
        <v>43</v>
      </c>
      <c r="L51" s="2691" t="s">
        <v>44</v>
      </c>
      <c r="M51" s="2691" t="s">
        <v>45</v>
      </c>
      <c r="N51" s="2691" t="s">
        <v>46</v>
      </c>
      <c r="O51" s="2692" t="s">
        <v>47</v>
      </c>
      <c r="P51" s="2690" t="s">
        <v>36</v>
      </c>
      <c r="Q51" s="2691" t="s">
        <v>37</v>
      </c>
      <c r="R51" s="2691" t="s">
        <v>38</v>
      </c>
      <c r="S51" s="2691" t="s">
        <v>39</v>
      </c>
      <c r="T51" s="2691" t="s">
        <v>40</v>
      </c>
      <c r="U51" s="2691" t="s">
        <v>41</v>
      </c>
      <c r="V51" s="2691" t="s">
        <v>42</v>
      </c>
      <c r="W51" s="2691" t="s">
        <v>43</v>
      </c>
      <c r="X51" s="2691" t="s">
        <v>44</v>
      </c>
      <c r="Y51" s="2691" t="s">
        <v>45</v>
      </c>
      <c r="Z51" s="2691" t="s">
        <v>46</v>
      </c>
      <c r="AA51" s="2692" t="s">
        <v>47</v>
      </c>
      <c r="AB51" s="2693" t="s">
        <v>36</v>
      </c>
      <c r="AC51" s="2694" t="s">
        <v>37</v>
      </c>
      <c r="AD51" s="2694" t="s">
        <v>38</v>
      </c>
      <c r="AE51" s="2694" t="s">
        <v>39</v>
      </c>
      <c r="AF51" s="2694" t="s">
        <v>40</v>
      </c>
      <c r="AG51" s="2694" t="s">
        <v>41</v>
      </c>
      <c r="AH51" s="2694" t="s">
        <v>42</v>
      </c>
      <c r="AI51" s="2694" t="s">
        <v>43</v>
      </c>
      <c r="AJ51" s="2694" t="s">
        <v>44</v>
      </c>
      <c r="AK51" s="2694" t="s">
        <v>45</v>
      </c>
      <c r="AL51" s="2694" t="s">
        <v>46</v>
      </c>
      <c r="AM51" s="2695" t="s">
        <v>47</v>
      </c>
      <c r="AN51" s="2693" t="s">
        <v>36</v>
      </c>
      <c r="AO51" s="2694" t="s">
        <v>37</v>
      </c>
      <c r="AP51" s="2694" t="s">
        <v>38</v>
      </c>
      <c r="AQ51" s="2694" t="s">
        <v>39</v>
      </c>
      <c r="AR51" s="2694" t="s">
        <v>40</v>
      </c>
      <c r="AS51" s="2694" t="s">
        <v>41</v>
      </c>
      <c r="AT51" s="2694" t="s">
        <v>42</v>
      </c>
      <c r="AU51" s="2694" t="s">
        <v>43</v>
      </c>
      <c r="AV51" s="2694" t="s">
        <v>44</v>
      </c>
      <c r="AW51" s="2694" t="s">
        <v>45</v>
      </c>
      <c r="AX51" s="2694" t="s">
        <v>46</v>
      </c>
      <c r="AY51" s="2695" t="s">
        <v>47</v>
      </c>
      <c r="AZ51" s="2696" t="s">
        <v>36</v>
      </c>
      <c r="BA51" s="2696" t="s">
        <v>37</v>
      </c>
      <c r="BB51" s="2696" t="s">
        <v>38</v>
      </c>
      <c r="BC51" s="2696" t="s">
        <v>39</v>
      </c>
      <c r="BD51" s="2696" t="s">
        <v>40</v>
      </c>
      <c r="BE51" s="2696" t="s">
        <v>41</v>
      </c>
      <c r="BF51" s="2696" t="s">
        <v>42</v>
      </c>
      <c r="BG51" s="2696" t="s">
        <v>43</v>
      </c>
      <c r="BH51" s="2696" t="s">
        <v>44</v>
      </c>
      <c r="BI51" s="2696" t="s">
        <v>45</v>
      </c>
      <c r="BJ51" s="2696" t="s">
        <v>46</v>
      </c>
      <c r="BK51" s="2697" t="s">
        <v>47</v>
      </c>
      <c r="BL51" s="2698" t="s">
        <v>36</v>
      </c>
      <c r="BM51" s="2699" t="s">
        <v>37</v>
      </c>
      <c r="BN51" s="2699" t="s">
        <v>38</v>
      </c>
      <c r="BO51" s="2699" t="s">
        <v>39</v>
      </c>
      <c r="BP51" s="2699" t="s">
        <v>40</v>
      </c>
      <c r="BQ51" s="2699" t="s">
        <v>41</v>
      </c>
      <c r="BR51" s="2699" t="s">
        <v>42</v>
      </c>
      <c r="BS51" s="2699" t="s">
        <v>43</v>
      </c>
      <c r="BT51" s="2700" t="s">
        <v>44</v>
      </c>
      <c r="BU51" s="2700" t="s">
        <v>45</v>
      </c>
      <c r="BV51" s="2700" t="s">
        <v>46</v>
      </c>
      <c r="BW51" s="2701" t="s">
        <v>47</v>
      </c>
      <c r="BX51" s="2702" t="s">
        <v>36</v>
      </c>
      <c r="BY51" s="2696" t="s">
        <v>37</v>
      </c>
      <c r="BZ51" s="2696" t="s">
        <v>38</v>
      </c>
      <c r="CA51" s="2696" t="s">
        <v>39</v>
      </c>
      <c r="CB51" s="2696" t="s">
        <v>40</v>
      </c>
      <c r="CC51" s="2696" t="s">
        <v>41</v>
      </c>
      <c r="CD51" s="2696" t="s">
        <v>42</v>
      </c>
      <c r="CE51" s="2696" t="s">
        <v>43</v>
      </c>
      <c r="CF51" s="2696" t="s">
        <v>44</v>
      </c>
      <c r="CG51" s="2696" t="s">
        <v>45</v>
      </c>
      <c r="CH51" s="2696" t="s">
        <v>46</v>
      </c>
      <c r="CI51" s="2696" t="s">
        <v>47</v>
      </c>
      <c r="CJ51" s="2693" t="s">
        <v>36</v>
      </c>
      <c r="CK51" s="2694" t="s">
        <v>37</v>
      </c>
      <c r="CL51" s="2694" t="s">
        <v>38</v>
      </c>
      <c r="CM51" s="2694" t="s">
        <v>39</v>
      </c>
      <c r="CN51" s="2694" t="s">
        <v>40</v>
      </c>
      <c r="CO51" s="2694" t="s">
        <v>41</v>
      </c>
      <c r="CP51" s="2694" t="s">
        <v>42</v>
      </c>
      <c r="CQ51" s="2694" t="s">
        <v>43</v>
      </c>
      <c r="CR51" s="2694" t="s">
        <v>44</v>
      </c>
      <c r="CS51" s="2694" t="s">
        <v>45</v>
      </c>
      <c r="CT51" s="2694" t="s">
        <v>46</v>
      </c>
      <c r="CU51" s="2695" t="s">
        <v>47</v>
      </c>
      <c r="CV51" s="2703" t="s">
        <v>36</v>
      </c>
      <c r="CW51" s="2696" t="s">
        <v>37</v>
      </c>
      <c r="CX51" s="2696" t="s">
        <v>38</v>
      </c>
      <c r="CY51" s="2696" t="s">
        <v>39</v>
      </c>
      <c r="CZ51" s="2696" t="s">
        <v>40</v>
      </c>
      <c r="DA51" s="2696" t="s">
        <v>41</v>
      </c>
      <c r="DB51" s="2696" t="s">
        <v>42</v>
      </c>
      <c r="DC51" s="2696" t="s">
        <v>43</v>
      </c>
      <c r="DD51" s="2696" t="s">
        <v>44</v>
      </c>
      <c r="DE51" s="2696" t="s">
        <v>45</v>
      </c>
      <c r="DF51" s="2696">
        <f>+DF8</f>
        <v>0</v>
      </c>
      <c r="DG51" s="2704" t="s">
        <v>47</v>
      </c>
      <c r="DH51" s="2703" t="s">
        <v>36</v>
      </c>
      <c r="DI51" s="2696" t="s">
        <v>37</v>
      </c>
      <c r="DJ51" s="2696" t="s">
        <v>38</v>
      </c>
      <c r="DK51" s="2696" t="s">
        <v>39</v>
      </c>
      <c r="DL51" s="2696" t="s">
        <v>40</v>
      </c>
      <c r="DM51" s="2696" t="s">
        <v>41</v>
      </c>
      <c r="DN51" s="2696" t="s">
        <v>42</v>
      </c>
      <c r="DO51" s="2696" t="s">
        <v>43</v>
      </c>
      <c r="DP51" s="2705" t="s">
        <v>183</v>
      </c>
      <c r="DQ51" s="2696" t="s">
        <v>45</v>
      </c>
      <c r="DR51" s="2696" t="s">
        <v>46</v>
      </c>
      <c r="DS51" s="2704" t="s">
        <v>47</v>
      </c>
      <c r="DT51" s="2703" t="s">
        <v>36</v>
      </c>
      <c r="DU51" s="2696" t="s">
        <v>37</v>
      </c>
      <c r="DV51" s="2696" t="s">
        <v>38</v>
      </c>
      <c r="DW51" s="2696" t="s">
        <v>39</v>
      </c>
      <c r="DX51" s="2696" t="s">
        <v>40</v>
      </c>
      <c r="DY51" s="2696" t="s">
        <v>41</v>
      </c>
      <c r="DZ51" s="2696" t="s">
        <v>42</v>
      </c>
      <c r="EA51" s="2696" t="s">
        <v>43</v>
      </c>
      <c r="EB51" s="2696" t="s">
        <v>183</v>
      </c>
      <c r="EC51" s="2696" t="s">
        <v>45</v>
      </c>
      <c r="ED51" s="2696" t="s">
        <v>46</v>
      </c>
      <c r="EE51" s="2696" t="s">
        <v>47</v>
      </c>
      <c r="EF51" s="2706" t="s">
        <v>36</v>
      </c>
      <c r="EG51" s="2696" t="s">
        <v>37</v>
      </c>
      <c r="EH51" s="2696" t="s">
        <v>38</v>
      </c>
      <c r="EI51" s="2696" t="s">
        <v>39</v>
      </c>
      <c r="EJ51" s="2696" t="s">
        <v>40</v>
      </c>
      <c r="EK51" s="2696" t="s">
        <v>41</v>
      </c>
      <c r="EL51" s="2696" t="s">
        <v>42</v>
      </c>
      <c r="EM51" s="2696" t="s">
        <v>43</v>
      </c>
      <c r="EN51" s="2696" t="s">
        <v>183</v>
      </c>
      <c r="EO51" s="2707" t="s">
        <v>45</v>
      </c>
      <c r="EP51" s="2707" t="s">
        <v>46</v>
      </c>
      <c r="EQ51" s="2696" t="s">
        <v>47</v>
      </c>
      <c r="ER51" s="2706" t="s">
        <v>36</v>
      </c>
      <c r="ES51" s="2696" t="s">
        <v>37</v>
      </c>
      <c r="ET51" s="2696" t="s">
        <v>38</v>
      </c>
      <c r="EU51" s="2696" t="s">
        <v>39</v>
      </c>
      <c r="EV51" s="2696" t="s">
        <v>40</v>
      </c>
      <c r="EW51" s="2696" t="s">
        <v>41</v>
      </c>
      <c r="EX51" s="2696" t="s">
        <v>42</v>
      </c>
      <c r="EY51" s="2696" t="s">
        <v>43</v>
      </c>
      <c r="EZ51" s="2696" t="s">
        <v>183</v>
      </c>
      <c r="FA51" s="2696" t="s">
        <v>45</v>
      </c>
      <c r="FB51" s="2707" t="s">
        <v>46</v>
      </c>
      <c r="FC51" s="2707" t="s">
        <v>47</v>
      </c>
      <c r="FD51" s="2893" t="s">
        <v>36</v>
      </c>
      <c r="FE51" s="2894" t="s">
        <v>37</v>
      </c>
      <c r="FF51" s="2894" t="s">
        <v>38</v>
      </c>
      <c r="FG51" s="2894" t="s">
        <v>39</v>
      </c>
      <c r="FH51" s="2894" t="s">
        <v>40</v>
      </c>
      <c r="FI51" s="2894" t="s">
        <v>41</v>
      </c>
      <c r="FJ51" s="2894" t="s">
        <v>42</v>
      </c>
      <c r="FK51" s="2894" t="s">
        <v>43</v>
      </c>
      <c r="FL51" s="2894" t="s">
        <v>183</v>
      </c>
      <c r="FM51" s="2894" t="s">
        <v>45</v>
      </c>
      <c r="FN51" s="2895" t="s">
        <v>46</v>
      </c>
      <c r="FO51" s="2895" t="s">
        <v>47</v>
      </c>
      <c r="FP51" s="2893" t="s">
        <v>36</v>
      </c>
      <c r="FQ51" s="2894" t="s">
        <v>37</v>
      </c>
      <c r="FR51" s="2894" t="s">
        <v>38</v>
      </c>
      <c r="FS51" s="1263" t="s">
        <v>39</v>
      </c>
      <c r="FT51" s="1263" t="s">
        <v>40</v>
      </c>
      <c r="FU51" s="1263" t="s">
        <v>41</v>
      </c>
      <c r="FV51" s="1263" t="s">
        <v>42</v>
      </c>
      <c r="FW51" s="1263" t="s">
        <v>43</v>
      </c>
      <c r="FX51" s="1263" t="s">
        <v>183</v>
      </c>
      <c r="FY51" s="1263" t="s">
        <v>45</v>
      </c>
      <c r="FZ51" s="1212" t="s">
        <v>46</v>
      </c>
      <c r="GA51" s="1212" t="s">
        <v>47</v>
      </c>
      <c r="GB51" s="2878"/>
      <c r="GC51" s="2896" t="s">
        <v>167</v>
      </c>
      <c r="GD51" s="2897" t="s">
        <v>453</v>
      </c>
      <c r="GE51" s="2897" t="s">
        <v>454</v>
      </c>
      <c r="GF51" s="2898" t="s">
        <v>455</v>
      </c>
      <c r="GG51" s="2896" t="s">
        <v>167</v>
      </c>
      <c r="GH51" s="2897" t="s">
        <v>453</v>
      </c>
      <c r="GI51" s="2897" t="s">
        <v>454</v>
      </c>
      <c r="GJ51" s="2898" t="s">
        <v>455</v>
      </c>
      <c r="GK51" s="2899" t="s">
        <v>167</v>
      </c>
      <c r="GL51" s="2900" t="s">
        <v>453</v>
      </c>
      <c r="GM51" s="2900" t="s">
        <v>456</v>
      </c>
      <c r="GN51" s="2900" t="s">
        <v>457</v>
      </c>
      <c r="GO51" s="2901" t="s">
        <v>167</v>
      </c>
      <c r="GP51" s="2902" t="s">
        <v>458</v>
      </c>
      <c r="GQ51" s="2902" t="s">
        <v>459</v>
      </c>
      <c r="GR51" s="2903" t="s">
        <v>455</v>
      </c>
      <c r="GS51" s="2904" t="s">
        <v>167</v>
      </c>
      <c r="GT51" s="2905" t="s">
        <v>453</v>
      </c>
      <c r="GU51" s="2905" t="s">
        <v>456</v>
      </c>
      <c r="GV51" s="2906" t="s">
        <v>457</v>
      </c>
      <c r="GW51" s="2782" t="s">
        <v>167</v>
      </c>
      <c r="GX51" s="2782" t="s">
        <v>453</v>
      </c>
      <c r="GY51" s="2782" t="s">
        <v>456</v>
      </c>
      <c r="GZ51" s="2782" t="s">
        <v>457</v>
      </c>
      <c r="HA51" s="2782" t="s">
        <v>167</v>
      </c>
      <c r="HB51" s="2782" t="s">
        <v>453</v>
      </c>
      <c r="HC51" s="2782" t="s">
        <v>456</v>
      </c>
      <c r="HD51" s="2782" t="s">
        <v>457</v>
      </c>
      <c r="HE51" s="2782" t="s">
        <v>167</v>
      </c>
      <c r="HF51" s="2782" t="s">
        <v>453</v>
      </c>
      <c r="HG51" s="2782" t="s">
        <v>456</v>
      </c>
      <c r="HH51" s="2782" t="s">
        <v>457</v>
      </c>
      <c r="HI51" s="2782" t="s">
        <v>167</v>
      </c>
      <c r="HJ51" s="2782" t="s">
        <v>168</v>
      </c>
      <c r="HK51" s="2782" t="s">
        <v>456</v>
      </c>
      <c r="HL51" s="2782" t="s">
        <v>457</v>
      </c>
      <c r="HM51" s="2782" t="s">
        <v>167</v>
      </c>
      <c r="HN51" s="2782" t="s">
        <v>453</v>
      </c>
      <c r="HO51" s="2782" t="s">
        <v>456</v>
      </c>
      <c r="HP51" s="2782" t="s">
        <v>457</v>
      </c>
      <c r="HQ51" s="2782" t="s">
        <v>167</v>
      </c>
      <c r="HR51" s="2782" t="s">
        <v>453</v>
      </c>
      <c r="HS51" s="2782" t="s">
        <v>456</v>
      </c>
      <c r="HT51" s="2782" t="s">
        <v>457</v>
      </c>
      <c r="HU51" s="2907" t="s">
        <v>167</v>
      </c>
      <c r="HV51" s="2782" t="s">
        <v>453</v>
      </c>
      <c r="HW51" s="2782" t="s">
        <v>456</v>
      </c>
      <c r="HX51" s="2782" t="s">
        <v>457</v>
      </c>
      <c r="HY51" s="2907" t="s">
        <v>167</v>
      </c>
      <c r="HZ51" s="2782" t="s">
        <v>453</v>
      </c>
      <c r="IA51" s="2782" t="s">
        <v>456</v>
      </c>
      <c r="IB51" s="2782" t="s">
        <v>457</v>
      </c>
      <c r="IC51" s="2908" t="s">
        <v>167</v>
      </c>
      <c r="ID51" s="2909" t="s">
        <v>453</v>
      </c>
      <c r="IE51" s="2909" t="s">
        <v>456</v>
      </c>
      <c r="IF51" s="2910" t="s">
        <v>457</v>
      </c>
      <c r="IG51" s="2907" t="s">
        <v>167</v>
      </c>
      <c r="IH51" s="2782" t="s">
        <v>453</v>
      </c>
      <c r="II51" s="2782" t="s">
        <v>456</v>
      </c>
      <c r="IJ51" s="2782" t="s">
        <v>457</v>
      </c>
      <c r="IK51" s="2734"/>
      <c r="IL51" s="2708" t="s">
        <v>48</v>
      </c>
      <c r="IM51" s="2708" t="s">
        <v>48</v>
      </c>
      <c r="IN51" s="2708" t="s">
        <v>48</v>
      </c>
      <c r="IO51" s="2708" t="s">
        <v>48</v>
      </c>
      <c r="IP51" s="2708" t="s">
        <v>48</v>
      </c>
      <c r="IQ51" s="2708" t="s">
        <v>48</v>
      </c>
      <c r="IR51" s="2708" t="s">
        <v>48</v>
      </c>
      <c r="IS51" s="2708" t="s">
        <v>48</v>
      </c>
      <c r="IT51" s="2708" t="s">
        <v>48</v>
      </c>
      <c r="IU51" s="2708" t="s">
        <v>48</v>
      </c>
      <c r="IV51" s="2708" t="s">
        <v>48</v>
      </c>
      <c r="IW51" s="2709" t="s">
        <v>48</v>
      </c>
      <c r="IX51" s="2710" t="s">
        <v>48</v>
      </c>
      <c r="IY51" s="2711" t="s">
        <v>1501</v>
      </c>
      <c r="IZ51" s="2712" t="s">
        <v>873</v>
      </c>
      <c r="JA51" s="3764"/>
      <c r="JC51" s="5393"/>
      <c r="JD51" s="5383"/>
      <c r="JE51" s="5358"/>
      <c r="JF51" s="5358"/>
      <c r="JG51" s="5358"/>
      <c r="JH51" s="5358"/>
      <c r="JI51" s="5377"/>
      <c r="JJ51" s="731"/>
      <c r="JK51" s="5362"/>
      <c r="JL51" s="5361"/>
      <c r="JM51" s="5361"/>
      <c r="JN51" s="5361"/>
      <c r="JO51" s="5361"/>
      <c r="JP51" s="5378"/>
      <c r="JQ51" s="5375"/>
      <c r="JS51" s="3480"/>
      <c r="JT51" s="3480"/>
      <c r="JU51" s="3480"/>
      <c r="JV51" s="3480"/>
      <c r="JW51" s="3480"/>
      <c r="JX51" s="3480"/>
      <c r="JY51" s="3480"/>
      <c r="JZ51" s="3480"/>
      <c r="KA51" s="3480"/>
      <c r="KB51" s="3480"/>
      <c r="KC51" s="3480"/>
      <c r="KD51" s="3480"/>
      <c r="KE51" s="3480"/>
      <c r="KF51" s="3480"/>
      <c r="KG51" s="3480"/>
      <c r="KH51" s="3480"/>
      <c r="KI51" s="3480"/>
      <c r="KJ51" s="3480"/>
      <c r="KK51" s="3480"/>
      <c r="KL51" s="3480"/>
      <c r="KM51" s="3480"/>
      <c r="KN51" s="3480"/>
      <c r="KO51" s="3480"/>
    </row>
    <row r="52" spans="1:301" ht="15" thickBot="1">
      <c r="A52" s="2723"/>
      <c r="B52" s="3480"/>
      <c r="C52" s="3846"/>
      <c r="D52" s="3866">
        <v>39083</v>
      </c>
      <c r="E52" s="3866">
        <v>39114</v>
      </c>
      <c r="F52" s="3866">
        <v>39142</v>
      </c>
      <c r="G52" s="3866">
        <v>39173</v>
      </c>
      <c r="H52" s="3866">
        <v>39203</v>
      </c>
      <c r="I52" s="3866">
        <v>39234</v>
      </c>
      <c r="J52" s="3866">
        <v>39264</v>
      </c>
      <c r="K52" s="3866">
        <v>39295</v>
      </c>
      <c r="L52" s="3866">
        <v>39326</v>
      </c>
      <c r="M52" s="3866">
        <v>39356</v>
      </c>
      <c r="N52" s="3866">
        <v>39387</v>
      </c>
      <c r="O52" s="3866">
        <v>39417</v>
      </c>
      <c r="P52" s="3866">
        <v>39448</v>
      </c>
      <c r="Q52" s="3866">
        <v>39479</v>
      </c>
      <c r="R52" s="3866">
        <v>39508</v>
      </c>
      <c r="S52" s="3866">
        <v>39539</v>
      </c>
      <c r="T52" s="3866">
        <v>39569</v>
      </c>
      <c r="U52" s="3866">
        <v>39600</v>
      </c>
      <c r="V52" s="3866">
        <v>39630</v>
      </c>
      <c r="W52" s="3866">
        <v>39661</v>
      </c>
      <c r="X52" s="3866">
        <v>39692</v>
      </c>
      <c r="Y52" s="3866">
        <v>39722</v>
      </c>
      <c r="Z52" s="3866">
        <v>39753</v>
      </c>
      <c r="AA52" s="3866">
        <v>39783</v>
      </c>
      <c r="AB52" s="3866">
        <v>39814</v>
      </c>
      <c r="AC52" s="3866">
        <v>39845</v>
      </c>
      <c r="AD52" s="3866">
        <v>39873</v>
      </c>
      <c r="AE52" s="3866">
        <v>39904</v>
      </c>
      <c r="AF52" s="3866">
        <v>39934</v>
      </c>
      <c r="AG52" s="3866">
        <v>39965</v>
      </c>
      <c r="AH52" s="3866">
        <v>39995</v>
      </c>
      <c r="AI52" s="3866">
        <v>40026</v>
      </c>
      <c r="AJ52" s="3866">
        <v>40057</v>
      </c>
      <c r="AK52" s="3866">
        <v>40087</v>
      </c>
      <c r="AL52" s="3866">
        <v>40118</v>
      </c>
      <c r="AM52" s="3866">
        <v>40148</v>
      </c>
      <c r="AN52" s="3866">
        <v>40179</v>
      </c>
      <c r="AO52" s="3866">
        <v>40210</v>
      </c>
      <c r="AP52" s="3866">
        <v>40238</v>
      </c>
      <c r="AQ52" s="3866">
        <v>40269</v>
      </c>
      <c r="AR52" s="3866">
        <v>40299</v>
      </c>
      <c r="AS52" s="3866">
        <v>40330</v>
      </c>
      <c r="AT52" s="3866">
        <v>40360</v>
      </c>
      <c r="AU52" s="3866">
        <v>40391</v>
      </c>
      <c r="AV52" s="3866">
        <v>40422</v>
      </c>
      <c r="AW52" s="3866">
        <v>40452</v>
      </c>
      <c r="AX52" s="3866">
        <v>40483</v>
      </c>
      <c r="AY52" s="3866">
        <v>40513</v>
      </c>
      <c r="AZ52" s="3866">
        <v>40544</v>
      </c>
      <c r="BA52" s="3866">
        <v>40575</v>
      </c>
      <c r="BB52" s="3866">
        <v>40603</v>
      </c>
      <c r="BC52" s="3866">
        <v>40634</v>
      </c>
      <c r="BD52" s="3866">
        <v>40664</v>
      </c>
      <c r="BE52" s="3866">
        <v>40695</v>
      </c>
      <c r="BF52" s="3866">
        <v>40725</v>
      </c>
      <c r="BG52" s="3866">
        <v>40756</v>
      </c>
      <c r="BH52" s="3866">
        <v>40787</v>
      </c>
      <c r="BI52" s="3866">
        <v>40817</v>
      </c>
      <c r="BJ52" s="3866">
        <v>40848</v>
      </c>
      <c r="BK52" s="3866">
        <v>40878</v>
      </c>
      <c r="BL52" s="3866">
        <v>40909</v>
      </c>
      <c r="BM52" s="3866">
        <v>40940</v>
      </c>
      <c r="BN52" s="3866">
        <v>40969</v>
      </c>
      <c r="BO52" s="3866">
        <v>41000</v>
      </c>
      <c r="BP52" s="3866">
        <v>41030</v>
      </c>
      <c r="BQ52" s="3866">
        <v>41061</v>
      </c>
      <c r="BR52" s="3866">
        <v>41091</v>
      </c>
      <c r="BS52" s="3866">
        <v>41122</v>
      </c>
      <c r="BT52" s="3866">
        <v>41153</v>
      </c>
      <c r="BU52" s="3866">
        <v>41183</v>
      </c>
      <c r="BV52" s="3866">
        <v>41214</v>
      </c>
      <c r="BW52" s="3866">
        <v>41244</v>
      </c>
      <c r="BX52" s="3866">
        <v>41275</v>
      </c>
      <c r="BY52" s="3866">
        <v>41306</v>
      </c>
      <c r="BZ52" s="3866">
        <v>41334</v>
      </c>
      <c r="CA52" s="3866">
        <v>41365</v>
      </c>
      <c r="CB52" s="3866">
        <v>41395</v>
      </c>
      <c r="CC52" s="3866">
        <v>41426</v>
      </c>
      <c r="CD52" s="3866">
        <v>41456</v>
      </c>
      <c r="CE52" s="3866">
        <v>41487</v>
      </c>
      <c r="CF52" s="3866">
        <v>41518</v>
      </c>
      <c r="CG52" s="3866">
        <v>41548</v>
      </c>
      <c r="CH52" s="3866">
        <v>41579</v>
      </c>
      <c r="CI52" s="3866">
        <v>41609</v>
      </c>
      <c r="CJ52" s="3866">
        <v>41640</v>
      </c>
      <c r="CK52" s="3866">
        <v>41671</v>
      </c>
      <c r="CL52" s="3866">
        <v>41699</v>
      </c>
      <c r="CM52" s="3866">
        <v>41730</v>
      </c>
      <c r="CN52" s="3866">
        <v>41760</v>
      </c>
      <c r="CO52" s="3866">
        <v>41791</v>
      </c>
      <c r="CP52" s="3866">
        <v>41821</v>
      </c>
      <c r="CQ52" s="3866">
        <v>41852</v>
      </c>
      <c r="CR52" s="3866">
        <v>41883</v>
      </c>
      <c r="CS52" s="3866">
        <v>41913</v>
      </c>
      <c r="CT52" s="3866">
        <v>41944</v>
      </c>
      <c r="CU52" s="3866">
        <v>41974</v>
      </c>
      <c r="CV52" s="3866">
        <v>42005</v>
      </c>
      <c r="CW52" s="3866">
        <v>42036</v>
      </c>
      <c r="CX52" s="3866">
        <v>42064</v>
      </c>
      <c r="CY52" s="3866">
        <v>42095</v>
      </c>
      <c r="CZ52" s="3866">
        <v>42125</v>
      </c>
      <c r="DA52" s="3866">
        <v>42156</v>
      </c>
      <c r="DB52" s="3866">
        <v>42186</v>
      </c>
      <c r="DC52" s="3866">
        <v>42217</v>
      </c>
      <c r="DD52" s="3866">
        <v>42248</v>
      </c>
      <c r="DE52" s="3866">
        <v>42278</v>
      </c>
      <c r="DF52" s="3866">
        <v>42309</v>
      </c>
      <c r="DG52" s="3866">
        <v>42339</v>
      </c>
      <c r="DH52" s="3866">
        <v>42370</v>
      </c>
      <c r="DI52" s="3866">
        <v>42401</v>
      </c>
      <c r="DJ52" s="3866">
        <v>42430</v>
      </c>
      <c r="DK52" s="3866">
        <v>42461</v>
      </c>
      <c r="DL52" s="3866">
        <v>42491</v>
      </c>
      <c r="DM52" s="3866">
        <v>42522</v>
      </c>
      <c r="DN52" s="3866">
        <v>42552</v>
      </c>
      <c r="DO52" s="3866">
        <v>42583</v>
      </c>
      <c r="DP52" s="3866">
        <v>42614</v>
      </c>
      <c r="DQ52" s="3866">
        <v>42644</v>
      </c>
      <c r="DR52" s="3866">
        <v>42675</v>
      </c>
      <c r="DS52" s="3866">
        <v>42705</v>
      </c>
      <c r="DT52" s="3866">
        <v>42736</v>
      </c>
      <c r="DU52" s="3866">
        <v>42767</v>
      </c>
      <c r="DV52" s="3866">
        <v>42795</v>
      </c>
      <c r="DW52" s="3866">
        <v>42826</v>
      </c>
      <c r="DX52" s="3866">
        <v>42856</v>
      </c>
      <c r="DY52" s="3866">
        <v>42887</v>
      </c>
      <c r="DZ52" s="3866">
        <v>42917</v>
      </c>
      <c r="EA52" s="3866">
        <v>42948</v>
      </c>
      <c r="EB52" s="3866">
        <v>42979</v>
      </c>
      <c r="EC52" s="3866">
        <v>43009</v>
      </c>
      <c r="ED52" s="3866">
        <v>43040</v>
      </c>
      <c r="EE52" s="3866">
        <v>43070</v>
      </c>
      <c r="EF52" s="3866">
        <v>43101</v>
      </c>
      <c r="EG52" s="3866">
        <v>43132</v>
      </c>
      <c r="EH52" s="3866">
        <v>43160</v>
      </c>
      <c r="EI52" s="3866">
        <v>43191</v>
      </c>
      <c r="EJ52" s="3866">
        <v>43221</v>
      </c>
      <c r="EK52" s="3866">
        <v>43252</v>
      </c>
      <c r="EL52" s="3866">
        <v>43282</v>
      </c>
      <c r="EM52" s="3866">
        <v>43313</v>
      </c>
      <c r="EN52" s="3866">
        <v>43344</v>
      </c>
      <c r="EO52" s="3866">
        <v>43374</v>
      </c>
      <c r="EP52" s="3866">
        <v>43405</v>
      </c>
      <c r="EQ52" s="3866">
        <v>43435</v>
      </c>
      <c r="ER52" s="3866">
        <v>43466</v>
      </c>
      <c r="ES52" s="3866">
        <v>43497</v>
      </c>
      <c r="ET52" s="3866">
        <v>43525</v>
      </c>
      <c r="EU52" s="3866">
        <v>43556</v>
      </c>
      <c r="EV52" s="3866">
        <v>43586</v>
      </c>
      <c r="EW52" s="3866">
        <v>43617</v>
      </c>
      <c r="EX52" s="3866">
        <v>43647</v>
      </c>
      <c r="EY52" s="3866">
        <v>43678</v>
      </c>
      <c r="EZ52" s="3866">
        <v>43709</v>
      </c>
      <c r="FA52" s="3866">
        <v>43739</v>
      </c>
      <c r="FB52" s="3866">
        <v>43770</v>
      </c>
      <c r="FC52" s="3866">
        <v>43800</v>
      </c>
      <c r="FD52" s="3866">
        <v>43831</v>
      </c>
      <c r="FE52" s="3866">
        <v>43862</v>
      </c>
      <c r="FF52" s="3866">
        <v>43891</v>
      </c>
      <c r="FG52" s="3866">
        <v>43922</v>
      </c>
      <c r="FH52" s="3866">
        <v>43952</v>
      </c>
      <c r="FI52" s="3866">
        <v>43983</v>
      </c>
      <c r="FJ52" s="3866">
        <v>44013</v>
      </c>
      <c r="FK52" s="3866">
        <v>44044</v>
      </c>
      <c r="FL52" s="3866">
        <v>44075</v>
      </c>
      <c r="FM52" s="3866">
        <v>44105</v>
      </c>
      <c r="FN52" s="3866">
        <v>44136</v>
      </c>
      <c r="FO52" s="3866">
        <v>44166</v>
      </c>
      <c r="FP52" s="3866">
        <v>44197</v>
      </c>
      <c r="FQ52" s="3866">
        <v>44228</v>
      </c>
      <c r="FR52" s="3866">
        <v>44256</v>
      </c>
      <c r="FS52" s="3866">
        <v>44287</v>
      </c>
      <c r="FT52" s="3866">
        <v>44317</v>
      </c>
      <c r="FU52" s="3866">
        <v>44348</v>
      </c>
      <c r="FV52" s="3866">
        <v>44378</v>
      </c>
      <c r="FW52" s="3866">
        <v>44409</v>
      </c>
      <c r="FX52" s="3866">
        <v>44440</v>
      </c>
      <c r="FY52" s="3866">
        <v>44470</v>
      </c>
      <c r="FZ52" s="3866">
        <v>44501</v>
      </c>
      <c r="GA52" s="3866">
        <v>44531</v>
      </c>
      <c r="GB52" s="1263"/>
      <c r="GC52" s="3852"/>
      <c r="GD52" s="3853"/>
      <c r="GE52" s="3853"/>
      <c r="GF52" s="3854"/>
      <c r="GG52" s="3852"/>
      <c r="GH52" s="3853"/>
      <c r="GI52" s="3853"/>
      <c r="GJ52" s="3854"/>
      <c r="GK52" s="3855"/>
      <c r="GL52" s="1263"/>
      <c r="GM52" s="1263"/>
      <c r="GN52" s="1263"/>
      <c r="GO52" s="3856"/>
      <c r="GP52" s="1263"/>
      <c r="GQ52" s="1263"/>
      <c r="GR52" s="3857"/>
      <c r="GS52" s="3858"/>
      <c r="GT52" s="2782"/>
      <c r="GU52" s="2782"/>
      <c r="GV52" s="3859"/>
      <c r="GW52" s="2782"/>
      <c r="GX52" s="2782"/>
      <c r="GY52" s="2782"/>
      <c r="GZ52" s="2782"/>
      <c r="HA52" s="2782"/>
      <c r="HB52" s="2782"/>
      <c r="HC52" s="2782"/>
      <c r="HD52" s="2782"/>
      <c r="HE52" s="2782"/>
      <c r="HF52" s="2782"/>
      <c r="HG52" s="2782"/>
      <c r="HH52" s="2782"/>
      <c r="HI52" s="2782"/>
      <c r="HJ52" s="2782"/>
      <c r="HK52" s="2782"/>
      <c r="HL52" s="2782"/>
      <c r="HM52" s="2782"/>
      <c r="HN52" s="2782"/>
      <c r="HO52" s="2782"/>
      <c r="HP52" s="2782"/>
      <c r="HQ52" s="2782"/>
      <c r="HR52" s="2782"/>
      <c r="HS52" s="2782"/>
      <c r="HT52" s="2782"/>
      <c r="HU52" s="2907"/>
      <c r="HV52" s="2782"/>
      <c r="HW52" s="2782"/>
      <c r="HX52" s="2782"/>
      <c r="HY52" s="2907"/>
      <c r="HZ52" s="2782"/>
      <c r="IA52" s="2782"/>
      <c r="IB52" s="2782"/>
      <c r="IC52" s="2907"/>
      <c r="ID52" s="2782"/>
      <c r="IE52" s="2782"/>
      <c r="IF52" s="3860"/>
      <c r="IG52" s="2907"/>
      <c r="IH52" s="2782"/>
      <c r="II52" s="2782"/>
      <c r="IJ52" s="2782"/>
      <c r="IK52" s="2734"/>
      <c r="IL52" s="2708"/>
      <c r="IM52" s="3861"/>
      <c r="IN52" s="3861"/>
      <c r="IO52" s="3861"/>
      <c r="IP52" s="3861"/>
      <c r="IQ52" s="3861"/>
      <c r="IR52" s="3862"/>
      <c r="IS52" s="3862"/>
      <c r="IT52" s="3862"/>
      <c r="IU52" s="3862"/>
      <c r="IV52" s="3862"/>
      <c r="IW52" s="3862"/>
      <c r="IX52" s="3863"/>
      <c r="IY52" s="3864"/>
      <c r="IZ52" s="3865"/>
      <c r="JA52" s="3764"/>
      <c r="JC52" s="3836"/>
      <c r="JD52" s="3834"/>
      <c r="JE52" s="3831"/>
      <c r="JF52" s="3831"/>
      <c r="JG52" s="3831"/>
      <c r="JH52" s="3831"/>
      <c r="JI52" s="3829"/>
      <c r="JJ52" s="731"/>
      <c r="JK52" s="3833"/>
      <c r="JL52" s="3832"/>
      <c r="JM52" s="3832"/>
      <c r="JN52" s="3832"/>
      <c r="JO52" s="3832"/>
      <c r="JP52" s="3830"/>
      <c r="JQ52" s="3829"/>
      <c r="JS52" s="3480"/>
      <c r="JT52" s="3480"/>
      <c r="JU52" s="3480"/>
      <c r="JV52" s="3480"/>
      <c r="JW52" s="3480"/>
      <c r="JX52" s="3480"/>
      <c r="JY52" s="3480"/>
      <c r="JZ52" s="3480"/>
      <c r="KA52" s="3480"/>
      <c r="KB52" s="3480"/>
      <c r="KC52" s="3480"/>
      <c r="KD52" s="3480"/>
      <c r="KE52" s="3480"/>
      <c r="KF52" s="3480"/>
      <c r="KG52" s="3480"/>
      <c r="KH52" s="3480"/>
      <c r="KI52" s="3480"/>
      <c r="KJ52" s="3480"/>
      <c r="KK52" s="3480"/>
      <c r="KL52" s="3480"/>
      <c r="KM52" s="3480"/>
      <c r="KN52" s="3480"/>
      <c r="KO52" s="3480"/>
    </row>
    <row r="53" spans="1:301" ht="15" hidden="1" thickBot="1">
      <c r="A53" s="2723"/>
      <c r="B53" s="3514"/>
      <c r="C53" s="3515" t="s">
        <v>9</v>
      </c>
      <c r="D53" s="3516">
        <v>4125</v>
      </c>
      <c r="E53" s="3517">
        <v>5109</v>
      </c>
      <c r="F53" s="3517">
        <v>3995</v>
      </c>
      <c r="G53" s="3517">
        <v>3559</v>
      </c>
      <c r="H53" s="3517">
        <v>4084</v>
      </c>
      <c r="I53" s="3517">
        <v>7256</v>
      </c>
      <c r="J53" s="3517">
        <v>7516</v>
      </c>
      <c r="K53" s="3517">
        <v>5818</v>
      </c>
      <c r="L53" s="3517">
        <v>4173</v>
      </c>
      <c r="M53" s="3517">
        <v>3257</v>
      </c>
      <c r="N53" s="3517">
        <v>4570</v>
      </c>
      <c r="O53" s="3518">
        <v>5712</v>
      </c>
      <c r="P53" s="3519">
        <v>3653</v>
      </c>
      <c r="Q53" s="3520">
        <v>4175</v>
      </c>
      <c r="R53" s="3520">
        <v>2857</v>
      </c>
      <c r="S53" s="3520">
        <v>1942</v>
      </c>
      <c r="T53" s="3520">
        <v>2424</v>
      </c>
      <c r="U53" s="3520">
        <v>3478</v>
      </c>
      <c r="V53" s="3520">
        <v>2812</v>
      </c>
      <c r="W53" s="3520">
        <v>2074</v>
      </c>
      <c r="X53" s="3520">
        <v>1182</v>
      </c>
      <c r="Y53" s="3520">
        <v>1427</v>
      </c>
      <c r="Z53" s="3520">
        <v>1712</v>
      </c>
      <c r="AA53" s="3521">
        <v>2004</v>
      </c>
      <c r="AB53" s="3522">
        <v>1619</v>
      </c>
      <c r="AC53" s="3523">
        <v>2092</v>
      </c>
      <c r="AD53" s="3523">
        <v>1575</v>
      </c>
      <c r="AE53" s="3523">
        <v>1177</v>
      </c>
      <c r="AF53" s="3523">
        <v>2236.5</v>
      </c>
      <c r="AG53" s="3523">
        <v>3296</v>
      </c>
      <c r="AH53" s="3523">
        <v>3158</v>
      </c>
      <c r="AI53" s="3523">
        <v>4901</v>
      </c>
      <c r="AJ53" s="3523">
        <v>3664</v>
      </c>
      <c r="AK53" s="3523">
        <v>3532</v>
      </c>
      <c r="AL53" s="3523">
        <v>4094</v>
      </c>
      <c r="AM53" s="3524">
        <v>5688</v>
      </c>
      <c r="AN53" s="3525">
        <v>4126</v>
      </c>
      <c r="AO53" s="3526">
        <v>4096</v>
      </c>
      <c r="AP53" s="3526">
        <v>3069</v>
      </c>
      <c r="AQ53" s="3526">
        <v>2441</v>
      </c>
      <c r="AR53" s="3526">
        <v>3614</v>
      </c>
      <c r="AS53" s="3526">
        <v>4973</v>
      </c>
      <c r="AT53" s="3526">
        <v>4295</v>
      </c>
      <c r="AU53" s="3526">
        <v>3922</v>
      </c>
      <c r="AV53" s="3526">
        <v>3884</v>
      </c>
      <c r="AW53" s="3526">
        <v>4361</v>
      </c>
      <c r="AX53" s="3526">
        <v>3757</v>
      </c>
      <c r="AY53" s="3527">
        <v>4309</v>
      </c>
      <c r="AZ53" s="3528">
        <v>3744</v>
      </c>
      <c r="BA53" s="3528">
        <v>3244</v>
      </c>
      <c r="BB53" s="3528">
        <v>3052</v>
      </c>
      <c r="BC53" s="3528">
        <v>2818</v>
      </c>
      <c r="BD53" s="3528">
        <v>2629</v>
      </c>
      <c r="BE53" s="3528">
        <v>4974</v>
      </c>
      <c r="BF53" s="3528">
        <v>3543</v>
      </c>
      <c r="BG53" s="3528">
        <v>3098</v>
      </c>
      <c r="BH53" s="3528">
        <v>2495</v>
      </c>
      <c r="BI53" s="3528">
        <v>2223</v>
      </c>
      <c r="BJ53" s="3528">
        <v>2836</v>
      </c>
      <c r="BK53" s="3529">
        <v>3329</v>
      </c>
      <c r="BL53" s="3530">
        <v>5325</v>
      </c>
      <c r="BM53" s="3531">
        <v>3242</v>
      </c>
      <c r="BN53" s="3531">
        <v>2313</v>
      </c>
      <c r="BO53" s="3531">
        <v>1550</v>
      </c>
      <c r="BP53" s="3531">
        <v>1783</v>
      </c>
      <c r="BQ53" s="3531">
        <v>2956</v>
      </c>
      <c r="BR53" s="3531">
        <v>2188</v>
      </c>
      <c r="BS53" s="3531">
        <v>1977</v>
      </c>
      <c r="BT53" s="3532">
        <v>1675</v>
      </c>
      <c r="BU53" s="3532">
        <v>1300</v>
      </c>
      <c r="BV53" s="3532">
        <v>2993</v>
      </c>
      <c r="BW53" s="3533">
        <v>5640</v>
      </c>
      <c r="BX53" s="3534">
        <v>3618</v>
      </c>
      <c r="BY53" s="3459">
        <v>3340</v>
      </c>
      <c r="BZ53" s="3459">
        <v>2667</v>
      </c>
      <c r="CA53" s="3459">
        <v>2436</v>
      </c>
      <c r="CB53" s="3459">
        <v>3369</v>
      </c>
      <c r="CC53" s="3459">
        <v>5607</v>
      </c>
      <c r="CD53" s="3459">
        <v>3901</v>
      </c>
      <c r="CE53" s="3459">
        <v>3792</v>
      </c>
      <c r="CF53" s="3459">
        <v>3812</v>
      </c>
      <c r="CG53" s="3459">
        <v>3101</v>
      </c>
      <c r="CH53" s="3459">
        <v>3939</v>
      </c>
      <c r="CI53" s="3461">
        <v>7349</v>
      </c>
      <c r="CJ53" s="3535">
        <v>3947</v>
      </c>
      <c r="CK53" s="3536">
        <v>4481</v>
      </c>
      <c r="CL53" s="3536">
        <v>3791</v>
      </c>
      <c r="CM53" s="3536">
        <v>3116</v>
      </c>
      <c r="CN53" s="3536">
        <v>3597</v>
      </c>
      <c r="CO53" s="3536">
        <v>3912</v>
      </c>
      <c r="CP53" s="3536">
        <v>5548</v>
      </c>
      <c r="CQ53" s="3536">
        <v>3826</v>
      </c>
      <c r="CR53" s="3536">
        <v>3484</v>
      </c>
      <c r="CS53" s="3536">
        <v>4113</v>
      </c>
      <c r="CT53" s="3536">
        <v>4509</v>
      </c>
      <c r="CU53" s="3537">
        <v>9532</v>
      </c>
      <c r="CV53" s="3535">
        <v>4858</v>
      </c>
      <c r="CW53" s="3536">
        <v>5146</v>
      </c>
      <c r="CX53" s="3458">
        <v>4036</v>
      </c>
      <c r="CY53" s="3458">
        <v>3546</v>
      </c>
      <c r="CZ53" s="3458">
        <v>4120</v>
      </c>
      <c r="DA53" s="3458">
        <v>7490</v>
      </c>
      <c r="DB53" s="3458">
        <v>7418</v>
      </c>
      <c r="DC53" s="3458">
        <v>4723</v>
      </c>
      <c r="DD53" s="3458">
        <v>4463</v>
      </c>
      <c r="DE53" s="3458">
        <v>4758</v>
      </c>
      <c r="DF53" s="3458">
        <v>5286</v>
      </c>
      <c r="DG53" s="3537">
        <v>11022</v>
      </c>
      <c r="DH53" s="3538">
        <v>5764</v>
      </c>
      <c r="DI53" s="3539">
        <v>5469</v>
      </c>
      <c r="DJ53" s="3539">
        <v>4902</v>
      </c>
      <c r="DK53" s="3540">
        <v>3816</v>
      </c>
      <c r="DL53" s="3540">
        <v>4385</v>
      </c>
      <c r="DM53" s="3540">
        <v>7671</v>
      </c>
      <c r="DN53" s="3540">
        <v>7438</v>
      </c>
      <c r="DO53" s="3540">
        <v>5209</v>
      </c>
      <c r="DP53" s="2713">
        <v>4419</v>
      </c>
      <c r="DQ53" s="3540">
        <v>7124</v>
      </c>
      <c r="DR53" s="3540">
        <v>8072</v>
      </c>
      <c r="DS53" s="3541">
        <v>18166</v>
      </c>
      <c r="DT53" s="3542">
        <v>8337</v>
      </c>
      <c r="DU53" s="3429">
        <v>9615</v>
      </c>
      <c r="DV53" s="3429">
        <v>8824</v>
      </c>
      <c r="DW53" s="3350">
        <v>8982</v>
      </c>
      <c r="DX53" s="3350">
        <v>8939</v>
      </c>
      <c r="DY53" s="3350">
        <v>14373</v>
      </c>
      <c r="DZ53" s="3350">
        <v>14826</v>
      </c>
      <c r="EA53" s="3350">
        <v>10995</v>
      </c>
      <c r="EB53" s="3350">
        <v>9420</v>
      </c>
      <c r="EC53" s="3350">
        <v>9665</v>
      </c>
      <c r="ED53" s="3350">
        <v>10353</v>
      </c>
      <c r="EE53" s="3349">
        <v>22807</v>
      </c>
      <c r="EF53" s="2689">
        <v>10292</v>
      </c>
      <c r="EG53" s="2688">
        <v>11655</v>
      </c>
      <c r="EH53" s="2688">
        <v>10438</v>
      </c>
      <c r="EI53" s="2688">
        <v>8633</v>
      </c>
      <c r="EJ53" s="2688">
        <v>10488</v>
      </c>
      <c r="EK53" s="2688">
        <v>15641</v>
      </c>
      <c r="EL53" s="2688">
        <v>15616</v>
      </c>
      <c r="EM53" s="2714">
        <v>12823</v>
      </c>
      <c r="EN53" s="2714">
        <v>10573</v>
      </c>
      <c r="EO53" s="2715">
        <v>10536</v>
      </c>
      <c r="EP53" s="2715">
        <v>11647</v>
      </c>
      <c r="EQ53" s="2716">
        <v>23383</v>
      </c>
      <c r="ER53" s="1344">
        <v>10824</v>
      </c>
      <c r="ES53" s="3543">
        <v>11688</v>
      </c>
      <c r="ET53" s="3543">
        <v>9676</v>
      </c>
      <c r="EU53" s="2717">
        <v>8788</v>
      </c>
      <c r="EV53" s="2157">
        <v>8000</v>
      </c>
      <c r="EW53" s="2157"/>
      <c r="EX53" s="2157">
        <v>0</v>
      </c>
      <c r="EY53" s="2157">
        <v>0</v>
      </c>
      <c r="EZ53" s="2157">
        <v>0</v>
      </c>
      <c r="FA53" s="2337">
        <v>0</v>
      </c>
      <c r="FB53" s="2158"/>
      <c r="FC53" s="2158"/>
      <c r="FD53" s="2679"/>
      <c r="FE53" s="2341"/>
      <c r="FF53" s="2341"/>
      <c r="FG53" s="2341"/>
      <c r="FH53" s="2341"/>
      <c r="FI53" s="2341"/>
      <c r="FJ53" s="2341"/>
      <c r="FK53" s="2341"/>
      <c r="FL53" s="2341"/>
      <c r="FM53" s="2341"/>
      <c r="FN53" s="2341"/>
      <c r="FO53" s="2341"/>
      <c r="FP53" s="2681"/>
      <c r="FQ53" s="2680"/>
      <c r="FR53" s="2680"/>
      <c r="FS53" s="2680"/>
      <c r="FT53" s="2680"/>
      <c r="FU53" s="2680"/>
      <c r="FV53" s="2680"/>
      <c r="FW53" s="2680"/>
      <c r="FX53" s="2680"/>
      <c r="FY53" s="2680"/>
      <c r="FZ53" s="2680"/>
      <c r="GA53" s="2680"/>
      <c r="GB53" s="2764"/>
      <c r="GC53" s="2911">
        <v>13229</v>
      </c>
      <c r="GD53" s="2912">
        <v>14899</v>
      </c>
      <c r="GE53" s="2912">
        <v>17507</v>
      </c>
      <c r="GF53" s="2913">
        <v>13539</v>
      </c>
      <c r="GG53" s="2914">
        <v>10685</v>
      </c>
      <c r="GH53" s="2915">
        <v>7844</v>
      </c>
      <c r="GI53" s="2915">
        <v>6068</v>
      </c>
      <c r="GJ53" s="2916">
        <v>5143</v>
      </c>
      <c r="GK53" s="2917">
        <v>5286</v>
      </c>
      <c r="GL53" s="2918">
        <v>6709.5</v>
      </c>
      <c r="GM53" s="2919">
        <v>11723</v>
      </c>
      <c r="GN53" s="2919">
        <v>13314</v>
      </c>
      <c r="GO53" s="2920">
        <v>11291</v>
      </c>
      <c r="GP53" s="2921">
        <v>11028</v>
      </c>
      <c r="GQ53" s="2921">
        <v>12101</v>
      </c>
      <c r="GR53" s="2922">
        <v>12427</v>
      </c>
      <c r="GS53" s="2923">
        <v>10040</v>
      </c>
      <c r="GT53" s="2924">
        <v>10421</v>
      </c>
      <c r="GU53" s="2924">
        <v>9136</v>
      </c>
      <c r="GV53" s="2925">
        <v>8388</v>
      </c>
      <c r="GW53" s="2921">
        <v>10880</v>
      </c>
      <c r="GX53" s="2921">
        <v>6289</v>
      </c>
      <c r="GY53" s="2921">
        <v>5840</v>
      </c>
      <c r="GZ53" s="2921">
        <v>9933</v>
      </c>
      <c r="HA53" s="2926">
        <v>9625</v>
      </c>
      <c r="HB53" s="2926">
        <v>11412</v>
      </c>
      <c r="HC53" s="2926">
        <v>11505</v>
      </c>
      <c r="HD53" s="2926">
        <v>14389</v>
      </c>
      <c r="HE53" s="2927">
        <v>12219</v>
      </c>
      <c r="HF53" s="2927">
        <v>10625</v>
      </c>
      <c r="HG53" s="2927">
        <f t="shared" ref="HG53:HG83" si="17">+CP53+CQ53+CR53</f>
        <v>12858</v>
      </c>
      <c r="HH53" s="2927">
        <v>18154</v>
      </c>
      <c r="HI53" s="2928">
        <v>14040</v>
      </c>
      <c r="HJ53" s="2928">
        <f t="shared" ref="HJ53:HJ83" si="18">+CY53+CZ53+DA53</f>
        <v>15156</v>
      </c>
      <c r="HK53" s="2928">
        <f t="shared" ref="HK53:HK83" si="19">+DB53+DC53+DD53</f>
        <v>16604</v>
      </c>
      <c r="HL53" s="2927">
        <f t="shared" ref="HL53:HL83" si="20">+DE53+DF53+DG53</f>
        <v>21066</v>
      </c>
      <c r="HM53" s="2846">
        <f t="shared" ref="HM53:HM83" si="21">+DH53+DI53+DJ53</f>
        <v>16135</v>
      </c>
      <c r="HN53" s="2846">
        <f t="shared" ref="HN53:HN83" si="22">+DM53+DL53+DK53</f>
        <v>15872</v>
      </c>
      <c r="HO53" s="2846">
        <f t="shared" ref="HO53:HO83" si="23">+DS53+DO53+DN53</f>
        <v>30813</v>
      </c>
      <c r="HP53" s="2846">
        <f t="shared" ref="HP53:HP83" si="24">+DQ53+DR53+DS53</f>
        <v>33362</v>
      </c>
      <c r="HQ53" s="2921">
        <f t="shared" ref="HQ53:HQ83" si="25">+DT53+DU53+DV53</f>
        <v>26776</v>
      </c>
      <c r="HR53" s="2921">
        <f t="shared" ref="HR53:HR83" si="26">+DW53+DX53+DY53</f>
        <v>32294</v>
      </c>
      <c r="HS53" s="2921">
        <f t="shared" ref="HS53:HS83" si="27">+DZ53+EA53+EB53</f>
        <v>35241</v>
      </c>
      <c r="HT53" s="2921">
        <f t="shared" ref="HT53:HT83" si="28">+EC53+ED53+EE53</f>
        <v>42825</v>
      </c>
      <c r="HU53" s="2929">
        <f t="shared" ref="HU53:HU83" si="29">EF53+EG53+EH53</f>
        <v>32385</v>
      </c>
      <c r="HV53" s="2926">
        <f t="shared" ref="HV53:HV83" si="30">EI53+EJ53+EK53</f>
        <v>34762</v>
      </c>
      <c r="HW53" s="2926">
        <f t="shared" ref="HW53:HW83" si="31">EL53+EM53+EN53</f>
        <v>39012</v>
      </c>
      <c r="HX53" s="2926">
        <f t="shared" ref="HX53:HX83" si="32">EO53+EP53+EQ53</f>
        <v>45566</v>
      </c>
      <c r="HY53" s="2930">
        <f t="shared" ref="HY53:HY86" si="33">ER53+ES53+ET53</f>
        <v>32188</v>
      </c>
      <c r="HZ53" s="2931">
        <f t="shared" ref="HZ53:HZ86" si="34">EU53+EV53+EW53</f>
        <v>16788</v>
      </c>
      <c r="IA53" s="2931">
        <f t="shared" ref="IA53:IA86" si="35">EX53+EY53+EZ53</f>
        <v>0</v>
      </c>
      <c r="IB53" s="2931">
        <f t="shared" ref="IB53:IB86" si="36">FA53+FB53+FC53</f>
        <v>0</v>
      </c>
      <c r="IC53" s="2932"/>
      <c r="ID53" s="2933"/>
      <c r="IE53" s="2933"/>
      <c r="IF53" s="2934"/>
      <c r="IG53" s="2932"/>
      <c r="IH53" s="2933"/>
      <c r="II53" s="2933"/>
      <c r="IJ53" s="2933"/>
      <c r="IK53" s="2735"/>
      <c r="IL53" s="3544">
        <v>59174</v>
      </c>
      <c r="IM53" s="3545">
        <v>29740</v>
      </c>
      <c r="IN53" s="3545">
        <v>37032.5</v>
      </c>
      <c r="IO53" s="3545">
        <v>46847</v>
      </c>
      <c r="IP53" s="3545">
        <v>37985</v>
      </c>
      <c r="IQ53" s="3545">
        <v>32942</v>
      </c>
      <c r="IR53" s="3546">
        <v>46931</v>
      </c>
      <c r="IS53" s="3547">
        <v>53856</v>
      </c>
      <c r="IT53" s="3547">
        <f t="shared" ref="IT53:IT85" si="37">SUM(CV53:DG53)</f>
        <v>66866</v>
      </c>
      <c r="IU53" s="3547">
        <f t="shared" ref="IU53:IU85" si="38">SUM(DH53:DS53)</f>
        <v>82435</v>
      </c>
      <c r="IV53" s="3547">
        <f t="shared" ref="IV53:IV83" si="39">SUM(DT53:EE53)</f>
        <v>137136</v>
      </c>
      <c r="IW53" s="3547">
        <f t="shared" ref="IW53:IW85" si="40">SUM(EF53:EQ53)</f>
        <v>151725</v>
      </c>
      <c r="IX53" s="3548">
        <f>SUM(ER53:FC53)</f>
        <v>48976</v>
      </c>
      <c r="IY53" s="3549">
        <f t="shared" ref="IY53:IY65" si="41">SUM(FD53:FO53)</f>
        <v>0</v>
      </c>
      <c r="IZ53" s="3550"/>
      <c r="JA53" s="3764"/>
      <c r="JC53" s="3551" t="e">
        <f>AVERAGE(IS53,IT53,IU53,IV53,IW53,IX53,#REF!)</f>
        <v>#REF!</v>
      </c>
      <c r="JD53" s="3552">
        <f t="shared" ref="JD53:JD83" si="42">IU53/$IU$86</f>
        <v>0.1313441444427095</v>
      </c>
      <c r="JE53" s="3552">
        <f t="shared" ref="JE53:JE83" si="43">IV53/$IV$86</f>
        <v>0.21003138157018122</v>
      </c>
      <c r="JF53" s="3552">
        <f>IW53/$IX$86</f>
        <v>0.22169377109542804</v>
      </c>
      <c r="JG53" s="3552">
        <f>IX53/$IX$86</f>
        <v>7.1561536550797056E-2</v>
      </c>
      <c r="JH53" s="3552" t="e">
        <f>#REF!/#REF!</f>
        <v>#REF!</v>
      </c>
      <c r="JI53" s="3553" t="e">
        <f>#REF!/#REF!</f>
        <v>#REF!</v>
      </c>
      <c r="JJ53" s="3552"/>
      <c r="JK53" s="3554">
        <f t="shared" ref="JK53:JK83" si="44">IV53/IU53-1</f>
        <v>0.66356523321404737</v>
      </c>
      <c r="JL53" s="3555" t="e">
        <f t="shared" ref="JL53:JL83" si="45">JC53/IU53-1</f>
        <v>#REF!</v>
      </c>
      <c r="JM53" s="3555">
        <f t="shared" ref="JM53:JO83" si="46">IW53/IV53-1</f>
        <v>0.10638344417220869</v>
      </c>
      <c r="JN53" s="3555">
        <f t="shared" si="46"/>
        <v>-0.67720547042346357</v>
      </c>
      <c r="JO53" s="3555" t="e">
        <f>#REF!/#REF!-1</f>
        <v>#REF!</v>
      </c>
      <c r="JP53" s="3556" t="e">
        <f>#REF!/#REF!-1</f>
        <v>#REF!</v>
      </c>
      <c r="JQ53" s="3557" t="e">
        <f>#REF!/#REF!-1</f>
        <v>#REF!</v>
      </c>
      <c r="JS53" s="3231"/>
      <c r="JT53" s="3231"/>
      <c r="JU53" s="3231"/>
      <c r="JV53" s="3231"/>
      <c r="JW53" s="3231"/>
      <c r="JX53" s="3231"/>
      <c r="JY53" s="3231"/>
      <c r="JZ53" s="3231"/>
      <c r="KA53" s="3231"/>
      <c r="KB53" s="3231"/>
      <c r="KC53" s="3231"/>
      <c r="KD53" s="3231"/>
      <c r="KE53" s="3231"/>
      <c r="KF53" s="3231"/>
      <c r="KG53" s="3231"/>
      <c r="KH53" s="3231"/>
      <c r="KI53" s="3231"/>
      <c r="KJ53" s="3231"/>
      <c r="KK53" s="3231"/>
      <c r="KL53" s="3231"/>
      <c r="KM53" s="3231"/>
      <c r="KN53" s="3231"/>
      <c r="KO53" s="3231"/>
    </row>
    <row r="54" spans="1:301" ht="21.9" customHeight="1">
      <c r="A54" s="3558"/>
      <c r="B54" s="3514"/>
      <c r="C54" s="3559" t="s">
        <v>5</v>
      </c>
      <c r="D54" s="3516">
        <v>7760</v>
      </c>
      <c r="E54" s="3517">
        <v>7608</v>
      </c>
      <c r="F54" s="3517">
        <v>9828</v>
      </c>
      <c r="G54" s="3517">
        <v>7137</v>
      </c>
      <c r="H54" s="3517">
        <v>8490</v>
      </c>
      <c r="I54" s="3517">
        <v>14706</v>
      </c>
      <c r="J54" s="3517">
        <v>16146</v>
      </c>
      <c r="K54" s="3517">
        <v>12359</v>
      </c>
      <c r="L54" s="3517">
        <v>6638</v>
      </c>
      <c r="M54" s="3517">
        <v>7413</v>
      </c>
      <c r="N54" s="3517">
        <v>8563</v>
      </c>
      <c r="O54" s="3518">
        <v>11317</v>
      </c>
      <c r="P54" s="3519">
        <v>10075</v>
      </c>
      <c r="Q54" s="3520">
        <v>13044</v>
      </c>
      <c r="R54" s="3520">
        <v>11621</v>
      </c>
      <c r="S54" s="3520">
        <v>8418</v>
      </c>
      <c r="T54" s="3520">
        <v>11294</v>
      </c>
      <c r="U54" s="3520">
        <v>18034</v>
      </c>
      <c r="V54" s="3520">
        <v>16699</v>
      </c>
      <c r="W54" s="3520">
        <v>12325</v>
      </c>
      <c r="X54" s="3520">
        <v>7659</v>
      </c>
      <c r="Y54" s="3520">
        <v>7702</v>
      </c>
      <c r="Z54" s="3520">
        <v>8570</v>
      </c>
      <c r="AA54" s="3521">
        <v>11704</v>
      </c>
      <c r="AB54" s="3522">
        <v>9962</v>
      </c>
      <c r="AC54" s="3523">
        <v>9139</v>
      </c>
      <c r="AD54" s="3523">
        <v>10302</v>
      </c>
      <c r="AE54" s="3523">
        <v>8924</v>
      </c>
      <c r="AF54" s="3523">
        <v>12993</v>
      </c>
      <c r="AG54" s="3523">
        <v>17062</v>
      </c>
      <c r="AH54" s="3523">
        <v>16655</v>
      </c>
      <c r="AI54" s="3523">
        <v>11416</v>
      </c>
      <c r="AJ54" s="3523">
        <v>6635</v>
      </c>
      <c r="AK54" s="3523">
        <v>7211</v>
      </c>
      <c r="AL54" s="3523">
        <v>7598</v>
      </c>
      <c r="AM54" s="3524">
        <v>11858</v>
      </c>
      <c r="AN54" s="3525">
        <v>9232</v>
      </c>
      <c r="AO54" s="3526">
        <v>8487</v>
      </c>
      <c r="AP54" s="3526">
        <v>10219</v>
      </c>
      <c r="AQ54" s="3526">
        <v>7810</v>
      </c>
      <c r="AR54" s="3526">
        <v>10758</v>
      </c>
      <c r="AS54" s="3526">
        <v>15930</v>
      </c>
      <c r="AT54" s="3526">
        <v>15799</v>
      </c>
      <c r="AU54" s="3526">
        <v>10584</v>
      </c>
      <c r="AV54" s="3526">
        <v>6327</v>
      </c>
      <c r="AW54" s="3526">
        <v>7725</v>
      </c>
      <c r="AX54" s="3526">
        <v>7556</v>
      </c>
      <c r="AY54" s="3527">
        <v>11437</v>
      </c>
      <c r="AZ54" s="3463">
        <v>9093</v>
      </c>
      <c r="BA54" s="3463">
        <v>9118</v>
      </c>
      <c r="BB54" s="3463">
        <v>11492</v>
      </c>
      <c r="BC54" s="3463">
        <v>9029</v>
      </c>
      <c r="BD54" s="3463">
        <v>11497</v>
      </c>
      <c r="BE54" s="3463">
        <v>16581</v>
      </c>
      <c r="BF54" s="3463">
        <v>16087</v>
      </c>
      <c r="BG54" s="3463">
        <v>10842</v>
      </c>
      <c r="BH54" s="3463">
        <v>6954</v>
      </c>
      <c r="BI54" s="3463">
        <v>7874</v>
      </c>
      <c r="BJ54" s="3463">
        <v>8957</v>
      </c>
      <c r="BK54" s="3560">
        <v>12798</v>
      </c>
      <c r="BL54" s="3530">
        <v>9054</v>
      </c>
      <c r="BM54" s="3531">
        <v>8325</v>
      </c>
      <c r="BN54" s="3531">
        <v>11925</v>
      </c>
      <c r="BO54" s="3531">
        <v>9068</v>
      </c>
      <c r="BP54" s="3531">
        <v>11902</v>
      </c>
      <c r="BQ54" s="3531">
        <v>18638</v>
      </c>
      <c r="BR54" s="3531">
        <v>18162</v>
      </c>
      <c r="BS54" s="3531">
        <v>12296</v>
      </c>
      <c r="BT54" s="3532">
        <v>8393</v>
      </c>
      <c r="BU54" s="3532">
        <v>9607</v>
      </c>
      <c r="BV54" s="3532">
        <v>9130</v>
      </c>
      <c r="BW54" s="3533">
        <v>14125</v>
      </c>
      <c r="BX54" s="3534">
        <v>11222</v>
      </c>
      <c r="BY54" s="3459">
        <v>10182</v>
      </c>
      <c r="BZ54" s="3459">
        <v>12798</v>
      </c>
      <c r="CA54" s="3459">
        <v>8722</v>
      </c>
      <c r="CB54" s="3459">
        <v>11830</v>
      </c>
      <c r="CC54" s="3459">
        <v>18551</v>
      </c>
      <c r="CD54" s="3459">
        <v>17188</v>
      </c>
      <c r="CE54" s="3459">
        <v>11501</v>
      </c>
      <c r="CF54" s="3459">
        <v>8067</v>
      </c>
      <c r="CG54" s="3459">
        <v>9168</v>
      </c>
      <c r="CH54" s="3459">
        <v>8606</v>
      </c>
      <c r="CI54" s="3461">
        <v>13760</v>
      </c>
      <c r="CJ54" s="3535">
        <v>10287</v>
      </c>
      <c r="CK54" s="3536">
        <v>10836</v>
      </c>
      <c r="CL54" s="3536">
        <v>12287</v>
      </c>
      <c r="CM54" s="3536">
        <v>9534</v>
      </c>
      <c r="CN54" s="3536">
        <v>12241</v>
      </c>
      <c r="CO54" s="3536">
        <v>19418</v>
      </c>
      <c r="CP54" s="3536">
        <v>18361</v>
      </c>
      <c r="CQ54" s="3536">
        <v>11442</v>
      </c>
      <c r="CR54" s="3536">
        <v>7926</v>
      </c>
      <c r="CS54" s="3536">
        <v>9349</v>
      </c>
      <c r="CT54" s="3536">
        <v>9325</v>
      </c>
      <c r="CU54" s="3537">
        <v>16124</v>
      </c>
      <c r="CV54" s="3535">
        <v>13066</v>
      </c>
      <c r="CW54" s="3536">
        <v>11670</v>
      </c>
      <c r="CX54" s="3458">
        <v>13778</v>
      </c>
      <c r="CY54" s="3458">
        <v>10311</v>
      </c>
      <c r="CZ54" s="3458">
        <v>13333</v>
      </c>
      <c r="DA54" s="3458">
        <v>20663</v>
      </c>
      <c r="DB54" s="3458">
        <v>21177</v>
      </c>
      <c r="DC54" s="3458">
        <v>12790</v>
      </c>
      <c r="DD54" s="3458">
        <v>8295</v>
      </c>
      <c r="DE54" s="3458">
        <v>10454</v>
      </c>
      <c r="DF54" s="3458">
        <v>10526</v>
      </c>
      <c r="DG54" s="3537">
        <v>17781</v>
      </c>
      <c r="DH54" s="3538">
        <v>13010</v>
      </c>
      <c r="DI54" s="3539">
        <v>12991</v>
      </c>
      <c r="DJ54" s="3539">
        <v>16523</v>
      </c>
      <c r="DK54" s="3540">
        <v>11438</v>
      </c>
      <c r="DL54" s="3540">
        <v>14743</v>
      </c>
      <c r="DM54" s="3540">
        <v>22278</v>
      </c>
      <c r="DN54" s="3540">
        <v>20718</v>
      </c>
      <c r="DO54" s="3540">
        <v>12747</v>
      </c>
      <c r="DP54" s="2713">
        <v>8085</v>
      </c>
      <c r="DQ54" s="3540">
        <v>8608</v>
      </c>
      <c r="DR54" s="3540">
        <v>8458</v>
      </c>
      <c r="DS54" s="3541">
        <v>14249</v>
      </c>
      <c r="DT54" s="3542">
        <v>10839</v>
      </c>
      <c r="DU54" s="3429">
        <v>9438</v>
      </c>
      <c r="DV54" s="3429">
        <v>12542</v>
      </c>
      <c r="DW54" s="3350">
        <v>10543</v>
      </c>
      <c r="DX54" s="3350">
        <v>11258</v>
      </c>
      <c r="DY54" s="3350">
        <v>20272</v>
      </c>
      <c r="DZ54" s="3350">
        <v>17940</v>
      </c>
      <c r="EA54" s="3350">
        <v>10624</v>
      </c>
      <c r="EB54" s="3350">
        <v>7285</v>
      </c>
      <c r="EC54" s="3350">
        <v>7872</v>
      </c>
      <c r="ED54" s="3350">
        <v>8957</v>
      </c>
      <c r="EE54" s="3349">
        <v>14636</v>
      </c>
      <c r="EF54" s="2689">
        <v>11180</v>
      </c>
      <c r="EG54" s="2688">
        <v>10692</v>
      </c>
      <c r="EH54" s="2688">
        <v>15555</v>
      </c>
      <c r="EI54" s="2688">
        <v>9707</v>
      </c>
      <c r="EJ54" s="2688">
        <v>13514</v>
      </c>
      <c r="EK54" s="2688">
        <v>21285</v>
      </c>
      <c r="EL54" s="2688">
        <v>17119</v>
      </c>
      <c r="EM54" s="2714">
        <v>10772</v>
      </c>
      <c r="EN54" s="2714">
        <v>7523</v>
      </c>
      <c r="EO54" s="2715">
        <v>8091</v>
      </c>
      <c r="EP54" s="2715">
        <v>8887</v>
      </c>
      <c r="EQ54" s="2716">
        <v>14417</v>
      </c>
      <c r="ER54" s="1345">
        <v>11535</v>
      </c>
      <c r="ES54" s="3543">
        <v>10029</v>
      </c>
      <c r="ET54" s="3543">
        <v>13852</v>
      </c>
      <c r="EU54" s="2717">
        <v>10247</v>
      </c>
      <c r="EV54" s="2159">
        <f>18194-EV53</f>
        <v>10194</v>
      </c>
      <c r="EW54" s="2159">
        <f>27252-EW53</f>
        <v>27252</v>
      </c>
      <c r="EX54" s="2159">
        <v>24033</v>
      </c>
      <c r="EY54" s="2159">
        <v>16389</v>
      </c>
      <c r="EZ54" s="2159">
        <v>12076</v>
      </c>
      <c r="FA54" s="2339">
        <v>10654</v>
      </c>
      <c r="FB54" s="2339">
        <v>13694</v>
      </c>
      <c r="FC54" s="2339">
        <v>20560</v>
      </c>
      <c r="FD54" s="2765">
        <v>15918</v>
      </c>
      <c r="FE54" s="2766">
        <v>16475</v>
      </c>
      <c r="FF54" s="2766">
        <v>6730</v>
      </c>
      <c r="FG54" s="2766">
        <v>88</v>
      </c>
      <c r="FH54" s="2766">
        <v>146</v>
      </c>
      <c r="FI54" s="2766">
        <v>570</v>
      </c>
      <c r="FJ54" s="2766">
        <v>1194</v>
      </c>
      <c r="FK54" s="2766">
        <v>1377</v>
      </c>
      <c r="FL54" s="2766">
        <v>1707</v>
      </c>
      <c r="FM54" s="2766">
        <v>2600</v>
      </c>
      <c r="FN54" s="2766">
        <v>3904</v>
      </c>
      <c r="FO54" s="2767">
        <v>7006</v>
      </c>
      <c r="FP54" s="2768">
        <v>4551</v>
      </c>
      <c r="FQ54" s="2769">
        <v>3828</v>
      </c>
      <c r="FR54" s="2769">
        <v>5327</v>
      </c>
      <c r="FS54" s="2769">
        <v>5475</v>
      </c>
      <c r="FT54" s="2769">
        <v>6558</v>
      </c>
      <c r="FU54" s="2769"/>
      <c r="FV54" s="2769"/>
      <c r="FW54" s="2769"/>
      <c r="FX54" s="2769"/>
      <c r="FY54" s="2769"/>
      <c r="FZ54" s="2769"/>
      <c r="GA54" s="2770"/>
      <c r="GB54" s="2764"/>
      <c r="GC54" s="2911">
        <v>25196</v>
      </c>
      <c r="GD54" s="2912">
        <v>30333</v>
      </c>
      <c r="GE54" s="2912">
        <v>35143</v>
      </c>
      <c r="GF54" s="2913">
        <v>27293</v>
      </c>
      <c r="GG54" s="2914">
        <v>34740</v>
      </c>
      <c r="GH54" s="2915">
        <v>37746</v>
      </c>
      <c r="GI54" s="2915">
        <v>36683</v>
      </c>
      <c r="GJ54" s="2916">
        <v>27976</v>
      </c>
      <c r="GK54" s="2917">
        <v>29403</v>
      </c>
      <c r="GL54" s="2918">
        <v>38979</v>
      </c>
      <c r="GM54" s="2919">
        <v>34706</v>
      </c>
      <c r="GN54" s="2919">
        <v>26667</v>
      </c>
      <c r="GO54" s="2920">
        <v>27938</v>
      </c>
      <c r="GP54" s="2921">
        <v>34498</v>
      </c>
      <c r="GQ54" s="2921">
        <v>32710</v>
      </c>
      <c r="GR54" s="2922">
        <v>26718</v>
      </c>
      <c r="GS54" s="2923">
        <v>29703</v>
      </c>
      <c r="GT54" s="2924">
        <v>37107</v>
      </c>
      <c r="GU54" s="2924">
        <v>33883</v>
      </c>
      <c r="GV54" s="2925">
        <v>29629</v>
      </c>
      <c r="GW54" s="2921">
        <v>29304</v>
      </c>
      <c r="GX54" s="2921">
        <v>39608</v>
      </c>
      <c r="GY54" s="2921">
        <v>38851</v>
      </c>
      <c r="GZ54" s="2921">
        <v>32862</v>
      </c>
      <c r="HA54" s="2926">
        <v>34202</v>
      </c>
      <c r="HB54" s="2926">
        <v>39103</v>
      </c>
      <c r="HC54" s="2926">
        <v>36756</v>
      </c>
      <c r="HD54" s="2926">
        <v>31534</v>
      </c>
      <c r="HE54" s="2927">
        <v>33410</v>
      </c>
      <c r="HF54" s="2927">
        <v>41193</v>
      </c>
      <c r="HG54" s="2927">
        <f t="shared" si="17"/>
        <v>37729</v>
      </c>
      <c r="HH54" s="2927">
        <v>34798</v>
      </c>
      <c r="HI54" s="2928">
        <v>38514</v>
      </c>
      <c r="HJ54" s="2928">
        <f t="shared" si="18"/>
        <v>44307</v>
      </c>
      <c r="HK54" s="2928">
        <f t="shared" si="19"/>
        <v>42262</v>
      </c>
      <c r="HL54" s="2927">
        <f t="shared" si="20"/>
        <v>38761</v>
      </c>
      <c r="HM54" s="2846">
        <f t="shared" si="21"/>
        <v>42524</v>
      </c>
      <c r="HN54" s="2846">
        <f t="shared" si="22"/>
        <v>48459</v>
      </c>
      <c r="HO54" s="2846">
        <f t="shared" si="23"/>
        <v>47714</v>
      </c>
      <c r="HP54" s="2846">
        <f t="shared" si="24"/>
        <v>31315</v>
      </c>
      <c r="HQ54" s="2921">
        <f t="shared" si="25"/>
        <v>32819</v>
      </c>
      <c r="HR54" s="2921">
        <f t="shared" si="26"/>
        <v>42073</v>
      </c>
      <c r="HS54" s="2921">
        <f t="shared" si="27"/>
        <v>35849</v>
      </c>
      <c r="HT54" s="2921">
        <f t="shared" si="28"/>
        <v>31465</v>
      </c>
      <c r="HU54" s="2929">
        <f t="shared" si="29"/>
        <v>37427</v>
      </c>
      <c r="HV54" s="2926">
        <f t="shared" si="30"/>
        <v>44506</v>
      </c>
      <c r="HW54" s="2926">
        <f t="shared" si="31"/>
        <v>35414</v>
      </c>
      <c r="HX54" s="2926">
        <f t="shared" si="32"/>
        <v>31395</v>
      </c>
      <c r="HY54" s="2930">
        <f t="shared" si="33"/>
        <v>35416</v>
      </c>
      <c r="HZ54" s="2931">
        <f t="shared" si="34"/>
        <v>47693</v>
      </c>
      <c r="IA54" s="2931">
        <f t="shared" si="35"/>
        <v>52498</v>
      </c>
      <c r="IB54" s="2931">
        <f t="shared" si="36"/>
        <v>44908</v>
      </c>
      <c r="IC54" s="2932">
        <f t="shared" ref="IC54:IC61" si="47">FD54+FE54+FF54</f>
        <v>39123</v>
      </c>
      <c r="ID54" s="2933">
        <f t="shared" ref="ID54:ID61" si="48">FG54+FH54+FI54</f>
        <v>804</v>
      </c>
      <c r="IE54" s="2933">
        <f t="shared" ref="IE54:IE61" si="49">EX54+EY54+EZ54</f>
        <v>52498</v>
      </c>
      <c r="IF54" s="2934">
        <f t="shared" ref="IF54:IF61" si="50">FM54+FN54+FO54</f>
        <v>13510</v>
      </c>
      <c r="IG54" s="2929">
        <f t="shared" ref="IG54:IG85" si="51">FP54+FQ54+FR54</f>
        <v>13706</v>
      </c>
      <c r="IH54" s="2926">
        <f t="shared" ref="IH54:IH85" si="52">FS54+FT54+FU54</f>
        <v>12033</v>
      </c>
      <c r="II54" s="2926">
        <f t="shared" ref="II54:II85" si="53">FV54+FW54+FX54</f>
        <v>0</v>
      </c>
      <c r="IJ54" s="2926">
        <f t="shared" ref="IJ54:IJ85" si="54">FY54+FZ54+GA54</f>
        <v>0</v>
      </c>
      <c r="IK54" s="2735"/>
      <c r="IL54" s="3544">
        <v>117965</v>
      </c>
      <c r="IM54" s="3545">
        <v>137145</v>
      </c>
      <c r="IN54" s="3545">
        <v>129755</v>
      </c>
      <c r="IO54" s="3545">
        <v>121864</v>
      </c>
      <c r="IP54" s="3545">
        <v>130322</v>
      </c>
      <c r="IQ54" s="3545">
        <v>140625</v>
      </c>
      <c r="IR54" s="3546">
        <v>141595</v>
      </c>
      <c r="IS54" s="3547">
        <v>147130</v>
      </c>
      <c r="IT54" s="3547">
        <f t="shared" si="37"/>
        <v>163844</v>
      </c>
      <c r="IU54" s="3547">
        <f t="shared" si="38"/>
        <v>163848</v>
      </c>
      <c r="IV54" s="3547">
        <f t="shared" si="39"/>
        <v>142206</v>
      </c>
      <c r="IW54" s="3561">
        <f t="shared" si="40"/>
        <v>148742</v>
      </c>
      <c r="IX54" s="3562">
        <f t="shared" ref="IX54:IX83" si="55">SUM(ER54:FC54)</f>
        <v>180515</v>
      </c>
      <c r="IY54" s="3563">
        <f t="shared" si="41"/>
        <v>57715</v>
      </c>
      <c r="IZ54" s="3564">
        <f>SUM(FF54:FQ54)</f>
        <v>33701</v>
      </c>
      <c r="JA54" s="3765">
        <f>SUM(FP54:GA54)</f>
        <v>25739</v>
      </c>
      <c r="JC54" s="3551">
        <f>AVERAGE(IY54:IZ54)</f>
        <v>45708</v>
      </c>
      <c r="JD54" s="3552">
        <f t="shared" si="42"/>
        <v>0.2610599305956095</v>
      </c>
      <c r="JE54" s="3552">
        <f t="shared" si="43"/>
        <v>0.2177963674568982</v>
      </c>
      <c r="JF54" s="3552">
        <f>IW54/$IW$86</f>
        <v>0.21479237305268509</v>
      </c>
      <c r="JG54" s="3552">
        <f t="shared" ref="JG54:JG83" si="56">IX54/$IX$86</f>
        <v>0.26376042899516355</v>
      </c>
      <c r="JH54" s="3552">
        <f>IY54/$IY$86</f>
        <v>0.30309793768413534</v>
      </c>
      <c r="JI54" s="3565">
        <f>IZ54/$IZ$86</f>
        <v>0.11993409158849236</v>
      </c>
      <c r="JJ54" s="3552"/>
      <c r="JK54" s="3554">
        <f t="shared" si="44"/>
        <v>-0.13208583565255605</v>
      </c>
      <c r="JL54" s="3555">
        <f t="shared" si="45"/>
        <v>-0.72103412919291054</v>
      </c>
      <c r="JM54" s="3555">
        <f t="shared" si="46"/>
        <v>4.5961492482736288E-2</v>
      </c>
      <c r="JN54" s="3555">
        <f t="shared" si="46"/>
        <v>0.21361148834895327</v>
      </c>
      <c r="JO54" s="3555">
        <f>IY54/IX54-1</f>
        <v>-0.68027587735091266</v>
      </c>
      <c r="JP54" s="3556">
        <f>IZ54/IX54-1</f>
        <v>-0.81330637343157075</v>
      </c>
      <c r="JQ54" s="3557">
        <f>IZ54/IY54-1</f>
        <v>-0.41607900892315686</v>
      </c>
      <c r="JS54" s="3231"/>
      <c r="JT54" s="3231"/>
      <c r="JU54" s="3231"/>
      <c r="JV54" s="3231"/>
      <c r="JW54" s="3231"/>
      <c r="JX54" s="3231"/>
      <c r="JY54" s="3231"/>
      <c r="JZ54" s="3231"/>
      <c r="KA54" s="3231"/>
      <c r="KB54" s="3231"/>
      <c r="KC54" s="3231"/>
      <c r="KD54" s="3231"/>
      <c r="KE54" s="3231"/>
      <c r="KF54" s="3231"/>
      <c r="KG54" s="3231"/>
      <c r="KH54" s="3231"/>
      <c r="KI54" s="3231"/>
      <c r="KJ54" s="3231"/>
      <c r="KK54" s="3231"/>
      <c r="KL54" s="3231"/>
      <c r="KM54" s="3231"/>
      <c r="KN54" s="3231"/>
      <c r="KO54" s="3231"/>
    </row>
    <row r="55" spans="1:301" ht="21.9" customHeight="1">
      <c r="A55" s="3558"/>
      <c r="B55" s="3231"/>
      <c r="C55" s="3559" t="s">
        <v>6</v>
      </c>
      <c r="D55" s="3516">
        <v>3612</v>
      </c>
      <c r="E55" s="3517">
        <v>3116</v>
      </c>
      <c r="F55" s="3517">
        <v>3978</v>
      </c>
      <c r="G55" s="3517">
        <v>3576</v>
      </c>
      <c r="H55" s="3517">
        <v>3473</v>
      </c>
      <c r="I55" s="3517">
        <v>4582</v>
      </c>
      <c r="J55" s="3517">
        <v>4498</v>
      </c>
      <c r="K55" s="3517">
        <v>4352</v>
      </c>
      <c r="L55" s="3517">
        <v>3527</v>
      </c>
      <c r="M55" s="3517">
        <v>4205</v>
      </c>
      <c r="N55" s="3517">
        <v>3971</v>
      </c>
      <c r="O55" s="3518">
        <v>4158</v>
      </c>
      <c r="P55" s="3519">
        <v>4338</v>
      </c>
      <c r="Q55" s="3520">
        <v>5058</v>
      </c>
      <c r="R55" s="3520">
        <v>3960</v>
      </c>
      <c r="S55" s="3520">
        <v>3703</v>
      </c>
      <c r="T55" s="3520">
        <v>3953</v>
      </c>
      <c r="U55" s="3520">
        <v>4572</v>
      </c>
      <c r="V55" s="3520">
        <v>4180</v>
      </c>
      <c r="W55" s="3520">
        <v>4336</v>
      </c>
      <c r="X55" s="3520">
        <v>4204</v>
      </c>
      <c r="Y55" s="3520">
        <v>4674</v>
      </c>
      <c r="Z55" s="3520">
        <v>4854</v>
      </c>
      <c r="AA55" s="3521">
        <v>4274</v>
      </c>
      <c r="AB55" s="3522">
        <v>4073</v>
      </c>
      <c r="AC55" s="3523">
        <v>2886</v>
      </c>
      <c r="AD55" s="3523">
        <v>3369</v>
      </c>
      <c r="AE55" s="3523">
        <v>3480</v>
      </c>
      <c r="AF55" s="3523">
        <v>3860</v>
      </c>
      <c r="AG55" s="3523">
        <v>4240</v>
      </c>
      <c r="AH55" s="3523">
        <v>3540</v>
      </c>
      <c r="AI55" s="3523">
        <v>3377</v>
      </c>
      <c r="AJ55" s="3523">
        <v>3115</v>
      </c>
      <c r="AK55" s="3523">
        <v>3286</v>
      </c>
      <c r="AL55" s="3523">
        <v>3811</v>
      </c>
      <c r="AM55" s="3524">
        <v>4393</v>
      </c>
      <c r="AN55" s="3525">
        <v>4213</v>
      </c>
      <c r="AO55" s="3526">
        <v>5082</v>
      </c>
      <c r="AP55" s="3526">
        <v>4528</v>
      </c>
      <c r="AQ55" s="3526">
        <v>3869</v>
      </c>
      <c r="AR55" s="3526">
        <v>4155</v>
      </c>
      <c r="AS55" s="3526">
        <v>4580</v>
      </c>
      <c r="AT55" s="3526">
        <v>3726</v>
      </c>
      <c r="AU55" s="3526">
        <v>4284</v>
      </c>
      <c r="AV55" s="3526">
        <v>4206</v>
      </c>
      <c r="AW55" s="3526">
        <v>3205</v>
      </c>
      <c r="AX55" s="3526">
        <v>4265</v>
      </c>
      <c r="AY55" s="3527">
        <v>5299</v>
      </c>
      <c r="AZ55" s="3463">
        <v>4599</v>
      </c>
      <c r="BA55" s="3463">
        <v>4035</v>
      </c>
      <c r="BB55" s="3463">
        <v>4283</v>
      </c>
      <c r="BC55" s="3463">
        <v>4324</v>
      </c>
      <c r="BD55" s="3463">
        <v>4000</v>
      </c>
      <c r="BE55" s="3463">
        <v>4403</v>
      </c>
      <c r="BF55" s="3463">
        <v>4279</v>
      </c>
      <c r="BG55" s="3463">
        <v>4167</v>
      </c>
      <c r="BH55" s="3463">
        <v>3958</v>
      </c>
      <c r="BI55" s="3463">
        <v>4138</v>
      </c>
      <c r="BJ55" s="3463">
        <v>4519</v>
      </c>
      <c r="BK55" s="3560">
        <v>5404</v>
      </c>
      <c r="BL55" s="3530">
        <v>4222</v>
      </c>
      <c r="BM55" s="3531">
        <v>3651</v>
      </c>
      <c r="BN55" s="3531">
        <v>5058</v>
      </c>
      <c r="BO55" s="3531">
        <v>5339</v>
      </c>
      <c r="BP55" s="3531">
        <v>5273</v>
      </c>
      <c r="BQ55" s="3531">
        <v>7476</v>
      </c>
      <c r="BR55" s="3531">
        <v>6425</v>
      </c>
      <c r="BS55" s="3531">
        <v>5246</v>
      </c>
      <c r="BT55" s="3532">
        <v>5162</v>
      </c>
      <c r="BU55" s="3532">
        <v>6180</v>
      </c>
      <c r="BV55" s="3532">
        <v>5649</v>
      </c>
      <c r="BW55" s="3533">
        <v>7785</v>
      </c>
      <c r="BX55" s="3534">
        <v>6627</v>
      </c>
      <c r="BY55" s="3459">
        <v>4735</v>
      </c>
      <c r="BZ55" s="3459">
        <v>6020</v>
      </c>
      <c r="CA55" s="3459">
        <v>4853</v>
      </c>
      <c r="CB55" s="3459">
        <v>5241</v>
      </c>
      <c r="CC55" s="3459">
        <v>6297</v>
      </c>
      <c r="CD55" s="3459">
        <v>6066</v>
      </c>
      <c r="CE55" s="3459">
        <v>4747</v>
      </c>
      <c r="CF55" s="3459">
        <v>5233</v>
      </c>
      <c r="CG55" s="3459">
        <v>5182</v>
      </c>
      <c r="CH55" s="3459">
        <v>5169</v>
      </c>
      <c r="CI55" s="3461">
        <v>7563</v>
      </c>
      <c r="CJ55" s="3535">
        <v>6453</v>
      </c>
      <c r="CK55" s="3536">
        <v>6126</v>
      </c>
      <c r="CL55" s="3536">
        <v>4727</v>
      </c>
      <c r="CM55" s="3536">
        <v>6021</v>
      </c>
      <c r="CN55" s="3536">
        <v>5531</v>
      </c>
      <c r="CO55" s="3536">
        <v>6575</v>
      </c>
      <c r="CP55" s="3536">
        <v>5999</v>
      </c>
      <c r="CQ55" s="3536">
        <v>4680</v>
      </c>
      <c r="CR55" s="3536">
        <v>5649</v>
      </c>
      <c r="CS55" s="3536">
        <v>5721</v>
      </c>
      <c r="CT55" s="3536">
        <v>5569</v>
      </c>
      <c r="CU55" s="3537">
        <v>8371</v>
      </c>
      <c r="CV55" s="3535">
        <v>6640</v>
      </c>
      <c r="CW55" s="3536">
        <v>4736</v>
      </c>
      <c r="CX55" s="3458">
        <v>5948</v>
      </c>
      <c r="CY55" s="3458">
        <v>4689</v>
      </c>
      <c r="CZ55" s="3458">
        <v>4319</v>
      </c>
      <c r="DA55" s="3458">
        <v>4879</v>
      </c>
      <c r="DB55" s="3458">
        <v>4752</v>
      </c>
      <c r="DC55" s="3458">
        <v>3500</v>
      </c>
      <c r="DD55" s="3458">
        <v>4127</v>
      </c>
      <c r="DE55" s="3458">
        <v>4183</v>
      </c>
      <c r="DF55" s="3458">
        <v>4285</v>
      </c>
      <c r="DG55" s="3537">
        <v>4830</v>
      </c>
      <c r="DH55" s="3538">
        <v>4076</v>
      </c>
      <c r="DI55" s="3539">
        <v>3914</v>
      </c>
      <c r="DJ55" s="3539">
        <v>4490</v>
      </c>
      <c r="DK55" s="3540">
        <v>3335</v>
      </c>
      <c r="DL55" s="3540">
        <v>3996</v>
      </c>
      <c r="DM55" s="3540">
        <v>4670</v>
      </c>
      <c r="DN55" s="3540">
        <v>5537</v>
      </c>
      <c r="DO55" s="3540">
        <v>4018</v>
      </c>
      <c r="DP55" s="2713">
        <v>4519</v>
      </c>
      <c r="DQ55" s="3540">
        <v>5595</v>
      </c>
      <c r="DR55" s="3540">
        <v>4741</v>
      </c>
      <c r="DS55" s="3541">
        <v>6269</v>
      </c>
      <c r="DT55" s="3542">
        <v>5134</v>
      </c>
      <c r="DU55" s="3429">
        <v>3872</v>
      </c>
      <c r="DV55" s="3429">
        <v>5370</v>
      </c>
      <c r="DW55" s="3350">
        <v>4990</v>
      </c>
      <c r="DX55" s="3350">
        <v>3983</v>
      </c>
      <c r="DY55" s="3350">
        <v>5374</v>
      </c>
      <c r="DZ55" s="3350">
        <v>4853</v>
      </c>
      <c r="EA55" s="3350">
        <v>3383</v>
      </c>
      <c r="EB55" s="3350">
        <v>3872</v>
      </c>
      <c r="EC55" s="3350">
        <v>4508</v>
      </c>
      <c r="ED55" s="3350">
        <v>4726</v>
      </c>
      <c r="EE55" s="3349">
        <v>5220</v>
      </c>
      <c r="EF55" s="2689">
        <v>4683</v>
      </c>
      <c r="EG55" s="2688">
        <v>3861</v>
      </c>
      <c r="EH55" s="2688">
        <v>4441</v>
      </c>
      <c r="EI55" s="2688">
        <v>4400</v>
      </c>
      <c r="EJ55" s="2688">
        <v>4233</v>
      </c>
      <c r="EK55" s="2688">
        <v>5316</v>
      </c>
      <c r="EL55" s="2688">
        <v>5022</v>
      </c>
      <c r="EM55" s="2714">
        <v>3702</v>
      </c>
      <c r="EN55" s="2714">
        <v>4846</v>
      </c>
      <c r="EO55" s="2715">
        <v>5051</v>
      </c>
      <c r="EP55" s="2715">
        <v>4639</v>
      </c>
      <c r="EQ55" s="2716">
        <v>5112</v>
      </c>
      <c r="ER55" s="1345">
        <v>4089</v>
      </c>
      <c r="ES55" s="3543">
        <v>3965</v>
      </c>
      <c r="ET55" s="3543">
        <v>4027</v>
      </c>
      <c r="EU55" s="2717">
        <v>4474</v>
      </c>
      <c r="EV55" s="2159">
        <v>5071</v>
      </c>
      <c r="EW55" s="2159">
        <v>5044</v>
      </c>
      <c r="EX55" s="2159">
        <v>5286</v>
      </c>
      <c r="EY55" s="2159">
        <v>4513</v>
      </c>
      <c r="EZ55" s="2159">
        <v>5430</v>
      </c>
      <c r="FA55" s="2339">
        <v>4227</v>
      </c>
      <c r="FB55" s="2339">
        <v>5428</v>
      </c>
      <c r="FC55" s="2339">
        <v>6113</v>
      </c>
      <c r="FD55" s="2765">
        <v>5961</v>
      </c>
      <c r="FE55" s="2766">
        <v>4733</v>
      </c>
      <c r="FF55" s="2766">
        <v>2174</v>
      </c>
      <c r="FG55" s="2766">
        <v>32</v>
      </c>
      <c r="FH55" s="2766">
        <v>56</v>
      </c>
      <c r="FI55" s="2766">
        <v>99</v>
      </c>
      <c r="FJ55" s="2766">
        <v>201</v>
      </c>
      <c r="FK55" s="2766">
        <v>218</v>
      </c>
      <c r="FL55" s="2766">
        <v>423</v>
      </c>
      <c r="FM55" s="2766">
        <v>1349</v>
      </c>
      <c r="FN55" s="2766">
        <v>1549</v>
      </c>
      <c r="FO55" s="2767">
        <v>1964</v>
      </c>
      <c r="FP55" s="2765">
        <v>2113</v>
      </c>
      <c r="FQ55" s="2766">
        <v>1427</v>
      </c>
      <c r="FR55" s="2766">
        <v>1870</v>
      </c>
      <c r="FS55" s="2766">
        <v>1489</v>
      </c>
      <c r="FT55" s="2766">
        <v>1774</v>
      </c>
      <c r="FU55" s="2766"/>
      <c r="FV55" s="2766"/>
      <c r="FW55" s="2766"/>
      <c r="FX55" s="2766"/>
      <c r="FY55" s="2766"/>
      <c r="FZ55" s="2766"/>
      <c r="GA55" s="2771"/>
      <c r="GB55" s="2764"/>
      <c r="GC55" s="2911">
        <v>10706</v>
      </c>
      <c r="GD55" s="2912">
        <v>11631</v>
      </c>
      <c r="GE55" s="2912">
        <v>12377</v>
      </c>
      <c r="GF55" s="2913">
        <v>12334</v>
      </c>
      <c r="GG55" s="2914">
        <v>13356</v>
      </c>
      <c r="GH55" s="2915">
        <v>12228</v>
      </c>
      <c r="GI55" s="2915">
        <v>12720</v>
      </c>
      <c r="GJ55" s="2916">
        <v>13802</v>
      </c>
      <c r="GK55" s="2917">
        <v>10328</v>
      </c>
      <c r="GL55" s="2918">
        <v>11580</v>
      </c>
      <c r="GM55" s="2919">
        <v>10032</v>
      </c>
      <c r="GN55" s="2919">
        <v>11490</v>
      </c>
      <c r="GO55" s="2920">
        <v>13823</v>
      </c>
      <c r="GP55" s="2921">
        <v>12604</v>
      </c>
      <c r="GQ55" s="2921">
        <v>12216</v>
      </c>
      <c r="GR55" s="2922">
        <v>12769</v>
      </c>
      <c r="GS55" s="2923">
        <v>12917</v>
      </c>
      <c r="GT55" s="2924">
        <v>12727</v>
      </c>
      <c r="GU55" s="2924">
        <v>12404</v>
      </c>
      <c r="GV55" s="2925">
        <v>14061</v>
      </c>
      <c r="GW55" s="2921">
        <v>12931</v>
      </c>
      <c r="GX55" s="2921">
        <v>18088</v>
      </c>
      <c r="GY55" s="2921">
        <v>16833</v>
      </c>
      <c r="GZ55" s="2921">
        <v>19614</v>
      </c>
      <c r="HA55" s="2926">
        <v>17382</v>
      </c>
      <c r="HB55" s="2926">
        <v>16391</v>
      </c>
      <c r="HC55" s="2926">
        <v>16046</v>
      </c>
      <c r="HD55" s="2926">
        <v>17914</v>
      </c>
      <c r="HE55" s="2927">
        <v>17306</v>
      </c>
      <c r="HF55" s="2927">
        <v>18127</v>
      </c>
      <c r="HG55" s="2927">
        <f t="shared" si="17"/>
        <v>16328</v>
      </c>
      <c r="HH55" s="2927">
        <v>19661</v>
      </c>
      <c r="HI55" s="2928">
        <v>17324</v>
      </c>
      <c r="HJ55" s="2928">
        <f t="shared" si="18"/>
        <v>13887</v>
      </c>
      <c r="HK55" s="2928">
        <f t="shared" si="19"/>
        <v>12379</v>
      </c>
      <c r="HL55" s="2927">
        <f t="shared" si="20"/>
        <v>13298</v>
      </c>
      <c r="HM55" s="2846">
        <f t="shared" si="21"/>
        <v>12480</v>
      </c>
      <c r="HN55" s="2846">
        <f t="shared" si="22"/>
        <v>12001</v>
      </c>
      <c r="HO55" s="2846">
        <f t="shared" si="23"/>
        <v>15824</v>
      </c>
      <c r="HP55" s="2846">
        <f t="shared" si="24"/>
        <v>16605</v>
      </c>
      <c r="HQ55" s="2921">
        <f t="shared" si="25"/>
        <v>14376</v>
      </c>
      <c r="HR55" s="2921">
        <f t="shared" si="26"/>
        <v>14347</v>
      </c>
      <c r="HS55" s="2921">
        <f t="shared" si="27"/>
        <v>12108</v>
      </c>
      <c r="HT55" s="2921">
        <f t="shared" si="28"/>
        <v>14454</v>
      </c>
      <c r="HU55" s="2929">
        <f t="shared" si="29"/>
        <v>12985</v>
      </c>
      <c r="HV55" s="2926">
        <f t="shared" si="30"/>
        <v>13949</v>
      </c>
      <c r="HW55" s="2926">
        <f t="shared" si="31"/>
        <v>13570</v>
      </c>
      <c r="HX55" s="2926">
        <f t="shared" si="32"/>
        <v>14802</v>
      </c>
      <c r="HY55" s="2930">
        <f t="shared" si="33"/>
        <v>12081</v>
      </c>
      <c r="HZ55" s="2931">
        <f t="shared" si="34"/>
        <v>14589</v>
      </c>
      <c r="IA55" s="2931">
        <f t="shared" si="35"/>
        <v>15229</v>
      </c>
      <c r="IB55" s="2931">
        <f t="shared" si="36"/>
        <v>15768</v>
      </c>
      <c r="IC55" s="2932">
        <f t="shared" si="47"/>
        <v>12868</v>
      </c>
      <c r="ID55" s="2933">
        <f t="shared" si="48"/>
        <v>187</v>
      </c>
      <c r="IE55" s="2933">
        <f t="shared" si="49"/>
        <v>15229</v>
      </c>
      <c r="IF55" s="2934">
        <f t="shared" si="50"/>
        <v>4862</v>
      </c>
      <c r="IG55" s="2929">
        <f t="shared" si="51"/>
        <v>5410</v>
      </c>
      <c r="IH55" s="2926">
        <f t="shared" si="52"/>
        <v>3263</v>
      </c>
      <c r="II55" s="2926">
        <f t="shared" si="53"/>
        <v>0</v>
      </c>
      <c r="IJ55" s="2926">
        <f t="shared" si="54"/>
        <v>0</v>
      </c>
      <c r="IK55" s="2735"/>
      <c r="IL55" s="3544">
        <v>47048</v>
      </c>
      <c r="IM55" s="3545">
        <v>52106</v>
      </c>
      <c r="IN55" s="3545">
        <v>43430</v>
      </c>
      <c r="IO55" s="3545">
        <v>51412</v>
      </c>
      <c r="IP55" s="3545">
        <v>52109</v>
      </c>
      <c r="IQ55" s="3545">
        <v>67466</v>
      </c>
      <c r="IR55" s="3546">
        <v>67733</v>
      </c>
      <c r="IS55" s="3547">
        <v>71422</v>
      </c>
      <c r="IT55" s="3547">
        <f t="shared" si="37"/>
        <v>56888</v>
      </c>
      <c r="IU55" s="3547">
        <f t="shared" si="38"/>
        <v>55160</v>
      </c>
      <c r="IV55" s="3547">
        <f t="shared" si="39"/>
        <v>55285</v>
      </c>
      <c r="IW55" s="3547">
        <f t="shared" si="40"/>
        <v>55306</v>
      </c>
      <c r="IX55" s="3548">
        <f t="shared" si="55"/>
        <v>57667</v>
      </c>
      <c r="IY55" s="3566">
        <f t="shared" si="41"/>
        <v>18759</v>
      </c>
      <c r="IZ55" s="3564">
        <f t="shared" ref="IZ55:IZ84" si="57">SUM(FF55:FQ55)</f>
        <v>11605</v>
      </c>
      <c r="JA55" s="3765">
        <f t="shared" ref="JA55:JA84" si="58">SUM(FP55:GA55)</f>
        <v>8673</v>
      </c>
      <c r="JC55" s="3551">
        <f t="shared" ref="JC55:JC86" si="59">AVERAGE(IY55:IZ55)</f>
        <v>15182</v>
      </c>
      <c r="JD55" s="3552">
        <f t="shared" si="42"/>
        <v>8.7886735093829771E-2</v>
      </c>
      <c r="JE55" s="3552">
        <f t="shared" si="43"/>
        <v>8.4672040384052835E-2</v>
      </c>
      <c r="JF55" s="3552">
        <f t="shared" ref="JF55:JF83" si="60">IW55/$IX$86</f>
        <v>8.0810648899019566E-2</v>
      </c>
      <c r="JG55" s="3552">
        <f t="shared" si="56"/>
        <v>8.4260436300939517E-2</v>
      </c>
      <c r="JH55" s="3552">
        <f t="shared" ref="JH55:JH85" si="61">IY55/$IY$86</f>
        <v>9.8515363649254006E-2</v>
      </c>
      <c r="JI55" s="3565">
        <f t="shared" ref="JI55:JI85" si="62">IZ55/$IZ$86</f>
        <v>4.1299520277868727E-2</v>
      </c>
      <c r="JJ55" s="3552"/>
      <c r="JK55" s="3554">
        <f t="shared" si="44"/>
        <v>2.266134880348103E-3</v>
      </c>
      <c r="JL55" s="3555">
        <f t="shared" si="45"/>
        <v>-0.72476432197244378</v>
      </c>
      <c r="JM55" s="3555">
        <f t="shared" si="46"/>
        <v>3.7984986886141492E-4</v>
      </c>
      <c r="JN55" s="3555">
        <f t="shared" si="46"/>
        <v>4.2689762412758014E-2</v>
      </c>
      <c r="JO55" s="3555">
        <f t="shared" si="46"/>
        <v>-0.67470130230461089</v>
      </c>
      <c r="JP55" s="3556">
        <f t="shared" ref="JP55:JP86" si="63">IZ55/IX55-1</f>
        <v>-0.79875838867983417</v>
      </c>
      <c r="JQ55" s="3557">
        <f t="shared" ref="JQ55:JQ83" si="64">IF(IY55="","",IZ55/IY55-1)</f>
        <v>-0.38136361213284287</v>
      </c>
      <c r="JS55" s="3231"/>
      <c r="JT55" s="3231"/>
      <c r="JU55" s="3231"/>
      <c r="JV55" s="3231"/>
      <c r="JW55" s="3231"/>
      <c r="JX55" s="3231"/>
      <c r="JY55" s="3231"/>
      <c r="JZ55" s="3231"/>
      <c r="KA55" s="3231"/>
      <c r="KB55" s="3231"/>
      <c r="KC55" s="3231"/>
      <c r="KD55" s="3231"/>
      <c r="KE55" s="3231"/>
      <c r="KF55" s="3231"/>
      <c r="KG55" s="3231"/>
      <c r="KH55" s="3231"/>
      <c r="KI55" s="3231"/>
      <c r="KJ55" s="3231"/>
      <c r="KK55" s="3231"/>
      <c r="KL55" s="3231"/>
      <c r="KM55" s="3231"/>
      <c r="KN55" s="3231"/>
      <c r="KO55" s="3231"/>
    </row>
    <row r="56" spans="1:301" ht="21.9" customHeight="1">
      <c r="A56" s="3558"/>
      <c r="B56" s="3231"/>
      <c r="C56" s="3559" t="s">
        <v>7</v>
      </c>
      <c r="D56" s="3516">
        <v>1324</v>
      </c>
      <c r="E56" s="3517">
        <v>1555</v>
      </c>
      <c r="F56" s="3517">
        <v>1410</v>
      </c>
      <c r="G56" s="3517">
        <v>1429</v>
      </c>
      <c r="H56" s="3517">
        <v>1418</v>
      </c>
      <c r="I56" s="3517">
        <v>2607</v>
      </c>
      <c r="J56" s="3517">
        <v>2835</v>
      </c>
      <c r="K56" s="3517">
        <v>2685</v>
      </c>
      <c r="L56" s="3517">
        <v>2112</v>
      </c>
      <c r="M56" s="3517">
        <v>1839</v>
      </c>
      <c r="N56" s="3517">
        <v>2329</v>
      </c>
      <c r="O56" s="3518">
        <v>2088</v>
      </c>
      <c r="P56" s="3519">
        <v>1837</v>
      </c>
      <c r="Q56" s="3520">
        <v>2639</v>
      </c>
      <c r="R56" s="3520">
        <v>1865</v>
      </c>
      <c r="S56" s="3520">
        <v>1646</v>
      </c>
      <c r="T56" s="3520">
        <v>2039</v>
      </c>
      <c r="U56" s="3520">
        <v>3303</v>
      </c>
      <c r="V56" s="3520">
        <v>2996</v>
      </c>
      <c r="W56" s="3520">
        <v>3169</v>
      </c>
      <c r="X56" s="3520">
        <v>2100</v>
      </c>
      <c r="Y56" s="3520">
        <v>1903</v>
      </c>
      <c r="Z56" s="3520">
        <v>2662</v>
      </c>
      <c r="AA56" s="3521">
        <v>1902</v>
      </c>
      <c r="AB56" s="3522">
        <v>2189</v>
      </c>
      <c r="AC56" s="3523">
        <v>2306</v>
      </c>
      <c r="AD56" s="3523">
        <v>2100</v>
      </c>
      <c r="AE56" s="3523">
        <v>2003</v>
      </c>
      <c r="AF56" s="3523">
        <v>3328</v>
      </c>
      <c r="AG56" s="3523">
        <v>4653</v>
      </c>
      <c r="AH56" s="3523">
        <v>3137</v>
      </c>
      <c r="AI56" s="3523">
        <v>3497</v>
      </c>
      <c r="AJ56" s="3523">
        <v>2351</v>
      </c>
      <c r="AK56" s="3523">
        <v>2125</v>
      </c>
      <c r="AL56" s="3523">
        <v>2575</v>
      </c>
      <c r="AM56" s="3524">
        <v>2250</v>
      </c>
      <c r="AN56" s="3525">
        <v>2074</v>
      </c>
      <c r="AO56" s="3526">
        <v>2222</v>
      </c>
      <c r="AP56" s="3526">
        <v>2157</v>
      </c>
      <c r="AQ56" s="3526">
        <v>1650</v>
      </c>
      <c r="AR56" s="3526">
        <v>2169</v>
      </c>
      <c r="AS56" s="3526">
        <v>4211</v>
      </c>
      <c r="AT56" s="3526">
        <v>3416</v>
      </c>
      <c r="AU56" s="3526">
        <v>3730</v>
      </c>
      <c r="AV56" s="3526">
        <v>2638</v>
      </c>
      <c r="AW56" s="3526">
        <v>2451</v>
      </c>
      <c r="AX56" s="3526">
        <v>2709</v>
      </c>
      <c r="AY56" s="3527">
        <v>2407</v>
      </c>
      <c r="AZ56" s="3463">
        <v>2245</v>
      </c>
      <c r="BA56" s="3463">
        <v>2360</v>
      </c>
      <c r="BB56" s="3463">
        <v>1994</v>
      </c>
      <c r="BC56" s="3463">
        <v>2054</v>
      </c>
      <c r="BD56" s="3463">
        <v>1974</v>
      </c>
      <c r="BE56" s="3463">
        <v>4580</v>
      </c>
      <c r="BF56" s="3463">
        <v>3668</v>
      </c>
      <c r="BG56" s="3463">
        <v>3797</v>
      </c>
      <c r="BH56" s="3463">
        <v>2808</v>
      </c>
      <c r="BI56" s="3463">
        <v>2386</v>
      </c>
      <c r="BJ56" s="3463">
        <v>2699</v>
      </c>
      <c r="BK56" s="3560">
        <v>2363</v>
      </c>
      <c r="BL56" s="3530">
        <v>2062</v>
      </c>
      <c r="BM56" s="3531">
        <v>2453</v>
      </c>
      <c r="BN56" s="3531">
        <v>2219</v>
      </c>
      <c r="BO56" s="3531">
        <v>2379</v>
      </c>
      <c r="BP56" s="3531">
        <v>2483</v>
      </c>
      <c r="BQ56" s="3531">
        <v>4629</v>
      </c>
      <c r="BR56" s="3531">
        <v>3352</v>
      </c>
      <c r="BS56" s="3531">
        <v>3785</v>
      </c>
      <c r="BT56" s="3532">
        <v>3170</v>
      </c>
      <c r="BU56" s="3532">
        <v>2516</v>
      </c>
      <c r="BV56" s="3532">
        <v>2627</v>
      </c>
      <c r="BW56" s="3533">
        <v>2343</v>
      </c>
      <c r="BX56" s="3534">
        <v>2275</v>
      </c>
      <c r="BY56" s="3459">
        <v>2408</v>
      </c>
      <c r="BZ56" s="3459">
        <v>2259</v>
      </c>
      <c r="CA56" s="3459">
        <v>2051</v>
      </c>
      <c r="CB56" s="3459">
        <v>2962</v>
      </c>
      <c r="CC56" s="3459">
        <v>4633</v>
      </c>
      <c r="CD56" s="3459">
        <v>3650</v>
      </c>
      <c r="CE56" s="3459">
        <v>3942</v>
      </c>
      <c r="CF56" s="3459">
        <v>3578</v>
      </c>
      <c r="CG56" s="3459">
        <v>2866</v>
      </c>
      <c r="CH56" s="3459">
        <v>3622</v>
      </c>
      <c r="CI56" s="3461">
        <v>3262</v>
      </c>
      <c r="CJ56" s="3535">
        <v>4693</v>
      </c>
      <c r="CK56" s="3536">
        <v>3329</v>
      </c>
      <c r="CL56" s="3536">
        <v>3172</v>
      </c>
      <c r="CM56" s="3536">
        <v>2855</v>
      </c>
      <c r="CN56" s="3536">
        <v>3070</v>
      </c>
      <c r="CO56" s="3536">
        <v>1437</v>
      </c>
      <c r="CP56" s="3536">
        <v>4812</v>
      </c>
      <c r="CQ56" s="3536">
        <v>4547</v>
      </c>
      <c r="CR56" s="3536">
        <v>3616</v>
      </c>
      <c r="CS56" s="3536">
        <v>3498</v>
      </c>
      <c r="CT56" s="3536">
        <v>3618</v>
      </c>
      <c r="CU56" s="3537">
        <v>3484</v>
      </c>
      <c r="CV56" s="3535">
        <v>3113</v>
      </c>
      <c r="CW56" s="3536">
        <v>3325</v>
      </c>
      <c r="CX56" s="3458">
        <v>3195</v>
      </c>
      <c r="CY56" s="3458">
        <v>2623</v>
      </c>
      <c r="CZ56" s="3458">
        <v>3137</v>
      </c>
      <c r="DA56" s="3458">
        <v>5235</v>
      </c>
      <c r="DB56" s="3458">
        <v>4766</v>
      </c>
      <c r="DC56" s="3458">
        <v>4153</v>
      </c>
      <c r="DD56" s="3458">
        <v>3633</v>
      </c>
      <c r="DE56" s="3458">
        <v>3383</v>
      </c>
      <c r="DF56" s="3458">
        <v>3320</v>
      </c>
      <c r="DG56" s="3537">
        <v>3878</v>
      </c>
      <c r="DH56" s="3538">
        <v>2964</v>
      </c>
      <c r="DI56" s="3539">
        <v>3137</v>
      </c>
      <c r="DJ56" s="3539">
        <v>3077</v>
      </c>
      <c r="DK56" s="3540">
        <v>2577</v>
      </c>
      <c r="DL56" s="3540">
        <v>2847</v>
      </c>
      <c r="DM56" s="3540">
        <v>5765</v>
      </c>
      <c r="DN56" s="3540">
        <v>4826</v>
      </c>
      <c r="DO56" s="3540">
        <v>4045</v>
      </c>
      <c r="DP56" s="2713">
        <v>2741</v>
      </c>
      <c r="DQ56" s="3540">
        <v>2404</v>
      </c>
      <c r="DR56" s="3540">
        <v>2367</v>
      </c>
      <c r="DS56" s="3541">
        <v>2423</v>
      </c>
      <c r="DT56" s="3542">
        <v>1937</v>
      </c>
      <c r="DU56" s="3429">
        <v>1872</v>
      </c>
      <c r="DV56" s="3429">
        <v>1901</v>
      </c>
      <c r="DW56" s="3350">
        <v>2061</v>
      </c>
      <c r="DX56" s="3350">
        <v>1740</v>
      </c>
      <c r="DY56" s="3350">
        <v>3360</v>
      </c>
      <c r="DZ56" s="3350">
        <v>2960</v>
      </c>
      <c r="EA56" s="3350">
        <v>2392</v>
      </c>
      <c r="EB56" s="3350">
        <v>2217</v>
      </c>
      <c r="EC56" s="3350">
        <v>2173</v>
      </c>
      <c r="ED56" s="3350">
        <v>2397</v>
      </c>
      <c r="EE56" s="3349">
        <v>2655</v>
      </c>
      <c r="EF56" s="2689">
        <v>2327</v>
      </c>
      <c r="EG56" s="2688">
        <v>2245</v>
      </c>
      <c r="EH56" s="2688">
        <v>2500</v>
      </c>
      <c r="EI56" s="2688">
        <v>2062</v>
      </c>
      <c r="EJ56" s="2688">
        <v>2145</v>
      </c>
      <c r="EK56" s="2688">
        <v>3948</v>
      </c>
      <c r="EL56" s="2688">
        <v>3670</v>
      </c>
      <c r="EM56" s="2714">
        <v>3213</v>
      </c>
      <c r="EN56" s="2714">
        <v>2579</v>
      </c>
      <c r="EO56" s="2715">
        <v>2489</v>
      </c>
      <c r="EP56" s="2715">
        <v>2626</v>
      </c>
      <c r="EQ56" s="2716">
        <v>2981</v>
      </c>
      <c r="ER56" s="1345">
        <v>1985</v>
      </c>
      <c r="ES56" s="3543">
        <v>2280</v>
      </c>
      <c r="ET56" s="3543">
        <v>2141</v>
      </c>
      <c r="EU56" s="2717">
        <v>2248</v>
      </c>
      <c r="EV56" s="2159">
        <v>4117</v>
      </c>
      <c r="EW56" s="2159">
        <v>7279</v>
      </c>
      <c r="EX56" s="2159">
        <v>8646</v>
      </c>
      <c r="EY56" s="2159">
        <v>7778</v>
      </c>
      <c r="EZ56" s="2159">
        <v>6031</v>
      </c>
      <c r="FA56" s="2339">
        <v>4476</v>
      </c>
      <c r="FB56" s="2339">
        <v>5469</v>
      </c>
      <c r="FC56" s="2339">
        <v>7951</v>
      </c>
      <c r="FD56" s="2772">
        <v>4895</v>
      </c>
      <c r="FE56" s="2773">
        <v>5061</v>
      </c>
      <c r="FF56" s="2773">
        <v>1744</v>
      </c>
      <c r="FG56" s="2773">
        <v>42</v>
      </c>
      <c r="FH56" s="2773">
        <v>49</v>
      </c>
      <c r="FI56" s="2773">
        <v>94</v>
      </c>
      <c r="FJ56" s="2773">
        <v>976</v>
      </c>
      <c r="FK56" s="2773">
        <v>912</v>
      </c>
      <c r="FL56" s="2773">
        <v>1188</v>
      </c>
      <c r="FM56" s="2773">
        <v>1364</v>
      </c>
      <c r="FN56" s="2773">
        <v>1646</v>
      </c>
      <c r="FO56" s="2774">
        <v>2750</v>
      </c>
      <c r="FP56" s="2772">
        <v>2113</v>
      </c>
      <c r="FQ56" s="2773">
        <v>1570</v>
      </c>
      <c r="FR56" s="2773">
        <v>2019</v>
      </c>
      <c r="FS56" s="2773">
        <v>1576</v>
      </c>
      <c r="FT56" s="2773">
        <v>1610</v>
      </c>
      <c r="FU56" s="2773"/>
      <c r="FV56" s="2773"/>
      <c r="FW56" s="2773"/>
      <c r="FX56" s="2773"/>
      <c r="FY56" s="2773"/>
      <c r="FZ56" s="2773"/>
      <c r="GA56" s="2775"/>
      <c r="GB56" s="2764"/>
      <c r="GC56" s="2911">
        <v>4289</v>
      </c>
      <c r="GD56" s="2912">
        <v>5454</v>
      </c>
      <c r="GE56" s="2912">
        <v>7632</v>
      </c>
      <c r="GF56" s="2913">
        <v>6256</v>
      </c>
      <c r="GG56" s="2914">
        <v>6341</v>
      </c>
      <c r="GH56" s="2915">
        <v>6988</v>
      </c>
      <c r="GI56" s="2915">
        <v>8265</v>
      </c>
      <c r="GJ56" s="2916">
        <v>6467</v>
      </c>
      <c r="GK56" s="2917">
        <v>6595</v>
      </c>
      <c r="GL56" s="2918">
        <v>9984</v>
      </c>
      <c r="GM56" s="2919">
        <v>8985</v>
      </c>
      <c r="GN56" s="2919">
        <v>6950</v>
      </c>
      <c r="GO56" s="2920">
        <v>6453</v>
      </c>
      <c r="GP56" s="2921">
        <v>8030</v>
      </c>
      <c r="GQ56" s="2921">
        <v>9784</v>
      </c>
      <c r="GR56" s="2922">
        <v>7567</v>
      </c>
      <c r="GS56" s="2923">
        <v>6599</v>
      </c>
      <c r="GT56" s="2924">
        <v>8608</v>
      </c>
      <c r="GU56" s="2924">
        <v>10273</v>
      </c>
      <c r="GV56" s="2925">
        <v>7448</v>
      </c>
      <c r="GW56" s="2921">
        <v>6734</v>
      </c>
      <c r="GX56" s="2921">
        <v>9491</v>
      </c>
      <c r="GY56" s="2921">
        <v>10307</v>
      </c>
      <c r="GZ56" s="2921">
        <v>7486</v>
      </c>
      <c r="HA56" s="2926">
        <v>6942</v>
      </c>
      <c r="HB56" s="2926">
        <v>9646</v>
      </c>
      <c r="HC56" s="2926">
        <v>11170</v>
      </c>
      <c r="HD56" s="2926">
        <v>9750</v>
      </c>
      <c r="HE56" s="2927">
        <v>11194</v>
      </c>
      <c r="HF56" s="2927">
        <v>7362</v>
      </c>
      <c r="HG56" s="2927">
        <f t="shared" si="17"/>
        <v>12975</v>
      </c>
      <c r="HH56" s="2927">
        <v>10600</v>
      </c>
      <c r="HI56" s="2928">
        <v>9633</v>
      </c>
      <c r="HJ56" s="2928">
        <f t="shared" si="18"/>
        <v>10995</v>
      </c>
      <c r="HK56" s="2928">
        <f t="shared" si="19"/>
        <v>12552</v>
      </c>
      <c r="HL56" s="2927">
        <f t="shared" si="20"/>
        <v>10581</v>
      </c>
      <c r="HM56" s="2846">
        <f t="shared" si="21"/>
        <v>9178</v>
      </c>
      <c r="HN56" s="2846">
        <f t="shared" si="22"/>
        <v>11189</v>
      </c>
      <c r="HO56" s="2846">
        <f t="shared" si="23"/>
        <v>11294</v>
      </c>
      <c r="HP56" s="2846">
        <f t="shared" si="24"/>
        <v>7194</v>
      </c>
      <c r="HQ56" s="2921">
        <f t="shared" si="25"/>
        <v>5710</v>
      </c>
      <c r="HR56" s="2921">
        <f t="shared" si="26"/>
        <v>7161</v>
      </c>
      <c r="HS56" s="2921">
        <f t="shared" si="27"/>
        <v>7569</v>
      </c>
      <c r="HT56" s="2921">
        <f t="shared" si="28"/>
        <v>7225</v>
      </c>
      <c r="HU56" s="2929">
        <f t="shared" si="29"/>
        <v>7072</v>
      </c>
      <c r="HV56" s="2926">
        <f t="shared" si="30"/>
        <v>8155</v>
      </c>
      <c r="HW56" s="2926">
        <f t="shared" si="31"/>
        <v>9462</v>
      </c>
      <c r="HX56" s="2926">
        <f t="shared" si="32"/>
        <v>8096</v>
      </c>
      <c r="HY56" s="2930">
        <f t="shared" si="33"/>
        <v>6406</v>
      </c>
      <c r="HZ56" s="2931">
        <f t="shared" si="34"/>
        <v>13644</v>
      </c>
      <c r="IA56" s="2931">
        <f t="shared" si="35"/>
        <v>22455</v>
      </c>
      <c r="IB56" s="2931">
        <f t="shared" si="36"/>
        <v>17896</v>
      </c>
      <c r="IC56" s="2932">
        <f t="shared" si="47"/>
        <v>11700</v>
      </c>
      <c r="ID56" s="2933">
        <f t="shared" si="48"/>
        <v>185</v>
      </c>
      <c r="IE56" s="2933">
        <f t="shared" si="49"/>
        <v>22455</v>
      </c>
      <c r="IF56" s="2934">
        <f t="shared" si="50"/>
        <v>5760</v>
      </c>
      <c r="IG56" s="2929">
        <f t="shared" si="51"/>
        <v>5702</v>
      </c>
      <c r="IH56" s="2926">
        <f t="shared" si="52"/>
        <v>3186</v>
      </c>
      <c r="II56" s="2926">
        <f t="shared" si="53"/>
        <v>0</v>
      </c>
      <c r="IJ56" s="2926">
        <f t="shared" si="54"/>
        <v>0</v>
      </c>
      <c r="IK56" s="2735"/>
      <c r="IL56" s="3544">
        <v>23631</v>
      </c>
      <c r="IM56" s="3545">
        <v>28061</v>
      </c>
      <c r="IN56" s="3545">
        <v>32514</v>
      </c>
      <c r="IO56" s="3545">
        <v>31834</v>
      </c>
      <c r="IP56" s="3545">
        <v>32928</v>
      </c>
      <c r="IQ56" s="3545">
        <v>34018</v>
      </c>
      <c r="IR56" s="3546">
        <v>37508</v>
      </c>
      <c r="IS56" s="3547">
        <v>42131</v>
      </c>
      <c r="IT56" s="3547">
        <f t="shared" si="37"/>
        <v>43761</v>
      </c>
      <c r="IU56" s="3547">
        <f t="shared" si="38"/>
        <v>39173</v>
      </c>
      <c r="IV56" s="3547">
        <f t="shared" si="39"/>
        <v>27665</v>
      </c>
      <c r="IW56" s="3547">
        <f t="shared" si="40"/>
        <v>32785</v>
      </c>
      <c r="IX56" s="3548">
        <f t="shared" si="55"/>
        <v>60401</v>
      </c>
      <c r="IY56" s="3566">
        <f t="shared" si="41"/>
        <v>20721</v>
      </c>
      <c r="IZ56" s="3564">
        <f t="shared" si="57"/>
        <v>14448</v>
      </c>
      <c r="JA56" s="3765">
        <f t="shared" si="58"/>
        <v>8888</v>
      </c>
      <c r="JC56" s="3551">
        <f t="shared" si="59"/>
        <v>17584.5</v>
      </c>
      <c r="JD56" s="3552">
        <f t="shared" si="42"/>
        <v>6.2414558988952019E-2</v>
      </c>
      <c r="JE56" s="3552">
        <f t="shared" si="43"/>
        <v>4.2370480188565103E-2</v>
      </c>
      <c r="JF56" s="3552">
        <f t="shared" si="60"/>
        <v>4.790397288095969E-2</v>
      </c>
      <c r="JG56" s="3552">
        <f t="shared" si="56"/>
        <v>8.8255234588465639E-2</v>
      </c>
      <c r="JH56" s="3552">
        <f t="shared" si="61"/>
        <v>0.10881906552461178</v>
      </c>
      <c r="JI56" s="3565">
        <f t="shared" si="62"/>
        <v>5.1417102022804598E-2</v>
      </c>
      <c r="JJ56" s="3552"/>
      <c r="JK56" s="3554">
        <f t="shared" si="44"/>
        <v>-0.29377377275164018</v>
      </c>
      <c r="JL56" s="3555">
        <f t="shared" si="45"/>
        <v>-0.55110662956628298</v>
      </c>
      <c r="JM56" s="3555">
        <f t="shared" si="46"/>
        <v>0.18507138984276161</v>
      </c>
      <c r="JN56" s="3555">
        <f t="shared" si="46"/>
        <v>0.84233643434497485</v>
      </c>
      <c r="JO56" s="3555">
        <f t="shared" si="46"/>
        <v>-0.65694276584824762</v>
      </c>
      <c r="JP56" s="3556">
        <f t="shared" si="63"/>
        <v>-0.76079866227380344</v>
      </c>
      <c r="JQ56" s="3557">
        <f t="shared" si="64"/>
        <v>-0.30273635442304903</v>
      </c>
      <c r="JS56" s="3231"/>
      <c r="JT56" s="3231"/>
      <c r="JU56" s="3231"/>
      <c r="JV56" s="3231"/>
      <c r="JW56" s="3231"/>
      <c r="JX56" s="3231"/>
      <c r="JY56" s="3231"/>
      <c r="JZ56" s="3231"/>
      <c r="KA56" s="3231"/>
      <c r="KB56" s="3231"/>
      <c r="KC56" s="3231"/>
      <c r="KD56" s="3231"/>
      <c r="KE56" s="3231"/>
      <c r="KF56" s="3231"/>
      <c r="KG56" s="3231"/>
      <c r="KH56" s="3231"/>
      <c r="KI56" s="3231"/>
      <c r="KJ56" s="3231"/>
      <c r="KK56" s="3231"/>
      <c r="KL56" s="3231"/>
      <c r="KM56" s="3231"/>
      <c r="KN56" s="3231"/>
      <c r="KO56" s="3231"/>
    </row>
    <row r="57" spans="1:301" ht="24" customHeight="1">
      <c r="A57" s="3558"/>
      <c r="B57" s="3231"/>
      <c r="C57" s="3559" t="s">
        <v>15</v>
      </c>
      <c r="D57" s="3516">
        <v>342</v>
      </c>
      <c r="E57" s="3517">
        <v>325</v>
      </c>
      <c r="F57" s="3517">
        <v>440</v>
      </c>
      <c r="G57" s="3517">
        <v>392</v>
      </c>
      <c r="H57" s="3517">
        <v>377</v>
      </c>
      <c r="I57" s="3517">
        <v>432</v>
      </c>
      <c r="J57" s="3517">
        <v>744</v>
      </c>
      <c r="K57" s="3517">
        <v>705</v>
      </c>
      <c r="L57" s="3517">
        <v>586</v>
      </c>
      <c r="M57" s="3517">
        <v>717</v>
      </c>
      <c r="N57" s="3517">
        <v>686</v>
      </c>
      <c r="O57" s="3518">
        <v>372</v>
      </c>
      <c r="P57" s="3519">
        <v>410</v>
      </c>
      <c r="Q57" s="3520">
        <v>574</v>
      </c>
      <c r="R57" s="3520">
        <v>487</v>
      </c>
      <c r="S57" s="3520">
        <v>479</v>
      </c>
      <c r="T57" s="3520">
        <v>793</v>
      </c>
      <c r="U57" s="3520">
        <v>734</v>
      </c>
      <c r="V57" s="3520">
        <v>771</v>
      </c>
      <c r="W57" s="3520">
        <v>700</v>
      </c>
      <c r="X57" s="3520">
        <v>748</v>
      </c>
      <c r="Y57" s="3520">
        <v>982</v>
      </c>
      <c r="Z57" s="3520">
        <v>878</v>
      </c>
      <c r="AA57" s="3521">
        <v>637</v>
      </c>
      <c r="AB57" s="3522">
        <v>523</v>
      </c>
      <c r="AC57" s="3523">
        <v>468</v>
      </c>
      <c r="AD57" s="3523">
        <v>576</v>
      </c>
      <c r="AE57" s="3523">
        <v>748</v>
      </c>
      <c r="AF57" s="3523">
        <v>686.5</v>
      </c>
      <c r="AG57" s="3523">
        <v>625</v>
      </c>
      <c r="AH57" s="3523">
        <v>812</v>
      </c>
      <c r="AI57" s="3523">
        <v>649</v>
      </c>
      <c r="AJ57" s="3523">
        <v>789</v>
      </c>
      <c r="AK57" s="3523">
        <v>775</v>
      </c>
      <c r="AL57" s="3523">
        <v>715</v>
      </c>
      <c r="AM57" s="3524">
        <v>854</v>
      </c>
      <c r="AN57" s="3525">
        <v>597</v>
      </c>
      <c r="AO57" s="3526">
        <v>512</v>
      </c>
      <c r="AP57" s="3526">
        <v>746</v>
      </c>
      <c r="AQ57" s="3526">
        <v>803</v>
      </c>
      <c r="AR57" s="3526">
        <v>767</v>
      </c>
      <c r="AS57" s="3526">
        <v>836</v>
      </c>
      <c r="AT57" s="3526">
        <v>966</v>
      </c>
      <c r="AU57" s="3526">
        <v>923</v>
      </c>
      <c r="AV57" s="3526">
        <v>647</v>
      </c>
      <c r="AW57" s="3526">
        <v>940</v>
      </c>
      <c r="AX57" s="3526">
        <v>839</v>
      </c>
      <c r="AY57" s="3527">
        <v>742</v>
      </c>
      <c r="AZ57" s="3463">
        <v>640</v>
      </c>
      <c r="BA57" s="3463">
        <v>651</v>
      </c>
      <c r="BB57" s="3463">
        <v>859</v>
      </c>
      <c r="BC57" s="3463">
        <v>1037</v>
      </c>
      <c r="BD57" s="3463">
        <v>1051</v>
      </c>
      <c r="BE57" s="3463">
        <v>1180</v>
      </c>
      <c r="BF57" s="3463">
        <v>1219</v>
      </c>
      <c r="BG57" s="3463">
        <v>1102</v>
      </c>
      <c r="BH57" s="3463">
        <v>841</v>
      </c>
      <c r="BI57" s="3463">
        <v>1028</v>
      </c>
      <c r="BJ57" s="3463">
        <v>1132</v>
      </c>
      <c r="BK57" s="3560">
        <v>930</v>
      </c>
      <c r="BL57" s="3530">
        <v>131</v>
      </c>
      <c r="BM57" s="3531">
        <v>779</v>
      </c>
      <c r="BN57" s="3531">
        <v>894</v>
      </c>
      <c r="BO57" s="3531">
        <v>942</v>
      </c>
      <c r="BP57" s="3531">
        <v>1059</v>
      </c>
      <c r="BQ57" s="3531">
        <v>1016</v>
      </c>
      <c r="BR57" s="3531">
        <v>1165</v>
      </c>
      <c r="BS57" s="3531">
        <v>913</v>
      </c>
      <c r="BT57" s="3532">
        <v>955</v>
      </c>
      <c r="BU57" s="3532">
        <v>1191</v>
      </c>
      <c r="BV57" s="3532">
        <v>1067</v>
      </c>
      <c r="BW57" s="3533">
        <v>1084</v>
      </c>
      <c r="BX57" s="3534">
        <v>850</v>
      </c>
      <c r="BY57" s="3459">
        <v>816</v>
      </c>
      <c r="BZ57" s="3459">
        <v>1061</v>
      </c>
      <c r="CA57" s="3459">
        <v>1104</v>
      </c>
      <c r="CB57" s="3459">
        <v>971</v>
      </c>
      <c r="CC57" s="3459">
        <v>925</v>
      </c>
      <c r="CD57" s="3459">
        <v>1157</v>
      </c>
      <c r="CE57" s="3459">
        <v>914</v>
      </c>
      <c r="CF57" s="3459">
        <v>977</v>
      </c>
      <c r="CG57" s="3459">
        <v>994</v>
      </c>
      <c r="CH57" s="3459">
        <v>1010</v>
      </c>
      <c r="CI57" s="3461">
        <v>1471</v>
      </c>
      <c r="CJ57" s="3535">
        <v>1161</v>
      </c>
      <c r="CK57" s="3536">
        <v>1292</v>
      </c>
      <c r="CL57" s="3536">
        <v>1612</v>
      </c>
      <c r="CM57" s="3536">
        <v>1518</v>
      </c>
      <c r="CN57" s="3536">
        <v>1350</v>
      </c>
      <c r="CO57" s="3536">
        <v>1490</v>
      </c>
      <c r="CP57" s="3536">
        <v>1712</v>
      </c>
      <c r="CQ57" s="3536">
        <v>1328</v>
      </c>
      <c r="CR57" s="3536">
        <v>1559</v>
      </c>
      <c r="CS57" s="3536">
        <v>1567</v>
      </c>
      <c r="CT57" s="3536">
        <v>1967</v>
      </c>
      <c r="CU57" s="3537">
        <v>1576</v>
      </c>
      <c r="CV57" s="3535">
        <v>1180</v>
      </c>
      <c r="CW57" s="3536">
        <v>1207</v>
      </c>
      <c r="CX57" s="3458">
        <v>1707</v>
      </c>
      <c r="CY57" s="3458">
        <v>1417</v>
      </c>
      <c r="CZ57" s="3458">
        <v>1426</v>
      </c>
      <c r="DA57" s="3458">
        <v>1346</v>
      </c>
      <c r="DB57" s="3458">
        <v>1759</v>
      </c>
      <c r="DC57" s="3458">
        <v>1362</v>
      </c>
      <c r="DD57" s="3458">
        <v>1364</v>
      </c>
      <c r="DE57" s="3458">
        <v>1673</v>
      </c>
      <c r="DF57" s="3458">
        <v>1398</v>
      </c>
      <c r="DG57" s="3537">
        <v>1325</v>
      </c>
      <c r="DH57" s="3538">
        <v>1187</v>
      </c>
      <c r="DI57" s="3539">
        <v>1174</v>
      </c>
      <c r="DJ57" s="3539">
        <v>1524</v>
      </c>
      <c r="DK57" s="3540">
        <v>1104</v>
      </c>
      <c r="DL57" s="3540">
        <v>1264</v>
      </c>
      <c r="DM57" s="3540">
        <v>1329</v>
      </c>
      <c r="DN57" s="3540">
        <v>1498</v>
      </c>
      <c r="DO57" s="3540">
        <v>1248</v>
      </c>
      <c r="DP57" s="2713">
        <v>1308</v>
      </c>
      <c r="DQ57" s="3540">
        <v>1953</v>
      </c>
      <c r="DR57" s="3540">
        <v>1459</v>
      </c>
      <c r="DS57" s="3541">
        <v>1279</v>
      </c>
      <c r="DT57" s="3542">
        <v>1089</v>
      </c>
      <c r="DU57" s="3429">
        <v>1033</v>
      </c>
      <c r="DV57" s="3429">
        <v>1340</v>
      </c>
      <c r="DW57" s="3350">
        <v>1541</v>
      </c>
      <c r="DX57" s="3350">
        <v>1270</v>
      </c>
      <c r="DY57" s="3350">
        <v>1466</v>
      </c>
      <c r="DZ57" s="3350">
        <v>1782</v>
      </c>
      <c r="EA57" s="3350">
        <v>1384</v>
      </c>
      <c r="EB57" s="3350">
        <v>1310</v>
      </c>
      <c r="EC57" s="3350">
        <v>1643</v>
      </c>
      <c r="ED57" s="3350">
        <v>1674</v>
      </c>
      <c r="EE57" s="3349">
        <v>1625</v>
      </c>
      <c r="EF57" s="2689">
        <v>1302</v>
      </c>
      <c r="EG57" s="2688">
        <v>1297</v>
      </c>
      <c r="EH57" s="2688">
        <v>1472</v>
      </c>
      <c r="EI57" s="2688">
        <v>1656</v>
      </c>
      <c r="EJ57" s="2688">
        <v>1613</v>
      </c>
      <c r="EK57" s="2688">
        <v>1730</v>
      </c>
      <c r="EL57" s="2688">
        <v>2122</v>
      </c>
      <c r="EM57" s="2714">
        <v>1672</v>
      </c>
      <c r="EN57" s="2714">
        <v>1935</v>
      </c>
      <c r="EO57" s="2715">
        <v>2094</v>
      </c>
      <c r="EP57" s="2715">
        <v>1907</v>
      </c>
      <c r="EQ57" s="2716">
        <v>1793</v>
      </c>
      <c r="ER57" s="1345">
        <v>1454</v>
      </c>
      <c r="ES57" s="3543">
        <v>1596</v>
      </c>
      <c r="ET57" s="3543">
        <v>1930</v>
      </c>
      <c r="EU57" s="2717">
        <v>2053</v>
      </c>
      <c r="EV57" s="2159">
        <v>1644</v>
      </c>
      <c r="EW57" s="2159">
        <v>1820</v>
      </c>
      <c r="EX57" s="2159">
        <v>1932</v>
      </c>
      <c r="EY57" s="2159">
        <v>1590</v>
      </c>
      <c r="EZ57" s="2159">
        <v>1672</v>
      </c>
      <c r="FA57" s="2339">
        <v>1400</v>
      </c>
      <c r="FB57" s="2339">
        <v>1836</v>
      </c>
      <c r="FC57" s="2339">
        <v>2108</v>
      </c>
      <c r="FD57" s="2765">
        <v>1799</v>
      </c>
      <c r="FE57" s="2766">
        <v>1661</v>
      </c>
      <c r="FF57" s="2766">
        <v>771</v>
      </c>
      <c r="FG57" s="2766">
        <v>15</v>
      </c>
      <c r="FH57" s="2766">
        <v>12</v>
      </c>
      <c r="FI57" s="2766">
        <v>37</v>
      </c>
      <c r="FJ57" s="2766">
        <v>43</v>
      </c>
      <c r="FK57" s="2766">
        <v>355</v>
      </c>
      <c r="FL57" s="2766">
        <v>419</v>
      </c>
      <c r="FM57" s="2766">
        <v>477</v>
      </c>
      <c r="FN57" s="2766">
        <v>574</v>
      </c>
      <c r="FO57" s="2767">
        <v>731</v>
      </c>
      <c r="FP57" s="2765">
        <v>699</v>
      </c>
      <c r="FQ57" s="2766">
        <v>570</v>
      </c>
      <c r="FR57" s="2766">
        <v>525</v>
      </c>
      <c r="FS57" s="2766">
        <v>407</v>
      </c>
      <c r="FT57" s="2766">
        <v>549</v>
      </c>
      <c r="FU57" s="2766"/>
      <c r="FV57" s="2766"/>
      <c r="FW57" s="2766"/>
      <c r="FX57" s="2766"/>
      <c r="FY57" s="2766"/>
      <c r="FZ57" s="2766"/>
      <c r="GA57" s="2771"/>
      <c r="GB57" s="2764"/>
      <c r="GC57" s="2911">
        <v>1107</v>
      </c>
      <c r="GD57" s="2912">
        <v>1201</v>
      </c>
      <c r="GE57" s="2912">
        <v>2035</v>
      </c>
      <c r="GF57" s="2913">
        <v>1775</v>
      </c>
      <c r="GG57" s="2914">
        <v>1471</v>
      </c>
      <c r="GH57" s="2915">
        <v>2006</v>
      </c>
      <c r="GI57" s="2915">
        <v>2219</v>
      </c>
      <c r="GJ57" s="2916">
        <v>2497</v>
      </c>
      <c r="GK57" s="2917">
        <v>1567</v>
      </c>
      <c r="GL57" s="2918">
        <v>2059.5</v>
      </c>
      <c r="GM57" s="2919">
        <v>2250</v>
      </c>
      <c r="GN57" s="2919">
        <v>2344</v>
      </c>
      <c r="GO57" s="2920">
        <v>1855</v>
      </c>
      <c r="GP57" s="2921">
        <v>2406</v>
      </c>
      <c r="GQ57" s="2921">
        <v>2536</v>
      </c>
      <c r="GR57" s="2922">
        <v>2521</v>
      </c>
      <c r="GS57" s="2923">
        <v>2150</v>
      </c>
      <c r="GT57" s="2924">
        <v>3268</v>
      </c>
      <c r="GU57" s="2924">
        <v>3162</v>
      </c>
      <c r="GV57" s="2925">
        <v>3090</v>
      </c>
      <c r="GW57" s="2921">
        <v>1804</v>
      </c>
      <c r="GX57" s="2921">
        <v>3017</v>
      </c>
      <c r="GY57" s="2921">
        <v>3033</v>
      </c>
      <c r="GZ57" s="2921">
        <v>3342</v>
      </c>
      <c r="HA57" s="2926">
        <v>2727</v>
      </c>
      <c r="HB57" s="2926">
        <v>3000</v>
      </c>
      <c r="HC57" s="2926">
        <v>3048</v>
      </c>
      <c r="HD57" s="2926">
        <v>3475</v>
      </c>
      <c r="HE57" s="2927">
        <v>4065</v>
      </c>
      <c r="HF57" s="2927">
        <v>4358</v>
      </c>
      <c r="HG57" s="2927">
        <f t="shared" si="17"/>
        <v>4599</v>
      </c>
      <c r="HH57" s="2927">
        <v>5110</v>
      </c>
      <c r="HI57" s="2928">
        <v>4094</v>
      </c>
      <c r="HJ57" s="2928">
        <f t="shared" si="18"/>
        <v>4189</v>
      </c>
      <c r="HK57" s="2928">
        <f t="shared" si="19"/>
        <v>4485</v>
      </c>
      <c r="HL57" s="2927">
        <f t="shared" si="20"/>
        <v>4396</v>
      </c>
      <c r="HM57" s="2846">
        <f t="shared" si="21"/>
        <v>3885</v>
      </c>
      <c r="HN57" s="2846">
        <f t="shared" si="22"/>
        <v>3697</v>
      </c>
      <c r="HO57" s="2846">
        <f t="shared" si="23"/>
        <v>4025</v>
      </c>
      <c r="HP57" s="2846">
        <f t="shared" si="24"/>
        <v>4691</v>
      </c>
      <c r="HQ57" s="2921">
        <f t="shared" si="25"/>
        <v>3462</v>
      </c>
      <c r="HR57" s="2921">
        <f t="shared" si="26"/>
        <v>4277</v>
      </c>
      <c r="HS57" s="2921">
        <f t="shared" si="27"/>
        <v>4476</v>
      </c>
      <c r="HT57" s="2921">
        <f t="shared" si="28"/>
        <v>4942</v>
      </c>
      <c r="HU57" s="2929">
        <f t="shared" si="29"/>
        <v>4071</v>
      </c>
      <c r="HV57" s="2926">
        <f t="shared" si="30"/>
        <v>4999</v>
      </c>
      <c r="HW57" s="2926">
        <f t="shared" si="31"/>
        <v>5729</v>
      </c>
      <c r="HX57" s="2926">
        <f t="shared" si="32"/>
        <v>5794</v>
      </c>
      <c r="HY57" s="2930">
        <f t="shared" si="33"/>
        <v>4980</v>
      </c>
      <c r="HZ57" s="2931">
        <f t="shared" si="34"/>
        <v>5517</v>
      </c>
      <c r="IA57" s="2931">
        <f t="shared" si="35"/>
        <v>5194</v>
      </c>
      <c r="IB57" s="2931">
        <f t="shared" si="36"/>
        <v>5344</v>
      </c>
      <c r="IC57" s="2932">
        <f t="shared" si="47"/>
        <v>4231</v>
      </c>
      <c r="ID57" s="2933">
        <f t="shared" si="48"/>
        <v>64</v>
      </c>
      <c r="IE57" s="2933">
        <f t="shared" si="49"/>
        <v>5194</v>
      </c>
      <c r="IF57" s="2934">
        <f t="shared" si="50"/>
        <v>1782</v>
      </c>
      <c r="IG57" s="2929">
        <f t="shared" si="51"/>
        <v>1794</v>
      </c>
      <c r="IH57" s="2926">
        <f t="shared" si="52"/>
        <v>956</v>
      </c>
      <c r="II57" s="2926">
        <f t="shared" si="53"/>
        <v>0</v>
      </c>
      <c r="IJ57" s="2926">
        <f t="shared" si="54"/>
        <v>0</v>
      </c>
      <c r="IK57" s="2735"/>
      <c r="IL57" s="3544">
        <v>6118</v>
      </c>
      <c r="IM57" s="3545">
        <v>8193</v>
      </c>
      <c r="IN57" s="3545">
        <v>8220.5</v>
      </c>
      <c r="IO57" s="3545">
        <v>9318</v>
      </c>
      <c r="IP57" s="3545">
        <v>11670</v>
      </c>
      <c r="IQ57" s="3545">
        <v>11196</v>
      </c>
      <c r="IR57" s="3546">
        <v>12250</v>
      </c>
      <c r="IS57" s="3547">
        <v>18132</v>
      </c>
      <c r="IT57" s="3547">
        <f t="shared" si="37"/>
        <v>17164</v>
      </c>
      <c r="IU57" s="3547">
        <f t="shared" si="38"/>
        <v>16327</v>
      </c>
      <c r="IV57" s="3547">
        <f t="shared" si="39"/>
        <v>17157</v>
      </c>
      <c r="IW57" s="3547">
        <f t="shared" si="40"/>
        <v>20593</v>
      </c>
      <c r="IX57" s="3548">
        <f t="shared" si="55"/>
        <v>21035</v>
      </c>
      <c r="IY57" s="3566">
        <f t="shared" si="41"/>
        <v>6894</v>
      </c>
      <c r="IZ57" s="3564">
        <f t="shared" si="57"/>
        <v>4703</v>
      </c>
      <c r="JA57" s="3765">
        <f t="shared" si="58"/>
        <v>2750</v>
      </c>
      <c r="JC57" s="3551">
        <f t="shared" si="59"/>
        <v>5798.5</v>
      </c>
      <c r="JD57" s="3552">
        <f t="shared" si="42"/>
        <v>2.6013899997769371E-2</v>
      </c>
      <c r="JE57" s="3552">
        <f t="shared" si="43"/>
        <v>2.6276896027298442E-2</v>
      </c>
      <c r="JF57" s="3552">
        <f t="shared" si="60"/>
        <v>3.0089568813103641E-2</v>
      </c>
      <c r="JG57" s="3552">
        <f t="shared" si="56"/>
        <v>3.0735399406770992E-2</v>
      </c>
      <c r="JH57" s="3552">
        <f t="shared" si="61"/>
        <v>3.6204750626257109E-2</v>
      </c>
      <c r="JI57" s="3565">
        <f t="shared" si="62"/>
        <v>1.6736893051858388E-2</v>
      </c>
      <c r="JJ57" s="3552"/>
      <c r="JK57" s="3554">
        <f t="shared" si="44"/>
        <v>5.0836038463894173E-2</v>
      </c>
      <c r="JL57" s="3555">
        <f t="shared" si="45"/>
        <v>-0.64485208550254181</v>
      </c>
      <c r="JM57" s="3555">
        <f t="shared" si="46"/>
        <v>0.20026811214081719</v>
      </c>
      <c r="JN57" s="3555">
        <f t="shared" si="46"/>
        <v>2.1463604137328174E-2</v>
      </c>
      <c r="JO57" s="3555">
        <f t="shared" si="46"/>
        <v>-0.67226051818397914</v>
      </c>
      <c r="JP57" s="3556">
        <f t="shared" si="63"/>
        <v>-0.77642025196101738</v>
      </c>
      <c r="JQ57" s="3557">
        <f t="shared" si="64"/>
        <v>-0.31781259065854361</v>
      </c>
      <c r="JS57" s="3231"/>
      <c r="JT57" s="3231"/>
      <c r="JU57" s="3231"/>
      <c r="JV57" s="3231"/>
      <c r="JW57" s="3231"/>
      <c r="JX57" s="3231"/>
      <c r="JY57" s="3231"/>
      <c r="JZ57" s="3231"/>
      <c r="KA57" s="3231"/>
      <c r="KB57" s="3231"/>
      <c r="KC57" s="3231"/>
      <c r="KD57" s="3231"/>
      <c r="KE57" s="3231"/>
      <c r="KF57" s="3231"/>
      <c r="KG57" s="3231"/>
      <c r="KH57" s="3231"/>
      <c r="KI57" s="3231"/>
      <c r="KJ57" s="3231"/>
      <c r="KK57" s="3231"/>
      <c r="KL57" s="3231"/>
      <c r="KM57" s="3231"/>
      <c r="KN57" s="3231"/>
      <c r="KO57" s="3231"/>
    </row>
    <row r="58" spans="1:301" ht="21.9" customHeight="1">
      <c r="A58" s="3558"/>
      <c r="B58" s="3231"/>
      <c r="C58" s="3559" t="s">
        <v>14</v>
      </c>
      <c r="D58" s="3516">
        <v>979</v>
      </c>
      <c r="E58" s="3517">
        <v>1028</v>
      </c>
      <c r="F58" s="3517">
        <v>1191</v>
      </c>
      <c r="G58" s="3517">
        <v>822</v>
      </c>
      <c r="H58" s="3517">
        <v>771</v>
      </c>
      <c r="I58" s="3517">
        <v>743</v>
      </c>
      <c r="J58" s="3517">
        <v>1668</v>
      </c>
      <c r="K58" s="3517">
        <v>1648</v>
      </c>
      <c r="L58" s="3517">
        <v>1293</v>
      </c>
      <c r="M58" s="3517">
        <v>1389</v>
      </c>
      <c r="N58" s="3517">
        <v>1328</v>
      </c>
      <c r="O58" s="3518">
        <v>1045</v>
      </c>
      <c r="P58" s="3519">
        <v>1064</v>
      </c>
      <c r="Q58" s="3520">
        <v>1703</v>
      </c>
      <c r="R58" s="3520">
        <v>1525</v>
      </c>
      <c r="S58" s="3520">
        <v>905</v>
      </c>
      <c r="T58" s="3520">
        <v>1008</v>
      </c>
      <c r="U58" s="3520">
        <v>1074</v>
      </c>
      <c r="V58" s="3520">
        <v>1651</v>
      </c>
      <c r="W58" s="3520">
        <v>1896</v>
      </c>
      <c r="X58" s="3520">
        <v>1295</v>
      </c>
      <c r="Y58" s="3520">
        <v>1655</v>
      </c>
      <c r="Z58" s="3520">
        <v>1637</v>
      </c>
      <c r="AA58" s="3521">
        <v>1309</v>
      </c>
      <c r="AB58" s="3522">
        <v>1162</v>
      </c>
      <c r="AC58" s="3523">
        <v>1372</v>
      </c>
      <c r="AD58" s="3523">
        <v>1251</v>
      </c>
      <c r="AE58" s="3523">
        <v>1188</v>
      </c>
      <c r="AF58" s="3523">
        <v>1125.5</v>
      </c>
      <c r="AG58" s="3523">
        <v>1063</v>
      </c>
      <c r="AH58" s="3523">
        <v>1694</v>
      </c>
      <c r="AI58" s="3523">
        <v>1936</v>
      </c>
      <c r="AJ58" s="3523">
        <v>1190</v>
      </c>
      <c r="AK58" s="3523">
        <v>1628</v>
      </c>
      <c r="AL58" s="3523">
        <v>1627</v>
      </c>
      <c r="AM58" s="3524">
        <v>1330</v>
      </c>
      <c r="AN58" s="3525">
        <v>1167</v>
      </c>
      <c r="AO58" s="3526">
        <v>1178</v>
      </c>
      <c r="AP58" s="3526">
        <v>1274</v>
      </c>
      <c r="AQ58" s="3526">
        <v>821</v>
      </c>
      <c r="AR58" s="3526">
        <v>976</v>
      </c>
      <c r="AS58" s="3526">
        <v>1016</v>
      </c>
      <c r="AT58" s="3526">
        <v>1824</v>
      </c>
      <c r="AU58" s="3526">
        <v>1850</v>
      </c>
      <c r="AV58" s="3526">
        <v>1266</v>
      </c>
      <c r="AW58" s="3526">
        <v>1582</v>
      </c>
      <c r="AX58" s="3526">
        <v>1470</v>
      </c>
      <c r="AY58" s="3527">
        <v>1296</v>
      </c>
      <c r="AZ58" s="3463">
        <v>1126</v>
      </c>
      <c r="BA58" s="3463">
        <v>1446</v>
      </c>
      <c r="BB58" s="3463">
        <v>1204</v>
      </c>
      <c r="BC58" s="3463">
        <v>1160</v>
      </c>
      <c r="BD58" s="3463">
        <v>926</v>
      </c>
      <c r="BE58" s="3463">
        <v>1107</v>
      </c>
      <c r="BF58" s="3463">
        <v>1753</v>
      </c>
      <c r="BG58" s="3463">
        <v>2142</v>
      </c>
      <c r="BH58" s="3463">
        <v>1459</v>
      </c>
      <c r="BI58" s="3463">
        <v>1726</v>
      </c>
      <c r="BJ58" s="3463">
        <v>1523</v>
      </c>
      <c r="BK58" s="3560">
        <v>1238</v>
      </c>
      <c r="BL58" s="3530">
        <v>1222</v>
      </c>
      <c r="BM58" s="3531">
        <v>1433</v>
      </c>
      <c r="BN58" s="3531">
        <v>1585</v>
      </c>
      <c r="BO58" s="3531">
        <v>1043</v>
      </c>
      <c r="BP58" s="3531">
        <v>1060</v>
      </c>
      <c r="BQ58" s="3531">
        <v>1097</v>
      </c>
      <c r="BR58" s="3531">
        <v>1975</v>
      </c>
      <c r="BS58" s="3531">
        <v>2483</v>
      </c>
      <c r="BT58" s="3532">
        <v>1516</v>
      </c>
      <c r="BU58" s="3532">
        <v>1776</v>
      </c>
      <c r="BV58" s="3532">
        <v>1812</v>
      </c>
      <c r="BW58" s="3533">
        <v>1505</v>
      </c>
      <c r="BX58" s="3534">
        <v>1259</v>
      </c>
      <c r="BY58" s="3459">
        <v>1498</v>
      </c>
      <c r="BZ58" s="3459">
        <v>1791</v>
      </c>
      <c r="CA58" s="3459">
        <v>999</v>
      </c>
      <c r="CB58" s="3459">
        <v>1135</v>
      </c>
      <c r="CC58" s="3459">
        <v>1094</v>
      </c>
      <c r="CD58" s="3459">
        <v>1954</v>
      </c>
      <c r="CE58" s="3459">
        <v>2103</v>
      </c>
      <c r="CF58" s="3459">
        <v>1514</v>
      </c>
      <c r="CG58" s="3459">
        <v>1650</v>
      </c>
      <c r="CH58" s="3459">
        <v>1669</v>
      </c>
      <c r="CI58" s="3461">
        <v>1507</v>
      </c>
      <c r="CJ58" s="3535">
        <v>1252</v>
      </c>
      <c r="CK58" s="3536">
        <v>1443</v>
      </c>
      <c r="CL58" s="3536">
        <v>1447</v>
      </c>
      <c r="CM58" s="3536">
        <v>1394</v>
      </c>
      <c r="CN58" s="3536">
        <v>1109</v>
      </c>
      <c r="CO58" s="3536">
        <v>986</v>
      </c>
      <c r="CP58" s="3536">
        <v>2241</v>
      </c>
      <c r="CQ58" s="3536">
        <v>2458</v>
      </c>
      <c r="CR58" s="3536">
        <v>1566</v>
      </c>
      <c r="CS58" s="3536">
        <v>1926</v>
      </c>
      <c r="CT58" s="3536">
        <v>1800</v>
      </c>
      <c r="CU58" s="3537">
        <v>1600</v>
      </c>
      <c r="CV58" s="3535">
        <v>1310</v>
      </c>
      <c r="CW58" s="3536">
        <v>1458</v>
      </c>
      <c r="CX58" s="3458">
        <v>1764</v>
      </c>
      <c r="CY58" s="3458">
        <v>1021</v>
      </c>
      <c r="CZ58" s="3458">
        <v>1209</v>
      </c>
      <c r="DA58" s="3458">
        <v>1089</v>
      </c>
      <c r="DB58" s="3458">
        <v>1876</v>
      </c>
      <c r="DC58" s="3458">
        <v>2424</v>
      </c>
      <c r="DD58" s="3458">
        <v>1390</v>
      </c>
      <c r="DE58" s="3458">
        <v>1890</v>
      </c>
      <c r="DF58" s="3458">
        <v>1595</v>
      </c>
      <c r="DG58" s="3537">
        <v>1538</v>
      </c>
      <c r="DH58" s="3538">
        <v>1219</v>
      </c>
      <c r="DI58" s="3539">
        <v>1461</v>
      </c>
      <c r="DJ58" s="3539">
        <v>1530</v>
      </c>
      <c r="DK58" s="3540">
        <v>984</v>
      </c>
      <c r="DL58" s="3540">
        <v>1111</v>
      </c>
      <c r="DM58" s="3540">
        <v>1105</v>
      </c>
      <c r="DN58" s="3540">
        <v>2133</v>
      </c>
      <c r="DO58" s="3540">
        <v>2090</v>
      </c>
      <c r="DP58" s="2713">
        <v>1304</v>
      </c>
      <c r="DQ58" s="3540">
        <v>1939</v>
      </c>
      <c r="DR58" s="3540">
        <v>1447</v>
      </c>
      <c r="DS58" s="3541">
        <v>1384</v>
      </c>
      <c r="DT58" s="3542">
        <v>1181</v>
      </c>
      <c r="DU58" s="3429">
        <v>1257</v>
      </c>
      <c r="DV58" s="3429">
        <v>1493</v>
      </c>
      <c r="DW58" s="3350">
        <v>1328</v>
      </c>
      <c r="DX58" s="3350">
        <v>1017</v>
      </c>
      <c r="DY58" s="3350">
        <v>1177</v>
      </c>
      <c r="DZ58" s="3350">
        <v>1762</v>
      </c>
      <c r="EA58" s="3350">
        <v>2116</v>
      </c>
      <c r="EB58" s="3350">
        <v>1515</v>
      </c>
      <c r="EC58" s="3350">
        <v>2079</v>
      </c>
      <c r="ED58" s="3350">
        <v>1709</v>
      </c>
      <c r="EE58" s="3349">
        <v>1429</v>
      </c>
      <c r="EF58" s="2689">
        <v>1364</v>
      </c>
      <c r="EG58" s="2688">
        <v>1772</v>
      </c>
      <c r="EH58" s="2688">
        <v>1987</v>
      </c>
      <c r="EI58" s="2688">
        <v>1233</v>
      </c>
      <c r="EJ58" s="2688">
        <v>1437</v>
      </c>
      <c r="EK58" s="2688">
        <v>1289</v>
      </c>
      <c r="EL58" s="2688">
        <v>2110</v>
      </c>
      <c r="EM58" s="2714">
        <v>2013</v>
      </c>
      <c r="EN58" s="2714">
        <v>1690</v>
      </c>
      <c r="EO58" s="2715">
        <v>1860</v>
      </c>
      <c r="EP58" s="2715">
        <v>2026</v>
      </c>
      <c r="EQ58" s="2716">
        <v>1630</v>
      </c>
      <c r="ER58" s="1345">
        <v>1437</v>
      </c>
      <c r="ES58" s="3543">
        <v>1736</v>
      </c>
      <c r="ET58" s="3543">
        <v>1752</v>
      </c>
      <c r="EU58" s="2717">
        <v>1612</v>
      </c>
      <c r="EV58" s="2159">
        <v>1388</v>
      </c>
      <c r="EW58" s="2159">
        <v>1538</v>
      </c>
      <c r="EX58" s="2159">
        <v>2642</v>
      </c>
      <c r="EY58" s="2159">
        <v>2517</v>
      </c>
      <c r="EZ58" s="2159">
        <v>1974</v>
      </c>
      <c r="FA58" s="2339">
        <v>1837</v>
      </c>
      <c r="FB58" s="2339">
        <v>2241</v>
      </c>
      <c r="FC58" s="2339">
        <v>2074</v>
      </c>
      <c r="FD58" s="2772">
        <v>1785</v>
      </c>
      <c r="FE58" s="2773">
        <v>2078</v>
      </c>
      <c r="FF58" s="2773">
        <v>880</v>
      </c>
      <c r="FG58" s="2773">
        <v>9</v>
      </c>
      <c r="FH58" s="2773">
        <v>12</v>
      </c>
      <c r="FI58" s="2773">
        <v>19</v>
      </c>
      <c r="FJ58" s="2773">
        <v>54</v>
      </c>
      <c r="FK58" s="2773">
        <v>137</v>
      </c>
      <c r="FL58" s="2773">
        <v>139</v>
      </c>
      <c r="FM58" s="2773">
        <v>179</v>
      </c>
      <c r="FN58" s="2773">
        <v>145</v>
      </c>
      <c r="FO58" s="2774">
        <v>331</v>
      </c>
      <c r="FP58" s="2772">
        <v>281</v>
      </c>
      <c r="FQ58" s="2773">
        <v>166</v>
      </c>
      <c r="FR58" s="2773">
        <v>258</v>
      </c>
      <c r="FS58" s="2773">
        <v>249</v>
      </c>
      <c r="FT58" s="2773">
        <v>270</v>
      </c>
      <c r="FU58" s="2773"/>
      <c r="FV58" s="2773"/>
      <c r="FW58" s="2773"/>
      <c r="FX58" s="2773"/>
      <c r="FY58" s="2773"/>
      <c r="FZ58" s="2773"/>
      <c r="GA58" s="2775"/>
      <c r="GB58" s="2764"/>
      <c r="GC58" s="2911">
        <v>3198</v>
      </c>
      <c r="GD58" s="2912">
        <v>2336</v>
      </c>
      <c r="GE58" s="2912">
        <v>4609</v>
      </c>
      <c r="GF58" s="2913">
        <v>3762</v>
      </c>
      <c r="GG58" s="2914">
        <v>4292</v>
      </c>
      <c r="GH58" s="2915">
        <v>2987</v>
      </c>
      <c r="GI58" s="2915">
        <v>4842</v>
      </c>
      <c r="GJ58" s="2916">
        <v>4601</v>
      </c>
      <c r="GK58" s="2917">
        <v>3785</v>
      </c>
      <c r="GL58" s="2918">
        <v>3376.5</v>
      </c>
      <c r="GM58" s="2919">
        <v>4820</v>
      </c>
      <c r="GN58" s="2919">
        <v>4585</v>
      </c>
      <c r="GO58" s="2920">
        <v>3619</v>
      </c>
      <c r="GP58" s="2921">
        <v>2813</v>
      </c>
      <c r="GQ58" s="2921">
        <v>4940</v>
      </c>
      <c r="GR58" s="2922">
        <v>4348</v>
      </c>
      <c r="GS58" s="2923">
        <v>3776</v>
      </c>
      <c r="GT58" s="2924">
        <v>3193</v>
      </c>
      <c r="GU58" s="2924">
        <v>5354</v>
      </c>
      <c r="GV58" s="2925">
        <v>4487</v>
      </c>
      <c r="GW58" s="2921">
        <v>4240</v>
      </c>
      <c r="GX58" s="2921">
        <v>3200</v>
      </c>
      <c r="GY58" s="2921">
        <v>5974</v>
      </c>
      <c r="GZ58" s="2921">
        <v>5093</v>
      </c>
      <c r="HA58" s="2926">
        <v>4548</v>
      </c>
      <c r="HB58" s="2926">
        <v>3228</v>
      </c>
      <c r="HC58" s="2926">
        <v>5571</v>
      </c>
      <c r="HD58" s="2926">
        <v>4826</v>
      </c>
      <c r="HE58" s="2927">
        <v>4142</v>
      </c>
      <c r="HF58" s="2927">
        <v>3489</v>
      </c>
      <c r="HG58" s="2927">
        <f t="shared" si="17"/>
        <v>6265</v>
      </c>
      <c r="HH58" s="2927">
        <v>5326</v>
      </c>
      <c r="HI58" s="2928">
        <v>4532</v>
      </c>
      <c r="HJ58" s="2928">
        <f t="shared" si="18"/>
        <v>3319</v>
      </c>
      <c r="HK58" s="2928">
        <f t="shared" si="19"/>
        <v>5690</v>
      </c>
      <c r="HL58" s="2927">
        <f t="shared" si="20"/>
        <v>5023</v>
      </c>
      <c r="HM58" s="2846">
        <f t="shared" si="21"/>
        <v>4210</v>
      </c>
      <c r="HN58" s="2846">
        <f t="shared" si="22"/>
        <v>3200</v>
      </c>
      <c r="HO58" s="2846">
        <f t="shared" si="23"/>
        <v>5607</v>
      </c>
      <c r="HP58" s="2846">
        <f t="shared" si="24"/>
        <v>4770</v>
      </c>
      <c r="HQ58" s="2921">
        <f t="shared" si="25"/>
        <v>3931</v>
      </c>
      <c r="HR58" s="2921">
        <f t="shared" si="26"/>
        <v>3522</v>
      </c>
      <c r="HS58" s="2921">
        <f t="shared" si="27"/>
        <v>5393</v>
      </c>
      <c r="HT58" s="2921">
        <f t="shared" si="28"/>
        <v>5217</v>
      </c>
      <c r="HU58" s="2929">
        <f t="shared" si="29"/>
        <v>5123</v>
      </c>
      <c r="HV58" s="2926">
        <f t="shared" si="30"/>
        <v>3959</v>
      </c>
      <c r="HW58" s="2926">
        <f t="shared" si="31"/>
        <v>5813</v>
      </c>
      <c r="HX58" s="2926">
        <f t="shared" si="32"/>
        <v>5516</v>
      </c>
      <c r="HY58" s="2930">
        <f t="shared" si="33"/>
        <v>4925</v>
      </c>
      <c r="HZ58" s="2931">
        <f t="shared" si="34"/>
        <v>4538</v>
      </c>
      <c r="IA58" s="2931">
        <f t="shared" si="35"/>
        <v>7133</v>
      </c>
      <c r="IB58" s="2931">
        <f t="shared" si="36"/>
        <v>6152</v>
      </c>
      <c r="IC58" s="2932">
        <f t="shared" si="47"/>
        <v>4743</v>
      </c>
      <c r="ID58" s="2933">
        <f t="shared" si="48"/>
        <v>40</v>
      </c>
      <c r="IE58" s="2933">
        <f t="shared" si="49"/>
        <v>7133</v>
      </c>
      <c r="IF58" s="2934">
        <f t="shared" si="50"/>
        <v>655</v>
      </c>
      <c r="IG58" s="2929">
        <f t="shared" si="51"/>
        <v>705</v>
      </c>
      <c r="IH58" s="2926">
        <f t="shared" si="52"/>
        <v>519</v>
      </c>
      <c r="II58" s="2926">
        <f t="shared" si="53"/>
        <v>0</v>
      </c>
      <c r="IJ58" s="2926">
        <f t="shared" si="54"/>
        <v>0</v>
      </c>
      <c r="IK58" s="2735"/>
      <c r="IL58" s="3544">
        <v>13905</v>
      </c>
      <c r="IM58" s="3545">
        <v>16722</v>
      </c>
      <c r="IN58" s="3545">
        <v>16566.5</v>
      </c>
      <c r="IO58" s="3545">
        <v>15720</v>
      </c>
      <c r="IP58" s="3545">
        <v>16810</v>
      </c>
      <c r="IQ58" s="3545">
        <v>18507</v>
      </c>
      <c r="IR58" s="3546">
        <v>18173</v>
      </c>
      <c r="IS58" s="3547">
        <v>19222</v>
      </c>
      <c r="IT58" s="3547">
        <f t="shared" si="37"/>
        <v>18564</v>
      </c>
      <c r="IU58" s="3547">
        <f t="shared" si="38"/>
        <v>17707</v>
      </c>
      <c r="IV58" s="3547">
        <f t="shared" si="39"/>
        <v>18063</v>
      </c>
      <c r="IW58" s="3547">
        <f t="shared" si="40"/>
        <v>20411</v>
      </c>
      <c r="IX58" s="3548">
        <f t="shared" si="55"/>
        <v>22748</v>
      </c>
      <c r="IY58" s="3566">
        <f t="shared" si="41"/>
        <v>5768</v>
      </c>
      <c r="IZ58" s="3564">
        <f t="shared" si="57"/>
        <v>2352</v>
      </c>
      <c r="JA58" s="3765">
        <f t="shared" si="58"/>
        <v>1224</v>
      </c>
      <c r="JC58" s="3551">
        <f t="shared" si="59"/>
        <v>4060</v>
      </c>
      <c r="JD58" s="3552">
        <f t="shared" si="42"/>
        <v>2.8212661680682444E-2</v>
      </c>
      <c r="JE58" s="3552">
        <f t="shared" si="43"/>
        <v>2.7664485221256151E-2</v>
      </c>
      <c r="JF58" s="3552">
        <f t="shared" si="60"/>
        <v>2.9823638568652378E-2</v>
      </c>
      <c r="JG58" s="3552">
        <f t="shared" si="56"/>
        <v>3.3238358246029311E-2</v>
      </c>
      <c r="JH58" s="3552">
        <f t="shared" si="61"/>
        <v>3.029141305660734E-2</v>
      </c>
      <c r="JI58" s="3565">
        <f t="shared" si="62"/>
        <v>8.3702259106891198E-3</v>
      </c>
      <c r="JJ58" s="3552"/>
      <c r="JK58" s="3554">
        <f t="shared" si="44"/>
        <v>2.0105043203253015E-2</v>
      </c>
      <c r="JL58" s="3555">
        <f t="shared" si="45"/>
        <v>-0.77071214773818264</v>
      </c>
      <c r="JM58" s="3555">
        <f t="shared" si="46"/>
        <v>0.1299894812600344</v>
      </c>
      <c r="JN58" s="3555">
        <f t="shared" si="46"/>
        <v>0.11449708490519828</v>
      </c>
      <c r="JO58" s="3555">
        <f t="shared" si="46"/>
        <v>-0.74643924740636547</v>
      </c>
      <c r="JP58" s="3556">
        <f t="shared" si="63"/>
        <v>-0.89660629505890632</v>
      </c>
      <c r="JQ58" s="3557">
        <f t="shared" si="64"/>
        <v>-0.59223300970873782</v>
      </c>
      <c r="JS58" s="3231"/>
      <c r="JT58" s="3231"/>
      <c r="JU58" s="3231"/>
      <c r="JV58" s="3231"/>
      <c r="JW58" s="3231"/>
      <c r="JX58" s="3231"/>
      <c r="JY58" s="3231"/>
      <c r="JZ58" s="3231"/>
      <c r="KA58" s="3231"/>
      <c r="KB58" s="3231"/>
      <c r="KC58" s="3231"/>
      <c r="KD58" s="3231"/>
      <c r="KE58" s="3231"/>
      <c r="KF58" s="3231"/>
      <c r="KG58" s="3231"/>
      <c r="KH58" s="3231"/>
      <c r="KI58" s="3231"/>
      <c r="KJ58" s="3231"/>
      <c r="KK58" s="3231"/>
      <c r="KL58" s="3231"/>
      <c r="KM58" s="3231"/>
      <c r="KN58" s="3231"/>
      <c r="KO58" s="3231"/>
    </row>
    <row r="59" spans="1:301" ht="21.9" customHeight="1">
      <c r="A59" s="3558"/>
      <c r="B59" s="3231"/>
      <c r="C59" s="3559" t="s">
        <v>17</v>
      </c>
      <c r="D59" s="3516">
        <v>1097</v>
      </c>
      <c r="E59" s="3517">
        <v>1128</v>
      </c>
      <c r="F59" s="3517">
        <v>1588</v>
      </c>
      <c r="G59" s="3517">
        <v>794</v>
      </c>
      <c r="H59" s="3517">
        <v>1013</v>
      </c>
      <c r="I59" s="3517">
        <v>864</v>
      </c>
      <c r="J59" s="3517">
        <v>1335</v>
      </c>
      <c r="K59" s="3517">
        <v>1183</v>
      </c>
      <c r="L59" s="3517">
        <v>675</v>
      </c>
      <c r="M59" s="3517">
        <v>1026</v>
      </c>
      <c r="N59" s="3517">
        <v>1173</v>
      </c>
      <c r="O59" s="3518">
        <v>1378</v>
      </c>
      <c r="P59" s="3519">
        <v>1388</v>
      </c>
      <c r="Q59" s="3520">
        <v>2196</v>
      </c>
      <c r="R59" s="3520">
        <v>1673</v>
      </c>
      <c r="S59" s="3520">
        <v>1110</v>
      </c>
      <c r="T59" s="3520">
        <v>1238</v>
      </c>
      <c r="U59" s="3520">
        <v>1120</v>
      </c>
      <c r="V59" s="3520">
        <v>1523</v>
      </c>
      <c r="W59" s="3520">
        <v>1054</v>
      </c>
      <c r="X59" s="3520">
        <v>752</v>
      </c>
      <c r="Y59" s="3520">
        <v>1026</v>
      </c>
      <c r="Z59" s="3520">
        <v>1336</v>
      </c>
      <c r="AA59" s="3521">
        <v>1471</v>
      </c>
      <c r="AB59" s="3522">
        <v>1451</v>
      </c>
      <c r="AC59" s="3523">
        <v>1549</v>
      </c>
      <c r="AD59" s="3523">
        <v>1686</v>
      </c>
      <c r="AE59" s="3523">
        <v>1231</v>
      </c>
      <c r="AF59" s="3523">
        <v>1258.5</v>
      </c>
      <c r="AG59" s="3523">
        <v>1286</v>
      </c>
      <c r="AH59" s="3523">
        <v>1497</v>
      </c>
      <c r="AI59" s="3523">
        <v>1229</v>
      </c>
      <c r="AJ59" s="3523">
        <v>696</v>
      </c>
      <c r="AK59" s="3523">
        <v>955</v>
      </c>
      <c r="AL59" s="3523">
        <v>1183</v>
      </c>
      <c r="AM59" s="3524">
        <v>1674</v>
      </c>
      <c r="AN59" s="3525">
        <v>1425</v>
      </c>
      <c r="AO59" s="3526">
        <v>1645</v>
      </c>
      <c r="AP59" s="3526">
        <v>1789</v>
      </c>
      <c r="AQ59" s="3526">
        <v>1180</v>
      </c>
      <c r="AR59" s="3526">
        <v>1399</v>
      </c>
      <c r="AS59" s="3526">
        <v>1174</v>
      </c>
      <c r="AT59" s="3526">
        <v>1698</v>
      </c>
      <c r="AU59" s="3526">
        <v>1224</v>
      </c>
      <c r="AV59" s="3526">
        <v>650</v>
      </c>
      <c r="AW59" s="3526">
        <v>1101</v>
      </c>
      <c r="AX59" s="3526">
        <v>1202</v>
      </c>
      <c r="AY59" s="3527">
        <v>1523</v>
      </c>
      <c r="AZ59" s="3463">
        <v>1487</v>
      </c>
      <c r="BA59" s="3463">
        <v>1741</v>
      </c>
      <c r="BB59" s="3463">
        <v>1757</v>
      </c>
      <c r="BC59" s="3463">
        <v>1161</v>
      </c>
      <c r="BD59" s="3463">
        <v>1486</v>
      </c>
      <c r="BE59" s="3463">
        <v>1172</v>
      </c>
      <c r="BF59" s="3463">
        <v>1748</v>
      </c>
      <c r="BG59" s="3463">
        <v>1257</v>
      </c>
      <c r="BH59" s="3463">
        <v>770</v>
      </c>
      <c r="BI59" s="3463">
        <v>1371</v>
      </c>
      <c r="BJ59" s="3463">
        <v>1247</v>
      </c>
      <c r="BK59" s="3560">
        <v>1717</v>
      </c>
      <c r="BL59" s="3530">
        <v>1699</v>
      </c>
      <c r="BM59" s="3531">
        <v>1657</v>
      </c>
      <c r="BN59" s="3531">
        <v>1895</v>
      </c>
      <c r="BO59" s="3531">
        <v>1311</v>
      </c>
      <c r="BP59" s="3531">
        <v>1551</v>
      </c>
      <c r="BQ59" s="3531">
        <v>1339</v>
      </c>
      <c r="BR59" s="3531">
        <v>1694</v>
      </c>
      <c r="BS59" s="3531">
        <v>1391</v>
      </c>
      <c r="BT59" s="3532">
        <v>950</v>
      </c>
      <c r="BU59" s="3532">
        <v>1450</v>
      </c>
      <c r="BV59" s="3532">
        <v>1542</v>
      </c>
      <c r="BW59" s="3533">
        <v>1940</v>
      </c>
      <c r="BX59" s="3534">
        <v>1614</v>
      </c>
      <c r="BY59" s="3459">
        <v>1762</v>
      </c>
      <c r="BZ59" s="3459">
        <v>2027</v>
      </c>
      <c r="CA59" s="3459">
        <v>1646</v>
      </c>
      <c r="CB59" s="3459">
        <v>1560</v>
      </c>
      <c r="CC59" s="3459">
        <v>1312</v>
      </c>
      <c r="CD59" s="3459">
        <v>1894</v>
      </c>
      <c r="CE59" s="3459">
        <v>1246</v>
      </c>
      <c r="CF59" s="3459">
        <v>1069</v>
      </c>
      <c r="CG59" s="3459">
        <v>1302</v>
      </c>
      <c r="CH59" s="3459">
        <v>1849</v>
      </c>
      <c r="CI59" s="3461">
        <v>1875</v>
      </c>
      <c r="CJ59" s="3535">
        <v>1969</v>
      </c>
      <c r="CK59" s="3536">
        <v>2078</v>
      </c>
      <c r="CL59" s="3536">
        <v>2126</v>
      </c>
      <c r="CM59" s="3536">
        <v>1741</v>
      </c>
      <c r="CN59" s="3536">
        <v>1834</v>
      </c>
      <c r="CO59" s="3536">
        <v>1415</v>
      </c>
      <c r="CP59" s="3536">
        <v>1946</v>
      </c>
      <c r="CQ59" s="3536">
        <v>1377</v>
      </c>
      <c r="CR59" s="3536">
        <v>1099</v>
      </c>
      <c r="CS59" s="3536">
        <v>1315</v>
      </c>
      <c r="CT59" s="3536">
        <v>1764</v>
      </c>
      <c r="CU59" s="3537">
        <v>2184</v>
      </c>
      <c r="CV59" s="3535">
        <v>2293</v>
      </c>
      <c r="CW59" s="3536">
        <v>2373</v>
      </c>
      <c r="CX59" s="3458">
        <v>2492</v>
      </c>
      <c r="CY59" s="3458">
        <v>1804</v>
      </c>
      <c r="CZ59" s="3458">
        <v>1766</v>
      </c>
      <c r="DA59" s="3458">
        <v>1447</v>
      </c>
      <c r="DB59" s="3458">
        <v>1820</v>
      </c>
      <c r="DC59" s="3458">
        <v>1470</v>
      </c>
      <c r="DD59" s="3458">
        <v>1006</v>
      </c>
      <c r="DE59" s="3458">
        <v>1543</v>
      </c>
      <c r="DF59" s="3458">
        <v>1675</v>
      </c>
      <c r="DG59" s="3537">
        <v>1968</v>
      </c>
      <c r="DH59" s="3538">
        <v>2212</v>
      </c>
      <c r="DI59" s="3539">
        <v>2279</v>
      </c>
      <c r="DJ59" s="3539">
        <v>2405</v>
      </c>
      <c r="DK59" s="3540">
        <v>1417</v>
      </c>
      <c r="DL59" s="3540">
        <v>1492</v>
      </c>
      <c r="DM59" s="3540">
        <v>1401</v>
      </c>
      <c r="DN59" s="3540">
        <v>1771</v>
      </c>
      <c r="DO59" s="3540">
        <v>1274</v>
      </c>
      <c r="DP59" s="2713">
        <v>881</v>
      </c>
      <c r="DQ59" s="3540">
        <v>1361</v>
      </c>
      <c r="DR59" s="3540">
        <v>1421</v>
      </c>
      <c r="DS59" s="3541">
        <v>1636</v>
      </c>
      <c r="DT59" s="3542">
        <v>1773</v>
      </c>
      <c r="DU59" s="3429">
        <v>1831</v>
      </c>
      <c r="DV59" s="3429">
        <v>2120</v>
      </c>
      <c r="DW59" s="3350">
        <v>1423</v>
      </c>
      <c r="DX59" s="3350">
        <v>1427</v>
      </c>
      <c r="DY59" s="3350">
        <v>1092</v>
      </c>
      <c r="DZ59" s="3350">
        <v>1458</v>
      </c>
      <c r="EA59" s="3350">
        <v>1343</v>
      </c>
      <c r="EB59" s="3350">
        <v>861</v>
      </c>
      <c r="EC59" s="3350">
        <v>1355</v>
      </c>
      <c r="ED59" s="3350">
        <v>1698</v>
      </c>
      <c r="EE59" s="3349">
        <v>1912</v>
      </c>
      <c r="EF59" s="2689">
        <v>2025</v>
      </c>
      <c r="EG59" s="2688">
        <v>2289</v>
      </c>
      <c r="EH59" s="2688">
        <v>2452</v>
      </c>
      <c r="EI59" s="2688">
        <v>1346</v>
      </c>
      <c r="EJ59" s="2688">
        <v>1691</v>
      </c>
      <c r="EK59" s="2688">
        <v>1280</v>
      </c>
      <c r="EL59" s="2688">
        <v>1777</v>
      </c>
      <c r="EM59" s="2714">
        <v>1210</v>
      </c>
      <c r="EN59" s="2714">
        <v>1034</v>
      </c>
      <c r="EO59" s="2715">
        <v>1386</v>
      </c>
      <c r="EP59" s="2715">
        <v>1601</v>
      </c>
      <c r="EQ59" s="2716">
        <v>1810</v>
      </c>
      <c r="ER59" s="1346">
        <v>2035</v>
      </c>
      <c r="ES59" s="3543">
        <v>2191</v>
      </c>
      <c r="ET59" s="3543">
        <v>2327</v>
      </c>
      <c r="EU59" s="2717">
        <v>1596</v>
      </c>
      <c r="EV59" s="2160">
        <v>2092</v>
      </c>
      <c r="EW59" s="2160">
        <v>1594</v>
      </c>
      <c r="EX59" s="2160">
        <v>2060</v>
      </c>
      <c r="EY59" s="2160">
        <v>1657</v>
      </c>
      <c r="EZ59" s="2160">
        <v>1555</v>
      </c>
      <c r="FA59" s="2339">
        <v>1477</v>
      </c>
      <c r="FB59" s="2339">
        <v>2134</v>
      </c>
      <c r="FC59" s="2339">
        <v>3145</v>
      </c>
      <c r="FD59" s="2772">
        <v>3444</v>
      </c>
      <c r="FE59" s="2773">
        <v>3918</v>
      </c>
      <c r="FF59" s="2773">
        <v>1407</v>
      </c>
      <c r="FG59" s="2773"/>
      <c r="FH59" s="2773">
        <v>6</v>
      </c>
      <c r="FI59" s="2773">
        <v>27</v>
      </c>
      <c r="FJ59" s="2773">
        <v>81</v>
      </c>
      <c r="FK59" s="2773">
        <v>101</v>
      </c>
      <c r="FL59" s="2773">
        <v>100</v>
      </c>
      <c r="FM59" s="2773">
        <v>146</v>
      </c>
      <c r="FN59" s="2773">
        <v>248</v>
      </c>
      <c r="FO59" s="2774">
        <v>319</v>
      </c>
      <c r="FP59" s="2772">
        <v>263</v>
      </c>
      <c r="FQ59" s="2773">
        <v>101</v>
      </c>
      <c r="FR59" s="2773">
        <v>134</v>
      </c>
      <c r="FS59" s="2773">
        <v>136</v>
      </c>
      <c r="FT59" s="2773">
        <v>142</v>
      </c>
      <c r="FU59" s="2773"/>
      <c r="FV59" s="2773"/>
      <c r="FW59" s="2773"/>
      <c r="FX59" s="2773"/>
      <c r="FY59" s="2773"/>
      <c r="FZ59" s="2773"/>
      <c r="GA59" s="2775"/>
      <c r="GB59" s="2764"/>
      <c r="GC59" s="2911">
        <v>3813</v>
      </c>
      <c r="GD59" s="2912">
        <v>2671</v>
      </c>
      <c r="GE59" s="2912">
        <v>3193</v>
      </c>
      <c r="GF59" s="2913">
        <v>3577</v>
      </c>
      <c r="GG59" s="2914">
        <v>5257</v>
      </c>
      <c r="GH59" s="2915">
        <v>3468</v>
      </c>
      <c r="GI59" s="2915">
        <v>3329</v>
      </c>
      <c r="GJ59" s="2916">
        <v>3833</v>
      </c>
      <c r="GK59" s="2917">
        <v>4686</v>
      </c>
      <c r="GL59" s="2918">
        <v>3775.5</v>
      </c>
      <c r="GM59" s="2919">
        <v>3422</v>
      </c>
      <c r="GN59" s="2919">
        <v>3812</v>
      </c>
      <c r="GO59" s="2920">
        <v>4859</v>
      </c>
      <c r="GP59" s="2921">
        <v>3753</v>
      </c>
      <c r="GQ59" s="2921">
        <v>3572</v>
      </c>
      <c r="GR59" s="2922">
        <v>3826</v>
      </c>
      <c r="GS59" s="2923">
        <v>4985</v>
      </c>
      <c r="GT59" s="2924">
        <v>3819</v>
      </c>
      <c r="GU59" s="2924">
        <v>3775</v>
      </c>
      <c r="GV59" s="2925">
        <v>4335</v>
      </c>
      <c r="GW59" s="2921">
        <v>5251</v>
      </c>
      <c r="GX59" s="2921">
        <v>4201</v>
      </c>
      <c r="GY59" s="2921">
        <v>4035</v>
      </c>
      <c r="GZ59" s="2921">
        <v>4932</v>
      </c>
      <c r="HA59" s="2926">
        <v>5403</v>
      </c>
      <c r="HB59" s="2926">
        <v>4518</v>
      </c>
      <c r="HC59" s="2926">
        <v>4209</v>
      </c>
      <c r="HD59" s="2926">
        <v>5026</v>
      </c>
      <c r="HE59" s="2927">
        <v>6173</v>
      </c>
      <c r="HF59" s="2927">
        <v>4990</v>
      </c>
      <c r="HG59" s="2927">
        <f t="shared" si="17"/>
        <v>4422</v>
      </c>
      <c r="HH59" s="2927">
        <v>5263</v>
      </c>
      <c r="HI59" s="2928">
        <v>7158</v>
      </c>
      <c r="HJ59" s="2928">
        <f t="shared" si="18"/>
        <v>5017</v>
      </c>
      <c r="HK59" s="2928">
        <f t="shared" si="19"/>
        <v>4296</v>
      </c>
      <c r="HL59" s="2927">
        <f t="shared" si="20"/>
        <v>5186</v>
      </c>
      <c r="HM59" s="2846">
        <f t="shared" si="21"/>
        <v>6896</v>
      </c>
      <c r="HN59" s="2846">
        <f t="shared" si="22"/>
        <v>4310</v>
      </c>
      <c r="HO59" s="2846">
        <f t="shared" si="23"/>
        <v>4681</v>
      </c>
      <c r="HP59" s="2846">
        <f t="shared" si="24"/>
        <v>4418</v>
      </c>
      <c r="HQ59" s="2921">
        <f t="shared" si="25"/>
        <v>5724</v>
      </c>
      <c r="HR59" s="2921">
        <f t="shared" si="26"/>
        <v>3942</v>
      </c>
      <c r="HS59" s="2921">
        <f t="shared" si="27"/>
        <v>3662</v>
      </c>
      <c r="HT59" s="2921">
        <f t="shared" si="28"/>
        <v>4965</v>
      </c>
      <c r="HU59" s="2929">
        <f t="shared" si="29"/>
        <v>6766</v>
      </c>
      <c r="HV59" s="2926">
        <f t="shared" si="30"/>
        <v>4317</v>
      </c>
      <c r="HW59" s="2926">
        <f t="shared" si="31"/>
        <v>4021</v>
      </c>
      <c r="HX59" s="2926">
        <f t="shared" si="32"/>
        <v>4797</v>
      </c>
      <c r="HY59" s="2930">
        <f t="shared" si="33"/>
        <v>6553</v>
      </c>
      <c r="HZ59" s="2931">
        <f t="shared" si="34"/>
        <v>5282</v>
      </c>
      <c r="IA59" s="2931">
        <f t="shared" si="35"/>
        <v>5272</v>
      </c>
      <c r="IB59" s="2931">
        <f t="shared" si="36"/>
        <v>6756</v>
      </c>
      <c r="IC59" s="2932">
        <f t="shared" si="47"/>
        <v>8769</v>
      </c>
      <c r="ID59" s="2933">
        <f t="shared" si="48"/>
        <v>33</v>
      </c>
      <c r="IE59" s="2933">
        <f t="shared" si="49"/>
        <v>5272</v>
      </c>
      <c r="IF59" s="2934">
        <f t="shared" si="50"/>
        <v>713</v>
      </c>
      <c r="IG59" s="2929">
        <f t="shared" si="51"/>
        <v>498</v>
      </c>
      <c r="IH59" s="2926">
        <f t="shared" si="52"/>
        <v>278</v>
      </c>
      <c r="II59" s="2926">
        <f t="shared" si="53"/>
        <v>0</v>
      </c>
      <c r="IJ59" s="2926">
        <f t="shared" si="54"/>
        <v>0</v>
      </c>
      <c r="IK59" s="2735"/>
      <c r="IL59" s="3544">
        <v>13254</v>
      </c>
      <c r="IM59" s="3545">
        <v>15887</v>
      </c>
      <c r="IN59" s="3545">
        <v>15695.5</v>
      </c>
      <c r="IO59" s="3545">
        <v>16010</v>
      </c>
      <c r="IP59" s="3545">
        <v>16914</v>
      </c>
      <c r="IQ59" s="3545">
        <v>18419</v>
      </c>
      <c r="IR59" s="3546">
        <v>19156</v>
      </c>
      <c r="IS59" s="3547">
        <v>20848</v>
      </c>
      <c r="IT59" s="3547">
        <f t="shared" si="37"/>
        <v>21657</v>
      </c>
      <c r="IU59" s="3547">
        <f t="shared" si="38"/>
        <v>19550</v>
      </c>
      <c r="IV59" s="3547">
        <f t="shared" si="39"/>
        <v>18293</v>
      </c>
      <c r="IW59" s="3547">
        <f t="shared" si="40"/>
        <v>19901</v>
      </c>
      <c r="IX59" s="3548">
        <f t="shared" si="55"/>
        <v>23863</v>
      </c>
      <c r="IY59" s="3566">
        <f t="shared" si="41"/>
        <v>9797</v>
      </c>
      <c r="IZ59" s="3564">
        <f t="shared" si="57"/>
        <v>2799</v>
      </c>
      <c r="JA59" s="3765">
        <f t="shared" si="58"/>
        <v>776</v>
      </c>
      <c r="JC59" s="3551">
        <f t="shared" si="59"/>
        <v>6298</v>
      </c>
      <c r="JD59" s="3552">
        <f t="shared" si="42"/>
        <v>3.1149123841268528E-2</v>
      </c>
      <c r="JE59" s="3552">
        <f t="shared" si="43"/>
        <v>2.8016742963651597E-2</v>
      </c>
      <c r="JF59" s="3552">
        <f t="shared" si="60"/>
        <v>2.9078449422113122E-2</v>
      </c>
      <c r="JG59" s="3552">
        <f t="shared" si="56"/>
        <v>3.4867546282090621E-2</v>
      </c>
      <c r="JH59" s="3552">
        <f t="shared" si="61"/>
        <v>5.1450238161508691E-2</v>
      </c>
      <c r="JI59" s="3565">
        <f t="shared" si="62"/>
        <v>9.9609958860624355E-3</v>
      </c>
      <c r="JJ59" s="3552"/>
      <c r="JK59" s="3554">
        <f t="shared" si="44"/>
        <v>-6.4296675191815811E-2</v>
      </c>
      <c r="JL59" s="3555">
        <f t="shared" si="45"/>
        <v>-0.677851662404092</v>
      </c>
      <c r="JM59" s="3555">
        <f t="shared" si="46"/>
        <v>8.7902476357076376E-2</v>
      </c>
      <c r="JN59" s="3555">
        <f t="shared" si="46"/>
        <v>0.19908547309180435</v>
      </c>
      <c r="JO59" s="3555">
        <f t="shared" si="46"/>
        <v>-0.58944809956836952</v>
      </c>
      <c r="JP59" s="3556">
        <f t="shared" si="63"/>
        <v>-0.88270544357373337</v>
      </c>
      <c r="JQ59" s="3557">
        <f t="shared" si="64"/>
        <v>-0.71430029600898237</v>
      </c>
      <c r="JS59" s="3231"/>
      <c r="JT59" s="3231"/>
      <c r="JU59" s="3231"/>
      <c r="JV59" s="3231"/>
      <c r="JW59" s="3231"/>
      <c r="JX59" s="3231"/>
      <c r="JY59" s="3231"/>
      <c r="JZ59" s="3231"/>
      <c r="KA59" s="3231"/>
      <c r="KB59" s="3231"/>
      <c r="KC59" s="3231"/>
      <c r="KD59" s="3231"/>
      <c r="KE59" s="3231"/>
      <c r="KF59" s="3231"/>
      <c r="KG59" s="3231"/>
      <c r="KH59" s="3231"/>
      <c r="KI59" s="3231"/>
      <c r="KJ59" s="3231"/>
      <c r="KK59" s="3231"/>
      <c r="KL59" s="3231"/>
      <c r="KM59" s="3231"/>
      <c r="KN59" s="3231"/>
      <c r="KO59" s="3231"/>
    </row>
    <row r="60" spans="1:301" ht="21.9" customHeight="1">
      <c r="A60" s="3558"/>
      <c r="B60" s="3231"/>
      <c r="C60" s="3559" t="s">
        <v>11</v>
      </c>
      <c r="D60" s="3516">
        <v>597</v>
      </c>
      <c r="E60" s="3517">
        <v>619</v>
      </c>
      <c r="F60" s="3517">
        <v>664</v>
      </c>
      <c r="G60" s="3517">
        <v>603</v>
      </c>
      <c r="H60" s="3517">
        <v>624</v>
      </c>
      <c r="I60" s="3517">
        <v>757</v>
      </c>
      <c r="J60" s="3517">
        <v>855</v>
      </c>
      <c r="K60" s="3517">
        <v>821</v>
      </c>
      <c r="L60" s="3517">
        <v>861</v>
      </c>
      <c r="M60" s="3517">
        <v>909</v>
      </c>
      <c r="N60" s="3517">
        <v>950</v>
      </c>
      <c r="O60" s="3518">
        <v>519</v>
      </c>
      <c r="P60" s="3519">
        <v>656</v>
      </c>
      <c r="Q60" s="3520">
        <v>1028</v>
      </c>
      <c r="R60" s="3520">
        <v>728</v>
      </c>
      <c r="S60" s="3520">
        <v>856</v>
      </c>
      <c r="T60" s="3520">
        <v>835</v>
      </c>
      <c r="U60" s="3520">
        <v>752</v>
      </c>
      <c r="V60" s="3520">
        <v>845</v>
      </c>
      <c r="W60" s="3520">
        <v>925</v>
      </c>
      <c r="X60" s="3520">
        <v>919</v>
      </c>
      <c r="Y60" s="3520">
        <v>813</v>
      </c>
      <c r="Z60" s="3520">
        <v>935</v>
      </c>
      <c r="AA60" s="3521">
        <v>759</v>
      </c>
      <c r="AB60" s="3522">
        <v>1199</v>
      </c>
      <c r="AC60" s="3523">
        <v>857</v>
      </c>
      <c r="AD60" s="3523">
        <v>1043</v>
      </c>
      <c r="AE60" s="3523">
        <v>841</v>
      </c>
      <c r="AF60" s="3523">
        <v>873</v>
      </c>
      <c r="AG60" s="3523">
        <v>905</v>
      </c>
      <c r="AH60" s="3523">
        <v>964</v>
      </c>
      <c r="AI60" s="3523">
        <v>761</v>
      </c>
      <c r="AJ60" s="3523">
        <v>873</v>
      </c>
      <c r="AK60" s="3523">
        <v>845</v>
      </c>
      <c r="AL60" s="3523">
        <v>869</v>
      </c>
      <c r="AM60" s="3524">
        <v>782</v>
      </c>
      <c r="AN60" s="3525">
        <v>924</v>
      </c>
      <c r="AO60" s="3526">
        <v>1186</v>
      </c>
      <c r="AP60" s="3526">
        <v>910</v>
      </c>
      <c r="AQ60" s="3526">
        <v>828</v>
      </c>
      <c r="AR60" s="3526">
        <v>935</v>
      </c>
      <c r="AS60" s="3526">
        <v>820</v>
      </c>
      <c r="AT60" s="3526">
        <v>779</v>
      </c>
      <c r="AU60" s="3526">
        <v>919</v>
      </c>
      <c r="AV60" s="3526">
        <v>728</v>
      </c>
      <c r="AW60" s="3526">
        <v>943</v>
      </c>
      <c r="AX60" s="3526">
        <v>971</v>
      </c>
      <c r="AY60" s="3527">
        <v>681</v>
      </c>
      <c r="AZ60" s="3463">
        <v>724</v>
      </c>
      <c r="BA60" s="3463">
        <v>842</v>
      </c>
      <c r="BB60" s="3463">
        <v>1005</v>
      </c>
      <c r="BC60" s="3463">
        <v>954</v>
      </c>
      <c r="BD60" s="3463">
        <v>999</v>
      </c>
      <c r="BE60" s="3463">
        <v>933</v>
      </c>
      <c r="BF60" s="3463">
        <v>1055</v>
      </c>
      <c r="BG60" s="3463">
        <v>987</v>
      </c>
      <c r="BH60" s="3463">
        <v>933</v>
      </c>
      <c r="BI60" s="3463">
        <v>1124</v>
      </c>
      <c r="BJ60" s="3463">
        <v>1562</v>
      </c>
      <c r="BK60" s="3560">
        <v>831</v>
      </c>
      <c r="BL60" s="3530">
        <v>932</v>
      </c>
      <c r="BM60" s="3531">
        <v>818</v>
      </c>
      <c r="BN60" s="3531">
        <v>1172</v>
      </c>
      <c r="BO60" s="3531">
        <v>1112</v>
      </c>
      <c r="BP60" s="3531">
        <v>1238</v>
      </c>
      <c r="BQ60" s="3531">
        <v>1179</v>
      </c>
      <c r="BR60" s="3531">
        <v>1336</v>
      </c>
      <c r="BS60" s="3531">
        <v>1297</v>
      </c>
      <c r="BT60" s="3532">
        <v>1381</v>
      </c>
      <c r="BU60" s="3532">
        <v>1530</v>
      </c>
      <c r="BV60" s="3532">
        <v>1372</v>
      </c>
      <c r="BW60" s="3533">
        <v>931</v>
      </c>
      <c r="BX60" s="3534">
        <v>1248</v>
      </c>
      <c r="BY60" s="3459">
        <v>1342</v>
      </c>
      <c r="BZ60" s="3459">
        <v>1370</v>
      </c>
      <c r="CA60" s="3459">
        <v>1459</v>
      </c>
      <c r="CB60" s="3459">
        <v>1709</v>
      </c>
      <c r="CC60" s="3459">
        <v>1759</v>
      </c>
      <c r="CD60" s="3459">
        <v>1941</v>
      </c>
      <c r="CE60" s="3459">
        <v>1512</v>
      </c>
      <c r="CF60" s="3459">
        <v>1510</v>
      </c>
      <c r="CG60" s="3459">
        <v>1280</v>
      </c>
      <c r="CH60" s="3459">
        <v>1258</v>
      </c>
      <c r="CI60" s="3461">
        <v>1183</v>
      </c>
      <c r="CJ60" s="3535">
        <v>1359</v>
      </c>
      <c r="CK60" s="3536">
        <v>2651</v>
      </c>
      <c r="CL60" s="3536">
        <v>1597</v>
      </c>
      <c r="CM60" s="3536">
        <v>1563</v>
      </c>
      <c r="CN60" s="3536">
        <v>1626</v>
      </c>
      <c r="CO60" s="3536">
        <v>1960</v>
      </c>
      <c r="CP60" s="3536">
        <v>1511</v>
      </c>
      <c r="CQ60" s="3536">
        <v>1434</v>
      </c>
      <c r="CR60" s="3536">
        <v>1571</v>
      </c>
      <c r="CS60" s="3536">
        <v>1512</v>
      </c>
      <c r="CT60" s="3536">
        <v>1614</v>
      </c>
      <c r="CU60" s="3537">
        <v>1304</v>
      </c>
      <c r="CV60" s="3535">
        <v>1201</v>
      </c>
      <c r="CW60" s="3536">
        <v>1299</v>
      </c>
      <c r="CX60" s="3458">
        <v>1352</v>
      </c>
      <c r="CY60" s="3458">
        <v>1279</v>
      </c>
      <c r="CZ60" s="3458">
        <v>1332</v>
      </c>
      <c r="DA60" s="3458">
        <v>1003</v>
      </c>
      <c r="DB60" s="3458">
        <v>1305</v>
      </c>
      <c r="DC60" s="3458">
        <v>1008</v>
      </c>
      <c r="DD60" s="3458">
        <v>1166</v>
      </c>
      <c r="DE60" s="3458">
        <v>1289</v>
      </c>
      <c r="DF60" s="3458">
        <v>1225</v>
      </c>
      <c r="DG60" s="3537">
        <v>1000</v>
      </c>
      <c r="DH60" s="3538">
        <v>1181</v>
      </c>
      <c r="DI60" s="3539">
        <v>1107</v>
      </c>
      <c r="DJ60" s="3539">
        <v>1047</v>
      </c>
      <c r="DK60" s="3540">
        <v>865</v>
      </c>
      <c r="DL60" s="3540">
        <v>996</v>
      </c>
      <c r="DM60" s="3540">
        <v>1029</v>
      </c>
      <c r="DN60" s="3540">
        <v>1026</v>
      </c>
      <c r="DO60" s="3540">
        <v>985</v>
      </c>
      <c r="DP60" s="2713">
        <v>1164</v>
      </c>
      <c r="DQ60" s="3540">
        <v>1353</v>
      </c>
      <c r="DR60" s="3540">
        <v>1188</v>
      </c>
      <c r="DS60" s="3541">
        <v>896</v>
      </c>
      <c r="DT60" s="3542">
        <v>1029</v>
      </c>
      <c r="DU60" s="3429">
        <v>798</v>
      </c>
      <c r="DV60" s="3429">
        <v>1288</v>
      </c>
      <c r="DW60" s="3350">
        <v>1344</v>
      </c>
      <c r="DX60" s="3350">
        <v>1295</v>
      </c>
      <c r="DY60" s="3350">
        <v>1374</v>
      </c>
      <c r="DZ60" s="3350">
        <v>1410</v>
      </c>
      <c r="EA60" s="3350">
        <v>1173</v>
      </c>
      <c r="EB60" s="3350">
        <v>1723</v>
      </c>
      <c r="EC60" s="3350">
        <v>1669</v>
      </c>
      <c r="ED60" s="3350">
        <v>1302</v>
      </c>
      <c r="EE60" s="3349">
        <v>1261</v>
      </c>
      <c r="EF60" s="2689">
        <v>1555</v>
      </c>
      <c r="EG60" s="2688">
        <v>1225</v>
      </c>
      <c r="EH60" s="2688">
        <v>1478</v>
      </c>
      <c r="EI60" s="2688">
        <v>1463</v>
      </c>
      <c r="EJ60" s="2688">
        <v>1596</v>
      </c>
      <c r="EK60" s="2688">
        <v>1775</v>
      </c>
      <c r="EL60" s="2688">
        <v>1486</v>
      </c>
      <c r="EM60" s="2714">
        <v>1271</v>
      </c>
      <c r="EN60" s="2714">
        <v>1312</v>
      </c>
      <c r="EO60" s="2715">
        <v>1756</v>
      </c>
      <c r="EP60" s="2715">
        <v>1294</v>
      </c>
      <c r="EQ60" s="2716">
        <v>1227</v>
      </c>
      <c r="ER60" s="1345">
        <v>1128</v>
      </c>
      <c r="ES60" s="3543">
        <v>1306</v>
      </c>
      <c r="ET60" s="3543">
        <v>1156</v>
      </c>
      <c r="EU60" s="2717">
        <v>1277</v>
      </c>
      <c r="EV60" s="2159">
        <v>1495</v>
      </c>
      <c r="EW60" s="2159">
        <v>2157</v>
      </c>
      <c r="EX60" s="2159">
        <v>1553</v>
      </c>
      <c r="EY60" s="2159">
        <v>1363</v>
      </c>
      <c r="EZ60" s="2159">
        <v>1780</v>
      </c>
      <c r="FA60" s="2339">
        <v>1568</v>
      </c>
      <c r="FB60" s="2339">
        <v>1727</v>
      </c>
      <c r="FC60" s="2339">
        <v>1580</v>
      </c>
      <c r="FD60" s="2765">
        <v>1581</v>
      </c>
      <c r="FE60" s="2766">
        <v>1552</v>
      </c>
      <c r="FF60" s="2766">
        <v>622</v>
      </c>
      <c r="FG60" s="2766">
        <v>9</v>
      </c>
      <c r="FH60" s="2766">
        <v>9</v>
      </c>
      <c r="FI60" s="2766">
        <v>10</v>
      </c>
      <c r="FJ60" s="2766">
        <v>37</v>
      </c>
      <c r="FK60" s="2766">
        <v>81</v>
      </c>
      <c r="FL60" s="2766">
        <v>96</v>
      </c>
      <c r="FM60" s="2766">
        <v>728</v>
      </c>
      <c r="FN60" s="2766">
        <v>365</v>
      </c>
      <c r="FO60" s="2767">
        <v>501</v>
      </c>
      <c r="FP60" s="2765">
        <v>409</v>
      </c>
      <c r="FQ60" s="2766">
        <v>230</v>
      </c>
      <c r="FR60" s="2766">
        <v>254</v>
      </c>
      <c r="FS60" s="2766">
        <v>310</v>
      </c>
      <c r="FT60" s="2766">
        <v>595</v>
      </c>
      <c r="FU60" s="2766"/>
      <c r="FV60" s="2766"/>
      <c r="FW60" s="2766"/>
      <c r="FX60" s="2766"/>
      <c r="FY60" s="2766"/>
      <c r="FZ60" s="2766"/>
      <c r="GA60" s="2771"/>
      <c r="GB60" s="2764"/>
      <c r="GC60" s="2911">
        <v>1880</v>
      </c>
      <c r="GD60" s="2912">
        <v>1984</v>
      </c>
      <c r="GE60" s="2912">
        <v>2537</v>
      </c>
      <c r="GF60" s="2913">
        <v>2378</v>
      </c>
      <c r="GG60" s="2914">
        <v>2412</v>
      </c>
      <c r="GH60" s="2915">
        <v>2443</v>
      </c>
      <c r="GI60" s="2915">
        <v>2689</v>
      </c>
      <c r="GJ60" s="2916">
        <v>2507</v>
      </c>
      <c r="GK60" s="2917">
        <v>3099</v>
      </c>
      <c r="GL60" s="2918">
        <v>2619</v>
      </c>
      <c r="GM60" s="2919">
        <v>2598</v>
      </c>
      <c r="GN60" s="2919">
        <v>2496</v>
      </c>
      <c r="GO60" s="2920">
        <v>3020</v>
      </c>
      <c r="GP60" s="2921">
        <v>2583</v>
      </c>
      <c r="GQ60" s="2921">
        <v>2426</v>
      </c>
      <c r="GR60" s="2922">
        <v>2595</v>
      </c>
      <c r="GS60" s="2923">
        <v>2571</v>
      </c>
      <c r="GT60" s="2924">
        <v>2886</v>
      </c>
      <c r="GU60" s="2924">
        <v>2975</v>
      </c>
      <c r="GV60" s="2925">
        <v>3517</v>
      </c>
      <c r="GW60" s="2921">
        <v>2922</v>
      </c>
      <c r="GX60" s="2921">
        <v>3529</v>
      </c>
      <c r="GY60" s="2921">
        <v>4014</v>
      </c>
      <c r="GZ60" s="2921">
        <v>3833</v>
      </c>
      <c r="HA60" s="2926">
        <v>3960</v>
      </c>
      <c r="HB60" s="2926">
        <v>4927</v>
      </c>
      <c r="HC60" s="2926">
        <v>4963</v>
      </c>
      <c r="HD60" s="2926">
        <v>3721</v>
      </c>
      <c r="HE60" s="2927">
        <v>5607</v>
      </c>
      <c r="HF60" s="2927">
        <v>5149</v>
      </c>
      <c r="HG60" s="2927">
        <f t="shared" si="17"/>
        <v>4516</v>
      </c>
      <c r="HH60" s="2927">
        <v>4430</v>
      </c>
      <c r="HI60" s="2928">
        <v>3852</v>
      </c>
      <c r="HJ60" s="2928">
        <f t="shared" si="18"/>
        <v>3614</v>
      </c>
      <c r="HK60" s="2928">
        <f t="shared" si="19"/>
        <v>3479</v>
      </c>
      <c r="HL60" s="2927">
        <f t="shared" si="20"/>
        <v>3514</v>
      </c>
      <c r="HM60" s="2846">
        <f t="shared" si="21"/>
        <v>3335</v>
      </c>
      <c r="HN60" s="2846">
        <f t="shared" si="22"/>
        <v>2890</v>
      </c>
      <c r="HO60" s="2846">
        <f t="shared" si="23"/>
        <v>2907</v>
      </c>
      <c r="HP60" s="2846">
        <f t="shared" si="24"/>
        <v>3437</v>
      </c>
      <c r="HQ60" s="2921">
        <f t="shared" si="25"/>
        <v>3115</v>
      </c>
      <c r="HR60" s="2921">
        <f t="shared" si="26"/>
        <v>4013</v>
      </c>
      <c r="HS60" s="2921">
        <f t="shared" si="27"/>
        <v>4306</v>
      </c>
      <c r="HT60" s="2921">
        <f t="shared" si="28"/>
        <v>4232</v>
      </c>
      <c r="HU60" s="2929">
        <f t="shared" si="29"/>
        <v>4258</v>
      </c>
      <c r="HV60" s="2926">
        <f t="shared" si="30"/>
        <v>4834</v>
      </c>
      <c r="HW60" s="2926">
        <f t="shared" si="31"/>
        <v>4069</v>
      </c>
      <c r="HX60" s="2926">
        <f t="shared" si="32"/>
        <v>4277</v>
      </c>
      <c r="HY60" s="2930">
        <f t="shared" si="33"/>
        <v>3590</v>
      </c>
      <c r="HZ60" s="2931">
        <f t="shared" si="34"/>
        <v>4929</v>
      </c>
      <c r="IA60" s="2931">
        <f t="shared" si="35"/>
        <v>4696</v>
      </c>
      <c r="IB60" s="2931">
        <f t="shared" si="36"/>
        <v>4875</v>
      </c>
      <c r="IC60" s="2932">
        <f t="shared" si="47"/>
        <v>3755</v>
      </c>
      <c r="ID60" s="2933">
        <f t="shared" si="48"/>
        <v>28</v>
      </c>
      <c r="IE60" s="2933">
        <f t="shared" si="49"/>
        <v>4696</v>
      </c>
      <c r="IF60" s="2934">
        <f t="shared" si="50"/>
        <v>1594</v>
      </c>
      <c r="IG60" s="2929">
        <f t="shared" si="51"/>
        <v>893</v>
      </c>
      <c r="IH60" s="2926">
        <f t="shared" si="52"/>
        <v>905</v>
      </c>
      <c r="II60" s="2926">
        <f t="shared" si="53"/>
        <v>0</v>
      </c>
      <c r="IJ60" s="2926">
        <f t="shared" si="54"/>
        <v>0</v>
      </c>
      <c r="IK60" s="2735"/>
      <c r="IL60" s="3544">
        <v>8779</v>
      </c>
      <c r="IM60" s="3545">
        <v>10051</v>
      </c>
      <c r="IN60" s="3545">
        <v>10812</v>
      </c>
      <c r="IO60" s="3545">
        <v>10624</v>
      </c>
      <c r="IP60" s="3545">
        <v>11949</v>
      </c>
      <c r="IQ60" s="3545">
        <v>14298</v>
      </c>
      <c r="IR60" s="3546">
        <v>17571</v>
      </c>
      <c r="IS60" s="3547">
        <v>19702</v>
      </c>
      <c r="IT60" s="3547">
        <f t="shared" si="37"/>
        <v>14459</v>
      </c>
      <c r="IU60" s="3547">
        <f t="shared" si="38"/>
        <v>12837</v>
      </c>
      <c r="IV60" s="3547">
        <f t="shared" si="39"/>
        <v>15666</v>
      </c>
      <c r="IW60" s="3547">
        <f t="shared" si="40"/>
        <v>17438</v>
      </c>
      <c r="IX60" s="3548">
        <f t="shared" si="55"/>
        <v>18090</v>
      </c>
      <c r="IY60" s="3566">
        <f t="shared" si="41"/>
        <v>5591</v>
      </c>
      <c r="IZ60" s="3564">
        <f t="shared" si="57"/>
        <v>3097</v>
      </c>
      <c r="JA60" s="3765">
        <f t="shared" si="58"/>
        <v>1798</v>
      </c>
      <c r="JC60" s="3551">
        <f t="shared" si="59"/>
        <v>4344</v>
      </c>
      <c r="JD60" s="3552">
        <f t="shared" si="42"/>
        <v>2.0453263567793558E-2</v>
      </c>
      <c r="JE60" s="3552">
        <f t="shared" si="43"/>
        <v>2.3993346923334932E-2</v>
      </c>
      <c r="JF60" s="3552">
        <f t="shared" si="60"/>
        <v>2.5479624190885314E-2</v>
      </c>
      <c r="JG60" s="3552">
        <f t="shared" si="56"/>
        <v>2.6432297374304126E-2</v>
      </c>
      <c r="JH60" s="3552">
        <f t="shared" si="61"/>
        <v>2.9361874202408399E-2</v>
      </c>
      <c r="JI60" s="3565">
        <f t="shared" si="62"/>
        <v>1.1021509202977979E-2</v>
      </c>
      <c r="JJ60" s="3552"/>
      <c r="JK60" s="3554">
        <f t="shared" si="44"/>
        <v>0.22037859312923591</v>
      </c>
      <c r="JL60" s="3555">
        <f t="shared" si="45"/>
        <v>-0.66160317831268989</v>
      </c>
      <c r="JM60" s="3555">
        <f t="shared" si="46"/>
        <v>0.11311119622111576</v>
      </c>
      <c r="JN60" s="3555">
        <f t="shared" si="46"/>
        <v>3.7389608900103122E-2</v>
      </c>
      <c r="JO60" s="3555">
        <f t="shared" si="46"/>
        <v>-0.69093421779988939</v>
      </c>
      <c r="JP60" s="3556">
        <f t="shared" si="63"/>
        <v>-0.82880044223327809</v>
      </c>
      <c r="JQ60" s="3557">
        <f t="shared" si="64"/>
        <v>-0.44607404757646218</v>
      </c>
      <c r="JS60" s="3231"/>
      <c r="JT60" s="3231"/>
      <c r="JU60" s="3231"/>
      <c r="JV60" s="3231"/>
      <c r="JW60" s="3231"/>
      <c r="JX60" s="3231"/>
      <c r="JY60" s="3231"/>
      <c r="JZ60" s="3231"/>
      <c r="KA60" s="3231"/>
      <c r="KB60" s="3231"/>
      <c r="KC60" s="3231"/>
      <c r="KD60" s="3231"/>
      <c r="KE60" s="3231"/>
      <c r="KF60" s="3231"/>
      <c r="KG60" s="3231"/>
      <c r="KH60" s="3231"/>
      <c r="KI60" s="3231"/>
      <c r="KJ60" s="3231"/>
      <c r="KK60" s="3231"/>
      <c r="KL60" s="3231"/>
      <c r="KM60" s="3231"/>
      <c r="KN60" s="3231"/>
      <c r="KO60" s="3231"/>
    </row>
    <row r="61" spans="1:301" ht="21.9" customHeight="1">
      <c r="A61" s="3558"/>
      <c r="B61" s="3231"/>
      <c r="C61" s="3559" t="s">
        <v>49</v>
      </c>
      <c r="D61" s="3516">
        <v>1260</v>
      </c>
      <c r="E61" s="3517">
        <v>1276</v>
      </c>
      <c r="F61" s="3517">
        <v>1273</v>
      </c>
      <c r="G61" s="3517">
        <v>1609</v>
      </c>
      <c r="H61" s="3517">
        <v>1342</v>
      </c>
      <c r="I61" s="3517">
        <v>1217</v>
      </c>
      <c r="J61" s="3517">
        <v>2417</v>
      </c>
      <c r="K61" s="3517">
        <v>1711</v>
      </c>
      <c r="L61" s="3517">
        <v>1389</v>
      </c>
      <c r="M61" s="3517">
        <v>1689</v>
      </c>
      <c r="N61" s="3517">
        <v>1780</v>
      </c>
      <c r="O61" s="3518">
        <v>1105</v>
      </c>
      <c r="P61" s="3519">
        <v>1501</v>
      </c>
      <c r="Q61" s="3520">
        <v>2067</v>
      </c>
      <c r="R61" s="3520">
        <v>1748</v>
      </c>
      <c r="S61" s="3520">
        <v>1878</v>
      </c>
      <c r="T61" s="3520">
        <v>1744</v>
      </c>
      <c r="U61" s="3520">
        <v>1450</v>
      </c>
      <c r="V61" s="3520">
        <v>2185</v>
      </c>
      <c r="W61" s="3520">
        <v>1787</v>
      </c>
      <c r="X61" s="3520">
        <v>1529</v>
      </c>
      <c r="Y61" s="3520">
        <v>1653</v>
      </c>
      <c r="Z61" s="3520">
        <v>1668</v>
      </c>
      <c r="AA61" s="3521">
        <v>1114</v>
      </c>
      <c r="AB61" s="3522">
        <v>1499</v>
      </c>
      <c r="AC61" s="3523">
        <v>1325</v>
      </c>
      <c r="AD61" s="3523">
        <v>1263</v>
      </c>
      <c r="AE61" s="3523">
        <v>1502</v>
      </c>
      <c r="AF61" s="3523">
        <v>1439.5</v>
      </c>
      <c r="AG61" s="3523">
        <v>1377</v>
      </c>
      <c r="AH61" s="3523">
        <v>2221</v>
      </c>
      <c r="AI61" s="3523">
        <v>1438</v>
      </c>
      <c r="AJ61" s="3523">
        <v>1140</v>
      </c>
      <c r="AK61" s="3523">
        <v>1561</v>
      </c>
      <c r="AL61" s="3523">
        <v>1508</v>
      </c>
      <c r="AM61" s="3524">
        <v>1164</v>
      </c>
      <c r="AN61" s="3525">
        <v>1064</v>
      </c>
      <c r="AO61" s="3526">
        <v>994</v>
      </c>
      <c r="AP61" s="3526">
        <v>1080</v>
      </c>
      <c r="AQ61" s="3526">
        <v>1258</v>
      </c>
      <c r="AR61" s="3526">
        <v>1059</v>
      </c>
      <c r="AS61" s="3526">
        <v>1091</v>
      </c>
      <c r="AT61" s="3526">
        <v>2091</v>
      </c>
      <c r="AU61" s="3526">
        <v>1225</v>
      </c>
      <c r="AV61" s="3526">
        <v>975</v>
      </c>
      <c r="AW61" s="3526">
        <v>1230</v>
      </c>
      <c r="AX61" s="3526">
        <v>1152</v>
      </c>
      <c r="AY61" s="3527">
        <v>925</v>
      </c>
      <c r="AZ61" s="3463">
        <v>1025</v>
      </c>
      <c r="BA61" s="3463">
        <v>900</v>
      </c>
      <c r="BB61" s="3463">
        <v>988</v>
      </c>
      <c r="BC61" s="3463">
        <v>1272</v>
      </c>
      <c r="BD61" s="3463">
        <v>1126</v>
      </c>
      <c r="BE61" s="3463">
        <v>1015</v>
      </c>
      <c r="BF61" s="3463">
        <v>2074</v>
      </c>
      <c r="BG61" s="3463">
        <v>1207</v>
      </c>
      <c r="BH61" s="3463">
        <v>944</v>
      </c>
      <c r="BI61" s="3463">
        <v>1417</v>
      </c>
      <c r="BJ61" s="3463">
        <v>1382</v>
      </c>
      <c r="BK61" s="3560">
        <v>934</v>
      </c>
      <c r="BL61" s="3530">
        <v>898</v>
      </c>
      <c r="BM61" s="3531">
        <v>919</v>
      </c>
      <c r="BN61" s="3531">
        <v>1062</v>
      </c>
      <c r="BO61" s="3531">
        <v>1197</v>
      </c>
      <c r="BP61" s="3531">
        <v>1156</v>
      </c>
      <c r="BQ61" s="3531">
        <v>1051</v>
      </c>
      <c r="BR61" s="3531">
        <v>1995</v>
      </c>
      <c r="BS61" s="3531">
        <v>1140</v>
      </c>
      <c r="BT61" s="3532">
        <v>909</v>
      </c>
      <c r="BU61" s="3532">
        <v>1154</v>
      </c>
      <c r="BV61" s="3532">
        <v>1295</v>
      </c>
      <c r="BW61" s="3533">
        <v>1103</v>
      </c>
      <c r="BX61" s="3534">
        <v>1090</v>
      </c>
      <c r="BY61" s="3459">
        <v>977</v>
      </c>
      <c r="BZ61" s="3459">
        <v>1157</v>
      </c>
      <c r="CA61" s="3459">
        <v>1135</v>
      </c>
      <c r="CB61" s="3459">
        <v>1253</v>
      </c>
      <c r="CC61" s="3459">
        <v>1120</v>
      </c>
      <c r="CD61" s="3459">
        <v>2381</v>
      </c>
      <c r="CE61" s="3459">
        <v>1417</v>
      </c>
      <c r="CF61" s="3459">
        <v>1070</v>
      </c>
      <c r="CG61" s="3459">
        <v>1403</v>
      </c>
      <c r="CH61" s="3459">
        <v>1588</v>
      </c>
      <c r="CI61" s="3461">
        <v>935</v>
      </c>
      <c r="CJ61" s="3535">
        <v>1166</v>
      </c>
      <c r="CK61" s="3536">
        <v>1197</v>
      </c>
      <c r="CL61" s="3536">
        <v>1218</v>
      </c>
      <c r="CM61" s="3536">
        <v>1543</v>
      </c>
      <c r="CN61" s="3536">
        <v>1497</v>
      </c>
      <c r="CO61" s="3536">
        <v>1386</v>
      </c>
      <c r="CP61" s="3536">
        <v>2484</v>
      </c>
      <c r="CQ61" s="3536">
        <v>1411</v>
      </c>
      <c r="CR61" s="3536">
        <v>1179</v>
      </c>
      <c r="CS61" s="3536">
        <v>1580</v>
      </c>
      <c r="CT61" s="3536">
        <v>1532</v>
      </c>
      <c r="CU61" s="3537">
        <v>1130</v>
      </c>
      <c r="CV61" s="3535">
        <v>1217</v>
      </c>
      <c r="CW61" s="3536">
        <v>1190</v>
      </c>
      <c r="CX61" s="3458">
        <v>1225</v>
      </c>
      <c r="CY61" s="3458">
        <v>1363</v>
      </c>
      <c r="CZ61" s="3458">
        <v>1425</v>
      </c>
      <c r="DA61" s="3458">
        <v>1441</v>
      </c>
      <c r="DB61" s="3458">
        <v>2802</v>
      </c>
      <c r="DC61" s="3458">
        <v>1381</v>
      </c>
      <c r="DD61" s="3458">
        <v>1092</v>
      </c>
      <c r="DE61" s="3458">
        <v>1519</v>
      </c>
      <c r="DF61" s="3458">
        <v>1658</v>
      </c>
      <c r="DG61" s="3537">
        <v>1266</v>
      </c>
      <c r="DH61" s="3538">
        <v>1300</v>
      </c>
      <c r="DI61" s="3539">
        <v>1442</v>
      </c>
      <c r="DJ61" s="3539">
        <v>1528</v>
      </c>
      <c r="DK61" s="3540">
        <v>1307</v>
      </c>
      <c r="DL61" s="3540">
        <v>1382</v>
      </c>
      <c r="DM61" s="3540">
        <v>1465</v>
      </c>
      <c r="DN61" s="3540">
        <v>2920</v>
      </c>
      <c r="DO61" s="3540">
        <v>1383</v>
      </c>
      <c r="DP61" s="2713">
        <v>1079</v>
      </c>
      <c r="DQ61" s="3540">
        <v>1606</v>
      </c>
      <c r="DR61" s="3540">
        <v>1282</v>
      </c>
      <c r="DS61" s="3541">
        <v>964</v>
      </c>
      <c r="DT61" s="3542">
        <v>1117</v>
      </c>
      <c r="DU61" s="3429">
        <v>1160</v>
      </c>
      <c r="DV61" s="3429">
        <v>1175</v>
      </c>
      <c r="DW61" s="3350">
        <v>1542</v>
      </c>
      <c r="DX61" s="3350">
        <v>1184</v>
      </c>
      <c r="DY61" s="3350">
        <v>1335</v>
      </c>
      <c r="DZ61" s="3350">
        <v>2297</v>
      </c>
      <c r="EA61" s="3350">
        <v>1142</v>
      </c>
      <c r="EB61" s="3350">
        <v>1058</v>
      </c>
      <c r="EC61" s="3350">
        <v>1309</v>
      </c>
      <c r="ED61" s="3350">
        <v>1336</v>
      </c>
      <c r="EE61" s="3349">
        <v>1167</v>
      </c>
      <c r="EF61" s="2689">
        <v>1254</v>
      </c>
      <c r="EG61" s="2688">
        <v>1291</v>
      </c>
      <c r="EH61" s="2688">
        <v>1485</v>
      </c>
      <c r="EI61" s="2688">
        <v>1293</v>
      </c>
      <c r="EJ61" s="2688">
        <v>1573</v>
      </c>
      <c r="EK61" s="2688">
        <v>1297</v>
      </c>
      <c r="EL61" s="2688">
        <v>2452</v>
      </c>
      <c r="EM61" s="2714">
        <v>1513</v>
      </c>
      <c r="EN61" s="2714">
        <v>1089</v>
      </c>
      <c r="EO61" s="2715">
        <v>1329</v>
      </c>
      <c r="EP61" s="2715">
        <v>1462</v>
      </c>
      <c r="EQ61" s="2716">
        <v>1313</v>
      </c>
      <c r="ER61" s="1346">
        <v>1244</v>
      </c>
      <c r="ES61" s="3543">
        <v>1234</v>
      </c>
      <c r="ET61" s="3543">
        <v>1311</v>
      </c>
      <c r="EU61" s="2717">
        <v>1662</v>
      </c>
      <c r="EV61" s="2160">
        <v>1707</v>
      </c>
      <c r="EW61" s="2160">
        <v>1425</v>
      </c>
      <c r="EX61" s="2160">
        <v>2786</v>
      </c>
      <c r="EY61" s="2160">
        <v>1489</v>
      </c>
      <c r="EZ61" s="2160">
        <v>1465</v>
      </c>
      <c r="FA61" s="2339">
        <v>1380</v>
      </c>
      <c r="FB61" s="2339">
        <v>1705</v>
      </c>
      <c r="FC61" s="2339">
        <v>1455</v>
      </c>
      <c r="FD61" s="2765">
        <v>1574</v>
      </c>
      <c r="FE61" s="2766">
        <v>1589</v>
      </c>
      <c r="FF61" s="2766">
        <v>625</v>
      </c>
      <c r="FG61" s="2766">
        <v>10</v>
      </c>
      <c r="FH61" s="2766">
        <v>13</v>
      </c>
      <c r="FI61" s="2766">
        <v>43</v>
      </c>
      <c r="FJ61" s="2766">
        <v>111</v>
      </c>
      <c r="FK61" s="2766">
        <v>75</v>
      </c>
      <c r="FL61" s="2766">
        <v>83</v>
      </c>
      <c r="FM61" s="2766">
        <v>144</v>
      </c>
      <c r="FN61" s="2766">
        <v>168</v>
      </c>
      <c r="FO61" s="2767">
        <v>209</v>
      </c>
      <c r="FP61" s="2765">
        <v>127</v>
      </c>
      <c r="FQ61" s="2766">
        <v>84</v>
      </c>
      <c r="FR61" s="2766">
        <v>106</v>
      </c>
      <c r="FS61" s="2766">
        <v>88</v>
      </c>
      <c r="FT61" s="2766">
        <v>97</v>
      </c>
      <c r="FU61" s="2766"/>
      <c r="FV61" s="2766"/>
      <c r="FW61" s="2766"/>
      <c r="FX61" s="2766"/>
      <c r="FY61" s="2766"/>
      <c r="FZ61" s="2766"/>
      <c r="GA61" s="2771"/>
      <c r="GB61" s="2764"/>
      <c r="GC61" s="2911">
        <v>3809</v>
      </c>
      <c r="GD61" s="2912">
        <v>4168</v>
      </c>
      <c r="GE61" s="2912">
        <v>5517</v>
      </c>
      <c r="GF61" s="2913">
        <v>4574</v>
      </c>
      <c r="GG61" s="2914">
        <v>5316</v>
      </c>
      <c r="GH61" s="2915">
        <v>5072</v>
      </c>
      <c r="GI61" s="2915">
        <v>5501</v>
      </c>
      <c r="GJ61" s="2916">
        <v>4435</v>
      </c>
      <c r="GK61" s="2917">
        <v>4087</v>
      </c>
      <c r="GL61" s="2918">
        <v>4318.5</v>
      </c>
      <c r="GM61" s="2919">
        <v>4799</v>
      </c>
      <c r="GN61" s="2919">
        <v>4233</v>
      </c>
      <c r="GO61" s="2920">
        <v>3138</v>
      </c>
      <c r="GP61" s="2921">
        <v>3408</v>
      </c>
      <c r="GQ61" s="2921">
        <v>4291</v>
      </c>
      <c r="GR61" s="2922">
        <v>3307</v>
      </c>
      <c r="GS61" s="2923">
        <v>2913</v>
      </c>
      <c r="GT61" s="2924">
        <v>3413</v>
      </c>
      <c r="GU61" s="2924">
        <v>4225</v>
      </c>
      <c r="GV61" s="2925">
        <v>3733</v>
      </c>
      <c r="GW61" s="2921">
        <v>2879</v>
      </c>
      <c r="GX61" s="2921">
        <v>3404</v>
      </c>
      <c r="GY61" s="2921">
        <v>4044</v>
      </c>
      <c r="GZ61" s="2921">
        <v>3552</v>
      </c>
      <c r="HA61" s="2926">
        <v>3224</v>
      </c>
      <c r="HB61" s="2926">
        <v>3508</v>
      </c>
      <c r="HC61" s="2926">
        <v>4868</v>
      </c>
      <c r="HD61" s="2926">
        <v>3926</v>
      </c>
      <c r="HE61" s="2927">
        <v>3581</v>
      </c>
      <c r="HF61" s="2927">
        <v>4426</v>
      </c>
      <c r="HG61" s="2927">
        <f t="shared" si="17"/>
        <v>5074</v>
      </c>
      <c r="HH61" s="2927">
        <v>4242</v>
      </c>
      <c r="HI61" s="2928">
        <v>3632</v>
      </c>
      <c r="HJ61" s="2928">
        <f t="shared" si="18"/>
        <v>4229</v>
      </c>
      <c r="HK61" s="2928">
        <f t="shared" si="19"/>
        <v>5275</v>
      </c>
      <c r="HL61" s="2927">
        <f t="shared" si="20"/>
        <v>4443</v>
      </c>
      <c r="HM61" s="2846">
        <f t="shared" si="21"/>
        <v>4270</v>
      </c>
      <c r="HN61" s="2846">
        <f t="shared" si="22"/>
        <v>4154</v>
      </c>
      <c r="HO61" s="2846">
        <f t="shared" si="23"/>
        <v>5267</v>
      </c>
      <c r="HP61" s="2846">
        <f t="shared" si="24"/>
        <v>3852</v>
      </c>
      <c r="HQ61" s="2921">
        <f t="shared" si="25"/>
        <v>3452</v>
      </c>
      <c r="HR61" s="2921">
        <f t="shared" si="26"/>
        <v>4061</v>
      </c>
      <c r="HS61" s="2921">
        <f t="shared" si="27"/>
        <v>4497</v>
      </c>
      <c r="HT61" s="2921">
        <f t="shared" si="28"/>
        <v>3812</v>
      </c>
      <c r="HU61" s="2929">
        <f t="shared" si="29"/>
        <v>4030</v>
      </c>
      <c r="HV61" s="2926">
        <f t="shared" si="30"/>
        <v>4163</v>
      </c>
      <c r="HW61" s="2926">
        <f t="shared" si="31"/>
        <v>5054</v>
      </c>
      <c r="HX61" s="2926">
        <f t="shared" si="32"/>
        <v>4104</v>
      </c>
      <c r="HY61" s="2930">
        <f t="shared" si="33"/>
        <v>3789</v>
      </c>
      <c r="HZ61" s="2931">
        <f t="shared" si="34"/>
        <v>4794</v>
      </c>
      <c r="IA61" s="2931">
        <f t="shared" si="35"/>
        <v>5740</v>
      </c>
      <c r="IB61" s="2931">
        <f t="shared" si="36"/>
        <v>4540</v>
      </c>
      <c r="IC61" s="2932">
        <f t="shared" si="47"/>
        <v>3788</v>
      </c>
      <c r="ID61" s="2933">
        <f t="shared" si="48"/>
        <v>66</v>
      </c>
      <c r="IE61" s="2933">
        <f t="shared" si="49"/>
        <v>5740</v>
      </c>
      <c r="IF61" s="2934">
        <f t="shared" si="50"/>
        <v>521</v>
      </c>
      <c r="IG61" s="2929">
        <f t="shared" si="51"/>
        <v>317</v>
      </c>
      <c r="IH61" s="2926">
        <f t="shared" si="52"/>
        <v>185</v>
      </c>
      <c r="II61" s="2926">
        <f t="shared" si="53"/>
        <v>0</v>
      </c>
      <c r="IJ61" s="2926">
        <f t="shared" si="54"/>
        <v>0</v>
      </c>
      <c r="IK61" s="2735"/>
      <c r="IL61" s="3544">
        <v>18068</v>
      </c>
      <c r="IM61" s="3545">
        <v>20324</v>
      </c>
      <c r="IN61" s="3545">
        <v>17437.5</v>
      </c>
      <c r="IO61" s="3545">
        <v>14144</v>
      </c>
      <c r="IP61" s="3545">
        <v>14284</v>
      </c>
      <c r="IQ61" s="3545">
        <v>13879</v>
      </c>
      <c r="IR61" s="3546">
        <v>15526</v>
      </c>
      <c r="IS61" s="3547">
        <v>17323</v>
      </c>
      <c r="IT61" s="3547">
        <f t="shared" si="37"/>
        <v>17579</v>
      </c>
      <c r="IU61" s="3547">
        <f t="shared" si="38"/>
        <v>17658</v>
      </c>
      <c r="IV61" s="3547">
        <f t="shared" si="39"/>
        <v>15822</v>
      </c>
      <c r="IW61" s="3547">
        <f t="shared" si="40"/>
        <v>17351</v>
      </c>
      <c r="IX61" s="3548">
        <f t="shared" si="55"/>
        <v>18863</v>
      </c>
      <c r="IY61" s="3566">
        <f t="shared" si="41"/>
        <v>4644</v>
      </c>
      <c r="IZ61" s="3564">
        <f t="shared" si="57"/>
        <v>1692</v>
      </c>
      <c r="JA61" s="3765">
        <f t="shared" si="58"/>
        <v>502</v>
      </c>
      <c r="JC61" s="3551">
        <f t="shared" si="59"/>
        <v>3168</v>
      </c>
      <c r="JD61" s="3552">
        <f t="shared" si="42"/>
        <v>2.8134589707883358E-2</v>
      </c>
      <c r="JE61" s="3552">
        <f t="shared" si="43"/>
        <v>2.4232269566003144E-2</v>
      </c>
      <c r="JF61" s="3552">
        <f t="shared" si="60"/>
        <v>2.5352503689416852E-2</v>
      </c>
      <c r="JG61" s="3552">
        <f t="shared" si="56"/>
        <v>2.7561770335627348E-2</v>
      </c>
      <c r="JH61" s="3552">
        <f t="shared" si="61"/>
        <v>2.4388578750846827E-2</v>
      </c>
      <c r="JI61" s="3565">
        <f t="shared" si="62"/>
        <v>6.0214380275875811E-3</v>
      </c>
      <c r="JJ61" s="3552"/>
      <c r="JK61" s="3554">
        <f t="shared" si="44"/>
        <v>-0.10397553516819569</v>
      </c>
      <c r="JL61" s="3555">
        <f t="shared" si="45"/>
        <v>-0.82059123343527007</v>
      </c>
      <c r="JM61" s="3555">
        <f t="shared" si="46"/>
        <v>9.6637593224623952E-2</v>
      </c>
      <c r="JN61" s="3555">
        <f t="shared" si="46"/>
        <v>8.714195147253756E-2</v>
      </c>
      <c r="JO61" s="3555">
        <f t="shared" si="46"/>
        <v>-0.75380374277686479</v>
      </c>
      <c r="JP61" s="3556">
        <f t="shared" si="63"/>
        <v>-0.91030058845358641</v>
      </c>
      <c r="JQ61" s="3557">
        <f t="shared" si="64"/>
        <v>-0.63565891472868219</v>
      </c>
      <c r="JS61" s="3231"/>
      <c r="JT61" s="3231"/>
      <c r="JU61" s="3231"/>
      <c r="JV61" s="3231"/>
      <c r="JW61" s="3231"/>
      <c r="JX61" s="3231"/>
      <c r="JY61" s="3231"/>
      <c r="JZ61" s="3231"/>
      <c r="KA61" s="3231"/>
      <c r="KB61" s="3231"/>
      <c r="KC61" s="3231"/>
      <c r="KD61" s="3231"/>
      <c r="KE61" s="3231"/>
      <c r="KF61" s="3231"/>
      <c r="KG61" s="3231"/>
      <c r="KH61" s="3231"/>
      <c r="KI61" s="3231"/>
      <c r="KJ61" s="3231"/>
      <c r="KK61" s="3231"/>
      <c r="KL61" s="3231"/>
      <c r="KM61" s="3231"/>
      <c r="KN61" s="3231"/>
      <c r="KO61" s="3231"/>
    </row>
    <row r="62" spans="1:301" ht="21.9" customHeight="1">
      <c r="A62" s="3568"/>
      <c r="B62" s="3231"/>
      <c r="C62" s="3567" t="s">
        <v>10</v>
      </c>
      <c r="D62" s="3516">
        <v>789</v>
      </c>
      <c r="E62" s="3517">
        <v>633</v>
      </c>
      <c r="F62" s="3517">
        <v>790</v>
      </c>
      <c r="G62" s="3517">
        <v>531</v>
      </c>
      <c r="H62" s="3517">
        <v>677</v>
      </c>
      <c r="I62" s="3517">
        <v>720</v>
      </c>
      <c r="J62" s="3517">
        <v>840</v>
      </c>
      <c r="K62" s="3517">
        <v>638</v>
      </c>
      <c r="L62" s="3517">
        <v>799</v>
      </c>
      <c r="M62" s="3517">
        <v>895</v>
      </c>
      <c r="N62" s="3517">
        <v>815</v>
      </c>
      <c r="O62" s="3518">
        <v>556</v>
      </c>
      <c r="P62" s="3519">
        <v>877</v>
      </c>
      <c r="Q62" s="3520">
        <v>1083</v>
      </c>
      <c r="R62" s="3520">
        <v>783</v>
      </c>
      <c r="S62" s="3520">
        <v>893</v>
      </c>
      <c r="T62" s="3520">
        <v>1008</v>
      </c>
      <c r="U62" s="3520">
        <v>891</v>
      </c>
      <c r="V62" s="3520">
        <v>1034</v>
      </c>
      <c r="W62" s="3520">
        <v>977</v>
      </c>
      <c r="X62" s="3520">
        <v>828</v>
      </c>
      <c r="Y62" s="3520">
        <v>1198</v>
      </c>
      <c r="Z62" s="3520">
        <v>1047</v>
      </c>
      <c r="AA62" s="3521">
        <v>774</v>
      </c>
      <c r="AB62" s="3522">
        <v>1114</v>
      </c>
      <c r="AC62" s="3523">
        <v>722</v>
      </c>
      <c r="AD62" s="3523">
        <v>846</v>
      </c>
      <c r="AE62" s="3523">
        <v>796</v>
      </c>
      <c r="AF62" s="3523">
        <v>856</v>
      </c>
      <c r="AG62" s="3523">
        <v>916</v>
      </c>
      <c r="AH62" s="3523">
        <v>901</v>
      </c>
      <c r="AI62" s="3523">
        <v>883</v>
      </c>
      <c r="AJ62" s="3523">
        <v>875</v>
      </c>
      <c r="AK62" s="3523">
        <v>977</v>
      </c>
      <c r="AL62" s="3523">
        <v>967</v>
      </c>
      <c r="AM62" s="3524">
        <v>772</v>
      </c>
      <c r="AN62" s="3525">
        <v>1396</v>
      </c>
      <c r="AO62" s="3526">
        <v>1205</v>
      </c>
      <c r="AP62" s="3526">
        <v>912</v>
      </c>
      <c r="AQ62" s="3526">
        <v>908</v>
      </c>
      <c r="AR62" s="3526">
        <v>967</v>
      </c>
      <c r="AS62" s="3526">
        <v>882</v>
      </c>
      <c r="AT62" s="3526">
        <v>1056</v>
      </c>
      <c r="AU62" s="3526">
        <v>1101</v>
      </c>
      <c r="AV62" s="3526">
        <v>976</v>
      </c>
      <c r="AW62" s="3526">
        <v>1462</v>
      </c>
      <c r="AX62" s="3526">
        <v>1545</v>
      </c>
      <c r="AY62" s="3527">
        <v>986</v>
      </c>
      <c r="AZ62" s="3463">
        <v>1718</v>
      </c>
      <c r="BA62" s="3463">
        <v>934</v>
      </c>
      <c r="BB62" s="3463">
        <v>1091</v>
      </c>
      <c r="BC62" s="3463">
        <v>1046</v>
      </c>
      <c r="BD62" s="3463">
        <v>1461</v>
      </c>
      <c r="BE62" s="3463">
        <v>1069</v>
      </c>
      <c r="BF62" s="3463">
        <v>1551</v>
      </c>
      <c r="BG62" s="3463">
        <v>1104</v>
      </c>
      <c r="BH62" s="3463">
        <v>1190</v>
      </c>
      <c r="BI62" s="3463">
        <v>1136</v>
      </c>
      <c r="BJ62" s="3463">
        <v>1275</v>
      </c>
      <c r="BK62" s="3560">
        <v>1310</v>
      </c>
      <c r="BL62" s="3530">
        <v>1784</v>
      </c>
      <c r="BM62" s="3531">
        <v>1322</v>
      </c>
      <c r="BN62" s="3531">
        <v>1395</v>
      </c>
      <c r="BO62" s="3531">
        <v>1235</v>
      </c>
      <c r="BP62" s="3531">
        <v>1315</v>
      </c>
      <c r="BQ62" s="3531">
        <v>1332</v>
      </c>
      <c r="BR62" s="3531">
        <v>1518</v>
      </c>
      <c r="BS62" s="3531">
        <v>1259</v>
      </c>
      <c r="BT62" s="3532">
        <v>1472</v>
      </c>
      <c r="BU62" s="3532">
        <v>1367</v>
      </c>
      <c r="BV62" s="3532">
        <v>1601</v>
      </c>
      <c r="BW62" s="3533">
        <v>1254</v>
      </c>
      <c r="BX62" s="3534">
        <v>1879</v>
      </c>
      <c r="BY62" s="3459">
        <v>1503</v>
      </c>
      <c r="BZ62" s="3459">
        <v>1512</v>
      </c>
      <c r="CA62" s="3459">
        <v>1260</v>
      </c>
      <c r="CB62" s="3459">
        <v>1274</v>
      </c>
      <c r="CC62" s="3459">
        <v>1581</v>
      </c>
      <c r="CD62" s="3459">
        <v>1834</v>
      </c>
      <c r="CE62" s="3459">
        <v>1236</v>
      </c>
      <c r="CF62" s="3459">
        <v>1466</v>
      </c>
      <c r="CG62" s="3459">
        <v>1369</v>
      </c>
      <c r="CH62" s="3459">
        <v>1577</v>
      </c>
      <c r="CI62" s="3461">
        <v>2187</v>
      </c>
      <c r="CJ62" s="3535">
        <v>3220</v>
      </c>
      <c r="CK62" s="3536">
        <v>2071</v>
      </c>
      <c r="CL62" s="3536">
        <v>1743</v>
      </c>
      <c r="CM62" s="3536">
        <v>1363</v>
      </c>
      <c r="CN62" s="3536">
        <v>1349</v>
      </c>
      <c r="CO62" s="3536">
        <v>1063</v>
      </c>
      <c r="CP62" s="3536">
        <v>1787</v>
      </c>
      <c r="CQ62" s="3536">
        <v>1326</v>
      </c>
      <c r="CR62" s="3536">
        <v>1425</v>
      </c>
      <c r="CS62" s="3536">
        <v>1500</v>
      </c>
      <c r="CT62" s="3536">
        <v>1769</v>
      </c>
      <c r="CU62" s="3537">
        <v>2090</v>
      </c>
      <c r="CV62" s="3535">
        <v>3295</v>
      </c>
      <c r="CW62" s="3536">
        <v>2310</v>
      </c>
      <c r="CX62" s="3458">
        <v>2105</v>
      </c>
      <c r="CY62" s="3458">
        <v>1992</v>
      </c>
      <c r="CZ62" s="3458">
        <v>1818</v>
      </c>
      <c r="DA62" s="3458">
        <v>1519</v>
      </c>
      <c r="DB62" s="3458">
        <v>2089</v>
      </c>
      <c r="DC62" s="3458">
        <v>1660</v>
      </c>
      <c r="DD62" s="3458">
        <v>1946</v>
      </c>
      <c r="DE62" s="3458">
        <v>1568</v>
      </c>
      <c r="DF62" s="3458">
        <v>1851</v>
      </c>
      <c r="DG62" s="3537">
        <v>2065</v>
      </c>
      <c r="DH62" s="3538">
        <v>3139</v>
      </c>
      <c r="DI62" s="3539">
        <v>2105</v>
      </c>
      <c r="DJ62" s="3539">
        <v>1755</v>
      </c>
      <c r="DK62" s="3540">
        <v>1363</v>
      </c>
      <c r="DL62" s="3540">
        <v>1165</v>
      </c>
      <c r="DM62" s="3540">
        <v>1203</v>
      </c>
      <c r="DN62" s="3540">
        <v>1589</v>
      </c>
      <c r="DO62" s="3540">
        <v>910</v>
      </c>
      <c r="DP62" s="2713">
        <v>1071</v>
      </c>
      <c r="DQ62" s="3540">
        <v>1410</v>
      </c>
      <c r="DR62" s="3540">
        <v>1145</v>
      </c>
      <c r="DS62" s="3541">
        <v>1173</v>
      </c>
      <c r="DT62" s="3542">
        <v>2221</v>
      </c>
      <c r="DU62" s="3429">
        <v>1653</v>
      </c>
      <c r="DV62" s="3429">
        <v>1131</v>
      </c>
      <c r="DW62" s="3350">
        <v>1119</v>
      </c>
      <c r="DX62" s="3350">
        <v>1057</v>
      </c>
      <c r="DY62" s="3350">
        <v>1011</v>
      </c>
      <c r="DZ62" s="3350">
        <v>1532</v>
      </c>
      <c r="EA62" s="3350">
        <v>1043</v>
      </c>
      <c r="EB62" s="3350">
        <v>1075</v>
      </c>
      <c r="EC62" s="3350">
        <v>1444</v>
      </c>
      <c r="ED62" s="3350">
        <v>1289</v>
      </c>
      <c r="EE62" s="3349">
        <v>1447</v>
      </c>
      <c r="EF62" s="2689">
        <v>1936</v>
      </c>
      <c r="EG62" s="2688">
        <v>1243</v>
      </c>
      <c r="EH62" s="2688">
        <v>1312</v>
      </c>
      <c r="EI62" s="2688">
        <v>1222</v>
      </c>
      <c r="EJ62" s="2688">
        <v>1260</v>
      </c>
      <c r="EK62" s="2688">
        <v>1287</v>
      </c>
      <c r="EL62" s="2688">
        <v>1555</v>
      </c>
      <c r="EM62" s="2714">
        <v>855</v>
      </c>
      <c r="EN62" s="2714">
        <v>1160</v>
      </c>
      <c r="EO62" s="2715">
        <v>1155</v>
      </c>
      <c r="EP62" s="2715">
        <v>1121</v>
      </c>
      <c r="EQ62" s="2716">
        <v>1093</v>
      </c>
      <c r="ER62" s="1345">
        <v>1355</v>
      </c>
      <c r="ES62" s="3543">
        <v>948</v>
      </c>
      <c r="ET62" s="3543">
        <v>998</v>
      </c>
      <c r="EU62" s="2717">
        <v>1768</v>
      </c>
      <c r="EV62" s="2159">
        <v>1123</v>
      </c>
      <c r="EW62" s="2159">
        <v>1251</v>
      </c>
      <c r="EX62" s="2159">
        <v>1375</v>
      </c>
      <c r="EY62" s="2159">
        <v>1547</v>
      </c>
      <c r="EZ62" s="2159">
        <v>1387</v>
      </c>
      <c r="FA62" s="2339">
        <v>1045</v>
      </c>
      <c r="FB62" s="2339">
        <v>1297</v>
      </c>
      <c r="FC62" s="2339">
        <v>1336</v>
      </c>
      <c r="FD62" s="2772">
        <v>1535</v>
      </c>
      <c r="FE62" s="2773">
        <v>1245</v>
      </c>
      <c r="FF62" s="2773">
        <v>601</v>
      </c>
      <c r="FG62" s="2773">
        <v>8</v>
      </c>
      <c r="FH62" s="2773">
        <v>13</v>
      </c>
      <c r="FI62" s="2773">
        <v>16</v>
      </c>
      <c r="FJ62" s="2773">
        <v>20</v>
      </c>
      <c r="FK62" s="2773">
        <v>18</v>
      </c>
      <c r="FL62" s="2773">
        <v>66</v>
      </c>
      <c r="FM62" s="2773">
        <v>114</v>
      </c>
      <c r="FN62" s="2773">
        <v>147</v>
      </c>
      <c r="FO62" s="2774">
        <v>285</v>
      </c>
      <c r="FP62" s="2772">
        <v>391</v>
      </c>
      <c r="FQ62" s="2773">
        <v>262</v>
      </c>
      <c r="FR62" s="2773">
        <v>281</v>
      </c>
      <c r="FS62" s="2773">
        <v>217</v>
      </c>
      <c r="FT62" s="2773">
        <v>229</v>
      </c>
      <c r="FU62" s="2773"/>
      <c r="FV62" s="2773"/>
      <c r="FW62" s="2773"/>
      <c r="FX62" s="2773"/>
      <c r="FY62" s="2773"/>
      <c r="FZ62" s="2773"/>
      <c r="GA62" s="2775"/>
      <c r="GB62" s="2764"/>
      <c r="GC62" s="2911">
        <v>2212</v>
      </c>
      <c r="GD62" s="2912">
        <v>1928</v>
      </c>
      <c r="GE62" s="2912">
        <v>2277</v>
      </c>
      <c r="GF62" s="2913">
        <v>2266</v>
      </c>
      <c r="GG62" s="2914">
        <v>2743</v>
      </c>
      <c r="GH62" s="2915">
        <v>2792</v>
      </c>
      <c r="GI62" s="2915">
        <v>2839</v>
      </c>
      <c r="GJ62" s="2916">
        <v>3019</v>
      </c>
      <c r="GK62" s="2917">
        <v>2682</v>
      </c>
      <c r="GL62" s="2918">
        <v>2568</v>
      </c>
      <c r="GM62" s="2919">
        <v>2659</v>
      </c>
      <c r="GN62" s="2919">
        <v>2716</v>
      </c>
      <c r="GO62" s="2920">
        <v>3513</v>
      </c>
      <c r="GP62" s="2921">
        <v>2757</v>
      </c>
      <c r="GQ62" s="2921">
        <v>3133</v>
      </c>
      <c r="GR62" s="2922">
        <v>3993</v>
      </c>
      <c r="GS62" s="2923">
        <v>3743</v>
      </c>
      <c r="GT62" s="2924">
        <v>3576</v>
      </c>
      <c r="GU62" s="2924">
        <v>3845</v>
      </c>
      <c r="GV62" s="2925">
        <v>3721</v>
      </c>
      <c r="GW62" s="2921">
        <v>4501</v>
      </c>
      <c r="GX62" s="2921">
        <v>3882</v>
      </c>
      <c r="GY62" s="2921">
        <v>4249</v>
      </c>
      <c r="GZ62" s="2921">
        <v>4222</v>
      </c>
      <c r="HA62" s="2926">
        <v>4894</v>
      </c>
      <c r="HB62" s="2926">
        <v>4115</v>
      </c>
      <c r="HC62" s="2926">
        <v>4536</v>
      </c>
      <c r="HD62" s="2926">
        <v>5133</v>
      </c>
      <c r="HE62" s="2927">
        <v>7034</v>
      </c>
      <c r="HF62" s="2927">
        <v>3775</v>
      </c>
      <c r="HG62" s="2927">
        <f t="shared" si="17"/>
        <v>4538</v>
      </c>
      <c r="HH62" s="2927">
        <v>5359</v>
      </c>
      <c r="HI62" s="2928">
        <v>7710</v>
      </c>
      <c r="HJ62" s="2928">
        <f t="shared" si="18"/>
        <v>5329</v>
      </c>
      <c r="HK62" s="2928">
        <f t="shared" si="19"/>
        <v>5695</v>
      </c>
      <c r="HL62" s="2927">
        <f t="shared" si="20"/>
        <v>5484</v>
      </c>
      <c r="HM62" s="2846">
        <f t="shared" si="21"/>
        <v>6999</v>
      </c>
      <c r="HN62" s="2846">
        <f t="shared" si="22"/>
        <v>3731</v>
      </c>
      <c r="HO62" s="2846">
        <f t="shared" si="23"/>
        <v>3672</v>
      </c>
      <c r="HP62" s="2846">
        <f t="shared" si="24"/>
        <v>3728</v>
      </c>
      <c r="HQ62" s="2921">
        <f t="shared" si="25"/>
        <v>5005</v>
      </c>
      <c r="HR62" s="2921">
        <f t="shared" si="26"/>
        <v>3187</v>
      </c>
      <c r="HS62" s="2921">
        <f t="shared" si="27"/>
        <v>3650</v>
      </c>
      <c r="HT62" s="2921">
        <f t="shared" si="28"/>
        <v>4180</v>
      </c>
      <c r="HU62" s="2929">
        <f t="shared" si="29"/>
        <v>4491</v>
      </c>
      <c r="HV62" s="2926">
        <f t="shared" si="30"/>
        <v>3769</v>
      </c>
      <c r="HW62" s="2926">
        <f t="shared" si="31"/>
        <v>3570</v>
      </c>
      <c r="HX62" s="2926">
        <f t="shared" si="32"/>
        <v>3369</v>
      </c>
      <c r="HY62" s="2930">
        <f t="shared" si="33"/>
        <v>3301</v>
      </c>
      <c r="HZ62" s="2931">
        <f t="shared" si="34"/>
        <v>4142</v>
      </c>
      <c r="IA62" s="2931">
        <f t="shared" si="35"/>
        <v>4309</v>
      </c>
      <c r="IB62" s="2931">
        <f t="shared" si="36"/>
        <v>3678</v>
      </c>
      <c r="IC62" s="2932">
        <f>FD62+FE62+FF62</f>
        <v>3381</v>
      </c>
      <c r="ID62" s="2933">
        <f>FG62+FH62+FI62</f>
        <v>37</v>
      </c>
      <c r="IE62" s="2933">
        <f>EX62+EY62+EZ62</f>
        <v>4309</v>
      </c>
      <c r="IF62" s="2934">
        <f>FM62+FN62+FO62</f>
        <v>546</v>
      </c>
      <c r="IG62" s="2929">
        <f t="shared" si="51"/>
        <v>934</v>
      </c>
      <c r="IH62" s="2926">
        <f t="shared" si="52"/>
        <v>446</v>
      </c>
      <c r="II62" s="2926">
        <f t="shared" si="53"/>
        <v>0</v>
      </c>
      <c r="IJ62" s="2926">
        <f t="shared" si="54"/>
        <v>0</v>
      </c>
      <c r="IK62" s="2735"/>
      <c r="IL62" s="3544">
        <v>8683</v>
      </c>
      <c r="IM62" s="3545">
        <v>11393</v>
      </c>
      <c r="IN62" s="3545">
        <v>10625</v>
      </c>
      <c r="IO62" s="3545">
        <v>13396</v>
      </c>
      <c r="IP62" s="3545">
        <v>14885</v>
      </c>
      <c r="IQ62" s="3545">
        <v>16854</v>
      </c>
      <c r="IR62" s="3546">
        <v>18678</v>
      </c>
      <c r="IS62" s="3547">
        <v>20706</v>
      </c>
      <c r="IT62" s="3547">
        <f t="shared" si="37"/>
        <v>24218</v>
      </c>
      <c r="IU62" s="3547">
        <f t="shared" si="38"/>
        <v>18028</v>
      </c>
      <c r="IV62" s="3547">
        <f t="shared" si="39"/>
        <v>16022</v>
      </c>
      <c r="IW62" s="3547">
        <f t="shared" si="40"/>
        <v>15199</v>
      </c>
      <c r="IX62" s="3548">
        <f t="shared" si="55"/>
        <v>15430</v>
      </c>
      <c r="IY62" s="3566">
        <f t="shared" si="41"/>
        <v>4068</v>
      </c>
      <c r="IZ62" s="3564">
        <f t="shared" si="57"/>
        <v>1941</v>
      </c>
      <c r="JA62" s="3765">
        <f t="shared" si="58"/>
        <v>1380</v>
      </c>
      <c r="JC62" s="3551">
        <f t="shared" si="59"/>
        <v>3004.5</v>
      </c>
      <c r="JD62" s="3552">
        <f t="shared" si="42"/>
        <v>2.8724112767794834E-2</v>
      </c>
      <c r="JE62" s="3552">
        <f t="shared" si="43"/>
        <v>2.4538580646347011E-2</v>
      </c>
      <c r="JF62" s="3552">
        <f t="shared" si="60"/>
        <v>2.2208097722059061E-2</v>
      </c>
      <c r="JG62" s="3552">
        <f t="shared" si="56"/>
        <v>2.2545624570785662E-2</v>
      </c>
      <c r="JH62" s="3552">
        <f t="shared" si="61"/>
        <v>2.1363638750741792E-2</v>
      </c>
      <c r="JI62" s="3565">
        <f t="shared" si="62"/>
        <v>6.9075716380304344E-3</v>
      </c>
      <c r="JJ62" s="3552"/>
      <c r="JK62" s="3554">
        <f t="shared" si="44"/>
        <v>-0.1112713556689594</v>
      </c>
      <c r="JL62" s="3555">
        <f t="shared" si="45"/>
        <v>-0.83334257821167079</v>
      </c>
      <c r="JM62" s="3555">
        <f t="shared" si="46"/>
        <v>-5.1366870552989607E-2</v>
      </c>
      <c r="JN62" s="3555">
        <f t="shared" si="46"/>
        <v>1.5198368313704913E-2</v>
      </c>
      <c r="JO62" s="3555">
        <f t="shared" si="46"/>
        <v>-0.73635774465327286</v>
      </c>
      <c r="JP62" s="3556">
        <f t="shared" si="63"/>
        <v>-0.87420609202851585</v>
      </c>
      <c r="JQ62" s="3557">
        <f t="shared" si="64"/>
        <v>-0.52286135693215341</v>
      </c>
      <c r="JS62" s="3231"/>
      <c r="JT62" s="3231"/>
      <c r="JU62" s="3231"/>
      <c r="JV62" s="3231"/>
      <c r="JW62" s="3231"/>
      <c r="JX62" s="3231"/>
      <c r="JY62" s="3231"/>
      <c r="JZ62" s="3231"/>
      <c r="KA62" s="3231"/>
      <c r="KB62" s="3231"/>
      <c r="KC62" s="3231"/>
      <c r="KD62" s="3231"/>
      <c r="KE62" s="3231"/>
      <c r="KF62" s="3231"/>
      <c r="KG62" s="3231"/>
      <c r="KH62" s="3231"/>
      <c r="KI62" s="3231"/>
      <c r="KJ62" s="3231"/>
      <c r="KK62" s="3231"/>
      <c r="KL62" s="3231"/>
      <c r="KM62" s="3231"/>
      <c r="KN62" s="3231"/>
      <c r="KO62" s="3231"/>
    </row>
    <row r="63" spans="1:301" ht="21.9" customHeight="1">
      <c r="A63" s="3558"/>
      <c r="B63" s="3231"/>
      <c r="C63" s="3559" t="s">
        <v>21</v>
      </c>
      <c r="D63" s="3516">
        <v>543</v>
      </c>
      <c r="E63" s="3517">
        <v>685</v>
      </c>
      <c r="F63" s="3517">
        <v>788</v>
      </c>
      <c r="G63" s="3517">
        <v>824</v>
      </c>
      <c r="H63" s="3517">
        <v>704</v>
      </c>
      <c r="I63" s="3517">
        <v>744</v>
      </c>
      <c r="J63" s="3517">
        <v>1339</v>
      </c>
      <c r="K63" s="3517">
        <v>1363</v>
      </c>
      <c r="L63" s="3517">
        <v>964</v>
      </c>
      <c r="M63" s="3517">
        <v>1261</v>
      </c>
      <c r="N63" s="3517">
        <v>1037</v>
      </c>
      <c r="O63" s="3518">
        <v>669</v>
      </c>
      <c r="P63" s="3519">
        <v>824</v>
      </c>
      <c r="Q63" s="3520">
        <v>1149</v>
      </c>
      <c r="R63" s="3520">
        <v>823</v>
      </c>
      <c r="S63" s="3520">
        <v>1148</v>
      </c>
      <c r="T63" s="3520">
        <v>934</v>
      </c>
      <c r="U63" s="3520">
        <v>975</v>
      </c>
      <c r="V63" s="3520">
        <v>1638</v>
      </c>
      <c r="W63" s="3520">
        <v>1653</v>
      </c>
      <c r="X63" s="3520">
        <v>1093</v>
      </c>
      <c r="Y63" s="3520">
        <v>1377</v>
      </c>
      <c r="Z63" s="3520">
        <v>1200</v>
      </c>
      <c r="AA63" s="3521">
        <v>673</v>
      </c>
      <c r="AB63" s="3522">
        <v>983</v>
      </c>
      <c r="AC63" s="3523">
        <v>1015</v>
      </c>
      <c r="AD63" s="3523">
        <v>796</v>
      </c>
      <c r="AE63" s="3523">
        <v>1016</v>
      </c>
      <c r="AF63" s="3523">
        <v>965</v>
      </c>
      <c r="AG63" s="3523">
        <v>914</v>
      </c>
      <c r="AH63" s="3523">
        <v>1694</v>
      </c>
      <c r="AI63" s="3523">
        <v>1736</v>
      </c>
      <c r="AJ63" s="3523">
        <v>1131</v>
      </c>
      <c r="AK63" s="3523">
        <v>1386</v>
      </c>
      <c r="AL63" s="3523">
        <v>1175</v>
      </c>
      <c r="AM63" s="3524">
        <v>749</v>
      </c>
      <c r="AN63" s="3525">
        <v>742</v>
      </c>
      <c r="AO63" s="3526">
        <v>833</v>
      </c>
      <c r="AP63" s="3526">
        <v>1023</v>
      </c>
      <c r="AQ63" s="3526">
        <v>740</v>
      </c>
      <c r="AR63" s="3526">
        <v>1128</v>
      </c>
      <c r="AS63" s="3526">
        <v>840</v>
      </c>
      <c r="AT63" s="3526">
        <v>1883</v>
      </c>
      <c r="AU63" s="3526">
        <v>1664</v>
      </c>
      <c r="AV63" s="3526">
        <v>843</v>
      </c>
      <c r="AW63" s="3526">
        <v>1482</v>
      </c>
      <c r="AX63" s="3526">
        <v>1372</v>
      </c>
      <c r="AY63" s="3527">
        <v>727</v>
      </c>
      <c r="AZ63" s="3463">
        <v>759</v>
      </c>
      <c r="BA63" s="3463">
        <v>756</v>
      </c>
      <c r="BB63" s="3463">
        <v>935</v>
      </c>
      <c r="BC63" s="3463">
        <v>872</v>
      </c>
      <c r="BD63" s="3463">
        <v>1262</v>
      </c>
      <c r="BE63" s="3463">
        <v>730</v>
      </c>
      <c r="BF63" s="3463">
        <v>1595</v>
      </c>
      <c r="BG63" s="3463">
        <v>1453</v>
      </c>
      <c r="BH63" s="3463">
        <v>992</v>
      </c>
      <c r="BI63" s="3463">
        <v>1427</v>
      </c>
      <c r="BJ63" s="3463">
        <v>1289</v>
      </c>
      <c r="BK63" s="3560">
        <v>680</v>
      </c>
      <c r="BL63" s="3530">
        <v>673</v>
      </c>
      <c r="BM63" s="3531">
        <v>845</v>
      </c>
      <c r="BN63" s="3531">
        <v>756</v>
      </c>
      <c r="BO63" s="3531">
        <v>782</v>
      </c>
      <c r="BP63" s="3531">
        <v>829</v>
      </c>
      <c r="BQ63" s="3531">
        <v>701</v>
      </c>
      <c r="BR63" s="3531">
        <v>1552</v>
      </c>
      <c r="BS63" s="3531">
        <v>1404</v>
      </c>
      <c r="BT63" s="3532">
        <v>1214</v>
      </c>
      <c r="BU63" s="3532">
        <v>1410</v>
      </c>
      <c r="BV63" s="3532">
        <v>1180</v>
      </c>
      <c r="BW63" s="3533">
        <v>745</v>
      </c>
      <c r="BX63" s="3534">
        <v>880</v>
      </c>
      <c r="BY63" s="3459">
        <v>808</v>
      </c>
      <c r="BZ63" s="3459">
        <v>969</v>
      </c>
      <c r="CA63" s="3459">
        <v>844</v>
      </c>
      <c r="CB63" s="3459">
        <v>1026</v>
      </c>
      <c r="CC63" s="3459">
        <v>860</v>
      </c>
      <c r="CD63" s="3459">
        <v>1550</v>
      </c>
      <c r="CE63" s="3459">
        <v>1310</v>
      </c>
      <c r="CF63" s="3459">
        <v>1292</v>
      </c>
      <c r="CG63" s="3459">
        <v>1197</v>
      </c>
      <c r="CH63" s="3459">
        <v>1162</v>
      </c>
      <c r="CI63" s="3461">
        <v>751</v>
      </c>
      <c r="CJ63" s="3535">
        <v>877</v>
      </c>
      <c r="CK63" s="3536">
        <v>898</v>
      </c>
      <c r="CL63" s="3536">
        <v>932</v>
      </c>
      <c r="CM63" s="3536">
        <v>964</v>
      </c>
      <c r="CN63" s="3536">
        <v>964</v>
      </c>
      <c r="CO63" s="3536">
        <v>934</v>
      </c>
      <c r="CP63" s="3536">
        <v>1664</v>
      </c>
      <c r="CQ63" s="3536">
        <v>1228</v>
      </c>
      <c r="CR63" s="3536">
        <v>1269</v>
      </c>
      <c r="CS63" s="3536">
        <v>1389</v>
      </c>
      <c r="CT63" s="3536">
        <v>1581</v>
      </c>
      <c r="CU63" s="3537">
        <v>983</v>
      </c>
      <c r="CV63" s="3535">
        <v>1065</v>
      </c>
      <c r="CW63" s="3536">
        <v>1008</v>
      </c>
      <c r="CX63" s="3458">
        <v>802</v>
      </c>
      <c r="CY63" s="3458">
        <v>921</v>
      </c>
      <c r="CZ63" s="3458">
        <v>958</v>
      </c>
      <c r="DA63" s="3458">
        <v>965</v>
      </c>
      <c r="DB63" s="3458">
        <v>1548</v>
      </c>
      <c r="DC63" s="3458">
        <v>1233</v>
      </c>
      <c r="DD63" s="3458">
        <v>1512</v>
      </c>
      <c r="DE63" s="3458">
        <v>1510</v>
      </c>
      <c r="DF63" s="3458">
        <v>1671</v>
      </c>
      <c r="DG63" s="3537">
        <v>856</v>
      </c>
      <c r="DH63" s="3538">
        <v>953</v>
      </c>
      <c r="DI63" s="3539">
        <v>996</v>
      </c>
      <c r="DJ63" s="3539">
        <v>916</v>
      </c>
      <c r="DK63" s="3540">
        <v>945</v>
      </c>
      <c r="DL63" s="3540">
        <v>905</v>
      </c>
      <c r="DM63" s="3540">
        <v>1030</v>
      </c>
      <c r="DN63" s="3540">
        <v>1552</v>
      </c>
      <c r="DO63" s="3540">
        <v>1191</v>
      </c>
      <c r="DP63" s="2713">
        <v>950</v>
      </c>
      <c r="DQ63" s="3540">
        <v>1536</v>
      </c>
      <c r="DR63" s="3540">
        <v>1546</v>
      </c>
      <c r="DS63" s="3541">
        <v>835</v>
      </c>
      <c r="DT63" s="3542">
        <v>933</v>
      </c>
      <c r="DU63" s="3429">
        <v>916</v>
      </c>
      <c r="DV63" s="3429">
        <v>937</v>
      </c>
      <c r="DW63" s="3350">
        <v>939</v>
      </c>
      <c r="DX63" s="3350">
        <v>912</v>
      </c>
      <c r="DY63" s="3350">
        <v>911</v>
      </c>
      <c r="DZ63" s="3350">
        <v>1705</v>
      </c>
      <c r="EA63" s="3350">
        <v>1227</v>
      </c>
      <c r="EB63" s="3350">
        <v>1164</v>
      </c>
      <c r="EC63" s="3350">
        <v>1553</v>
      </c>
      <c r="ED63" s="3350">
        <v>1734</v>
      </c>
      <c r="EE63" s="3349">
        <v>865</v>
      </c>
      <c r="EF63" s="2689">
        <v>1076</v>
      </c>
      <c r="EG63" s="2688">
        <v>1089</v>
      </c>
      <c r="EH63" s="2688">
        <v>834</v>
      </c>
      <c r="EI63" s="2688">
        <v>1162</v>
      </c>
      <c r="EJ63" s="2688">
        <v>1082</v>
      </c>
      <c r="EK63" s="2688">
        <v>1183</v>
      </c>
      <c r="EL63" s="2688">
        <v>1912</v>
      </c>
      <c r="EM63" s="2714">
        <v>1373</v>
      </c>
      <c r="EN63" s="2714">
        <v>1332</v>
      </c>
      <c r="EO63" s="2715">
        <v>1688</v>
      </c>
      <c r="EP63" s="2715">
        <v>1480</v>
      </c>
      <c r="EQ63" s="2716">
        <v>952</v>
      </c>
      <c r="ER63" s="1347">
        <v>1067</v>
      </c>
      <c r="ES63" s="3543">
        <v>1374</v>
      </c>
      <c r="ET63" s="3543">
        <v>865</v>
      </c>
      <c r="EU63" s="2717">
        <v>1271</v>
      </c>
      <c r="EV63" s="2161">
        <v>1648</v>
      </c>
      <c r="EW63" s="2161">
        <v>1645</v>
      </c>
      <c r="EX63" s="2161">
        <v>2746</v>
      </c>
      <c r="EY63" s="2161">
        <v>2514</v>
      </c>
      <c r="EZ63" s="2161">
        <v>2251</v>
      </c>
      <c r="FA63" s="2339">
        <v>1562</v>
      </c>
      <c r="FB63" s="2339">
        <v>1949</v>
      </c>
      <c r="FC63" s="2339">
        <v>1590</v>
      </c>
      <c r="FD63" s="2772">
        <v>1717</v>
      </c>
      <c r="FE63" s="2773">
        <v>1675</v>
      </c>
      <c r="FF63" s="2773">
        <v>661</v>
      </c>
      <c r="FG63" s="2773">
        <v>2</v>
      </c>
      <c r="FH63" s="2773">
        <v>18</v>
      </c>
      <c r="FI63" s="2773">
        <v>11</v>
      </c>
      <c r="FJ63" s="2773">
        <v>68</v>
      </c>
      <c r="FK63" s="2773">
        <v>158</v>
      </c>
      <c r="FL63" s="2773">
        <v>152</v>
      </c>
      <c r="FM63" s="2773">
        <v>261</v>
      </c>
      <c r="FN63" s="2773">
        <v>186</v>
      </c>
      <c r="FO63" s="2774">
        <v>413</v>
      </c>
      <c r="FP63" s="2772">
        <v>431</v>
      </c>
      <c r="FQ63" s="2773">
        <v>209</v>
      </c>
      <c r="FR63" s="2773">
        <v>211</v>
      </c>
      <c r="FS63" s="2773">
        <v>238</v>
      </c>
      <c r="FT63" s="2773">
        <v>277</v>
      </c>
      <c r="FU63" s="2773"/>
      <c r="FV63" s="2773"/>
      <c r="FW63" s="2773"/>
      <c r="FX63" s="2773"/>
      <c r="FY63" s="2773"/>
      <c r="FZ63" s="2773"/>
      <c r="GA63" s="2775"/>
      <c r="GB63" s="2764"/>
      <c r="GC63" s="2911">
        <v>2016</v>
      </c>
      <c r="GD63" s="2912">
        <v>2272</v>
      </c>
      <c r="GE63" s="2912">
        <v>3666</v>
      </c>
      <c r="GF63" s="2913">
        <v>2967</v>
      </c>
      <c r="GG63" s="2914">
        <v>2796</v>
      </c>
      <c r="GH63" s="2915">
        <v>3057</v>
      </c>
      <c r="GI63" s="2915">
        <v>4384</v>
      </c>
      <c r="GJ63" s="2916">
        <v>3250</v>
      </c>
      <c r="GK63" s="2917">
        <v>2794</v>
      </c>
      <c r="GL63" s="2918">
        <v>2895</v>
      </c>
      <c r="GM63" s="2919">
        <v>4561</v>
      </c>
      <c r="GN63" s="2919">
        <v>3310</v>
      </c>
      <c r="GO63" s="2920">
        <v>2598</v>
      </c>
      <c r="GP63" s="2921">
        <v>2708</v>
      </c>
      <c r="GQ63" s="2921">
        <v>4390</v>
      </c>
      <c r="GR63" s="2922">
        <v>3581</v>
      </c>
      <c r="GS63" s="2923">
        <v>2450</v>
      </c>
      <c r="GT63" s="2924">
        <v>2864</v>
      </c>
      <c r="GU63" s="2924">
        <v>4040</v>
      </c>
      <c r="GV63" s="2925">
        <v>3396</v>
      </c>
      <c r="GW63" s="2921">
        <v>2274</v>
      </c>
      <c r="GX63" s="2921">
        <v>2312</v>
      </c>
      <c r="GY63" s="2921">
        <v>4170</v>
      </c>
      <c r="GZ63" s="2921">
        <v>3335</v>
      </c>
      <c r="HA63" s="2926">
        <v>2657</v>
      </c>
      <c r="HB63" s="2926">
        <v>2730</v>
      </c>
      <c r="HC63" s="2926">
        <v>4152</v>
      </c>
      <c r="HD63" s="2926">
        <v>3110</v>
      </c>
      <c r="HE63" s="2927">
        <v>2707</v>
      </c>
      <c r="HF63" s="2927">
        <v>2862</v>
      </c>
      <c r="HG63" s="2927">
        <f t="shared" si="17"/>
        <v>4161</v>
      </c>
      <c r="HH63" s="2927">
        <v>3953</v>
      </c>
      <c r="HI63" s="2928">
        <v>2875</v>
      </c>
      <c r="HJ63" s="2928">
        <f t="shared" si="18"/>
        <v>2844</v>
      </c>
      <c r="HK63" s="2928">
        <f t="shared" si="19"/>
        <v>4293</v>
      </c>
      <c r="HL63" s="2927">
        <f t="shared" si="20"/>
        <v>4037</v>
      </c>
      <c r="HM63" s="2846">
        <f t="shared" si="21"/>
        <v>2865</v>
      </c>
      <c r="HN63" s="2846">
        <f t="shared" si="22"/>
        <v>2880</v>
      </c>
      <c r="HO63" s="2846">
        <f t="shared" si="23"/>
        <v>3578</v>
      </c>
      <c r="HP63" s="2846">
        <f t="shared" si="24"/>
        <v>3917</v>
      </c>
      <c r="HQ63" s="2921">
        <f t="shared" si="25"/>
        <v>2786</v>
      </c>
      <c r="HR63" s="2921">
        <f t="shared" si="26"/>
        <v>2762</v>
      </c>
      <c r="HS63" s="2921">
        <f t="shared" si="27"/>
        <v>4096</v>
      </c>
      <c r="HT63" s="2921">
        <f t="shared" si="28"/>
        <v>4152</v>
      </c>
      <c r="HU63" s="2929">
        <f t="shared" si="29"/>
        <v>2999</v>
      </c>
      <c r="HV63" s="2926">
        <f t="shared" si="30"/>
        <v>3427</v>
      </c>
      <c r="HW63" s="2926">
        <f t="shared" si="31"/>
        <v>4617</v>
      </c>
      <c r="HX63" s="2926">
        <f t="shared" si="32"/>
        <v>4120</v>
      </c>
      <c r="HY63" s="2930">
        <f t="shared" si="33"/>
        <v>3306</v>
      </c>
      <c r="HZ63" s="2931">
        <f t="shared" si="34"/>
        <v>4564</v>
      </c>
      <c r="IA63" s="2931">
        <f t="shared" si="35"/>
        <v>7511</v>
      </c>
      <c r="IB63" s="2931">
        <f t="shared" si="36"/>
        <v>5101</v>
      </c>
      <c r="IC63" s="2932">
        <f t="shared" ref="IC63:IC86" si="65">FD63+FE63+FF63</f>
        <v>4053</v>
      </c>
      <c r="ID63" s="2933">
        <f t="shared" ref="ID63:ID86" si="66">FG63+FH63+FI63</f>
        <v>31</v>
      </c>
      <c r="IE63" s="2933">
        <f t="shared" ref="IE63:IE65" si="67">EX63+EY63+EZ63</f>
        <v>7511</v>
      </c>
      <c r="IF63" s="2934">
        <f t="shared" ref="IF63:IF65" si="68">FM63+FN63+FO63</f>
        <v>860</v>
      </c>
      <c r="IG63" s="2929">
        <f t="shared" si="51"/>
        <v>851</v>
      </c>
      <c r="IH63" s="2926">
        <f t="shared" si="52"/>
        <v>515</v>
      </c>
      <c r="II63" s="2926">
        <f t="shared" si="53"/>
        <v>0</v>
      </c>
      <c r="IJ63" s="2926">
        <f t="shared" si="54"/>
        <v>0</v>
      </c>
      <c r="IK63" s="2735"/>
      <c r="IL63" s="3544">
        <v>10921</v>
      </c>
      <c r="IM63" s="3545">
        <v>13487</v>
      </c>
      <c r="IN63" s="3545">
        <v>13560</v>
      </c>
      <c r="IO63" s="3545">
        <v>13277</v>
      </c>
      <c r="IP63" s="3545">
        <v>12750</v>
      </c>
      <c r="IQ63" s="3545">
        <v>12091</v>
      </c>
      <c r="IR63" s="3546">
        <v>12649</v>
      </c>
      <c r="IS63" s="3547">
        <v>13683</v>
      </c>
      <c r="IT63" s="3547">
        <f t="shared" si="37"/>
        <v>14049</v>
      </c>
      <c r="IU63" s="3547">
        <f t="shared" si="38"/>
        <v>13355</v>
      </c>
      <c r="IV63" s="3547">
        <f t="shared" si="39"/>
        <v>13796</v>
      </c>
      <c r="IW63" s="3547">
        <f t="shared" si="40"/>
        <v>15163</v>
      </c>
      <c r="IX63" s="3548">
        <f t="shared" si="55"/>
        <v>20482</v>
      </c>
      <c r="IY63" s="3566">
        <f t="shared" si="41"/>
        <v>5322</v>
      </c>
      <c r="IZ63" s="3564">
        <f t="shared" si="57"/>
        <v>2570</v>
      </c>
      <c r="JA63" s="3765">
        <f t="shared" si="58"/>
        <v>1366</v>
      </c>
      <c r="JC63" s="3551">
        <f t="shared" si="59"/>
        <v>3946</v>
      </c>
      <c r="JD63" s="3552">
        <f t="shared" si="42"/>
        <v>2.1278595851669625E-2</v>
      </c>
      <c r="JE63" s="3552">
        <f t="shared" si="43"/>
        <v>2.1129338322119794E-2</v>
      </c>
      <c r="JF63" s="3552">
        <f t="shared" si="60"/>
        <v>2.2155496135244524E-2</v>
      </c>
      <c r="JG63" s="3552">
        <f t="shared" si="56"/>
        <v>2.9927380587092156E-2</v>
      </c>
      <c r="JH63" s="3552">
        <f t="shared" si="61"/>
        <v>2.7949185209303791E-2</v>
      </c>
      <c r="JI63" s="3565">
        <f t="shared" si="62"/>
        <v>9.1460376660165987E-3</v>
      </c>
      <c r="JJ63" s="3552"/>
      <c r="JK63" s="3554">
        <f t="shared" si="44"/>
        <v>3.3021340321976789E-2</v>
      </c>
      <c r="JL63" s="3555">
        <f t="shared" si="45"/>
        <v>-0.70453013852489699</v>
      </c>
      <c r="JM63" s="3555">
        <f t="shared" si="46"/>
        <v>9.908669179472307E-2</v>
      </c>
      <c r="JN63" s="3555">
        <f t="shared" si="46"/>
        <v>0.35078810261821536</v>
      </c>
      <c r="JO63" s="3555">
        <f t="shared" si="46"/>
        <v>-0.74016209354555218</v>
      </c>
      <c r="JP63" s="3556">
        <f t="shared" si="63"/>
        <v>-0.87452397226833312</v>
      </c>
      <c r="JQ63" s="3557">
        <f t="shared" si="64"/>
        <v>-0.51709883502442688</v>
      </c>
      <c r="JS63" s="3231"/>
      <c r="JT63" s="3231"/>
      <c r="JU63" s="3231"/>
      <c r="JV63" s="3231"/>
      <c r="JW63" s="3231"/>
      <c r="JX63" s="3231"/>
      <c r="JY63" s="3231"/>
      <c r="JZ63" s="3231"/>
      <c r="KA63" s="3231"/>
      <c r="KB63" s="3231"/>
      <c r="KC63" s="3231"/>
      <c r="KD63" s="3231"/>
      <c r="KE63" s="3231"/>
      <c r="KF63" s="3231"/>
      <c r="KG63" s="3231"/>
      <c r="KH63" s="3231"/>
      <c r="KI63" s="3231"/>
      <c r="KJ63" s="3231"/>
      <c r="KK63" s="3231"/>
      <c r="KL63" s="3231"/>
      <c r="KM63" s="3231"/>
      <c r="KN63" s="3231"/>
      <c r="KO63" s="3231"/>
    </row>
    <row r="64" spans="1:301" ht="21.9" customHeight="1">
      <c r="A64" s="3568"/>
      <c r="B64" s="3231"/>
      <c r="C64" s="3567" t="s">
        <v>8</v>
      </c>
      <c r="D64" s="3516">
        <v>753</v>
      </c>
      <c r="E64" s="3517">
        <v>714</v>
      </c>
      <c r="F64" s="3517">
        <v>737</v>
      </c>
      <c r="G64" s="3517">
        <v>613</v>
      </c>
      <c r="H64" s="3517">
        <v>651</v>
      </c>
      <c r="I64" s="3517">
        <v>747</v>
      </c>
      <c r="J64" s="3517">
        <v>827</v>
      </c>
      <c r="K64" s="3517">
        <v>1300</v>
      </c>
      <c r="L64" s="3517">
        <v>952</v>
      </c>
      <c r="M64" s="3517">
        <v>1111</v>
      </c>
      <c r="N64" s="3517">
        <v>1099</v>
      </c>
      <c r="O64" s="3518">
        <v>1314</v>
      </c>
      <c r="P64" s="3519">
        <v>827</v>
      </c>
      <c r="Q64" s="3520">
        <v>1276</v>
      </c>
      <c r="R64" s="3520">
        <v>1217</v>
      </c>
      <c r="S64" s="3520">
        <v>1118</v>
      </c>
      <c r="T64" s="3520">
        <v>1255</v>
      </c>
      <c r="U64" s="3520">
        <v>1036</v>
      </c>
      <c r="V64" s="3520">
        <v>1195</v>
      </c>
      <c r="W64" s="3520">
        <v>1641</v>
      </c>
      <c r="X64" s="3520">
        <v>1154</v>
      </c>
      <c r="Y64" s="3520">
        <v>1777</v>
      </c>
      <c r="Z64" s="3520">
        <v>1428</v>
      </c>
      <c r="AA64" s="3521">
        <v>2225</v>
      </c>
      <c r="AB64" s="3522">
        <v>1083</v>
      </c>
      <c r="AC64" s="3523">
        <v>1249</v>
      </c>
      <c r="AD64" s="3523">
        <v>1024</v>
      </c>
      <c r="AE64" s="3523">
        <v>1356</v>
      </c>
      <c r="AF64" s="3523">
        <v>1292</v>
      </c>
      <c r="AG64" s="3523">
        <v>1228</v>
      </c>
      <c r="AH64" s="3523">
        <v>1508</v>
      </c>
      <c r="AI64" s="3523">
        <v>2113</v>
      </c>
      <c r="AJ64" s="3523">
        <v>1520</v>
      </c>
      <c r="AK64" s="3523">
        <v>1841</v>
      </c>
      <c r="AL64" s="3523">
        <v>2046</v>
      </c>
      <c r="AM64" s="3524">
        <v>3228</v>
      </c>
      <c r="AN64" s="3525">
        <v>1651</v>
      </c>
      <c r="AO64" s="3526">
        <v>2875</v>
      </c>
      <c r="AP64" s="3526">
        <v>1387</v>
      </c>
      <c r="AQ64" s="3526">
        <v>1111</v>
      </c>
      <c r="AR64" s="3526">
        <v>1191</v>
      </c>
      <c r="AS64" s="3526">
        <v>1113</v>
      </c>
      <c r="AT64" s="3526">
        <v>1335</v>
      </c>
      <c r="AU64" s="3526">
        <v>1591</v>
      </c>
      <c r="AV64" s="3526">
        <v>1306</v>
      </c>
      <c r="AW64" s="3526">
        <v>1534</v>
      </c>
      <c r="AX64" s="3526">
        <v>1720</v>
      </c>
      <c r="AY64" s="3527">
        <v>1968</v>
      </c>
      <c r="AZ64" s="3463">
        <v>1032</v>
      </c>
      <c r="BA64" s="3463">
        <v>1376</v>
      </c>
      <c r="BB64" s="3463">
        <v>1492</v>
      </c>
      <c r="BC64" s="3463">
        <v>1632</v>
      </c>
      <c r="BD64" s="3463">
        <v>1480</v>
      </c>
      <c r="BE64" s="3463">
        <v>1340</v>
      </c>
      <c r="BF64" s="3463">
        <v>1534</v>
      </c>
      <c r="BG64" s="3463">
        <v>1989</v>
      </c>
      <c r="BH64" s="3463">
        <v>2317</v>
      </c>
      <c r="BI64" s="3463">
        <v>2313</v>
      </c>
      <c r="BJ64" s="3463">
        <v>2294</v>
      </c>
      <c r="BK64" s="3560">
        <v>2927</v>
      </c>
      <c r="BL64" s="3530">
        <v>1103</v>
      </c>
      <c r="BM64" s="3531">
        <v>1731</v>
      </c>
      <c r="BN64" s="3531">
        <v>1529</v>
      </c>
      <c r="BO64" s="3531">
        <v>1459</v>
      </c>
      <c r="BP64" s="3531">
        <v>1418</v>
      </c>
      <c r="BQ64" s="3531">
        <v>1675</v>
      </c>
      <c r="BR64" s="3531">
        <v>1770</v>
      </c>
      <c r="BS64" s="3531">
        <v>2101</v>
      </c>
      <c r="BT64" s="3532">
        <v>2091</v>
      </c>
      <c r="BU64" s="3532">
        <v>2502</v>
      </c>
      <c r="BV64" s="3532">
        <v>4173</v>
      </c>
      <c r="BW64" s="3533">
        <v>4955</v>
      </c>
      <c r="BX64" s="3534">
        <v>3054</v>
      </c>
      <c r="BY64" s="3459">
        <v>4459</v>
      </c>
      <c r="BZ64" s="3459">
        <v>4045</v>
      </c>
      <c r="CA64" s="3459">
        <v>4332</v>
      </c>
      <c r="CB64" s="3459">
        <v>4937</v>
      </c>
      <c r="CC64" s="3459">
        <v>5647</v>
      </c>
      <c r="CD64" s="3459">
        <v>7092</v>
      </c>
      <c r="CE64" s="3459">
        <v>7074</v>
      </c>
      <c r="CF64" s="3459">
        <v>7620</v>
      </c>
      <c r="CG64" s="3459">
        <v>10699</v>
      </c>
      <c r="CH64" s="3459">
        <v>11241</v>
      </c>
      <c r="CI64" s="3461">
        <v>7989</v>
      </c>
      <c r="CJ64" s="3535">
        <v>4693</v>
      </c>
      <c r="CK64" s="3536">
        <v>5741</v>
      </c>
      <c r="CL64" s="3536">
        <v>5725</v>
      </c>
      <c r="CM64" s="3536">
        <v>5619</v>
      </c>
      <c r="CN64" s="3536">
        <v>5346</v>
      </c>
      <c r="CO64" s="3536">
        <v>6807</v>
      </c>
      <c r="CP64" s="3536">
        <v>6926</v>
      </c>
      <c r="CQ64" s="3536">
        <v>8583</v>
      </c>
      <c r="CR64" s="3536">
        <v>9992</v>
      </c>
      <c r="CS64" s="3536">
        <v>9297</v>
      </c>
      <c r="CT64" s="3536">
        <v>10296</v>
      </c>
      <c r="CU64" s="3537">
        <v>11157</v>
      </c>
      <c r="CV64" s="3535">
        <v>2358</v>
      </c>
      <c r="CW64" s="3536">
        <v>2290</v>
      </c>
      <c r="CX64" s="3458">
        <v>4142</v>
      </c>
      <c r="CY64" s="3458">
        <v>6065</v>
      </c>
      <c r="CZ64" s="3458">
        <v>5121</v>
      </c>
      <c r="DA64" s="3458">
        <v>3749</v>
      </c>
      <c r="DB64" s="3458">
        <v>2801</v>
      </c>
      <c r="DC64" s="3458">
        <v>3138</v>
      </c>
      <c r="DD64" s="3458">
        <v>4863</v>
      </c>
      <c r="DE64" s="3458">
        <v>5562</v>
      </c>
      <c r="DF64" s="3458">
        <v>6086</v>
      </c>
      <c r="DG64" s="3537">
        <v>5218</v>
      </c>
      <c r="DH64" s="3538">
        <v>3766</v>
      </c>
      <c r="DI64" s="3539">
        <v>3119</v>
      </c>
      <c r="DJ64" s="3539">
        <v>3278</v>
      </c>
      <c r="DK64" s="3540">
        <v>2499</v>
      </c>
      <c r="DL64" s="3540">
        <v>2287</v>
      </c>
      <c r="DM64" s="3540">
        <v>1861</v>
      </c>
      <c r="DN64" s="3540">
        <v>1997</v>
      </c>
      <c r="DO64" s="3540">
        <v>1859</v>
      </c>
      <c r="DP64" s="2713">
        <v>1632</v>
      </c>
      <c r="DQ64" s="3540">
        <v>1802</v>
      </c>
      <c r="DR64" s="3540">
        <v>2234</v>
      </c>
      <c r="DS64" s="3541">
        <v>2275</v>
      </c>
      <c r="DT64" s="3542">
        <v>2611</v>
      </c>
      <c r="DU64" s="3429">
        <v>2623</v>
      </c>
      <c r="DV64" s="3429">
        <v>3077</v>
      </c>
      <c r="DW64" s="3350">
        <v>1899</v>
      </c>
      <c r="DX64" s="3350">
        <v>1788</v>
      </c>
      <c r="DY64" s="3350">
        <v>1844</v>
      </c>
      <c r="DZ64" s="3350">
        <v>2187</v>
      </c>
      <c r="EA64" s="3350">
        <v>1627</v>
      </c>
      <c r="EB64" s="3350">
        <v>1459</v>
      </c>
      <c r="EC64" s="3350">
        <v>1321</v>
      </c>
      <c r="ED64" s="3350">
        <v>1420</v>
      </c>
      <c r="EE64" s="3349">
        <v>1417</v>
      </c>
      <c r="EF64" s="2689">
        <v>1226</v>
      </c>
      <c r="EG64" s="2688">
        <v>1186</v>
      </c>
      <c r="EH64" s="2688">
        <v>1106</v>
      </c>
      <c r="EI64" s="2688">
        <v>1006</v>
      </c>
      <c r="EJ64" s="2688">
        <v>1115</v>
      </c>
      <c r="EK64" s="2688">
        <v>1223</v>
      </c>
      <c r="EL64" s="2688">
        <v>1373</v>
      </c>
      <c r="EM64" s="2714">
        <v>1180</v>
      </c>
      <c r="EN64" s="2714">
        <v>1316</v>
      </c>
      <c r="EO64" s="2715">
        <v>1366</v>
      </c>
      <c r="EP64" s="2715">
        <v>1417</v>
      </c>
      <c r="EQ64" s="2716">
        <v>1480</v>
      </c>
      <c r="ER64" s="1348">
        <v>839</v>
      </c>
      <c r="ES64" s="3543">
        <v>615</v>
      </c>
      <c r="ET64" s="3543">
        <v>713</v>
      </c>
      <c r="EU64" s="2717">
        <v>970</v>
      </c>
      <c r="EV64" s="2162">
        <v>1338</v>
      </c>
      <c r="EW64" s="2162">
        <v>1196</v>
      </c>
      <c r="EX64" s="2162">
        <v>1791</v>
      </c>
      <c r="EY64" s="2162">
        <v>1978</v>
      </c>
      <c r="EZ64" s="2162">
        <v>959</v>
      </c>
      <c r="FA64" s="2339">
        <v>956</v>
      </c>
      <c r="FB64" s="2339">
        <v>1165</v>
      </c>
      <c r="FC64" s="2339">
        <v>1300</v>
      </c>
      <c r="FD64" s="2772">
        <v>1957</v>
      </c>
      <c r="FE64" s="2773">
        <v>980</v>
      </c>
      <c r="FF64" s="2773">
        <v>604</v>
      </c>
      <c r="FG64" s="2773">
        <v>15</v>
      </c>
      <c r="FH64" s="2773">
        <v>28</v>
      </c>
      <c r="FI64" s="2773">
        <v>30</v>
      </c>
      <c r="FJ64" s="2773">
        <v>79</v>
      </c>
      <c r="FK64" s="2773">
        <v>74</v>
      </c>
      <c r="FL64" s="2773">
        <v>158</v>
      </c>
      <c r="FM64" s="2773">
        <v>136</v>
      </c>
      <c r="FN64" s="2773">
        <v>327</v>
      </c>
      <c r="FO64" s="2774">
        <v>284</v>
      </c>
      <c r="FP64" s="2772">
        <v>409</v>
      </c>
      <c r="FQ64" s="2773">
        <v>282</v>
      </c>
      <c r="FR64" s="2773">
        <v>283</v>
      </c>
      <c r="FS64" s="2773">
        <v>342</v>
      </c>
      <c r="FT64" s="2773">
        <v>477</v>
      </c>
      <c r="FU64" s="2773"/>
      <c r="FV64" s="2773"/>
      <c r="FW64" s="2773"/>
      <c r="FX64" s="2773"/>
      <c r="FY64" s="2773"/>
      <c r="FZ64" s="2773"/>
      <c r="GA64" s="2775"/>
      <c r="GB64" s="2764"/>
      <c r="GC64" s="2911">
        <v>2204</v>
      </c>
      <c r="GD64" s="2912">
        <v>2011</v>
      </c>
      <c r="GE64" s="2912">
        <v>3079</v>
      </c>
      <c r="GF64" s="2913">
        <v>3524</v>
      </c>
      <c r="GG64" s="2914">
        <v>3320</v>
      </c>
      <c r="GH64" s="2915">
        <v>3409</v>
      </c>
      <c r="GI64" s="2915">
        <v>3990</v>
      </c>
      <c r="GJ64" s="2916">
        <v>5430</v>
      </c>
      <c r="GK64" s="2917">
        <v>3356</v>
      </c>
      <c r="GL64" s="2918">
        <v>3876</v>
      </c>
      <c r="GM64" s="2919">
        <v>5141</v>
      </c>
      <c r="GN64" s="2919">
        <v>7115</v>
      </c>
      <c r="GO64" s="2920">
        <v>5913</v>
      </c>
      <c r="GP64" s="2921">
        <v>3415</v>
      </c>
      <c r="GQ64" s="2921">
        <v>4232</v>
      </c>
      <c r="GR64" s="2922">
        <v>5222</v>
      </c>
      <c r="GS64" s="2923">
        <v>3900</v>
      </c>
      <c r="GT64" s="2924">
        <v>4452</v>
      </c>
      <c r="GU64" s="2924">
        <v>5840</v>
      </c>
      <c r="GV64" s="2925">
        <v>7534</v>
      </c>
      <c r="GW64" s="2921">
        <v>4363</v>
      </c>
      <c r="GX64" s="2921">
        <v>4552</v>
      </c>
      <c r="GY64" s="2921">
        <v>5962</v>
      </c>
      <c r="GZ64" s="2921">
        <v>11630</v>
      </c>
      <c r="HA64" s="2926">
        <v>11558</v>
      </c>
      <c r="HB64" s="2926">
        <v>14916</v>
      </c>
      <c r="HC64" s="2926">
        <v>21786</v>
      </c>
      <c r="HD64" s="2926">
        <v>29929</v>
      </c>
      <c r="HE64" s="2927">
        <v>16159</v>
      </c>
      <c r="HF64" s="2927">
        <v>17772</v>
      </c>
      <c r="HG64" s="2927">
        <f t="shared" si="17"/>
        <v>25501</v>
      </c>
      <c r="HH64" s="2927">
        <v>30750</v>
      </c>
      <c r="HI64" s="2928">
        <v>8790</v>
      </c>
      <c r="HJ64" s="2928">
        <f t="shared" si="18"/>
        <v>14935</v>
      </c>
      <c r="HK64" s="2928">
        <f t="shared" si="19"/>
        <v>10802</v>
      </c>
      <c r="HL64" s="2927">
        <f t="shared" si="20"/>
        <v>16866</v>
      </c>
      <c r="HM64" s="2846">
        <f t="shared" si="21"/>
        <v>10163</v>
      </c>
      <c r="HN64" s="2846">
        <f t="shared" si="22"/>
        <v>6647</v>
      </c>
      <c r="HO64" s="2846">
        <f t="shared" si="23"/>
        <v>6131</v>
      </c>
      <c r="HP64" s="2846">
        <f t="shared" si="24"/>
        <v>6311</v>
      </c>
      <c r="HQ64" s="2921">
        <f t="shared" si="25"/>
        <v>8311</v>
      </c>
      <c r="HR64" s="2921">
        <f t="shared" si="26"/>
        <v>5531</v>
      </c>
      <c r="HS64" s="2921">
        <f t="shared" si="27"/>
        <v>5273</v>
      </c>
      <c r="HT64" s="2921">
        <f t="shared" si="28"/>
        <v>4158</v>
      </c>
      <c r="HU64" s="2929">
        <f t="shared" si="29"/>
        <v>3518</v>
      </c>
      <c r="HV64" s="2926">
        <f t="shared" si="30"/>
        <v>3344</v>
      </c>
      <c r="HW64" s="2926">
        <f t="shared" si="31"/>
        <v>3869</v>
      </c>
      <c r="HX64" s="2926">
        <f t="shared" si="32"/>
        <v>4263</v>
      </c>
      <c r="HY64" s="2930">
        <f t="shared" si="33"/>
        <v>2167</v>
      </c>
      <c r="HZ64" s="2931">
        <f t="shared" si="34"/>
        <v>3504</v>
      </c>
      <c r="IA64" s="2931">
        <f t="shared" si="35"/>
        <v>4728</v>
      </c>
      <c r="IB64" s="2931">
        <f t="shared" si="36"/>
        <v>3421</v>
      </c>
      <c r="IC64" s="2932">
        <f t="shared" si="65"/>
        <v>3541</v>
      </c>
      <c r="ID64" s="2933">
        <f t="shared" si="66"/>
        <v>73</v>
      </c>
      <c r="IE64" s="2933">
        <f t="shared" si="67"/>
        <v>4728</v>
      </c>
      <c r="IF64" s="2934">
        <f t="shared" si="68"/>
        <v>747</v>
      </c>
      <c r="IG64" s="2929">
        <f t="shared" si="51"/>
        <v>974</v>
      </c>
      <c r="IH64" s="2926">
        <f t="shared" si="52"/>
        <v>819</v>
      </c>
      <c r="II64" s="2926">
        <f t="shared" si="53"/>
        <v>0</v>
      </c>
      <c r="IJ64" s="2926">
        <f t="shared" si="54"/>
        <v>0</v>
      </c>
      <c r="IK64" s="2735"/>
      <c r="IL64" s="3544">
        <v>10818</v>
      </c>
      <c r="IM64" s="3545">
        <v>16149</v>
      </c>
      <c r="IN64" s="3545">
        <v>19488</v>
      </c>
      <c r="IO64" s="3545">
        <v>18782</v>
      </c>
      <c r="IP64" s="3545">
        <v>21726</v>
      </c>
      <c r="IQ64" s="3545">
        <v>26507</v>
      </c>
      <c r="IR64" s="3546">
        <v>78189</v>
      </c>
      <c r="IS64" s="3547">
        <v>90182</v>
      </c>
      <c r="IT64" s="3547">
        <f t="shared" si="37"/>
        <v>51393</v>
      </c>
      <c r="IU64" s="3547">
        <f t="shared" si="38"/>
        <v>28609</v>
      </c>
      <c r="IV64" s="3547">
        <f t="shared" si="39"/>
        <v>23273</v>
      </c>
      <c r="IW64" s="3547">
        <f t="shared" si="40"/>
        <v>14994</v>
      </c>
      <c r="IX64" s="3548">
        <f t="shared" si="55"/>
        <v>13820</v>
      </c>
      <c r="IY64" s="3566">
        <f t="shared" si="41"/>
        <v>4672</v>
      </c>
      <c r="IZ64" s="3564">
        <f t="shared" si="57"/>
        <v>2426</v>
      </c>
      <c r="JA64" s="3765">
        <f t="shared" si="58"/>
        <v>1793</v>
      </c>
      <c r="JC64" s="3551">
        <f t="shared" si="59"/>
        <v>3549</v>
      </c>
      <c r="JD64" s="3552">
        <f t="shared" si="42"/>
        <v>4.5582878975695719E-2</v>
      </c>
      <c r="JE64" s="3552">
        <f t="shared" si="43"/>
        <v>3.5643888864213831E-2</v>
      </c>
      <c r="JF64" s="3552">
        <f t="shared" si="60"/>
        <v>2.1908560908254066E-2</v>
      </c>
      <c r="JG64" s="3552">
        <f t="shared" si="56"/>
        <v>2.0193164716024489E-2</v>
      </c>
      <c r="JH64" s="3552">
        <f t="shared" si="61"/>
        <v>2.4535624445296375E-2</v>
      </c>
      <c r="JI64" s="3565">
        <f t="shared" si="62"/>
        <v>8.6335748551580813E-3</v>
      </c>
      <c r="JJ64" s="3552"/>
      <c r="JK64" s="3554">
        <f t="shared" si="44"/>
        <v>-0.18651473312593936</v>
      </c>
      <c r="JL64" s="3555">
        <f t="shared" si="45"/>
        <v>-0.875948128211402</v>
      </c>
      <c r="JM64" s="3555">
        <f t="shared" si="46"/>
        <v>-0.35573411249086928</v>
      </c>
      <c r="JN64" s="3555">
        <f t="shared" si="46"/>
        <v>-7.829798586101111E-2</v>
      </c>
      <c r="JO64" s="3555">
        <f t="shared" si="46"/>
        <v>-0.66193921852387838</v>
      </c>
      <c r="JP64" s="3556">
        <f t="shared" si="63"/>
        <v>-0.82445730824891461</v>
      </c>
      <c r="JQ64" s="3557">
        <f t="shared" si="64"/>
        <v>-0.48073630136986301</v>
      </c>
      <c r="JS64" s="3231"/>
      <c r="JT64" s="3231"/>
      <c r="JU64" s="3231"/>
      <c r="JV64" s="3231"/>
      <c r="JW64" s="3231"/>
      <c r="JX64" s="3231"/>
      <c r="JY64" s="3231"/>
      <c r="JZ64" s="3231"/>
      <c r="KA64" s="3231"/>
      <c r="KB64" s="3231"/>
      <c r="KC64" s="3231"/>
      <c r="KD64" s="3231"/>
      <c r="KE64" s="3231"/>
      <c r="KF64" s="3231"/>
      <c r="KG64" s="3231"/>
      <c r="KH64" s="3231"/>
      <c r="KI64" s="3231"/>
      <c r="KJ64" s="3231"/>
      <c r="KK64" s="3231"/>
      <c r="KL64" s="3231"/>
      <c r="KM64" s="3231"/>
      <c r="KN64" s="3231"/>
      <c r="KO64" s="3231"/>
    </row>
    <row r="65" spans="1:301" ht="21.9" customHeight="1">
      <c r="A65" s="3558"/>
      <c r="B65" s="3231"/>
      <c r="C65" s="3559" t="s">
        <v>16</v>
      </c>
      <c r="D65" s="3516">
        <v>601</v>
      </c>
      <c r="E65" s="3517">
        <v>485</v>
      </c>
      <c r="F65" s="3517">
        <v>562</v>
      </c>
      <c r="G65" s="3517">
        <v>458</v>
      </c>
      <c r="H65" s="3517">
        <v>506</v>
      </c>
      <c r="I65" s="3517">
        <v>493</v>
      </c>
      <c r="J65" s="3517">
        <v>640</v>
      </c>
      <c r="K65" s="3517">
        <v>660</v>
      </c>
      <c r="L65" s="3517">
        <v>623</v>
      </c>
      <c r="M65" s="3517">
        <v>809</v>
      </c>
      <c r="N65" s="3517">
        <v>721</v>
      </c>
      <c r="O65" s="3518">
        <v>581</v>
      </c>
      <c r="P65" s="3519">
        <v>742</v>
      </c>
      <c r="Q65" s="3520">
        <v>1092</v>
      </c>
      <c r="R65" s="3520">
        <v>815</v>
      </c>
      <c r="S65" s="3520">
        <v>665</v>
      </c>
      <c r="T65" s="3520">
        <v>807</v>
      </c>
      <c r="U65" s="3520">
        <v>1147</v>
      </c>
      <c r="V65" s="3520">
        <v>1017</v>
      </c>
      <c r="W65" s="3520">
        <v>826</v>
      </c>
      <c r="X65" s="3520">
        <v>918</v>
      </c>
      <c r="Y65" s="3520">
        <v>792</v>
      </c>
      <c r="Z65" s="3520">
        <v>734</v>
      </c>
      <c r="AA65" s="3521">
        <v>659</v>
      </c>
      <c r="AB65" s="3522">
        <v>705</v>
      </c>
      <c r="AC65" s="3523">
        <v>675</v>
      </c>
      <c r="AD65" s="3523">
        <v>680</v>
      </c>
      <c r="AE65" s="3523">
        <v>672</v>
      </c>
      <c r="AF65" s="3523">
        <v>653</v>
      </c>
      <c r="AG65" s="3523">
        <v>634</v>
      </c>
      <c r="AH65" s="3523">
        <v>832</v>
      </c>
      <c r="AI65" s="3523">
        <v>848</v>
      </c>
      <c r="AJ65" s="3523">
        <v>720</v>
      </c>
      <c r="AK65" s="3523">
        <v>789</v>
      </c>
      <c r="AL65" s="3523">
        <v>930</v>
      </c>
      <c r="AM65" s="3524">
        <v>731</v>
      </c>
      <c r="AN65" s="3525">
        <v>924</v>
      </c>
      <c r="AO65" s="3526">
        <v>696</v>
      </c>
      <c r="AP65" s="3526">
        <v>663</v>
      </c>
      <c r="AQ65" s="3526">
        <v>716</v>
      </c>
      <c r="AR65" s="3526">
        <v>756</v>
      </c>
      <c r="AS65" s="3526">
        <v>723</v>
      </c>
      <c r="AT65" s="3526">
        <v>894</v>
      </c>
      <c r="AU65" s="3526">
        <v>783</v>
      </c>
      <c r="AV65" s="3526">
        <v>912</v>
      </c>
      <c r="AW65" s="3526">
        <v>829</v>
      </c>
      <c r="AX65" s="3526">
        <v>856</v>
      </c>
      <c r="AY65" s="3527">
        <v>807</v>
      </c>
      <c r="AZ65" s="3463">
        <v>932</v>
      </c>
      <c r="BA65" s="3463">
        <v>719</v>
      </c>
      <c r="BB65" s="3463">
        <v>938</v>
      </c>
      <c r="BC65" s="3463">
        <v>769</v>
      </c>
      <c r="BD65" s="3463">
        <v>816</v>
      </c>
      <c r="BE65" s="3463">
        <v>810</v>
      </c>
      <c r="BF65" s="3463">
        <v>970</v>
      </c>
      <c r="BG65" s="3463">
        <v>834</v>
      </c>
      <c r="BH65" s="3463">
        <v>856</v>
      </c>
      <c r="BI65" s="3463">
        <v>924</v>
      </c>
      <c r="BJ65" s="3463">
        <v>793</v>
      </c>
      <c r="BK65" s="3560">
        <v>822</v>
      </c>
      <c r="BL65" s="3530">
        <v>834</v>
      </c>
      <c r="BM65" s="3531">
        <v>769</v>
      </c>
      <c r="BN65" s="3531">
        <v>821</v>
      </c>
      <c r="BO65" s="3531">
        <v>842</v>
      </c>
      <c r="BP65" s="3531">
        <v>921</v>
      </c>
      <c r="BQ65" s="3531">
        <v>1131</v>
      </c>
      <c r="BR65" s="3531">
        <v>1140</v>
      </c>
      <c r="BS65" s="3531">
        <v>979</v>
      </c>
      <c r="BT65" s="3532">
        <v>975</v>
      </c>
      <c r="BU65" s="3532">
        <v>994</v>
      </c>
      <c r="BV65" s="3532">
        <v>1053</v>
      </c>
      <c r="BW65" s="3533">
        <v>931</v>
      </c>
      <c r="BX65" s="3534">
        <v>941</v>
      </c>
      <c r="BY65" s="3459">
        <v>723</v>
      </c>
      <c r="BZ65" s="3459">
        <v>783</v>
      </c>
      <c r="CA65" s="3459">
        <v>862</v>
      </c>
      <c r="CB65" s="3459">
        <v>903</v>
      </c>
      <c r="CC65" s="3459">
        <v>861</v>
      </c>
      <c r="CD65" s="3459">
        <v>932</v>
      </c>
      <c r="CE65" s="3459">
        <v>714</v>
      </c>
      <c r="CF65" s="3459">
        <v>996</v>
      </c>
      <c r="CG65" s="3459">
        <v>940</v>
      </c>
      <c r="CH65" s="3459">
        <v>1183</v>
      </c>
      <c r="CI65" s="3461">
        <v>1214</v>
      </c>
      <c r="CJ65" s="3535">
        <v>1206</v>
      </c>
      <c r="CK65" s="3536">
        <v>1082</v>
      </c>
      <c r="CL65" s="3536">
        <v>958</v>
      </c>
      <c r="CM65" s="3536">
        <v>984</v>
      </c>
      <c r="CN65" s="3536">
        <v>1190</v>
      </c>
      <c r="CO65" s="3536">
        <v>753</v>
      </c>
      <c r="CP65" s="3536">
        <v>1072</v>
      </c>
      <c r="CQ65" s="3536">
        <v>1031</v>
      </c>
      <c r="CR65" s="3536">
        <v>1195</v>
      </c>
      <c r="CS65" s="3536">
        <v>1257</v>
      </c>
      <c r="CT65" s="3536">
        <v>1415</v>
      </c>
      <c r="CU65" s="3537">
        <v>1565</v>
      </c>
      <c r="CV65" s="3535">
        <v>1621</v>
      </c>
      <c r="CW65" s="3536">
        <v>1093</v>
      </c>
      <c r="CX65" s="3458">
        <v>918</v>
      </c>
      <c r="CY65" s="3458">
        <v>1026</v>
      </c>
      <c r="CZ65" s="3458">
        <v>1047</v>
      </c>
      <c r="DA65" s="3458">
        <v>937</v>
      </c>
      <c r="DB65" s="3458">
        <v>1223</v>
      </c>
      <c r="DC65" s="3458">
        <v>939</v>
      </c>
      <c r="DD65" s="3458">
        <v>863</v>
      </c>
      <c r="DE65" s="3458">
        <v>940</v>
      </c>
      <c r="DF65" s="3458">
        <v>1003</v>
      </c>
      <c r="DG65" s="3537">
        <v>1325</v>
      </c>
      <c r="DH65" s="3538">
        <v>965</v>
      </c>
      <c r="DI65" s="3539">
        <v>748</v>
      </c>
      <c r="DJ65" s="3539">
        <v>734</v>
      </c>
      <c r="DK65" s="3540">
        <v>736</v>
      </c>
      <c r="DL65" s="3540">
        <v>751</v>
      </c>
      <c r="DM65" s="3540">
        <v>821</v>
      </c>
      <c r="DN65" s="3540">
        <v>874</v>
      </c>
      <c r="DO65" s="3540">
        <v>960</v>
      </c>
      <c r="DP65" s="2713">
        <v>826</v>
      </c>
      <c r="DQ65" s="3540">
        <v>1331</v>
      </c>
      <c r="DR65" s="3540">
        <v>981</v>
      </c>
      <c r="DS65" s="3541">
        <v>896</v>
      </c>
      <c r="DT65" s="3542">
        <v>1060</v>
      </c>
      <c r="DU65" s="3429">
        <v>849</v>
      </c>
      <c r="DV65" s="3429">
        <v>907</v>
      </c>
      <c r="DW65" s="3350">
        <v>1130</v>
      </c>
      <c r="DX65" s="3350">
        <v>878</v>
      </c>
      <c r="DY65" s="3350">
        <v>938</v>
      </c>
      <c r="DZ65" s="3350">
        <v>1156</v>
      </c>
      <c r="EA65" s="3350">
        <v>925</v>
      </c>
      <c r="EB65" s="3350">
        <v>972</v>
      </c>
      <c r="EC65" s="3350">
        <v>1125</v>
      </c>
      <c r="ED65" s="3350">
        <v>1076</v>
      </c>
      <c r="EE65" s="3349">
        <v>960</v>
      </c>
      <c r="EF65" s="2689">
        <v>1141</v>
      </c>
      <c r="EG65" s="2688">
        <v>1020</v>
      </c>
      <c r="EH65" s="2688">
        <v>899</v>
      </c>
      <c r="EI65" s="2688">
        <v>1032</v>
      </c>
      <c r="EJ65" s="2688">
        <v>1005</v>
      </c>
      <c r="EK65" s="2688">
        <v>1056</v>
      </c>
      <c r="EL65" s="2688">
        <v>1355</v>
      </c>
      <c r="EM65" s="2714">
        <v>837</v>
      </c>
      <c r="EN65" s="2714">
        <v>1152</v>
      </c>
      <c r="EO65" s="2715">
        <v>1381</v>
      </c>
      <c r="EP65" s="2715">
        <v>1016</v>
      </c>
      <c r="EQ65" s="2716">
        <v>1162</v>
      </c>
      <c r="ER65" s="1345">
        <v>2040</v>
      </c>
      <c r="ES65" s="3543">
        <v>1025</v>
      </c>
      <c r="ET65" s="3543">
        <v>1254</v>
      </c>
      <c r="EU65" s="2717">
        <v>1827</v>
      </c>
      <c r="EV65" s="2159">
        <v>1348</v>
      </c>
      <c r="EW65" s="2159">
        <v>1543</v>
      </c>
      <c r="EX65" s="2159">
        <v>1780</v>
      </c>
      <c r="EY65" s="2159">
        <v>1558</v>
      </c>
      <c r="EZ65" s="2159">
        <v>1957</v>
      </c>
      <c r="FA65" s="2339">
        <v>972</v>
      </c>
      <c r="FB65" s="2339">
        <v>1447</v>
      </c>
      <c r="FC65" s="2339">
        <v>1594</v>
      </c>
      <c r="FD65" s="2772">
        <v>1536</v>
      </c>
      <c r="FE65" s="2773">
        <v>1652</v>
      </c>
      <c r="FF65" s="2773">
        <v>512</v>
      </c>
      <c r="FG65" s="2773">
        <v>12</v>
      </c>
      <c r="FH65" s="2773">
        <v>20</v>
      </c>
      <c r="FI65" s="2773">
        <v>12</v>
      </c>
      <c r="FJ65" s="2773">
        <v>48</v>
      </c>
      <c r="FK65" s="2773">
        <v>69</v>
      </c>
      <c r="FL65" s="2773">
        <v>197</v>
      </c>
      <c r="FM65" s="2773">
        <v>136</v>
      </c>
      <c r="FN65" s="2773">
        <v>294</v>
      </c>
      <c r="FO65" s="2774">
        <v>368</v>
      </c>
      <c r="FP65" s="2772">
        <v>324</v>
      </c>
      <c r="FQ65" s="2773">
        <v>198</v>
      </c>
      <c r="FR65" s="2773">
        <v>231</v>
      </c>
      <c r="FS65" s="2773">
        <v>238</v>
      </c>
      <c r="FT65" s="2773">
        <v>367</v>
      </c>
      <c r="FU65" s="2773"/>
      <c r="FV65" s="2773"/>
      <c r="FW65" s="2773"/>
      <c r="FX65" s="2773"/>
      <c r="FY65" s="2773"/>
      <c r="FZ65" s="2773"/>
      <c r="GA65" s="2775"/>
      <c r="GB65" s="2764"/>
      <c r="GC65" s="2911">
        <v>1648</v>
      </c>
      <c r="GD65" s="2912">
        <v>1457</v>
      </c>
      <c r="GE65" s="2912">
        <v>1923</v>
      </c>
      <c r="GF65" s="2913">
        <v>2111</v>
      </c>
      <c r="GG65" s="2914">
        <v>2649</v>
      </c>
      <c r="GH65" s="2915">
        <v>2619</v>
      </c>
      <c r="GI65" s="2915">
        <v>2761</v>
      </c>
      <c r="GJ65" s="2916">
        <v>2185</v>
      </c>
      <c r="GK65" s="2917">
        <v>2060</v>
      </c>
      <c r="GL65" s="2918">
        <v>1959</v>
      </c>
      <c r="GM65" s="2919">
        <v>2400</v>
      </c>
      <c r="GN65" s="2919">
        <v>2450</v>
      </c>
      <c r="GO65" s="2920">
        <v>2283</v>
      </c>
      <c r="GP65" s="2921">
        <v>2195</v>
      </c>
      <c r="GQ65" s="2921">
        <v>2589</v>
      </c>
      <c r="GR65" s="2922">
        <v>2492</v>
      </c>
      <c r="GS65" s="2923">
        <v>2589</v>
      </c>
      <c r="GT65" s="2924">
        <v>2395</v>
      </c>
      <c r="GU65" s="2924">
        <v>2660</v>
      </c>
      <c r="GV65" s="2925">
        <v>2539</v>
      </c>
      <c r="GW65" s="2921">
        <v>2424</v>
      </c>
      <c r="GX65" s="2921">
        <v>2894</v>
      </c>
      <c r="GY65" s="2921">
        <v>3094</v>
      </c>
      <c r="GZ65" s="2921">
        <v>2978</v>
      </c>
      <c r="HA65" s="2926">
        <v>2447</v>
      </c>
      <c r="HB65" s="2926">
        <v>2626</v>
      </c>
      <c r="HC65" s="2926">
        <v>2642</v>
      </c>
      <c r="HD65" s="2926">
        <v>3337</v>
      </c>
      <c r="HE65" s="2927">
        <v>3246</v>
      </c>
      <c r="HF65" s="2927">
        <v>2927</v>
      </c>
      <c r="HG65" s="2927">
        <f t="shared" si="17"/>
        <v>3298</v>
      </c>
      <c r="HH65" s="2927">
        <v>4237</v>
      </c>
      <c r="HI65" s="2928">
        <v>3632</v>
      </c>
      <c r="HJ65" s="2928">
        <f t="shared" si="18"/>
        <v>3010</v>
      </c>
      <c r="HK65" s="2928">
        <f t="shared" si="19"/>
        <v>3025</v>
      </c>
      <c r="HL65" s="2927">
        <f t="shared" si="20"/>
        <v>3268</v>
      </c>
      <c r="HM65" s="2846">
        <f t="shared" si="21"/>
        <v>2447</v>
      </c>
      <c r="HN65" s="2846">
        <f t="shared" si="22"/>
        <v>2308</v>
      </c>
      <c r="HO65" s="2846">
        <f t="shared" si="23"/>
        <v>2730</v>
      </c>
      <c r="HP65" s="2846">
        <f t="shared" si="24"/>
        <v>3208</v>
      </c>
      <c r="HQ65" s="2921">
        <f t="shared" si="25"/>
        <v>2816</v>
      </c>
      <c r="HR65" s="2921">
        <f t="shared" si="26"/>
        <v>2946</v>
      </c>
      <c r="HS65" s="2921">
        <f t="shared" si="27"/>
        <v>3053</v>
      </c>
      <c r="HT65" s="2921">
        <f t="shared" si="28"/>
        <v>3161</v>
      </c>
      <c r="HU65" s="2929">
        <f t="shared" si="29"/>
        <v>3060</v>
      </c>
      <c r="HV65" s="2926">
        <f t="shared" si="30"/>
        <v>3093</v>
      </c>
      <c r="HW65" s="2926">
        <f t="shared" si="31"/>
        <v>3344</v>
      </c>
      <c r="HX65" s="2926">
        <f t="shared" si="32"/>
        <v>3559</v>
      </c>
      <c r="HY65" s="2930">
        <f t="shared" si="33"/>
        <v>4319</v>
      </c>
      <c r="HZ65" s="2931">
        <f t="shared" si="34"/>
        <v>4718</v>
      </c>
      <c r="IA65" s="2931">
        <f t="shared" si="35"/>
        <v>5295</v>
      </c>
      <c r="IB65" s="2931">
        <f t="shared" si="36"/>
        <v>4013</v>
      </c>
      <c r="IC65" s="2932">
        <f t="shared" si="65"/>
        <v>3700</v>
      </c>
      <c r="ID65" s="2933">
        <f t="shared" si="66"/>
        <v>44</v>
      </c>
      <c r="IE65" s="2933">
        <f t="shared" si="67"/>
        <v>5295</v>
      </c>
      <c r="IF65" s="2934">
        <f t="shared" si="68"/>
        <v>798</v>
      </c>
      <c r="IG65" s="2929">
        <f t="shared" si="51"/>
        <v>753</v>
      </c>
      <c r="IH65" s="2926">
        <f t="shared" si="52"/>
        <v>605</v>
      </c>
      <c r="II65" s="2926">
        <f t="shared" si="53"/>
        <v>0</v>
      </c>
      <c r="IJ65" s="2926">
        <f t="shared" si="54"/>
        <v>0</v>
      </c>
      <c r="IK65" s="2735"/>
      <c r="IL65" s="3544">
        <v>7139</v>
      </c>
      <c r="IM65" s="3545">
        <v>10214</v>
      </c>
      <c r="IN65" s="3545">
        <v>8869</v>
      </c>
      <c r="IO65" s="3545">
        <v>9559</v>
      </c>
      <c r="IP65" s="3545">
        <v>10183</v>
      </c>
      <c r="IQ65" s="3545">
        <v>11390</v>
      </c>
      <c r="IR65" s="3546">
        <v>11052</v>
      </c>
      <c r="IS65" s="3547">
        <v>13708</v>
      </c>
      <c r="IT65" s="3547">
        <f t="shared" si="37"/>
        <v>12935</v>
      </c>
      <c r="IU65" s="3547">
        <f t="shared" si="38"/>
        <v>10623</v>
      </c>
      <c r="IV65" s="3547">
        <f t="shared" si="39"/>
        <v>11976</v>
      </c>
      <c r="IW65" s="3547">
        <f t="shared" si="40"/>
        <v>13056</v>
      </c>
      <c r="IX65" s="3548">
        <f t="shared" si="55"/>
        <v>18345</v>
      </c>
      <c r="IY65" s="3566">
        <f t="shared" si="41"/>
        <v>4856</v>
      </c>
      <c r="IZ65" s="3564">
        <f t="shared" si="57"/>
        <v>2190</v>
      </c>
      <c r="JA65" s="3765">
        <f t="shared" si="58"/>
        <v>1358</v>
      </c>
      <c r="JC65" s="3551">
        <f t="shared" si="59"/>
        <v>3523</v>
      </c>
      <c r="JD65" s="3552">
        <f t="shared" si="42"/>
        <v>1.6925685041728672E-2</v>
      </c>
      <c r="JE65" s="3552">
        <f t="shared" si="43"/>
        <v>1.8341907490990624E-2</v>
      </c>
      <c r="JF65" s="3552">
        <f t="shared" si="60"/>
        <v>1.9076842151404899E-2</v>
      </c>
      <c r="JG65" s="3552">
        <f t="shared" si="56"/>
        <v>2.6804891947573753E-2</v>
      </c>
      <c r="JH65" s="3552">
        <f t="shared" si="61"/>
        <v>2.5501924723107704E-2</v>
      </c>
      <c r="JI65" s="3565">
        <f t="shared" si="62"/>
        <v>7.7937052484732877E-3</v>
      </c>
      <c r="JJ65" s="3552"/>
      <c r="JK65" s="3554">
        <f t="shared" si="44"/>
        <v>0.12736515108726354</v>
      </c>
      <c r="JL65" s="3555">
        <f t="shared" si="45"/>
        <v>-0.66836110326649723</v>
      </c>
      <c r="JM65" s="3555">
        <f t="shared" si="46"/>
        <v>9.0180360721442865E-2</v>
      </c>
      <c r="JN65" s="3555">
        <f t="shared" si="46"/>
        <v>0.40510110294117641</v>
      </c>
      <c r="JO65" s="3555">
        <f t="shared" si="46"/>
        <v>-0.73529572090487871</v>
      </c>
      <c r="JP65" s="3556">
        <f t="shared" si="63"/>
        <v>-0.88062142273098942</v>
      </c>
      <c r="JQ65" s="3557">
        <f t="shared" si="64"/>
        <v>-0.54901153212520593</v>
      </c>
      <c r="JS65" s="3231"/>
      <c r="JT65" s="3231"/>
      <c r="JU65" s="3231"/>
      <c r="JV65" s="3231"/>
      <c r="JW65" s="3231"/>
      <c r="JX65" s="3231"/>
      <c r="JY65" s="3231"/>
      <c r="JZ65" s="3231"/>
      <c r="KA65" s="3231"/>
      <c r="KB65" s="3231"/>
      <c r="KC65" s="3231"/>
      <c r="KD65" s="3231"/>
      <c r="KE65" s="3231"/>
      <c r="KF65" s="3231"/>
      <c r="KG65" s="3231"/>
      <c r="KH65" s="3231"/>
      <c r="KI65" s="3231"/>
      <c r="KJ65" s="3231"/>
      <c r="KK65" s="3231"/>
      <c r="KL65" s="3231"/>
      <c r="KM65" s="3231"/>
      <c r="KN65" s="3231"/>
      <c r="KO65" s="3231"/>
    </row>
    <row r="66" spans="1:301" ht="21.9" customHeight="1">
      <c r="A66" s="3558"/>
      <c r="B66" s="3231"/>
      <c r="C66" s="3559" t="s">
        <v>1369</v>
      </c>
      <c r="D66" s="3516">
        <v>367</v>
      </c>
      <c r="E66" s="3517">
        <v>335</v>
      </c>
      <c r="F66" s="3517">
        <v>364</v>
      </c>
      <c r="G66" s="3517">
        <v>343</v>
      </c>
      <c r="H66" s="3517">
        <v>321</v>
      </c>
      <c r="I66" s="3517">
        <v>421</v>
      </c>
      <c r="J66" s="3517">
        <v>1328</v>
      </c>
      <c r="K66" s="3517">
        <v>606</v>
      </c>
      <c r="L66" s="3517">
        <v>710</v>
      </c>
      <c r="M66" s="3517">
        <v>637</v>
      </c>
      <c r="N66" s="3517">
        <v>607</v>
      </c>
      <c r="O66" s="3518">
        <v>455</v>
      </c>
      <c r="P66" s="3519">
        <v>449</v>
      </c>
      <c r="Q66" s="3520">
        <v>677</v>
      </c>
      <c r="R66" s="3520">
        <v>399</v>
      </c>
      <c r="S66" s="3520">
        <v>431</v>
      </c>
      <c r="T66" s="3520">
        <v>467</v>
      </c>
      <c r="U66" s="3520">
        <v>553</v>
      </c>
      <c r="V66" s="3520">
        <v>1757</v>
      </c>
      <c r="W66" s="3520">
        <v>735</v>
      </c>
      <c r="X66" s="3520">
        <v>835</v>
      </c>
      <c r="Y66" s="3520">
        <v>626</v>
      </c>
      <c r="Z66" s="3520">
        <v>706</v>
      </c>
      <c r="AA66" s="3521">
        <v>541</v>
      </c>
      <c r="AB66" s="3522">
        <v>469</v>
      </c>
      <c r="AC66" s="3523">
        <v>395</v>
      </c>
      <c r="AD66" s="3523">
        <v>369</v>
      </c>
      <c r="AE66" s="3523">
        <v>552</v>
      </c>
      <c r="AF66" s="3523">
        <v>528.5</v>
      </c>
      <c r="AG66" s="3523">
        <v>505</v>
      </c>
      <c r="AH66" s="3523">
        <v>1602</v>
      </c>
      <c r="AI66" s="3523">
        <v>575</v>
      </c>
      <c r="AJ66" s="3523">
        <v>499</v>
      </c>
      <c r="AK66" s="3523">
        <v>639</v>
      </c>
      <c r="AL66" s="3523">
        <v>543</v>
      </c>
      <c r="AM66" s="3524">
        <v>581</v>
      </c>
      <c r="AN66" s="3525">
        <v>434</v>
      </c>
      <c r="AO66" s="3526">
        <v>396</v>
      </c>
      <c r="AP66" s="3526">
        <v>432</v>
      </c>
      <c r="AQ66" s="3526">
        <v>463</v>
      </c>
      <c r="AR66" s="3526">
        <v>441</v>
      </c>
      <c r="AS66" s="3526">
        <v>377</v>
      </c>
      <c r="AT66" s="3526">
        <v>1417</v>
      </c>
      <c r="AU66" s="3526">
        <v>511</v>
      </c>
      <c r="AV66" s="3526">
        <v>455</v>
      </c>
      <c r="AW66" s="3526">
        <v>706</v>
      </c>
      <c r="AX66" s="3526">
        <v>468</v>
      </c>
      <c r="AY66" s="3527">
        <v>524</v>
      </c>
      <c r="AZ66" s="3463">
        <v>438</v>
      </c>
      <c r="BA66" s="3463">
        <v>331</v>
      </c>
      <c r="BB66" s="3463">
        <v>359</v>
      </c>
      <c r="BC66" s="3463">
        <v>410</v>
      </c>
      <c r="BD66" s="3463">
        <v>374</v>
      </c>
      <c r="BE66" s="3463">
        <v>359</v>
      </c>
      <c r="BF66" s="3463">
        <v>1243</v>
      </c>
      <c r="BG66" s="3463">
        <v>455</v>
      </c>
      <c r="BH66" s="3463">
        <v>514</v>
      </c>
      <c r="BI66" s="3463">
        <v>723</v>
      </c>
      <c r="BJ66" s="3463">
        <v>623</v>
      </c>
      <c r="BK66" s="3560">
        <v>735</v>
      </c>
      <c r="BL66" s="3530">
        <v>332</v>
      </c>
      <c r="BM66" s="3531">
        <v>352</v>
      </c>
      <c r="BN66" s="3531">
        <v>638</v>
      </c>
      <c r="BO66" s="3531">
        <v>642</v>
      </c>
      <c r="BP66" s="3531">
        <v>601</v>
      </c>
      <c r="BQ66" s="3531">
        <v>662</v>
      </c>
      <c r="BR66" s="3531">
        <v>1316</v>
      </c>
      <c r="BS66" s="3531">
        <v>757</v>
      </c>
      <c r="BT66" s="3532">
        <v>771</v>
      </c>
      <c r="BU66" s="3532">
        <v>824</v>
      </c>
      <c r="BV66" s="3532">
        <v>633</v>
      </c>
      <c r="BW66" s="3533">
        <v>769</v>
      </c>
      <c r="BX66" s="3534">
        <v>724</v>
      </c>
      <c r="BY66" s="3459">
        <v>624</v>
      </c>
      <c r="BZ66" s="3459">
        <v>698</v>
      </c>
      <c r="CA66" s="3459">
        <v>891</v>
      </c>
      <c r="CB66" s="3459">
        <v>886</v>
      </c>
      <c r="CC66" s="3459">
        <v>710</v>
      </c>
      <c r="CD66" s="3459">
        <v>1482</v>
      </c>
      <c r="CE66" s="3459">
        <v>838</v>
      </c>
      <c r="CF66" s="3459">
        <v>807</v>
      </c>
      <c r="CG66" s="3459">
        <v>948</v>
      </c>
      <c r="CH66" s="3459">
        <v>938</v>
      </c>
      <c r="CI66" s="3461">
        <v>944</v>
      </c>
      <c r="CJ66" s="3535">
        <v>899</v>
      </c>
      <c r="CK66" s="3536">
        <v>843</v>
      </c>
      <c r="CL66" s="3536">
        <v>878</v>
      </c>
      <c r="CM66" s="3536">
        <v>841</v>
      </c>
      <c r="CN66" s="3536">
        <v>842</v>
      </c>
      <c r="CO66" s="3536">
        <v>797</v>
      </c>
      <c r="CP66" s="3536">
        <v>1571</v>
      </c>
      <c r="CQ66" s="3536">
        <v>851</v>
      </c>
      <c r="CR66" s="3536">
        <v>1035</v>
      </c>
      <c r="CS66" s="3536">
        <v>1030</v>
      </c>
      <c r="CT66" s="3536">
        <v>948</v>
      </c>
      <c r="CU66" s="3537">
        <v>981</v>
      </c>
      <c r="CV66" s="3535">
        <v>855</v>
      </c>
      <c r="CW66" s="3536">
        <v>841</v>
      </c>
      <c r="CX66" s="3458">
        <v>827</v>
      </c>
      <c r="CY66" s="3458">
        <v>901</v>
      </c>
      <c r="CZ66" s="3458">
        <v>901</v>
      </c>
      <c r="DA66" s="3458">
        <v>856</v>
      </c>
      <c r="DB66" s="3458">
        <v>1787</v>
      </c>
      <c r="DC66" s="3458">
        <v>764</v>
      </c>
      <c r="DD66" s="3458">
        <v>989</v>
      </c>
      <c r="DE66" s="3458">
        <v>1108</v>
      </c>
      <c r="DF66" s="3458">
        <v>937</v>
      </c>
      <c r="DG66" s="3537">
        <v>924</v>
      </c>
      <c r="DH66" s="3538">
        <v>975</v>
      </c>
      <c r="DI66" s="3539">
        <v>931</v>
      </c>
      <c r="DJ66" s="3539">
        <v>933</v>
      </c>
      <c r="DK66" s="3540">
        <v>938</v>
      </c>
      <c r="DL66" s="3540">
        <v>939</v>
      </c>
      <c r="DM66" s="3540">
        <v>948</v>
      </c>
      <c r="DN66" s="3540">
        <v>1894</v>
      </c>
      <c r="DO66" s="3540">
        <v>1056</v>
      </c>
      <c r="DP66" s="2713">
        <v>1150</v>
      </c>
      <c r="DQ66" s="3540">
        <v>1239</v>
      </c>
      <c r="DR66" s="3540">
        <v>926</v>
      </c>
      <c r="DS66" s="3541">
        <v>928</v>
      </c>
      <c r="DT66" s="3542">
        <v>846</v>
      </c>
      <c r="DU66" s="3429">
        <v>781</v>
      </c>
      <c r="DV66" s="3429">
        <v>837</v>
      </c>
      <c r="DW66" s="3350">
        <v>939</v>
      </c>
      <c r="DX66" s="3350">
        <v>801</v>
      </c>
      <c r="DY66" s="3350">
        <v>778</v>
      </c>
      <c r="DZ66" s="3350">
        <v>1612</v>
      </c>
      <c r="EA66" s="3350">
        <v>968</v>
      </c>
      <c r="EB66" s="3350">
        <v>1028</v>
      </c>
      <c r="EC66" s="3350">
        <v>920</v>
      </c>
      <c r="ED66" s="3350">
        <v>885</v>
      </c>
      <c r="EE66" s="3349">
        <v>950</v>
      </c>
      <c r="EF66" s="2689">
        <v>866</v>
      </c>
      <c r="EG66" s="2688">
        <v>853</v>
      </c>
      <c r="EH66" s="2688">
        <v>898</v>
      </c>
      <c r="EI66" s="2688">
        <v>1073</v>
      </c>
      <c r="EJ66" s="2688">
        <v>931</v>
      </c>
      <c r="EK66" s="2688">
        <v>941</v>
      </c>
      <c r="EL66" s="2688">
        <v>1802</v>
      </c>
      <c r="EM66" s="2714">
        <v>1092</v>
      </c>
      <c r="EN66" s="2714">
        <v>1158</v>
      </c>
      <c r="EO66" s="2715">
        <v>1103</v>
      </c>
      <c r="EP66" s="2715">
        <v>1010</v>
      </c>
      <c r="EQ66" s="2716">
        <v>1007</v>
      </c>
      <c r="ER66" s="1347">
        <v>981</v>
      </c>
      <c r="ES66" s="3543">
        <v>895</v>
      </c>
      <c r="ET66" s="3543">
        <v>974</v>
      </c>
      <c r="EU66" s="2717">
        <v>1041</v>
      </c>
      <c r="EV66" s="2161">
        <v>1032</v>
      </c>
      <c r="EW66" s="2161">
        <v>969</v>
      </c>
      <c r="EX66" s="2161">
        <v>2132</v>
      </c>
      <c r="EY66" s="2161">
        <v>1183</v>
      </c>
      <c r="EZ66" s="2161">
        <v>1236</v>
      </c>
      <c r="FA66" s="2339">
        <v>803</v>
      </c>
      <c r="FB66" s="2339">
        <v>1077</v>
      </c>
      <c r="FC66" s="2339">
        <v>1204</v>
      </c>
      <c r="FD66" s="2765">
        <v>1022</v>
      </c>
      <c r="FE66" s="2766">
        <v>944</v>
      </c>
      <c r="FF66" s="2766">
        <v>564</v>
      </c>
      <c r="FG66" s="2766">
        <v>50</v>
      </c>
      <c r="FH66" s="2766">
        <v>87</v>
      </c>
      <c r="FI66" s="2766">
        <v>159</v>
      </c>
      <c r="FJ66" s="2766">
        <v>268</v>
      </c>
      <c r="FK66" s="2766">
        <v>310</v>
      </c>
      <c r="FL66" s="2766">
        <v>137</v>
      </c>
      <c r="FM66" s="2766">
        <v>147</v>
      </c>
      <c r="FN66" s="2766">
        <v>115</v>
      </c>
      <c r="FO66" s="2767">
        <v>375</v>
      </c>
      <c r="FP66" s="2765">
        <v>346</v>
      </c>
      <c r="FQ66" s="2766">
        <v>103</v>
      </c>
      <c r="FR66" s="2766">
        <v>130</v>
      </c>
      <c r="FS66" s="2766">
        <v>121</v>
      </c>
      <c r="FT66" s="2766">
        <v>109</v>
      </c>
      <c r="FU66" s="2766"/>
      <c r="FV66" s="2766"/>
      <c r="FW66" s="2766"/>
      <c r="FX66" s="2766"/>
      <c r="FY66" s="2766"/>
      <c r="FZ66" s="2766"/>
      <c r="GA66" s="2771"/>
      <c r="GB66" s="2764"/>
      <c r="GC66" s="2911">
        <v>1066</v>
      </c>
      <c r="GD66" s="2912">
        <v>1085</v>
      </c>
      <c r="GE66" s="2912">
        <v>2644</v>
      </c>
      <c r="GF66" s="2913">
        <v>1699</v>
      </c>
      <c r="GG66" s="2914">
        <v>1525</v>
      </c>
      <c r="GH66" s="2915">
        <v>1451</v>
      </c>
      <c r="GI66" s="2915">
        <v>3327</v>
      </c>
      <c r="GJ66" s="2916">
        <v>1873</v>
      </c>
      <c r="GK66" s="2917">
        <v>1233</v>
      </c>
      <c r="GL66" s="2918">
        <v>1585.5</v>
      </c>
      <c r="GM66" s="2919">
        <v>2676</v>
      </c>
      <c r="GN66" s="2919">
        <v>1763</v>
      </c>
      <c r="GO66" s="2920">
        <v>1262</v>
      </c>
      <c r="GP66" s="2921">
        <v>1281</v>
      </c>
      <c r="GQ66" s="2921">
        <v>2383</v>
      </c>
      <c r="GR66" s="2922">
        <v>1698</v>
      </c>
      <c r="GS66" s="2923">
        <v>1128</v>
      </c>
      <c r="GT66" s="2924">
        <v>1143</v>
      </c>
      <c r="GU66" s="2924">
        <v>2212</v>
      </c>
      <c r="GV66" s="2925">
        <v>2081</v>
      </c>
      <c r="GW66" s="2921">
        <v>1322</v>
      </c>
      <c r="GX66" s="2921">
        <v>1905</v>
      </c>
      <c r="GY66" s="2921">
        <v>2844</v>
      </c>
      <c r="GZ66" s="2921">
        <v>2226</v>
      </c>
      <c r="HA66" s="2926">
        <v>2046</v>
      </c>
      <c r="HB66" s="2926">
        <v>2487</v>
      </c>
      <c r="HC66" s="2926">
        <v>3127</v>
      </c>
      <c r="HD66" s="2926">
        <v>2830</v>
      </c>
      <c r="HE66" s="2927">
        <v>2620</v>
      </c>
      <c r="HF66" s="2927">
        <v>2480</v>
      </c>
      <c r="HG66" s="2927">
        <f t="shared" si="17"/>
        <v>3457</v>
      </c>
      <c r="HH66" s="2927">
        <v>2959</v>
      </c>
      <c r="HI66" s="2928">
        <v>2523</v>
      </c>
      <c r="HJ66" s="2928">
        <f t="shared" si="18"/>
        <v>2658</v>
      </c>
      <c r="HK66" s="2928">
        <f t="shared" si="19"/>
        <v>3540</v>
      </c>
      <c r="HL66" s="2927">
        <f t="shared" si="20"/>
        <v>2969</v>
      </c>
      <c r="HM66" s="2846">
        <f t="shared" si="21"/>
        <v>2839</v>
      </c>
      <c r="HN66" s="2846">
        <f t="shared" si="22"/>
        <v>2825</v>
      </c>
      <c r="HO66" s="2846">
        <f t="shared" si="23"/>
        <v>3878</v>
      </c>
      <c r="HP66" s="2846">
        <f t="shared" si="24"/>
        <v>3093</v>
      </c>
      <c r="HQ66" s="2921">
        <f t="shared" si="25"/>
        <v>2464</v>
      </c>
      <c r="HR66" s="2921">
        <f t="shared" si="26"/>
        <v>2518</v>
      </c>
      <c r="HS66" s="2921">
        <f t="shared" si="27"/>
        <v>3608</v>
      </c>
      <c r="HT66" s="2921">
        <f t="shared" si="28"/>
        <v>2755</v>
      </c>
      <c r="HU66" s="2929">
        <f t="shared" si="29"/>
        <v>2617</v>
      </c>
      <c r="HV66" s="2926">
        <f t="shared" si="30"/>
        <v>2945</v>
      </c>
      <c r="HW66" s="2926">
        <f t="shared" si="31"/>
        <v>4052</v>
      </c>
      <c r="HX66" s="2926">
        <f t="shared" si="32"/>
        <v>3120</v>
      </c>
      <c r="HY66" s="2930">
        <f t="shared" si="33"/>
        <v>2850</v>
      </c>
      <c r="HZ66" s="2931">
        <f t="shared" si="34"/>
        <v>3042</v>
      </c>
      <c r="IA66" s="2931">
        <f t="shared" si="35"/>
        <v>4551</v>
      </c>
      <c r="IB66" s="2931">
        <f t="shared" si="36"/>
        <v>3084</v>
      </c>
      <c r="IC66" s="2932">
        <f t="shared" si="65"/>
        <v>2530</v>
      </c>
      <c r="ID66" s="2933">
        <f t="shared" si="66"/>
        <v>296</v>
      </c>
      <c r="IE66" s="2933">
        <f>FJ66+FK66+FL66</f>
        <v>715</v>
      </c>
      <c r="IF66" s="2934">
        <f>FM66+FN66+FO66</f>
        <v>637</v>
      </c>
      <c r="IG66" s="2929">
        <f t="shared" si="51"/>
        <v>579</v>
      </c>
      <c r="IH66" s="2926">
        <f t="shared" si="52"/>
        <v>230</v>
      </c>
      <c r="II66" s="2926">
        <f t="shared" si="53"/>
        <v>0</v>
      </c>
      <c r="IJ66" s="2926">
        <f t="shared" si="54"/>
        <v>0</v>
      </c>
      <c r="IK66" s="2735"/>
      <c r="IL66" s="3544">
        <v>6494</v>
      </c>
      <c r="IM66" s="3545">
        <v>8176</v>
      </c>
      <c r="IN66" s="3545">
        <v>7257.5</v>
      </c>
      <c r="IO66" s="3545">
        <v>6624</v>
      </c>
      <c r="IP66" s="3545">
        <v>6564</v>
      </c>
      <c r="IQ66" s="3545">
        <v>8297</v>
      </c>
      <c r="IR66" s="3546">
        <v>10490</v>
      </c>
      <c r="IS66" s="3547">
        <v>11516</v>
      </c>
      <c r="IT66" s="3547">
        <f t="shared" si="37"/>
        <v>11690</v>
      </c>
      <c r="IU66" s="3547">
        <f t="shared" si="38"/>
        <v>12857</v>
      </c>
      <c r="IV66" s="3547">
        <f t="shared" si="39"/>
        <v>11345</v>
      </c>
      <c r="IW66" s="3547">
        <f t="shared" si="40"/>
        <v>12734</v>
      </c>
      <c r="IX66" s="3548">
        <f t="shared" si="55"/>
        <v>13527</v>
      </c>
      <c r="IY66" s="3566">
        <f>SUM(FD66:FO66)</f>
        <v>4178</v>
      </c>
      <c r="IZ66" s="3564">
        <f t="shared" si="57"/>
        <v>2661</v>
      </c>
      <c r="JA66" s="3765">
        <f t="shared" si="58"/>
        <v>809</v>
      </c>
      <c r="JC66" s="3551">
        <f t="shared" si="59"/>
        <v>3419.5</v>
      </c>
      <c r="JD66" s="3552">
        <f t="shared" si="42"/>
        <v>2.0485129679140124E-2</v>
      </c>
      <c r="JE66" s="3552">
        <f t="shared" si="43"/>
        <v>1.7375496032505731E-2</v>
      </c>
      <c r="JF66" s="3552">
        <f t="shared" si="60"/>
        <v>1.8606350180452667E-2</v>
      </c>
      <c r="JG66" s="3552">
        <f t="shared" si="56"/>
        <v>1.9765046245561742E-2</v>
      </c>
      <c r="JH66" s="3552">
        <f t="shared" si="61"/>
        <v>2.194131826465074E-2</v>
      </c>
      <c r="JI66" s="3565">
        <f t="shared" si="62"/>
        <v>9.4698856923230226E-3</v>
      </c>
      <c r="JJ66" s="3552"/>
      <c r="JK66" s="3554">
        <f t="shared" si="44"/>
        <v>-0.11760130668118529</v>
      </c>
      <c r="JL66" s="3555">
        <f t="shared" si="45"/>
        <v>-0.73403593373259701</v>
      </c>
      <c r="JM66" s="3555">
        <f t="shared" si="46"/>
        <v>0.12243278977523131</v>
      </c>
      <c r="JN66" s="3555">
        <f t="shared" si="46"/>
        <v>6.2274226480288908E-2</v>
      </c>
      <c r="JO66" s="3555">
        <f t="shared" si="46"/>
        <v>-0.69113624602646562</v>
      </c>
      <c r="JP66" s="3556">
        <f t="shared" si="63"/>
        <v>-0.80328232424040813</v>
      </c>
      <c r="JQ66" s="3557">
        <f t="shared" si="64"/>
        <v>-0.36309238870272853</v>
      </c>
      <c r="JS66" s="3231"/>
      <c r="JT66" s="3231"/>
      <c r="JU66" s="3231"/>
      <c r="JV66" s="3231"/>
      <c r="JW66" s="3231"/>
      <c r="JX66" s="3231"/>
      <c r="JY66" s="3231"/>
      <c r="JZ66" s="3231"/>
      <c r="KA66" s="3231"/>
      <c r="KB66" s="3231"/>
      <c r="KC66" s="3231"/>
      <c r="KD66" s="3231"/>
      <c r="KE66" s="3231"/>
      <c r="KF66" s="3231"/>
      <c r="KG66" s="3231"/>
      <c r="KH66" s="3231"/>
      <c r="KI66" s="3231"/>
      <c r="KJ66" s="3231"/>
      <c r="KK66" s="3231"/>
      <c r="KL66" s="3231"/>
      <c r="KM66" s="3231"/>
      <c r="KN66" s="3231"/>
      <c r="KO66" s="3231"/>
    </row>
    <row r="67" spans="1:301" ht="21.9" customHeight="1">
      <c r="A67" s="3568"/>
      <c r="B67" s="3231"/>
      <c r="C67" s="3567" t="s">
        <v>1509</v>
      </c>
      <c r="D67" s="3516">
        <v>133</v>
      </c>
      <c r="E67" s="3517">
        <v>92</v>
      </c>
      <c r="F67" s="3517">
        <v>219</v>
      </c>
      <c r="G67" s="3517">
        <v>122</v>
      </c>
      <c r="H67" s="3517">
        <v>192</v>
      </c>
      <c r="I67" s="3517">
        <v>123</v>
      </c>
      <c r="J67" s="3517">
        <v>158</v>
      </c>
      <c r="K67" s="3517">
        <v>152</v>
      </c>
      <c r="L67" s="3517">
        <v>231</v>
      </c>
      <c r="M67" s="3517">
        <v>178</v>
      </c>
      <c r="N67" s="3517">
        <v>149</v>
      </c>
      <c r="O67" s="3518">
        <v>195</v>
      </c>
      <c r="P67" s="3519">
        <v>187</v>
      </c>
      <c r="Q67" s="3520">
        <v>200</v>
      </c>
      <c r="R67" s="3520">
        <v>290</v>
      </c>
      <c r="S67" s="3520">
        <v>345</v>
      </c>
      <c r="T67" s="3520">
        <v>276</v>
      </c>
      <c r="U67" s="3520">
        <v>382</v>
      </c>
      <c r="V67" s="3520">
        <v>2179</v>
      </c>
      <c r="W67" s="3520">
        <v>1374</v>
      </c>
      <c r="X67" s="3520">
        <v>1684</v>
      </c>
      <c r="Y67" s="3520">
        <v>1102</v>
      </c>
      <c r="Z67" s="3520">
        <v>766</v>
      </c>
      <c r="AA67" s="3521">
        <v>229</v>
      </c>
      <c r="AB67" s="3522">
        <v>215</v>
      </c>
      <c r="AC67" s="3523">
        <v>310</v>
      </c>
      <c r="AD67" s="3523">
        <v>284</v>
      </c>
      <c r="AE67" s="3523">
        <v>259</v>
      </c>
      <c r="AF67" s="3523">
        <v>282</v>
      </c>
      <c r="AG67" s="3523">
        <v>305</v>
      </c>
      <c r="AH67" s="3523">
        <v>334</v>
      </c>
      <c r="AI67" s="3523">
        <v>413</v>
      </c>
      <c r="AJ67" s="3523">
        <v>465</v>
      </c>
      <c r="AK67" s="3523">
        <v>391</v>
      </c>
      <c r="AL67" s="3523">
        <v>626</v>
      </c>
      <c r="AM67" s="3524">
        <v>354</v>
      </c>
      <c r="AN67" s="3525">
        <v>309</v>
      </c>
      <c r="AO67" s="3526">
        <v>310</v>
      </c>
      <c r="AP67" s="3526">
        <v>261</v>
      </c>
      <c r="AQ67" s="3526">
        <v>201</v>
      </c>
      <c r="AR67" s="3526">
        <v>223</v>
      </c>
      <c r="AS67" s="3526">
        <v>264</v>
      </c>
      <c r="AT67" s="3526">
        <v>253</v>
      </c>
      <c r="AU67" s="3526">
        <v>336</v>
      </c>
      <c r="AV67" s="3526">
        <v>245</v>
      </c>
      <c r="AW67" s="3526">
        <v>111</v>
      </c>
      <c r="AX67" s="3526">
        <v>335</v>
      </c>
      <c r="AY67" s="3527">
        <v>418</v>
      </c>
      <c r="AZ67" s="3463">
        <v>275</v>
      </c>
      <c r="BA67" s="3463">
        <v>351</v>
      </c>
      <c r="BB67" s="3463">
        <v>351</v>
      </c>
      <c r="BC67" s="3463">
        <v>297</v>
      </c>
      <c r="BD67" s="3463">
        <v>296</v>
      </c>
      <c r="BE67" s="3463">
        <v>312</v>
      </c>
      <c r="BF67" s="3463">
        <v>299</v>
      </c>
      <c r="BG67" s="3463">
        <v>450</v>
      </c>
      <c r="BH67" s="3463">
        <v>428</v>
      </c>
      <c r="BI67" s="3463">
        <v>477</v>
      </c>
      <c r="BJ67" s="3463">
        <v>485</v>
      </c>
      <c r="BK67" s="3560">
        <v>438</v>
      </c>
      <c r="BL67" s="3530">
        <v>198</v>
      </c>
      <c r="BM67" s="3531">
        <v>557</v>
      </c>
      <c r="BN67" s="3531">
        <v>561</v>
      </c>
      <c r="BO67" s="3531">
        <v>523</v>
      </c>
      <c r="BP67" s="3531">
        <v>701</v>
      </c>
      <c r="BQ67" s="3531">
        <v>470</v>
      </c>
      <c r="BR67" s="3531">
        <v>598</v>
      </c>
      <c r="BS67" s="3531">
        <v>647</v>
      </c>
      <c r="BT67" s="3532">
        <v>674</v>
      </c>
      <c r="BU67" s="3532">
        <v>826</v>
      </c>
      <c r="BV67" s="3532">
        <v>646</v>
      </c>
      <c r="BW67" s="3533">
        <v>532</v>
      </c>
      <c r="BX67" s="3534">
        <v>83</v>
      </c>
      <c r="BY67" s="3459">
        <v>440</v>
      </c>
      <c r="BZ67" s="3459">
        <v>582</v>
      </c>
      <c r="CA67" s="3459">
        <v>655</v>
      </c>
      <c r="CB67" s="3459">
        <v>704</v>
      </c>
      <c r="CC67" s="3459">
        <v>612</v>
      </c>
      <c r="CD67" s="3459">
        <v>427</v>
      </c>
      <c r="CE67" s="3459">
        <v>751</v>
      </c>
      <c r="CF67" s="3459">
        <v>724</v>
      </c>
      <c r="CG67" s="3459">
        <v>697</v>
      </c>
      <c r="CH67" s="3459">
        <v>655</v>
      </c>
      <c r="CI67" s="3461">
        <v>657</v>
      </c>
      <c r="CJ67" s="3535">
        <v>636</v>
      </c>
      <c r="CK67" s="3536">
        <v>674</v>
      </c>
      <c r="CL67" s="3536">
        <v>840</v>
      </c>
      <c r="CM67" s="3536">
        <v>702</v>
      </c>
      <c r="CN67" s="3536">
        <v>659</v>
      </c>
      <c r="CO67" s="3536">
        <v>639</v>
      </c>
      <c r="CP67" s="3536">
        <v>825</v>
      </c>
      <c r="CQ67" s="3536">
        <v>721</v>
      </c>
      <c r="CR67" s="3536">
        <v>869</v>
      </c>
      <c r="CS67" s="3536">
        <v>817</v>
      </c>
      <c r="CT67" s="3536">
        <v>785</v>
      </c>
      <c r="CU67" s="3537">
        <v>701</v>
      </c>
      <c r="CV67" s="3535">
        <v>740</v>
      </c>
      <c r="CW67" s="3536">
        <v>531</v>
      </c>
      <c r="CX67" s="3458">
        <v>1029</v>
      </c>
      <c r="CY67" s="3458">
        <v>933</v>
      </c>
      <c r="CZ67" s="3458">
        <v>904</v>
      </c>
      <c r="DA67" s="3458">
        <v>798</v>
      </c>
      <c r="DB67" s="3458">
        <v>804</v>
      </c>
      <c r="DC67" s="3458">
        <v>967</v>
      </c>
      <c r="DD67" s="3458">
        <v>871</v>
      </c>
      <c r="DE67" s="3458">
        <v>837</v>
      </c>
      <c r="DF67" s="3458">
        <v>793</v>
      </c>
      <c r="DG67" s="3537">
        <v>654</v>
      </c>
      <c r="DH67" s="3538">
        <v>624</v>
      </c>
      <c r="DI67" s="3539">
        <v>600</v>
      </c>
      <c r="DJ67" s="3539">
        <v>1169</v>
      </c>
      <c r="DK67" s="3540">
        <v>845</v>
      </c>
      <c r="DL67" s="3540">
        <v>896</v>
      </c>
      <c r="DM67" s="3540">
        <v>878</v>
      </c>
      <c r="DN67" s="3540">
        <v>890</v>
      </c>
      <c r="DO67" s="3540">
        <v>1046</v>
      </c>
      <c r="DP67" s="2713">
        <v>969</v>
      </c>
      <c r="DQ67" s="3540">
        <v>1285</v>
      </c>
      <c r="DR67" s="3540">
        <v>1577</v>
      </c>
      <c r="DS67" s="3541">
        <v>1083</v>
      </c>
      <c r="DT67" s="3542">
        <v>863</v>
      </c>
      <c r="DU67" s="3429">
        <v>879</v>
      </c>
      <c r="DV67" s="3429">
        <v>1309</v>
      </c>
      <c r="DW67" s="3350">
        <v>1057</v>
      </c>
      <c r="DX67" s="3350">
        <v>1204</v>
      </c>
      <c r="DY67" s="3350">
        <v>1104</v>
      </c>
      <c r="DZ67" s="3350">
        <v>1164</v>
      </c>
      <c r="EA67" s="3350">
        <v>1313</v>
      </c>
      <c r="EB67" s="3350">
        <v>1214</v>
      </c>
      <c r="EC67" s="3350">
        <v>1036</v>
      </c>
      <c r="ED67" s="3350">
        <v>1147</v>
      </c>
      <c r="EE67" s="3349">
        <v>1102</v>
      </c>
      <c r="EF67" s="2689">
        <v>938</v>
      </c>
      <c r="EG67" s="2688">
        <v>995</v>
      </c>
      <c r="EH67" s="2688">
        <v>1373</v>
      </c>
      <c r="EI67" s="2688">
        <v>866</v>
      </c>
      <c r="EJ67" s="2688">
        <v>931</v>
      </c>
      <c r="EK67" s="2688">
        <v>952</v>
      </c>
      <c r="EL67" s="2688">
        <v>1110</v>
      </c>
      <c r="EM67" s="2714">
        <v>924</v>
      </c>
      <c r="EN67" s="2714">
        <v>1152</v>
      </c>
      <c r="EO67" s="2715">
        <v>876</v>
      </c>
      <c r="EP67" s="2715">
        <v>1153</v>
      </c>
      <c r="EQ67" s="2716">
        <v>969</v>
      </c>
      <c r="ER67" s="1345">
        <v>840</v>
      </c>
      <c r="ES67" s="3543">
        <v>981</v>
      </c>
      <c r="ET67" s="3543">
        <v>1154</v>
      </c>
      <c r="EU67" s="2717">
        <v>849</v>
      </c>
      <c r="EV67" s="2159">
        <v>1263</v>
      </c>
      <c r="EW67" s="2159">
        <v>1087</v>
      </c>
      <c r="EX67" s="2159">
        <v>1326</v>
      </c>
      <c r="EY67" s="2159">
        <v>1264</v>
      </c>
      <c r="EZ67" s="2159">
        <v>1156</v>
      </c>
      <c r="FA67" s="2339">
        <v>845</v>
      </c>
      <c r="FB67" s="2339">
        <v>961</v>
      </c>
      <c r="FC67" s="2339">
        <v>979</v>
      </c>
      <c r="FD67" s="2765">
        <v>895</v>
      </c>
      <c r="FE67" s="2766">
        <v>578</v>
      </c>
      <c r="FF67" s="2766">
        <v>220</v>
      </c>
      <c r="FG67" s="2766"/>
      <c r="FH67" s="2766"/>
      <c r="FI67" s="2766">
        <v>2</v>
      </c>
      <c r="FJ67" s="2766">
        <v>70</v>
      </c>
      <c r="FK67" s="2766">
        <v>91</v>
      </c>
      <c r="FL67" s="2766">
        <v>153</v>
      </c>
      <c r="FM67" s="2766">
        <v>172</v>
      </c>
      <c r="FN67" s="2766">
        <v>167</v>
      </c>
      <c r="FO67" s="2767">
        <v>211</v>
      </c>
      <c r="FP67" s="2765">
        <v>166</v>
      </c>
      <c r="FQ67" s="2766">
        <v>194</v>
      </c>
      <c r="FR67" s="2766">
        <v>301</v>
      </c>
      <c r="FS67" s="2766">
        <v>270</v>
      </c>
      <c r="FT67" s="2766">
        <v>275</v>
      </c>
      <c r="FU67" s="2766"/>
      <c r="FV67" s="2766"/>
      <c r="FW67" s="2766"/>
      <c r="FX67" s="2766"/>
      <c r="FY67" s="2766"/>
      <c r="FZ67" s="2766"/>
      <c r="GA67" s="2771"/>
      <c r="GB67" s="2764"/>
      <c r="GC67" s="2911">
        <v>444</v>
      </c>
      <c r="GD67" s="2912">
        <v>437</v>
      </c>
      <c r="GE67" s="2912">
        <v>541</v>
      </c>
      <c r="GF67" s="2913">
        <v>522</v>
      </c>
      <c r="GG67" s="2914">
        <v>677</v>
      </c>
      <c r="GH67" s="2915">
        <v>1003</v>
      </c>
      <c r="GI67" s="2915">
        <v>5237</v>
      </c>
      <c r="GJ67" s="2916">
        <v>2097</v>
      </c>
      <c r="GK67" s="2917">
        <v>809</v>
      </c>
      <c r="GL67" s="2918">
        <v>846</v>
      </c>
      <c r="GM67" s="2919">
        <v>1212</v>
      </c>
      <c r="GN67" s="2919">
        <v>1371</v>
      </c>
      <c r="GO67" s="2920">
        <v>880</v>
      </c>
      <c r="GP67" s="2921">
        <v>688</v>
      </c>
      <c r="GQ67" s="2921">
        <v>834</v>
      </c>
      <c r="GR67" s="2922">
        <v>864</v>
      </c>
      <c r="GS67" s="2923">
        <v>977</v>
      </c>
      <c r="GT67" s="2924">
        <v>905</v>
      </c>
      <c r="GU67" s="2924">
        <v>1177</v>
      </c>
      <c r="GV67" s="2925">
        <v>1400</v>
      </c>
      <c r="GW67" s="2921">
        <v>1316</v>
      </c>
      <c r="GX67" s="2921">
        <v>1694</v>
      </c>
      <c r="GY67" s="2921">
        <v>1919</v>
      </c>
      <c r="GZ67" s="2921">
        <v>2004</v>
      </c>
      <c r="HA67" s="2926">
        <v>1105</v>
      </c>
      <c r="HB67" s="2926">
        <v>1971</v>
      </c>
      <c r="HC67" s="2926">
        <v>1902</v>
      </c>
      <c r="HD67" s="2926">
        <v>2009</v>
      </c>
      <c r="HE67" s="2927">
        <v>2150</v>
      </c>
      <c r="HF67" s="2927">
        <v>2000</v>
      </c>
      <c r="HG67" s="2927">
        <f t="shared" si="17"/>
        <v>2415</v>
      </c>
      <c r="HH67" s="2927">
        <v>2303</v>
      </c>
      <c r="HI67" s="2928">
        <v>2300</v>
      </c>
      <c r="HJ67" s="2928">
        <f t="shared" si="18"/>
        <v>2635</v>
      </c>
      <c r="HK67" s="2928">
        <f t="shared" si="19"/>
        <v>2642</v>
      </c>
      <c r="HL67" s="2927">
        <f t="shared" si="20"/>
        <v>2284</v>
      </c>
      <c r="HM67" s="2846">
        <f t="shared" si="21"/>
        <v>2393</v>
      </c>
      <c r="HN67" s="2846">
        <f t="shared" si="22"/>
        <v>2619</v>
      </c>
      <c r="HO67" s="2846">
        <f t="shared" si="23"/>
        <v>3019</v>
      </c>
      <c r="HP67" s="2846">
        <f t="shared" si="24"/>
        <v>3945</v>
      </c>
      <c r="HQ67" s="2921">
        <f t="shared" si="25"/>
        <v>3051</v>
      </c>
      <c r="HR67" s="2921">
        <f t="shared" si="26"/>
        <v>3365</v>
      </c>
      <c r="HS67" s="2921">
        <f t="shared" si="27"/>
        <v>3691</v>
      </c>
      <c r="HT67" s="2921">
        <f t="shared" si="28"/>
        <v>3285</v>
      </c>
      <c r="HU67" s="2929">
        <f t="shared" si="29"/>
        <v>3306</v>
      </c>
      <c r="HV67" s="2926">
        <f t="shared" si="30"/>
        <v>2749</v>
      </c>
      <c r="HW67" s="2926">
        <f t="shared" si="31"/>
        <v>3186</v>
      </c>
      <c r="HX67" s="2926">
        <f t="shared" si="32"/>
        <v>2998</v>
      </c>
      <c r="HY67" s="2930">
        <f t="shared" si="33"/>
        <v>2975</v>
      </c>
      <c r="HZ67" s="2931">
        <f t="shared" si="34"/>
        <v>3199</v>
      </c>
      <c r="IA67" s="2931">
        <f t="shared" si="35"/>
        <v>3746</v>
      </c>
      <c r="IB67" s="2931">
        <f t="shared" si="36"/>
        <v>2785</v>
      </c>
      <c r="IC67" s="2932">
        <f t="shared" si="65"/>
        <v>1693</v>
      </c>
      <c r="ID67" s="2933">
        <f t="shared" si="66"/>
        <v>2</v>
      </c>
      <c r="IE67" s="2933">
        <f t="shared" ref="IE67:IE86" si="69">FJ67+FK67+FL67</f>
        <v>314</v>
      </c>
      <c r="IF67" s="2934">
        <f t="shared" ref="IF67:IF86" si="70">FM67+FN67+FO67</f>
        <v>550</v>
      </c>
      <c r="IG67" s="2929">
        <f t="shared" si="51"/>
        <v>661</v>
      </c>
      <c r="IH67" s="2926">
        <f t="shared" si="52"/>
        <v>545</v>
      </c>
      <c r="II67" s="2926">
        <f t="shared" si="53"/>
        <v>0</v>
      </c>
      <c r="IJ67" s="2926">
        <f t="shared" si="54"/>
        <v>0</v>
      </c>
      <c r="IK67" s="2735"/>
      <c r="IL67" s="3544">
        <v>1944</v>
      </c>
      <c r="IM67" s="3545">
        <v>9014</v>
      </c>
      <c r="IN67" s="3545">
        <v>4238</v>
      </c>
      <c r="IO67" s="3545">
        <v>3266</v>
      </c>
      <c r="IP67" s="3545">
        <v>4459</v>
      </c>
      <c r="IQ67" s="3545">
        <v>6933</v>
      </c>
      <c r="IR67" s="3546">
        <v>6987</v>
      </c>
      <c r="IS67" s="3547">
        <v>8868</v>
      </c>
      <c r="IT67" s="3547">
        <f t="shared" si="37"/>
        <v>9861</v>
      </c>
      <c r="IU67" s="3547">
        <f t="shared" si="38"/>
        <v>11862</v>
      </c>
      <c r="IV67" s="3547">
        <f t="shared" si="39"/>
        <v>13392</v>
      </c>
      <c r="IW67" s="3547">
        <f t="shared" si="40"/>
        <v>12239</v>
      </c>
      <c r="IX67" s="3548">
        <f t="shared" si="55"/>
        <v>12705</v>
      </c>
      <c r="IY67" s="3566">
        <f t="shared" ref="IY67:IY83" si="71">SUM(FD67:FO67)</f>
        <v>2559</v>
      </c>
      <c r="IZ67" s="3564">
        <f t="shared" si="57"/>
        <v>1446</v>
      </c>
      <c r="JA67" s="3765">
        <f t="shared" si="58"/>
        <v>1206</v>
      </c>
      <c r="JC67" s="3551">
        <f t="shared" si="59"/>
        <v>2002.5</v>
      </c>
      <c r="JD67" s="3552">
        <f t="shared" si="42"/>
        <v>1.8899790639648452E-2</v>
      </c>
      <c r="JE67" s="3552">
        <f t="shared" si="43"/>
        <v>2.0510589939825189E-2</v>
      </c>
      <c r="JF67" s="3552">
        <f t="shared" si="60"/>
        <v>1.7883078361752801E-2</v>
      </c>
      <c r="JG67" s="3552">
        <f t="shared" si="56"/>
        <v>1.8563976679963179E-2</v>
      </c>
      <c r="JH67" s="3552">
        <f t="shared" si="61"/>
        <v>1.3438926146299962E-2</v>
      </c>
      <c r="JI67" s="3565">
        <f t="shared" si="62"/>
        <v>5.1459807257042802E-3</v>
      </c>
      <c r="JJ67" s="3552"/>
      <c r="JK67" s="3554">
        <f t="shared" si="44"/>
        <v>0.1289833080424887</v>
      </c>
      <c r="JL67" s="3555">
        <f t="shared" si="45"/>
        <v>-0.83118361153262521</v>
      </c>
      <c r="JM67" s="3555">
        <f t="shared" si="46"/>
        <v>-8.6096176821983228E-2</v>
      </c>
      <c r="JN67" s="3555">
        <f t="shared" si="46"/>
        <v>3.8075006127951561E-2</v>
      </c>
      <c r="JO67" s="3555">
        <f t="shared" si="46"/>
        <v>-0.79858323494687133</v>
      </c>
      <c r="JP67" s="3556">
        <f t="shared" si="63"/>
        <v>-0.88618654073199532</v>
      </c>
      <c r="JQ67" s="3557">
        <f t="shared" si="64"/>
        <v>-0.43493552168815941</v>
      </c>
      <c r="JS67" s="3231"/>
      <c r="JT67" s="3231"/>
      <c r="JU67" s="3231"/>
      <c r="JV67" s="3231"/>
      <c r="JW67" s="3231"/>
      <c r="JX67" s="3231"/>
      <c r="JY67" s="3231"/>
      <c r="JZ67" s="3231"/>
      <c r="KA67" s="3231"/>
      <c r="KB67" s="3231"/>
      <c r="KC67" s="3231"/>
      <c r="KD67" s="3231"/>
      <c r="KE67" s="3231"/>
      <c r="KF67" s="3231"/>
      <c r="KG67" s="3231"/>
      <c r="KH67" s="3231"/>
      <c r="KI67" s="3231"/>
      <c r="KJ67" s="3231"/>
      <c r="KK67" s="3231"/>
      <c r="KL67" s="3231"/>
      <c r="KM67" s="3231"/>
      <c r="KN67" s="3231"/>
      <c r="KO67" s="3231"/>
    </row>
    <row r="68" spans="1:301" ht="21.9" customHeight="1">
      <c r="A68" s="3558"/>
      <c r="B68" s="3231"/>
      <c r="C68" s="3559" t="s">
        <v>12</v>
      </c>
      <c r="D68" s="3516">
        <v>802</v>
      </c>
      <c r="E68" s="3517">
        <v>792</v>
      </c>
      <c r="F68" s="3517">
        <v>587</v>
      </c>
      <c r="G68" s="3517">
        <v>506</v>
      </c>
      <c r="H68" s="3517">
        <v>581</v>
      </c>
      <c r="I68" s="3517">
        <v>629</v>
      </c>
      <c r="J68" s="3517">
        <v>849</v>
      </c>
      <c r="K68" s="3517">
        <v>779</v>
      </c>
      <c r="L68" s="3517">
        <v>784</v>
      </c>
      <c r="M68" s="3517">
        <v>779</v>
      </c>
      <c r="N68" s="3517">
        <v>668</v>
      </c>
      <c r="O68" s="3518">
        <v>701</v>
      </c>
      <c r="P68" s="3519">
        <v>1001</v>
      </c>
      <c r="Q68" s="3520">
        <v>1416</v>
      </c>
      <c r="R68" s="3520">
        <v>639</v>
      </c>
      <c r="S68" s="3520">
        <v>628</v>
      </c>
      <c r="T68" s="3520">
        <v>690</v>
      </c>
      <c r="U68" s="3520">
        <v>720</v>
      </c>
      <c r="V68" s="3520">
        <v>888</v>
      </c>
      <c r="W68" s="3520">
        <v>967</v>
      </c>
      <c r="X68" s="3520">
        <v>909</v>
      </c>
      <c r="Y68" s="3520">
        <v>1253</v>
      </c>
      <c r="Z68" s="3520">
        <v>761</v>
      </c>
      <c r="AA68" s="3521">
        <v>760</v>
      </c>
      <c r="AB68" s="3522">
        <v>1134</v>
      </c>
      <c r="AC68" s="3523">
        <v>933</v>
      </c>
      <c r="AD68" s="3523">
        <v>642</v>
      </c>
      <c r="AE68" s="3523">
        <v>704</v>
      </c>
      <c r="AF68" s="3523">
        <v>710.5</v>
      </c>
      <c r="AG68" s="3523">
        <v>717</v>
      </c>
      <c r="AH68" s="3523">
        <v>970</v>
      </c>
      <c r="AI68" s="3523">
        <v>720</v>
      </c>
      <c r="AJ68" s="3523">
        <v>889</v>
      </c>
      <c r="AK68" s="3523">
        <v>728</v>
      </c>
      <c r="AL68" s="3523">
        <v>715</v>
      </c>
      <c r="AM68" s="3524">
        <v>609</v>
      </c>
      <c r="AN68" s="3525">
        <v>929</v>
      </c>
      <c r="AO68" s="3526">
        <v>1114</v>
      </c>
      <c r="AP68" s="3526">
        <v>507</v>
      </c>
      <c r="AQ68" s="3526">
        <v>594</v>
      </c>
      <c r="AR68" s="3526">
        <v>755</v>
      </c>
      <c r="AS68" s="3526">
        <v>691</v>
      </c>
      <c r="AT68" s="3526">
        <v>751</v>
      </c>
      <c r="AU68" s="3526">
        <v>618</v>
      </c>
      <c r="AV68" s="3526">
        <v>842</v>
      </c>
      <c r="AW68" s="3526">
        <v>882</v>
      </c>
      <c r="AX68" s="3526">
        <v>665</v>
      </c>
      <c r="AY68" s="3527">
        <v>729</v>
      </c>
      <c r="AZ68" s="3463">
        <v>1099</v>
      </c>
      <c r="BA68" s="3463">
        <v>1133</v>
      </c>
      <c r="BB68" s="3463">
        <v>791</v>
      </c>
      <c r="BC68" s="3463">
        <v>698</v>
      </c>
      <c r="BD68" s="3463">
        <v>822</v>
      </c>
      <c r="BE68" s="3463">
        <v>1050</v>
      </c>
      <c r="BF68" s="3463">
        <v>1309</v>
      </c>
      <c r="BG68" s="3463">
        <v>1070</v>
      </c>
      <c r="BH68" s="3463">
        <v>936</v>
      </c>
      <c r="BI68" s="3463">
        <v>966</v>
      </c>
      <c r="BJ68" s="3463">
        <v>790</v>
      </c>
      <c r="BK68" s="3560">
        <v>1233</v>
      </c>
      <c r="BL68" s="3530">
        <v>1072</v>
      </c>
      <c r="BM68" s="3531">
        <v>1312</v>
      </c>
      <c r="BN68" s="3531">
        <v>911</v>
      </c>
      <c r="BO68" s="3531">
        <v>896</v>
      </c>
      <c r="BP68" s="3531">
        <v>1004</v>
      </c>
      <c r="BQ68" s="3531">
        <v>1107</v>
      </c>
      <c r="BR68" s="3531">
        <v>1277</v>
      </c>
      <c r="BS68" s="3531">
        <v>1067</v>
      </c>
      <c r="BT68" s="3532">
        <v>1066</v>
      </c>
      <c r="BU68" s="3532">
        <v>2214</v>
      </c>
      <c r="BV68" s="3532">
        <v>992</v>
      </c>
      <c r="BW68" s="3533">
        <v>895</v>
      </c>
      <c r="BX68" s="3534">
        <v>1139</v>
      </c>
      <c r="BY68" s="3459">
        <v>1193</v>
      </c>
      <c r="BZ68" s="3459">
        <v>722</v>
      </c>
      <c r="CA68" s="3459">
        <v>797</v>
      </c>
      <c r="CB68" s="3459">
        <v>886</v>
      </c>
      <c r="CC68" s="3459">
        <v>854</v>
      </c>
      <c r="CD68" s="3459">
        <v>1141</v>
      </c>
      <c r="CE68" s="3459">
        <v>1070</v>
      </c>
      <c r="CF68" s="3459">
        <v>1090</v>
      </c>
      <c r="CG68" s="3459">
        <v>1003</v>
      </c>
      <c r="CH68" s="3459">
        <v>834</v>
      </c>
      <c r="CI68" s="3461">
        <v>772</v>
      </c>
      <c r="CJ68" s="3535">
        <v>967</v>
      </c>
      <c r="CK68" s="3536">
        <v>1087</v>
      </c>
      <c r="CL68" s="3536">
        <v>951</v>
      </c>
      <c r="CM68" s="3536">
        <v>958</v>
      </c>
      <c r="CN68" s="3536">
        <v>1130</v>
      </c>
      <c r="CO68" s="3536">
        <v>879</v>
      </c>
      <c r="CP68" s="3536">
        <v>1213</v>
      </c>
      <c r="CQ68" s="3536">
        <v>1124</v>
      </c>
      <c r="CR68" s="3536">
        <v>1100</v>
      </c>
      <c r="CS68" s="3536">
        <v>1128</v>
      </c>
      <c r="CT68" s="3536">
        <v>1166</v>
      </c>
      <c r="CU68" s="3537">
        <v>1185</v>
      </c>
      <c r="CV68" s="3535">
        <v>1056</v>
      </c>
      <c r="CW68" s="3536">
        <v>1492</v>
      </c>
      <c r="CX68" s="3458">
        <v>967</v>
      </c>
      <c r="CY68" s="3458">
        <v>831</v>
      </c>
      <c r="CZ68" s="3458">
        <v>973</v>
      </c>
      <c r="DA68" s="3458">
        <v>804</v>
      </c>
      <c r="DB68" s="3458">
        <v>1001</v>
      </c>
      <c r="DC68" s="3458">
        <v>697</v>
      </c>
      <c r="DD68" s="3458">
        <v>700</v>
      </c>
      <c r="DE68" s="3458">
        <v>837</v>
      </c>
      <c r="DF68" s="3458">
        <v>824</v>
      </c>
      <c r="DG68" s="3537">
        <v>804</v>
      </c>
      <c r="DH68" s="3538">
        <v>874</v>
      </c>
      <c r="DI68" s="3539">
        <v>931</v>
      </c>
      <c r="DJ68" s="3539">
        <v>634</v>
      </c>
      <c r="DK68" s="3540">
        <v>630</v>
      </c>
      <c r="DL68" s="3540">
        <v>593</v>
      </c>
      <c r="DM68" s="3540">
        <v>783</v>
      </c>
      <c r="DN68" s="3540">
        <v>933</v>
      </c>
      <c r="DO68" s="3540">
        <v>646</v>
      </c>
      <c r="DP68" s="2713">
        <v>846</v>
      </c>
      <c r="DQ68" s="3540">
        <v>1359</v>
      </c>
      <c r="DR68" s="3540">
        <v>938</v>
      </c>
      <c r="DS68" s="3541">
        <v>883</v>
      </c>
      <c r="DT68" s="3542">
        <v>1275</v>
      </c>
      <c r="DU68" s="3429">
        <v>1308</v>
      </c>
      <c r="DV68" s="3429">
        <v>867</v>
      </c>
      <c r="DW68" s="3350">
        <v>810</v>
      </c>
      <c r="DX68" s="3350">
        <v>726</v>
      </c>
      <c r="DY68" s="3350">
        <v>709</v>
      </c>
      <c r="DZ68" s="3350">
        <v>1106</v>
      </c>
      <c r="EA68" s="3350">
        <v>799</v>
      </c>
      <c r="EB68" s="3350">
        <v>770</v>
      </c>
      <c r="EC68" s="3350">
        <v>928</v>
      </c>
      <c r="ED68" s="3350">
        <v>755</v>
      </c>
      <c r="EE68" s="3349">
        <v>901</v>
      </c>
      <c r="EF68" s="2689">
        <v>1141</v>
      </c>
      <c r="EG68" s="2688">
        <v>1396</v>
      </c>
      <c r="EH68" s="2688">
        <v>984</v>
      </c>
      <c r="EI68" s="2688">
        <v>888</v>
      </c>
      <c r="EJ68" s="2688">
        <v>825</v>
      </c>
      <c r="EK68" s="2688">
        <v>879</v>
      </c>
      <c r="EL68" s="2688">
        <v>1124</v>
      </c>
      <c r="EM68" s="2714">
        <v>824</v>
      </c>
      <c r="EN68" s="2714">
        <v>945</v>
      </c>
      <c r="EO68" s="2715">
        <v>1036</v>
      </c>
      <c r="EP68" s="2715">
        <v>853</v>
      </c>
      <c r="EQ68" s="2716">
        <v>802</v>
      </c>
      <c r="ER68" s="1345">
        <v>1003</v>
      </c>
      <c r="ES68" s="3543">
        <v>1204</v>
      </c>
      <c r="ET68" s="3543">
        <v>853</v>
      </c>
      <c r="EU68" s="2717">
        <v>1299</v>
      </c>
      <c r="EV68" s="2159">
        <v>1321</v>
      </c>
      <c r="EW68" s="2159">
        <v>1452</v>
      </c>
      <c r="EX68" s="2159">
        <v>1791</v>
      </c>
      <c r="EY68" s="2159">
        <v>1495</v>
      </c>
      <c r="EZ68" s="2159">
        <v>1858</v>
      </c>
      <c r="FA68" s="2339">
        <v>1132</v>
      </c>
      <c r="FB68" s="2339">
        <v>1226</v>
      </c>
      <c r="FC68" s="2339">
        <v>1409</v>
      </c>
      <c r="FD68" s="2765">
        <v>1782</v>
      </c>
      <c r="FE68" s="2766">
        <v>1775</v>
      </c>
      <c r="FF68" s="2766">
        <v>541</v>
      </c>
      <c r="FG68" s="2766">
        <v>13</v>
      </c>
      <c r="FH68" s="2766">
        <v>9</v>
      </c>
      <c r="FI68" s="2766">
        <v>19</v>
      </c>
      <c r="FJ68" s="2766">
        <v>29</v>
      </c>
      <c r="FK68" s="2766">
        <v>30</v>
      </c>
      <c r="FL68" s="2766">
        <v>64</v>
      </c>
      <c r="FM68" s="2766">
        <v>142</v>
      </c>
      <c r="FN68" s="2766">
        <v>127</v>
      </c>
      <c r="FO68" s="2767">
        <v>326</v>
      </c>
      <c r="FP68" s="2765">
        <v>263</v>
      </c>
      <c r="FQ68" s="2766">
        <v>165</v>
      </c>
      <c r="FR68" s="2766">
        <v>208</v>
      </c>
      <c r="FS68" s="2766">
        <v>113</v>
      </c>
      <c r="FT68" s="2766">
        <v>145</v>
      </c>
      <c r="FU68" s="2766"/>
      <c r="FV68" s="2766"/>
      <c r="FW68" s="2766"/>
      <c r="FX68" s="2766"/>
      <c r="FY68" s="2766"/>
      <c r="FZ68" s="2766"/>
      <c r="GA68" s="2771"/>
      <c r="GB68" s="2764"/>
      <c r="GC68" s="2911">
        <v>2181</v>
      </c>
      <c r="GD68" s="2912">
        <v>1716</v>
      </c>
      <c r="GE68" s="2912">
        <v>2412</v>
      </c>
      <c r="GF68" s="2913">
        <v>2148</v>
      </c>
      <c r="GG68" s="2914">
        <v>3056</v>
      </c>
      <c r="GH68" s="2915">
        <v>2038</v>
      </c>
      <c r="GI68" s="2915">
        <v>2764</v>
      </c>
      <c r="GJ68" s="2916">
        <v>2774</v>
      </c>
      <c r="GK68" s="2917">
        <v>2709</v>
      </c>
      <c r="GL68" s="2918">
        <v>2131.5</v>
      </c>
      <c r="GM68" s="2919">
        <v>2579</v>
      </c>
      <c r="GN68" s="2919">
        <v>2052</v>
      </c>
      <c r="GO68" s="2920">
        <v>2550</v>
      </c>
      <c r="GP68" s="2921">
        <v>2040</v>
      </c>
      <c r="GQ68" s="2921">
        <v>2211</v>
      </c>
      <c r="GR68" s="2922">
        <v>2276</v>
      </c>
      <c r="GS68" s="2923">
        <v>3023</v>
      </c>
      <c r="GT68" s="2924">
        <v>2570</v>
      </c>
      <c r="GU68" s="2924">
        <v>3315</v>
      </c>
      <c r="GV68" s="2925">
        <v>2989</v>
      </c>
      <c r="GW68" s="2921">
        <v>3295</v>
      </c>
      <c r="GX68" s="2921">
        <v>3007</v>
      </c>
      <c r="GY68" s="2921">
        <v>3410</v>
      </c>
      <c r="GZ68" s="2921">
        <v>4101</v>
      </c>
      <c r="HA68" s="2926">
        <v>3054</v>
      </c>
      <c r="HB68" s="2926">
        <v>2537</v>
      </c>
      <c r="HC68" s="2926">
        <v>3301</v>
      </c>
      <c r="HD68" s="2926">
        <v>2609</v>
      </c>
      <c r="HE68" s="2927">
        <v>3005</v>
      </c>
      <c r="HF68" s="2927">
        <v>2967</v>
      </c>
      <c r="HG68" s="2927">
        <f t="shared" si="17"/>
        <v>3437</v>
      </c>
      <c r="HH68" s="2927">
        <v>3479</v>
      </c>
      <c r="HI68" s="2928">
        <v>3515</v>
      </c>
      <c r="HJ68" s="2928">
        <f t="shared" si="18"/>
        <v>2608</v>
      </c>
      <c r="HK68" s="2928">
        <f t="shared" si="19"/>
        <v>2398</v>
      </c>
      <c r="HL68" s="2927">
        <f t="shared" si="20"/>
        <v>2465</v>
      </c>
      <c r="HM68" s="2846">
        <f t="shared" si="21"/>
        <v>2439</v>
      </c>
      <c r="HN68" s="2846">
        <f t="shared" si="22"/>
        <v>2006</v>
      </c>
      <c r="HO68" s="2846">
        <f t="shared" si="23"/>
        <v>2462</v>
      </c>
      <c r="HP68" s="2846">
        <f t="shared" si="24"/>
        <v>3180</v>
      </c>
      <c r="HQ68" s="2921">
        <f t="shared" si="25"/>
        <v>3450</v>
      </c>
      <c r="HR68" s="2921">
        <f t="shared" si="26"/>
        <v>2245</v>
      </c>
      <c r="HS68" s="2921">
        <f t="shared" si="27"/>
        <v>2675</v>
      </c>
      <c r="HT68" s="2921">
        <f t="shared" si="28"/>
        <v>2584</v>
      </c>
      <c r="HU68" s="2929">
        <f t="shared" si="29"/>
        <v>3521</v>
      </c>
      <c r="HV68" s="2926">
        <f t="shared" si="30"/>
        <v>2592</v>
      </c>
      <c r="HW68" s="2926">
        <f t="shared" si="31"/>
        <v>2893</v>
      </c>
      <c r="HX68" s="2926">
        <f t="shared" si="32"/>
        <v>2691</v>
      </c>
      <c r="HY68" s="2930">
        <f t="shared" si="33"/>
        <v>3060</v>
      </c>
      <c r="HZ68" s="2931">
        <f t="shared" si="34"/>
        <v>4072</v>
      </c>
      <c r="IA68" s="2931">
        <f t="shared" si="35"/>
        <v>5144</v>
      </c>
      <c r="IB68" s="2931">
        <f t="shared" si="36"/>
        <v>3767</v>
      </c>
      <c r="IC68" s="2932">
        <f t="shared" si="65"/>
        <v>4098</v>
      </c>
      <c r="ID68" s="2933">
        <f t="shared" si="66"/>
        <v>41</v>
      </c>
      <c r="IE68" s="2933">
        <f t="shared" si="69"/>
        <v>123</v>
      </c>
      <c r="IF68" s="2934">
        <f t="shared" si="70"/>
        <v>595</v>
      </c>
      <c r="IG68" s="2929">
        <f t="shared" si="51"/>
        <v>636</v>
      </c>
      <c r="IH68" s="2926">
        <f t="shared" si="52"/>
        <v>258</v>
      </c>
      <c r="II68" s="2926">
        <f t="shared" si="53"/>
        <v>0</v>
      </c>
      <c r="IJ68" s="2926">
        <f t="shared" si="54"/>
        <v>0</v>
      </c>
      <c r="IK68" s="2735"/>
      <c r="IL68" s="3544">
        <v>8457</v>
      </c>
      <c r="IM68" s="3545">
        <v>10632</v>
      </c>
      <c r="IN68" s="3545">
        <v>9471.5</v>
      </c>
      <c r="IO68" s="3545">
        <v>9077</v>
      </c>
      <c r="IP68" s="3545">
        <v>11897</v>
      </c>
      <c r="IQ68" s="3545">
        <v>13813</v>
      </c>
      <c r="IR68" s="3546">
        <v>11501</v>
      </c>
      <c r="IS68" s="3547">
        <v>12888</v>
      </c>
      <c r="IT68" s="3547">
        <f t="shared" si="37"/>
        <v>10986</v>
      </c>
      <c r="IU68" s="3547">
        <f t="shared" si="38"/>
        <v>10050</v>
      </c>
      <c r="IV68" s="3547">
        <f t="shared" si="39"/>
        <v>10954</v>
      </c>
      <c r="IW68" s="3547">
        <f t="shared" si="40"/>
        <v>11697</v>
      </c>
      <c r="IX68" s="3548">
        <f t="shared" si="55"/>
        <v>16043</v>
      </c>
      <c r="IY68" s="3566">
        <f t="shared" si="71"/>
        <v>4857</v>
      </c>
      <c r="IZ68" s="3564">
        <f t="shared" si="57"/>
        <v>1728</v>
      </c>
      <c r="JA68" s="3765">
        <f t="shared" si="58"/>
        <v>894</v>
      </c>
      <c r="JC68" s="3551">
        <f t="shared" si="59"/>
        <v>3292.5</v>
      </c>
      <c r="JD68" s="3552">
        <f t="shared" si="42"/>
        <v>1.6012720951649548E-2</v>
      </c>
      <c r="JE68" s="3552">
        <f t="shared" si="43"/>
        <v>1.6776657870433476E-2</v>
      </c>
      <c r="JF68" s="3552">
        <f t="shared" si="60"/>
        <v>1.7091132249156184E-2</v>
      </c>
      <c r="JG68" s="3552">
        <f t="shared" si="56"/>
        <v>2.3441312701822061E-2</v>
      </c>
      <c r="JH68" s="3552">
        <f t="shared" si="61"/>
        <v>2.5507176355052334E-2</v>
      </c>
      <c r="JI68" s="3565">
        <f t="shared" si="62"/>
        <v>6.1495537303022105E-3</v>
      </c>
      <c r="JJ68" s="3552"/>
      <c r="JK68" s="3554">
        <f t="shared" si="44"/>
        <v>8.9950248756218931E-2</v>
      </c>
      <c r="JL68" s="3555">
        <f t="shared" si="45"/>
        <v>-0.67238805970149251</v>
      </c>
      <c r="JM68" s="3555">
        <f t="shared" si="46"/>
        <v>6.7829103523826983E-2</v>
      </c>
      <c r="JN68" s="3555">
        <f t="shared" si="46"/>
        <v>0.37154826023766785</v>
      </c>
      <c r="JO68" s="3555">
        <f t="shared" si="46"/>
        <v>-0.69725113756778656</v>
      </c>
      <c r="JP68" s="3556">
        <f t="shared" si="63"/>
        <v>-0.89228947204388209</v>
      </c>
      <c r="JQ68" s="3557">
        <f t="shared" si="64"/>
        <v>-0.644224830142063</v>
      </c>
      <c r="JS68" s="3231"/>
      <c r="JT68" s="3231"/>
      <c r="JU68" s="3231"/>
      <c r="JV68" s="3231"/>
      <c r="JW68" s="3231"/>
      <c r="JX68" s="3231"/>
      <c r="JY68" s="3231"/>
      <c r="JZ68" s="3231"/>
      <c r="KA68" s="3231"/>
      <c r="KB68" s="3231"/>
      <c r="KC68" s="3231"/>
      <c r="KD68" s="3231"/>
      <c r="KE68" s="3231"/>
      <c r="KF68" s="3231"/>
      <c r="KG68" s="3231"/>
      <c r="KH68" s="3231"/>
      <c r="KI68" s="3231"/>
      <c r="KJ68" s="3231"/>
      <c r="KK68" s="3231"/>
      <c r="KL68" s="3231"/>
      <c r="KM68" s="3231"/>
      <c r="KN68" s="3231"/>
      <c r="KO68" s="3231"/>
    </row>
    <row r="69" spans="1:301" ht="21.9" customHeight="1">
      <c r="A69" s="3568"/>
      <c r="B69" s="3231"/>
      <c r="C69" s="3567" t="s">
        <v>13</v>
      </c>
      <c r="D69" s="3516">
        <v>89</v>
      </c>
      <c r="E69" s="3517">
        <v>97</v>
      </c>
      <c r="F69" s="3517">
        <v>98</v>
      </c>
      <c r="G69" s="3517">
        <v>73</v>
      </c>
      <c r="H69" s="3517">
        <v>107</v>
      </c>
      <c r="I69" s="3517">
        <v>108</v>
      </c>
      <c r="J69" s="3517">
        <v>114</v>
      </c>
      <c r="K69" s="3517">
        <v>116</v>
      </c>
      <c r="L69" s="3517">
        <v>115</v>
      </c>
      <c r="M69" s="3517">
        <v>116</v>
      </c>
      <c r="N69" s="3517">
        <v>219</v>
      </c>
      <c r="O69" s="3518">
        <v>117</v>
      </c>
      <c r="P69" s="3519">
        <v>110</v>
      </c>
      <c r="Q69" s="3520">
        <v>177</v>
      </c>
      <c r="R69" s="3520">
        <v>117</v>
      </c>
      <c r="S69" s="3520">
        <v>96</v>
      </c>
      <c r="T69" s="3520">
        <v>143</v>
      </c>
      <c r="U69" s="3520">
        <v>107</v>
      </c>
      <c r="V69" s="3520">
        <v>186</v>
      </c>
      <c r="W69" s="3520">
        <v>197</v>
      </c>
      <c r="X69" s="3520">
        <v>181</v>
      </c>
      <c r="Y69" s="3520">
        <v>189</v>
      </c>
      <c r="Z69" s="3520">
        <v>292</v>
      </c>
      <c r="AA69" s="3521">
        <v>152</v>
      </c>
      <c r="AB69" s="3522">
        <v>164</v>
      </c>
      <c r="AC69" s="3523">
        <v>132</v>
      </c>
      <c r="AD69" s="3523">
        <v>166</v>
      </c>
      <c r="AE69" s="3523">
        <v>106</v>
      </c>
      <c r="AF69" s="3523">
        <v>116.5</v>
      </c>
      <c r="AG69" s="3523">
        <v>127</v>
      </c>
      <c r="AH69" s="3523">
        <v>145</v>
      </c>
      <c r="AI69" s="3523">
        <v>105</v>
      </c>
      <c r="AJ69" s="3523">
        <v>149</v>
      </c>
      <c r="AK69" s="3523">
        <v>163</v>
      </c>
      <c r="AL69" s="3523">
        <v>184</v>
      </c>
      <c r="AM69" s="3524">
        <v>125</v>
      </c>
      <c r="AN69" s="3525">
        <v>154</v>
      </c>
      <c r="AO69" s="3526">
        <v>218</v>
      </c>
      <c r="AP69" s="3526">
        <v>150</v>
      </c>
      <c r="AQ69" s="3526">
        <v>189</v>
      </c>
      <c r="AR69" s="3526">
        <v>141</v>
      </c>
      <c r="AS69" s="3526">
        <v>141</v>
      </c>
      <c r="AT69" s="3526">
        <v>147</v>
      </c>
      <c r="AU69" s="3526">
        <v>136</v>
      </c>
      <c r="AV69" s="3526">
        <v>118</v>
      </c>
      <c r="AW69" s="3526">
        <v>121</v>
      </c>
      <c r="AX69" s="3526">
        <v>165</v>
      </c>
      <c r="AY69" s="3527">
        <v>149</v>
      </c>
      <c r="AZ69" s="3463">
        <v>161</v>
      </c>
      <c r="BA69" s="3463">
        <v>180</v>
      </c>
      <c r="BB69" s="3463">
        <v>463</v>
      </c>
      <c r="BC69" s="3463">
        <v>340</v>
      </c>
      <c r="BD69" s="3463">
        <v>336</v>
      </c>
      <c r="BE69" s="3463">
        <v>396</v>
      </c>
      <c r="BF69" s="3463">
        <v>334</v>
      </c>
      <c r="BG69" s="3463">
        <v>362</v>
      </c>
      <c r="BH69" s="3463">
        <v>336</v>
      </c>
      <c r="BI69" s="3463">
        <v>395</v>
      </c>
      <c r="BJ69" s="3463">
        <v>356</v>
      </c>
      <c r="BK69" s="3560">
        <v>381</v>
      </c>
      <c r="BL69" s="3530">
        <v>131</v>
      </c>
      <c r="BM69" s="3531">
        <v>193</v>
      </c>
      <c r="BN69" s="3531">
        <v>397</v>
      </c>
      <c r="BO69" s="3531">
        <v>386</v>
      </c>
      <c r="BP69" s="3531">
        <v>468</v>
      </c>
      <c r="BQ69" s="3531">
        <v>379</v>
      </c>
      <c r="BR69" s="3531">
        <v>392</v>
      </c>
      <c r="BS69" s="3531">
        <v>350</v>
      </c>
      <c r="BT69" s="3532">
        <v>379</v>
      </c>
      <c r="BU69" s="3532">
        <v>342</v>
      </c>
      <c r="BV69" s="3532">
        <v>432</v>
      </c>
      <c r="BW69" s="3533">
        <v>353</v>
      </c>
      <c r="BX69" s="3534">
        <v>362</v>
      </c>
      <c r="BY69" s="3459">
        <v>407</v>
      </c>
      <c r="BZ69" s="3459">
        <v>490</v>
      </c>
      <c r="CA69" s="3459">
        <v>520</v>
      </c>
      <c r="CB69" s="3459">
        <v>497</v>
      </c>
      <c r="CC69" s="3459">
        <v>497</v>
      </c>
      <c r="CD69" s="3459">
        <v>513</v>
      </c>
      <c r="CE69" s="3459">
        <v>460</v>
      </c>
      <c r="CF69" s="3459">
        <v>520</v>
      </c>
      <c r="CG69" s="3459">
        <v>501</v>
      </c>
      <c r="CH69" s="3459">
        <v>503</v>
      </c>
      <c r="CI69" s="3461">
        <v>525</v>
      </c>
      <c r="CJ69" s="3535">
        <v>471</v>
      </c>
      <c r="CK69" s="3536">
        <v>474</v>
      </c>
      <c r="CL69" s="3536">
        <v>491</v>
      </c>
      <c r="CM69" s="3536">
        <v>485</v>
      </c>
      <c r="CN69" s="3536">
        <v>565</v>
      </c>
      <c r="CO69" s="3536">
        <v>493</v>
      </c>
      <c r="CP69" s="3536">
        <v>498</v>
      </c>
      <c r="CQ69" s="3536">
        <v>493</v>
      </c>
      <c r="CR69" s="3536">
        <v>543</v>
      </c>
      <c r="CS69" s="3536">
        <v>389</v>
      </c>
      <c r="CT69" s="3536">
        <v>471</v>
      </c>
      <c r="CU69" s="3537">
        <v>478</v>
      </c>
      <c r="CV69" s="3535">
        <v>398</v>
      </c>
      <c r="CW69" s="3536">
        <v>376</v>
      </c>
      <c r="CX69" s="3458">
        <v>343</v>
      </c>
      <c r="CY69" s="3458">
        <v>380</v>
      </c>
      <c r="CZ69" s="3458">
        <v>488</v>
      </c>
      <c r="DA69" s="3458">
        <v>366</v>
      </c>
      <c r="DB69" s="3458">
        <v>598</v>
      </c>
      <c r="DC69" s="3458">
        <v>512</v>
      </c>
      <c r="DD69" s="3458">
        <v>557</v>
      </c>
      <c r="DE69" s="3458">
        <v>698</v>
      </c>
      <c r="DF69" s="3458">
        <v>731</v>
      </c>
      <c r="DG69" s="3537">
        <v>700</v>
      </c>
      <c r="DH69" s="3538">
        <v>891</v>
      </c>
      <c r="DI69" s="3539">
        <v>862</v>
      </c>
      <c r="DJ69" s="3539">
        <v>915</v>
      </c>
      <c r="DK69" s="3540">
        <v>629</v>
      </c>
      <c r="DL69" s="3540">
        <v>786</v>
      </c>
      <c r="DM69" s="3540">
        <v>756</v>
      </c>
      <c r="DN69" s="3540">
        <v>817</v>
      </c>
      <c r="DO69" s="3540">
        <v>802</v>
      </c>
      <c r="DP69" s="2713">
        <v>586</v>
      </c>
      <c r="DQ69" s="3540">
        <v>872</v>
      </c>
      <c r="DR69" s="3540">
        <v>883</v>
      </c>
      <c r="DS69" s="3541">
        <v>763</v>
      </c>
      <c r="DT69" s="3542">
        <v>841</v>
      </c>
      <c r="DU69" s="3429">
        <v>806</v>
      </c>
      <c r="DV69" s="3429">
        <v>689</v>
      </c>
      <c r="DW69" s="3350">
        <v>656</v>
      </c>
      <c r="DX69" s="3350">
        <v>636</v>
      </c>
      <c r="DY69" s="3350">
        <v>814</v>
      </c>
      <c r="DZ69" s="3350">
        <v>711</v>
      </c>
      <c r="EA69" s="3350">
        <v>815</v>
      </c>
      <c r="EB69" s="3350">
        <v>811</v>
      </c>
      <c r="EC69" s="3350">
        <v>824</v>
      </c>
      <c r="ED69" s="3350">
        <v>864</v>
      </c>
      <c r="EE69" s="3349">
        <v>729</v>
      </c>
      <c r="EF69" s="2689">
        <v>769</v>
      </c>
      <c r="EG69" s="2688">
        <v>683</v>
      </c>
      <c r="EH69" s="2688">
        <v>727</v>
      </c>
      <c r="EI69" s="2688">
        <v>707</v>
      </c>
      <c r="EJ69" s="2688">
        <v>717</v>
      </c>
      <c r="EK69" s="2688">
        <v>800</v>
      </c>
      <c r="EL69" s="2688">
        <v>836</v>
      </c>
      <c r="EM69" s="2714">
        <v>819</v>
      </c>
      <c r="EN69" s="2714">
        <v>868</v>
      </c>
      <c r="EO69" s="2715">
        <v>902</v>
      </c>
      <c r="EP69" s="2715">
        <v>926</v>
      </c>
      <c r="EQ69" s="2716">
        <v>860</v>
      </c>
      <c r="ER69" s="1348">
        <v>840</v>
      </c>
      <c r="ES69" s="3543">
        <v>828</v>
      </c>
      <c r="ET69" s="3543">
        <v>1084</v>
      </c>
      <c r="EU69" s="2717">
        <v>812</v>
      </c>
      <c r="EV69" s="2162">
        <v>848</v>
      </c>
      <c r="EW69" s="2162">
        <v>1008</v>
      </c>
      <c r="EX69" s="2162">
        <v>995</v>
      </c>
      <c r="EY69" s="2162">
        <v>1071</v>
      </c>
      <c r="EZ69" s="2162">
        <v>633</v>
      </c>
      <c r="FA69" s="2339">
        <v>594</v>
      </c>
      <c r="FB69" s="2339">
        <v>724</v>
      </c>
      <c r="FC69" s="2339">
        <v>705</v>
      </c>
      <c r="FD69" s="2772">
        <v>773</v>
      </c>
      <c r="FE69" s="2773">
        <v>747</v>
      </c>
      <c r="FF69" s="2773">
        <v>271</v>
      </c>
      <c r="FG69" s="2773"/>
      <c r="FH69" s="2773"/>
      <c r="FI69" s="2773"/>
      <c r="FJ69" s="2773">
        <v>1</v>
      </c>
      <c r="FK69" s="2773">
        <v>15</v>
      </c>
      <c r="FL69" s="2773">
        <v>5</v>
      </c>
      <c r="FM69" s="2773">
        <v>40</v>
      </c>
      <c r="FN69" s="2773">
        <v>320</v>
      </c>
      <c r="FO69" s="2774">
        <v>353</v>
      </c>
      <c r="FP69" s="2772">
        <v>378</v>
      </c>
      <c r="FQ69" s="2773">
        <v>219</v>
      </c>
      <c r="FR69" s="2773">
        <v>215</v>
      </c>
      <c r="FS69" s="2773">
        <v>218</v>
      </c>
      <c r="FT69" s="2773">
        <v>265</v>
      </c>
      <c r="FU69" s="2773"/>
      <c r="FV69" s="2773"/>
      <c r="FW69" s="2773"/>
      <c r="FX69" s="2773"/>
      <c r="FY69" s="2773"/>
      <c r="FZ69" s="2773"/>
      <c r="GA69" s="2775"/>
      <c r="GB69" s="2764"/>
      <c r="GC69" s="2911">
        <v>284</v>
      </c>
      <c r="GD69" s="2912">
        <v>288</v>
      </c>
      <c r="GE69" s="2912">
        <v>345</v>
      </c>
      <c r="GF69" s="2913">
        <v>452</v>
      </c>
      <c r="GG69" s="2914">
        <v>404</v>
      </c>
      <c r="GH69" s="2915">
        <v>346</v>
      </c>
      <c r="GI69" s="2915">
        <v>564</v>
      </c>
      <c r="GJ69" s="2916">
        <v>633</v>
      </c>
      <c r="GK69" s="2917">
        <v>462</v>
      </c>
      <c r="GL69" s="2918">
        <v>349.5</v>
      </c>
      <c r="GM69" s="2919">
        <v>399</v>
      </c>
      <c r="GN69" s="2919">
        <v>472</v>
      </c>
      <c r="GO69" s="2920">
        <v>522</v>
      </c>
      <c r="GP69" s="2921">
        <v>471</v>
      </c>
      <c r="GQ69" s="2921">
        <v>401</v>
      </c>
      <c r="GR69" s="2922">
        <v>435</v>
      </c>
      <c r="GS69" s="2923">
        <v>804</v>
      </c>
      <c r="GT69" s="2924">
        <v>1072</v>
      </c>
      <c r="GU69" s="2924">
        <v>1032</v>
      </c>
      <c r="GV69" s="2925">
        <v>1132</v>
      </c>
      <c r="GW69" s="2921">
        <v>721</v>
      </c>
      <c r="GX69" s="2921">
        <v>1233</v>
      </c>
      <c r="GY69" s="2921">
        <v>1121</v>
      </c>
      <c r="GZ69" s="2921">
        <v>1127</v>
      </c>
      <c r="HA69" s="2926">
        <v>1259</v>
      </c>
      <c r="HB69" s="2926">
        <v>1514</v>
      </c>
      <c r="HC69" s="2926">
        <v>1493</v>
      </c>
      <c r="HD69" s="2926">
        <v>1529</v>
      </c>
      <c r="HE69" s="2927">
        <v>1436</v>
      </c>
      <c r="HF69" s="2927">
        <v>1543</v>
      </c>
      <c r="HG69" s="2927">
        <f t="shared" si="17"/>
        <v>1534</v>
      </c>
      <c r="HH69" s="2927">
        <v>1338</v>
      </c>
      <c r="HI69" s="2928">
        <v>1117</v>
      </c>
      <c r="HJ69" s="2928">
        <f t="shared" si="18"/>
        <v>1234</v>
      </c>
      <c r="HK69" s="2928">
        <f t="shared" si="19"/>
        <v>1667</v>
      </c>
      <c r="HL69" s="2927">
        <f t="shared" si="20"/>
        <v>2129</v>
      </c>
      <c r="HM69" s="2846">
        <f t="shared" si="21"/>
        <v>2668</v>
      </c>
      <c r="HN69" s="2846">
        <f t="shared" si="22"/>
        <v>2171</v>
      </c>
      <c r="HO69" s="2846">
        <f t="shared" si="23"/>
        <v>2382</v>
      </c>
      <c r="HP69" s="2846">
        <f t="shared" si="24"/>
        <v>2518</v>
      </c>
      <c r="HQ69" s="2921">
        <f t="shared" si="25"/>
        <v>2336</v>
      </c>
      <c r="HR69" s="2921">
        <f t="shared" si="26"/>
        <v>2106</v>
      </c>
      <c r="HS69" s="2921">
        <f t="shared" si="27"/>
        <v>2337</v>
      </c>
      <c r="HT69" s="2921">
        <f t="shared" si="28"/>
        <v>2417</v>
      </c>
      <c r="HU69" s="2929">
        <f t="shared" si="29"/>
        <v>2179</v>
      </c>
      <c r="HV69" s="2926">
        <f t="shared" si="30"/>
        <v>2224</v>
      </c>
      <c r="HW69" s="2926">
        <f t="shared" si="31"/>
        <v>2523</v>
      </c>
      <c r="HX69" s="2926">
        <f t="shared" si="32"/>
        <v>2688</v>
      </c>
      <c r="HY69" s="2930">
        <f t="shared" si="33"/>
        <v>2752</v>
      </c>
      <c r="HZ69" s="2931">
        <f t="shared" si="34"/>
        <v>2668</v>
      </c>
      <c r="IA69" s="2931">
        <f t="shared" si="35"/>
        <v>2699</v>
      </c>
      <c r="IB69" s="2931">
        <f t="shared" si="36"/>
        <v>2023</v>
      </c>
      <c r="IC69" s="2932">
        <f t="shared" si="65"/>
        <v>1791</v>
      </c>
      <c r="ID69" s="2933">
        <f t="shared" si="66"/>
        <v>0</v>
      </c>
      <c r="IE69" s="2933">
        <f t="shared" si="69"/>
        <v>21</v>
      </c>
      <c r="IF69" s="2934">
        <f t="shared" si="70"/>
        <v>713</v>
      </c>
      <c r="IG69" s="2929">
        <f t="shared" si="51"/>
        <v>812</v>
      </c>
      <c r="IH69" s="2926">
        <f t="shared" si="52"/>
        <v>483</v>
      </c>
      <c r="II69" s="2926">
        <f t="shared" si="53"/>
        <v>0</v>
      </c>
      <c r="IJ69" s="2926">
        <f t="shared" si="54"/>
        <v>0</v>
      </c>
      <c r="IK69" s="2735"/>
      <c r="IL69" s="3544">
        <v>1369</v>
      </c>
      <c r="IM69" s="3545">
        <v>1947</v>
      </c>
      <c r="IN69" s="3545">
        <v>1682.5</v>
      </c>
      <c r="IO69" s="3545">
        <v>1829</v>
      </c>
      <c r="IP69" s="3545">
        <v>4040</v>
      </c>
      <c r="IQ69" s="3545">
        <v>4202</v>
      </c>
      <c r="IR69" s="3546">
        <v>5795</v>
      </c>
      <c r="IS69" s="3547">
        <v>5851</v>
      </c>
      <c r="IT69" s="3547">
        <f t="shared" si="37"/>
        <v>6147</v>
      </c>
      <c r="IU69" s="3547">
        <f t="shared" si="38"/>
        <v>9562</v>
      </c>
      <c r="IV69" s="3547">
        <f t="shared" si="39"/>
        <v>9196</v>
      </c>
      <c r="IW69" s="3547">
        <f t="shared" si="40"/>
        <v>9614</v>
      </c>
      <c r="IX69" s="3548">
        <f t="shared" si="55"/>
        <v>10142</v>
      </c>
      <c r="IY69" s="3566">
        <f t="shared" si="71"/>
        <v>2525</v>
      </c>
      <c r="IZ69" s="3564">
        <f t="shared" si="57"/>
        <v>1602</v>
      </c>
      <c r="JA69" s="3765">
        <f t="shared" si="58"/>
        <v>1295</v>
      </c>
      <c r="JC69" s="3551">
        <f t="shared" si="59"/>
        <v>2063.5</v>
      </c>
      <c r="JD69" s="3552">
        <f t="shared" si="42"/>
        <v>1.5235187834793332E-2</v>
      </c>
      <c r="JE69" s="3552">
        <f t="shared" si="43"/>
        <v>1.4084183474210905E-2</v>
      </c>
      <c r="JF69" s="3552">
        <f t="shared" si="60"/>
        <v>1.4047545989859583E-2</v>
      </c>
      <c r="JG69" s="3552">
        <f t="shared" si="56"/>
        <v>1.4819035929806105E-2</v>
      </c>
      <c r="JH69" s="3552">
        <f t="shared" si="61"/>
        <v>1.3260370660182652E-2</v>
      </c>
      <c r="JI69" s="3565">
        <f t="shared" si="62"/>
        <v>5.7011487708010077E-3</v>
      </c>
      <c r="JJ69" s="3552"/>
      <c r="JK69" s="3554">
        <f t="shared" si="44"/>
        <v>-3.8276511190127538E-2</v>
      </c>
      <c r="JL69" s="3555">
        <f t="shared" si="45"/>
        <v>-0.78419786655511403</v>
      </c>
      <c r="JM69" s="3555">
        <f t="shared" si="46"/>
        <v>4.5454545454545414E-2</v>
      </c>
      <c r="JN69" s="3555">
        <f t="shared" si="46"/>
        <v>5.4919908466819267E-2</v>
      </c>
      <c r="JO69" s="3555">
        <f t="shared" si="46"/>
        <v>-0.75103529875764152</v>
      </c>
      <c r="JP69" s="3556">
        <f t="shared" si="63"/>
        <v>-0.8420429895484125</v>
      </c>
      <c r="JQ69" s="3557">
        <f t="shared" si="64"/>
        <v>-0.36554455445544554</v>
      </c>
      <c r="JS69" s="3231"/>
      <c r="JT69" s="3231"/>
      <c r="JU69" s="3231"/>
      <c r="JV69" s="3231"/>
      <c r="JW69" s="3231"/>
      <c r="JX69" s="3231"/>
      <c r="JY69" s="3231"/>
      <c r="JZ69" s="3231"/>
      <c r="KA69" s="3231"/>
      <c r="KB69" s="3231"/>
      <c r="KC69" s="3231"/>
      <c r="KD69" s="3231"/>
      <c r="KE69" s="3231"/>
      <c r="KF69" s="3231"/>
      <c r="KG69" s="3231"/>
      <c r="KH69" s="3231"/>
      <c r="KI69" s="3231"/>
      <c r="KJ69" s="3231"/>
      <c r="KK69" s="3231"/>
      <c r="KL69" s="3231"/>
      <c r="KM69" s="3231"/>
      <c r="KN69" s="3231"/>
      <c r="KO69" s="3231"/>
    </row>
    <row r="70" spans="1:301" ht="21.9" customHeight="1">
      <c r="A70" s="3568"/>
      <c r="B70" s="3231"/>
      <c r="C70" s="3567" t="s">
        <v>20</v>
      </c>
      <c r="D70" s="3516">
        <v>549</v>
      </c>
      <c r="E70" s="3517">
        <v>378</v>
      </c>
      <c r="F70" s="3517">
        <v>399</v>
      </c>
      <c r="G70" s="3517">
        <v>391</v>
      </c>
      <c r="H70" s="3517">
        <v>397</v>
      </c>
      <c r="I70" s="3517">
        <v>487</v>
      </c>
      <c r="J70" s="3517">
        <v>844</v>
      </c>
      <c r="K70" s="3517">
        <v>1198</v>
      </c>
      <c r="L70" s="3517">
        <v>469</v>
      </c>
      <c r="M70" s="3517">
        <v>573</v>
      </c>
      <c r="N70" s="3517">
        <v>556</v>
      </c>
      <c r="O70" s="3518">
        <v>606</v>
      </c>
      <c r="P70" s="3519">
        <v>658</v>
      </c>
      <c r="Q70" s="3520">
        <v>721</v>
      </c>
      <c r="R70" s="3520">
        <v>522</v>
      </c>
      <c r="S70" s="3520">
        <v>491</v>
      </c>
      <c r="T70" s="3520">
        <v>485</v>
      </c>
      <c r="U70" s="3520">
        <v>640</v>
      </c>
      <c r="V70" s="3520">
        <v>950</v>
      </c>
      <c r="W70" s="3520">
        <v>1246</v>
      </c>
      <c r="X70" s="3520">
        <v>719</v>
      </c>
      <c r="Y70" s="3520">
        <v>629</v>
      </c>
      <c r="Z70" s="3520">
        <v>701</v>
      </c>
      <c r="AA70" s="3521">
        <v>596</v>
      </c>
      <c r="AB70" s="3522">
        <v>761</v>
      </c>
      <c r="AC70" s="3523">
        <v>540</v>
      </c>
      <c r="AD70" s="3523">
        <v>496</v>
      </c>
      <c r="AE70" s="3523">
        <v>503</v>
      </c>
      <c r="AF70" s="3523">
        <v>608</v>
      </c>
      <c r="AG70" s="3523">
        <v>713</v>
      </c>
      <c r="AH70" s="3523">
        <v>1022</v>
      </c>
      <c r="AI70" s="3523">
        <v>1396</v>
      </c>
      <c r="AJ70" s="3523">
        <v>602</v>
      </c>
      <c r="AK70" s="3523">
        <v>609</v>
      </c>
      <c r="AL70" s="3523">
        <v>680</v>
      </c>
      <c r="AM70" s="3524">
        <v>666</v>
      </c>
      <c r="AN70" s="3525">
        <v>637</v>
      </c>
      <c r="AO70" s="3526">
        <v>545</v>
      </c>
      <c r="AP70" s="3526">
        <v>550</v>
      </c>
      <c r="AQ70" s="3526">
        <v>538</v>
      </c>
      <c r="AR70" s="3526">
        <v>528</v>
      </c>
      <c r="AS70" s="3526">
        <v>635</v>
      </c>
      <c r="AT70" s="3526">
        <v>849</v>
      </c>
      <c r="AU70" s="3526">
        <v>1276</v>
      </c>
      <c r="AV70" s="3526">
        <v>521</v>
      </c>
      <c r="AW70" s="3526">
        <v>614</v>
      </c>
      <c r="AX70" s="3526">
        <v>715</v>
      </c>
      <c r="AY70" s="3527">
        <v>639</v>
      </c>
      <c r="AZ70" s="3463">
        <v>595</v>
      </c>
      <c r="BA70" s="3463">
        <v>497</v>
      </c>
      <c r="BB70" s="3463">
        <v>505</v>
      </c>
      <c r="BC70" s="3463">
        <v>417</v>
      </c>
      <c r="BD70" s="3463">
        <v>543</v>
      </c>
      <c r="BE70" s="3463">
        <v>559</v>
      </c>
      <c r="BF70" s="3463">
        <v>777</v>
      </c>
      <c r="BG70" s="3463">
        <v>1289</v>
      </c>
      <c r="BH70" s="3463">
        <v>535</v>
      </c>
      <c r="BI70" s="3463">
        <v>653</v>
      </c>
      <c r="BJ70" s="3463">
        <v>682</v>
      </c>
      <c r="BK70" s="3560">
        <v>664</v>
      </c>
      <c r="BL70" s="3530">
        <v>551</v>
      </c>
      <c r="BM70" s="3531">
        <v>522</v>
      </c>
      <c r="BN70" s="3531">
        <v>534</v>
      </c>
      <c r="BO70" s="3531">
        <v>525</v>
      </c>
      <c r="BP70" s="3531">
        <v>544</v>
      </c>
      <c r="BQ70" s="3531">
        <v>656</v>
      </c>
      <c r="BR70" s="3531">
        <v>836</v>
      </c>
      <c r="BS70" s="3531">
        <v>1119</v>
      </c>
      <c r="BT70" s="3532">
        <v>550</v>
      </c>
      <c r="BU70" s="3532">
        <v>658</v>
      </c>
      <c r="BV70" s="3532">
        <v>688</v>
      </c>
      <c r="BW70" s="3533">
        <v>574</v>
      </c>
      <c r="BX70" s="3534">
        <v>600</v>
      </c>
      <c r="BY70" s="3459">
        <v>512</v>
      </c>
      <c r="BZ70" s="3459">
        <v>542</v>
      </c>
      <c r="CA70" s="3459">
        <v>511</v>
      </c>
      <c r="CB70" s="3459">
        <v>483</v>
      </c>
      <c r="CC70" s="3459">
        <v>646</v>
      </c>
      <c r="CD70" s="3459">
        <v>665</v>
      </c>
      <c r="CE70" s="3459">
        <v>935</v>
      </c>
      <c r="CF70" s="3459">
        <v>579</v>
      </c>
      <c r="CG70" s="3459">
        <v>611</v>
      </c>
      <c r="CH70" s="3459">
        <v>678</v>
      </c>
      <c r="CI70" s="3461">
        <v>758</v>
      </c>
      <c r="CJ70" s="3535">
        <v>698</v>
      </c>
      <c r="CK70" s="3536">
        <v>643</v>
      </c>
      <c r="CL70" s="3536">
        <v>609</v>
      </c>
      <c r="CM70" s="3536">
        <v>572</v>
      </c>
      <c r="CN70" s="3536">
        <v>490</v>
      </c>
      <c r="CO70" s="3536">
        <v>643</v>
      </c>
      <c r="CP70" s="3536">
        <v>814</v>
      </c>
      <c r="CQ70" s="3536">
        <v>1057</v>
      </c>
      <c r="CR70" s="3536">
        <v>554</v>
      </c>
      <c r="CS70" s="3536">
        <v>636</v>
      </c>
      <c r="CT70" s="3536">
        <v>734</v>
      </c>
      <c r="CU70" s="3537">
        <v>716</v>
      </c>
      <c r="CV70" s="3535">
        <v>704</v>
      </c>
      <c r="CW70" s="3536">
        <v>575</v>
      </c>
      <c r="CX70" s="3458">
        <v>571</v>
      </c>
      <c r="CY70" s="3458">
        <v>525</v>
      </c>
      <c r="CZ70" s="3458">
        <v>537</v>
      </c>
      <c r="DA70" s="3458">
        <v>740</v>
      </c>
      <c r="DB70" s="3458">
        <v>857</v>
      </c>
      <c r="DC70" s="3458">
        <v>1052</v>
      </c>
      <c r="DD70" s="3458">
        <v>643</v>
      </c>
      <c r="DE70" s="3458">
        <v>549</v>
      </c>
      <c r="DF70" s="3458">
        <v>656</v>
      </c>
      <c r="DG70" s="3537">
        <v>699</v>
      </c>
      <c r="DH70" s="3538">
        <v>630</v>
      </c>
      <c r="DI70" s="3539">
        <v>567</v>
      </c>
      <c r="DJ70" s="3539">
        <v>515</v>
      </c>
      <c r="DK70" s="3540">
        <v>517</v>
      </c>
      <c r="DL70" s="3540">
        <v>530</v>
      </c>
      <c r="DM70" s="3540">
        <v>594</v>
      </c>
      <c r="DN70" s="3540">
        <v>797</v>
      </c>
      <c r="DO70" s="3540">
        <v>968</v>
      </c>
      <c r="DP70" s="2713">
        <v>506</v>
      </c>
      <c r="DQ70" s="3540">
        <v>663</v>
      </c>
      <c r="DR70" s="3540">
        <v>605</v>
      </c>
      <c r="DS70" s="3541">
        <v>640</v>
      </c>
      <c r="DT70" s="3542">
        <v>661</v>
      </c>
      <c r="DU70" s="3429">
        <v>472</v>
      </c>
      <c r="DV70" s="3429">
        <v>508</v>
      </c>
      <c r="DW70" s="3350">
        <v>543</v>
      </c>
      <c r="DX70" s="3350">
        <v>594</v>
      </c>
      <c r="DY70" s="3350">
        <v>673</v>
      </c>
      <c r="DZ70" s="3350">
        <v>769</v>
      </c>
      <c r="EA70" s="3350">
        <v>922</v>
      </c>
      <c r="EB70" s="3350">
        <v>542</v>
      </c>
      <c r="EC70" s="3350">
        <v>601</v>
      </c>
      <c r="ED70" s="3350">
        <v>691</v>
      </c>
      <c r="EE70" s="3349">
        <v>768</v>
      </c>
      <c r="EF70" s="2689">
        <v>637</v>
      </c>
      <c r="EG70" s="2688">
        <v>567</v>
      </c>
      <c r="EH70" s="2688">
        <v>562</v>
      </c>
      <c r="EI70" s="2688">
        <v>572</v>
      </c>
      <c r="EJ70" s="2688">
        <v>529</v>
      </c>
      <c r="EK70" s="2688">
        <v>741</v>
      </c>
      <c r="EL70" s="2688">
        <v>937</v>
      </c>
      <c r="EM70" s="2714">
        <v>1050</v>
      </c>
      <c r="EN70" s="2714">
        <v>478</v>
      </c>
      <c r="EO70" s="2715">
        <v>576</v>
      </c>
      <c r="EP70" s="2715">
        <v>721</v>
      </c>
      <c r="EQ70" s="2716">
        <v>705</v>
      </c>
      <c r="ER70" s="1348">
        <v>645</v>
      </c>
      <c r="ES70" s="3543">
        <v>546</v>
      </c>
      <c r="ET70" s="3543">
        <v>565</v>
      </c>
      <c r="EU70" s="2717">
        <v>674</v>
      </c>
      <c r="EV70" s="2162">
        <v>751</v>
      </c>
      <c r="EW70" s="2162">
        <v>951</v>
      </c>
      <c r="EX70" s="2162">
        <v>1213</v>
      </c>
      <c r="EY70" s="2162">
        <v>1585</v>
      </c>
      <c r="EZ70" s="2162">
        <v>988</v>
      </c>
      <c r="FA70" s="2339">
        <v>728</v>
      </c>
      <c r="FB70" s="2339">
        <v>1072</v>
      </c>
      <c r="FC70" s="2339">
        <v>1209</v>
      </c>
      <c r="FD70" s="2765">
        <v>1044</v>
      </c>
      <c r="FE70" s="2766">
        <v>854</v>
      </c>
      <c r="FF70" s="2766">
        <v>254</v>
      </c>
      <c r="FG70" s="2766">
        <v>4</v>
      </c>
      <c r="FH70" s="2766">
        <v>15</v>
      </c>
      <c r="FI70" s="2766">
        <v>14</v>
      </c>
      <c r="FJ70" s="2766">
        <v>82</v>
      </c>
      <c r="FK70" s="2766">
        <v>59</v>
      </c>
      <c r="FL70" s="2766">
        <v>126</v>
      </c>
      <c r="FM70" s="2766">
        <v>186</v>
      </c>
      <c r="FN70" s="2766">
        <v>183</v>
      </c>
      <c r="FO70" s="2767">
        <v>227</v>
      </c>
      <c r="FP70" s="2765">
        <v>251</v>
      </c>
      <c r="FQ70" s="2766">
        <v>155</v>
      </c>
      <c r="FR70" s="2766">
        <v>187</v>
      </c>
      <c r="FS70" s="2766">
        <v>208</v>
      </c>
      <c r="FT70" s="2766">
        <v>226</v>
      </c>
      <c r="FU70" s="2766"/>
      <c r="FV70" s="2766"/>
      <c r="FW70" s="2766"/>
      <c r="FX70" s="2766"/>
      <c r="FY70" s="2766"/>
      <c r="FZ70" s="2766"/>
      <c r="GA70" s="2771"/>
      <c r="GB70" s="2764"/>
      <c r="GC70" s="2911">
        <v>1326</v>
      </c>
      <c r="GD70" s="2912">
        <v>1275</v>
      </c>
      <c r="GE70" s="2912">
        <v>2511</v>
      </c>
      <c r="GF70" s="2913">
        <v>1735</v>
      </c>
      <c r="GG70" s="2914">
        <v>1901</v>
      </c>
      <c r="GH70" s="2915">
        <v>1616</v>
      </c>
      <c r="GI70" s="2915">
        <v>2915</v>
      </c>
      <c r="GJ70" s="2916">
        <v>1926</v>
      </c>
      <c r="GK70" s="2917">
        <v>1797</v>
      </c>
      <c r="GL70" s="2918">
        <v>1824</v>
      </c>
      <c r="GM70" s="2919">
        <v>3020</v>
      </c>
      <c r="GN70" s="2919">
        <v>1955</v>
      </c>
      <c r="GO70" s="2920">
        <v>1732</v>
      </c>
      <c r="GP70" s="2921">
        <v>1701</v>
      </c>
      <c r="GQ70" s="2921">
        <v>2646</v>
      </c>
      <c r="GR70" s="2922">
        <v>1968</v>
      </c>
      <c r="GS70" s="2923">
        <v>1597</v>
      </c>
      <c r="GT70" s="2924">
        <v>1519</v>
      </c>
      <c r="GU70" s="2924">
        <v>2601</v>
      </c>
      <c r="GV70" s="2925">
        <v>1999</v>
      </c>
      <c r="GW70" s="2921">
        <v>1607</v>
      </c>
      <c r="GX70" s="2921">
        <v>1725</v>
      </c>
      <c r="GY70" s="2921">
        <v>2505</v>
      </c>
      <c r="GZ70" s="2921">
        <v>1920</v>
      </c>
      <c r="HA70" s="2926">
        <v>1654</v>
      </c>
      <c r="HB70" s="2926">
        <v>1640</v>
      </c>
      <c r="HC70" s="2926">
        <v>2179</v>
      </c>
      <c r="HD70" s="2926">
        <v>2047</v>
      </c>
      <c r="HE70" s="2927">
        <v>1950</v>
      </c>
      <c r="HF70" s="2927">
        <v>1705</v>
      </c>
      <c r="HG70" s="2927">
        <f t="shared" si="17"/>
        <v>2425</v>
      </c>
      <c r="HH70" s="2927">
        <v>2086</v>
      </c>
      <c r="HI70" s="2928">
        <v>1850</v>
      </c>
      <c r="HJ70" s="2928">
        <f t="shared" si="18"/>
        <v>1802</v>
      </c>
      <c r="HK70" s="2928">
        <f t="shared" si="19"/>
        <v>2552</v>
      </c>
      <c r="HL70" s="2927">
        <f t="shared" si="20"/>
        <v>1904</v>
      </c>
      <c r="HM70" s="2846">
        <f t="shared" si="21"/>
        <v>1712</v>
      </c>
      <c r="HN70" s="2846">
        <f t="shared" si="22"/>
        <v>1641</v>
      </c>
      <c r="HO70" s="2846">
        <f t="shared" si="23"/>
        <v>2405</v>
      </c>
      <c r="HP70" s="2846">
        <f t="shared" si="24"/>
        <v>1908</v>
      </c>
      <c r="HQ70" s="2921">
        <f t="shared" si="25"/>
        <v>1641</v>
      </c>
      <c r="HR70" s="2921">
        <f t="shared" si="26"/>
        <v>1810</v>
      </c>
      <c r="HS70" s="2921">
        <f t="shared" si="27"/>
        <v>2233</v>
      </c>
      <c r="HT70" s="2921">
        <f t="shared" si="28"/>
        <v>2060</v>
      </c>
      <c r="HU70" s="2929">
        <f t="shared" si="29"/>
        <v>1766</v>
      </c>
      <c r="HV70" s="2926">
        <f t="shared" si="30"/>
        <v>1842</v>
      </c>
      <c r="HW70" s="2926">
        <f t="shared" si="31"/>
        <v>2465</v>
      </c>
      <c r="HX70" s="2926">
        <f t="shared" si="32"/>
        <v>2002</v>
      </c>
      <c r="HY70" s="2930">
        <f t="shared" si="33"/>
        <v>1756</v>
      </c>
      <c r="HZ70" s="2931">
        <f t="shared" si="34"/>
        <v>2376</v>
      </c>
      <c r="IA70" s="2931">
        <f t="shared" si="35"/>
        <v>3786</v>
      </c>
      <c r="IB70" s="2931">
        <f t="shared" si="36"/>
        <v>3009</v>
      </c>
      <c r="IC70" s="2932">
        <f t="shared" si="65"/>
        <v>2152</v>
      </c>
      <c r="ID70" s="2933">
        <f t="shared" si="66"/>
        <v>33</v>
      </c>
      <c r="IE70" s="2933">
        <f t="shared" si="69"/>
        <v>267</v>
      </c>
      <c r="IF70" s="2934">
        <f t="shared" si="70"/>
        <v>596</v>
      </c>
      <c r="IG70" s="2929">
        <f t="shared" si="51"/>
        <v>593</v>
      </c>
      <c r="IH70" s="2926">
        <f t="shared" si="52"/>
        <v>434</v>
      </c>
      <c r="II70" s="2926">
        <f t="shared" si="53"/>
        <v>0</v>
      </c>
      <c r="IJ70" s="2926">
        <f t="shared" si="54"/>
        <v>0</v>
      </c>
      <c r="IK70" s="2735"/>
      <c r="IL70" s="3544">
        <v>6847</v>
      </c>
      <c r="IM70" s="3545">
        <v>8358</v>
      </c>
      <c r="IN70" s="3545">
        <v>8596</v>
      </c>
      <c r="IO70" s="3545">
        <v>8047</v>
      </c>
      <c r="IP70" s="3545">
        <v>7716</v>
      </c>
      <c r="IQ70" s="3545">
        <v>7757</v>
      </c>
      <c r="IR70" s="3546">
        <v>7520</v>
      </c>
      <c r="IS70" s="3547">
        <v>8166</v>
      </c>
      <c r="IT70" s="3547">
        <f t="shared" si="37"/>
        <v>8108</v>
      </c>
      <c r="IU70" s="3547">
        <f t="shared" si="38"/>
        <v>7532</v>
      </c>
      <c r="IV70" s="3547">
        <f t="shared" si="39"/>
        <v>7744</v>
      </c>
      <c r="IW70" s="3547">
        <f t="shared" si="40"/>
        <v>8075</v>
      </c>
      <c r="IX70" s="3548">
        <f t="shared" si="55"/>
        <v>10927</v>
      </c>
      <c r="IY70" s="3566">
        <f t="shared" si="71"/>
        <v>3048</v>
      </c>
      <c r="IZ70" s="3564">
        <f t="shared" si="57"/>
        <v>1556</v>
      </c>
      <c r="JA70" s="3765">
        <f t="shared" si="58"/>
        <v>1027</v>
      </c>
      <c r="JC70" s="3551">
        <f t="shared" si="59"/>
        <v>2302</v>
      </c>
      <c r="JD70" s="3552">
        <f t="shared" si="42"/>
        <v>1.2000777533116857E-2</v>
      </c>
      <c r="JE70" s="3552">
        <f t="shared" si="43"/>
        <v>1.1860365030914446E-2</v>
      </c>
      <c r="JF70" s="3552">
        <f t="shared" si="60"/>
        <v>1.1798828153538186E-2</v>
      </c>
      <c r="JG70" s="3552">
        <f t="shared" si="56"/>
        <v>1.5966042753400838E-2</v>
      </c>
      <c r="JH70" s="3552">
        <f t="shared" si="61"/>
        <v>1.6006974167222465E-2</v>
      </c>
      <c r="JI70" s="3565">
        <f t="shared" si="62"/>
        <v>5.5374453728878701E-3</v>
      </c>
      <c r="JJ70" s="3552"/>
      <c r="JK70" s="3554">
        <f t="shared" si="44"/>
        <v>2.814657461497605E-2</v>
      </c>
      <c r="JL70" s="3555">
        <f t="shared" si="45"/>
        <v>-0.69437068507700483</v>
      </c>
      <c r="JM70" s="3555">
        <f t="shared" si="46"/>
        <v>4.2742768595041225E-2</v>
      </c>
      <c r="JN70" s="3555">
        <f t="shared" si="46"/>
        <v>0.35318885448916415</v>
      </c>
      <c r="JO70" s="3555">
        <f t="shared" si="46"/>
        <v>-0.72105792989841677</v>
      </c>
      <c r="JP70" s="3556">
        <f t="shared" si="63"/>
        <v>-0.85760043927885055</v>
      </c>
      <c r="JQ70" s="3557">
        <f t="shared" si="64"/>
        <v>-0.48950131233595795</v>
      </c>
      <c r="JS70" s="3231"/>
      <c r="JT70" s="3231"/>
      <c r="JU70" s="3231"/>
      <c r="JV70" s="3231"/>
      <c r="JW70" s="3231"/>
      <c r="JX70" s="3231"/>
      <c r="JY70" s="3231"/>
      <c r="JZ70" s="3231"/>
      <c r="KA70" s="3231"/>
      <c r="KB70" s="3231"/>
      <c r="KC70" s="3231"/>
      <c r="KD70" s="3231"/>
      <c r="KE70" s="3231"/>
      <c r="KF70" s="3231"/>
      <c r="KG70" s="3231"/>
      <c r="KH70" s="3231"/>
      <c r="KI70" s="3231"/>
      <c r="KJ70" s="3231"/>
      <c r="KK70" s="3231"/>
      <c r="KL70" s="3231"/>
      <c r="KM70" s="3231"/>
      <c r="KN70" s="3231"/>
      <c r="KO70" s="3231"/>
    </row>
    <row r="71" spans="1:301" ht="21.9" customHeight="1">
      <c r="A71" s="3568"/>
      <c r="B71" s="3231"/>
      <c r="C71" s="3567" t="s">
        <v>23</v>
      </c>
      <c r="D71" s="3516">
        <v>364</v>
      </c>
      <c r="E71" s="3517">
        <v>398</v>
      </c>
      <c r="F71" s="3517">
        <v>362</v>
      </c>
      <c r="G71" s="3517">
        <v>333</v>
      </c>
      <c r="H71" s="3517">
        <v>305</v>
      </c>
      <c r="I71" s="3517">
        <v>347</v>
      </c>
      <c r="J71" s="3517">
        <v>748</v>
      </c>
      <c r="K71" s="3517">
        <v>334</v>
      </c>
      <c r="L71" s="3517">
        <v>478</v>
      </c>
      <c r="M71" s="3517">
        <v>546</v>
      </c>
      <c r="N71" s="3517">
        <v>492</v>
      </c>
      <c r="O71" s="3518">
        <v>429</v>
      </c>
      <c r="P71" s="3519">
        <v>442</v>
      </c>
      <c r="Q71" s="3520">
        <v>593</v>
      </c>
      <c r="R71" s="3520">
        <v>475</v>
      </c>
      <c r="S71" s="3520">
        <v>378</v>
      </c>
      <c r="T71" s="3520">
        <v>364</v>
      </c>
      <c r="U71" s="3520">
        <v>401</v>
      </c>
      <c r="V71" s="3520">
        <v>795</v>
      </c>
      <c r="W71" s="3520">
        <v>418</v>
      </c>
      <c r="X71" s="3520">
        <v>410</v>
      </c>
      <c r="Y71" s="3520">
        <v>462</v>
      </c>
      <c r="Z71" s="3520">
        <v>547</v>
      </c>
      <c r="AA71" s="3521">
        <v>450</v>
      </c>
      <c r="AB71" s="3522">
        <v>472</v>
      </c>
      <c r="AC71" s="3523">
        <v>324</v>
      </c>
      <c r="AD71" s="3523">
        <v>379</v>
      </c>
      <c r="AE71" s="3523">
        <v>343</v>
      </c>
      <c r="AF71" s="3523">
        <v>385.5</v>
      </c>
      <c r="AG71" s="3523">
        <v>428</v>
      </c>
      <c r="AH71" s="3523">
        <v>875</v>
      </c>
      <c r="AI71" s="3523">
        <v>391</v>
      </c>
      <c r="AJ71" s="3523">
        <v>458</v>
      </c>
      <c r="AK71" s="3523">
        <v>460</v>
      </c>
      <c r="AL71" s="3523">
        <v>532</v>
      </c>
      <c r="AM71" s="3524">
        <v>487</v>
      </c>
      <c r="AN71" s="3525">
        <v>443</v>
      </c>
      <c r="AO71" s="3526">
        <v>376</v>
      </c>
      <c r="AP71" s="3526">
        <v>358</v>
      </c>
      <c r="AQ71" s="3526">
        <v>310</v>
      </c>
      <c r="AR71" s="3526">
        <v>315</v>
      </c>
      <c r="AS71" s="3526">
        <v>379</v>
      </c>
      <c r="AT71" s="3526">
        <v>783</v>
      </c>
      <c r="AU71" s="3526">
        <v>396</v>
      </c>
      <c r="AV71" s="3526">
        <v>362</v>
      </c>
      <c r="AW71" s="3526">
        <v>563</v>
      </c>
      <c r="AX71" s="3526">
        <v>559</v>
      </c>
      <c r="AY71" s="3527">
        <v>469</v>
      </c>
      <c r="AZ71" s="3463">
        <v>429</v>
      </c>
      <c r="BA71" s="3463">
        <v>404</v>
      </c>
      <c r="BB71" s="3463">
        <v>315</v>
      </c>
      <c r="BC71" s="3463">
        <v>400</v>
      </c>
      <c r="BD71" s="3463">
        <v>329</v>
      </c>
      <c r="BE71" s="3463">
        <v>370</v>
      </c>
      <c r="BF71" s="3463">
        <v>834</v>
      </c>
      <c r="BG71" s="3463">
        <v>402</v>
      </c>
      <c r="BH71" s="3463">
        <v>363</v>
      </c>
      <c r="BI71" s="3463">
        <v>578</v>
      </c>
      <c r="BJ71" s="3463">
        <v>603</v>
      </c>
      <c r="BK71" s="3560">
        <v>577</v>
      </c>
      <c r="BL71" s="3530">
        <v>442</v>
      </c>
      <c r="BM71" s="3531">
        <v>386</v>
      </c>
      <c r="BN71" s="3531">
        <v>342</v>
      </c>
      <c r="BO71" s="3531">
        <v>413</v>
      </c>
      <c r="BP71" s="3531">
        <v>323</v>
      </c>
      <c r="BQ71" s="3531">
        <v>446</v>
      </c>
      <c r="BR71" s="3531">
        <v>986</v>
      </c>
      <c r="BS71" s="3531">
        <v>441</v>
      </c>
      <c r="BT71" s="3532">
        <v>500</v>
      </c>
      <c r="BU71" s="3532">
        <v>622</v>
      </c>
      <c r="BV71" s="3532">
        <v>645</v>
      </c>
      <c r="BW71" s="3533">
        <v>674</v>
      </c>
      <c r="BX71" s="3534">
        <v>449</v>
      </c>
      <c r="BY71" s="3459">
        <v>392</v>
      </c>
      <c r="BZ71" s="3459">
        <v>495</v>
      </c>
      <c r="CA71" s="3459">
        <v>430</v>
      </c>
      <c r="CB71" s="3459">
        <v>411</v>
      </c>
      <c r="CC71" s="3459">
        <v>419</v>
      </c>
      <c r="CD71" s="3459">
        <v>996</v>
      </c>
      <c r="CE71" s="3459">
        <v>438</v>
      </c>
      <c r="CF71" s="3459">
        <v>418</v>
      </c>
      <c r="CG71" s="3459">
        <v>574</v>
      </c>
      <c r="CH71" s="3459">
        <v>598</v>
      </c>
      <c r="CI71" s="3461">
        <v>671</v>
      </c>
      <c r="CJ71" s="3535">
        <v>474</v>
      </c>
      <c r="CK71" s="3536">
        <v>485</v>
      </c>
      <c r="CL71" s="3536">
        <v>443</v>
      </c>
      <c r="CM71" s="3536">
        <v>516</v>
      </c>
      <c r="CN71" s="3536">
        <v>447</v>
      </c>
      <c r="CO71" s="3536">
        <v>401</v>
      </c>
      <c r="CP71" s="3536">
        <v>1000</v>
      </c>
      <c r="CQ71" s="3536">
        <v>403</v>
      </c>
      <c r="CR71" s="3536">
        <v>432</v>
      </c>
      <c r="CS71" s="3536">
        <v>612</v>
      </c>
      <c r="CT71" s="3536">
        <v>615</v>
      </c>
      <c r="CU71" s="3537">
        <v>638</v>
      </c>
      <c r="CV71" s="3535">
        <v>514</v>
      </c>
      <c r="CW71" s="3536">
        <v>443</v>
      </c>
      <c r="CX71" s="3458">
        <v>472</v>
      </c>
      <c r="CY71" s="3458">
        <v>513</v>
      </c>
      <c r="CZ71" s="3458">
        <v>444</v>
      </c>
      <c r="DA71" s="3458">
        <v>445</v>
      </c>
      <c r="DB71" s="3458">
        <v>1074</v>
      </c>
      <c r="DC71" s="3458">
        <v>403</v>
      </c>
      <c r="DD71" s="3458">
        <v>441</v>
      </c>
      <c r="DE71" s="3458">
        <v>599</v>
      </c>
      <c r="DF71" s="3458">
        <v>582</v>
      </c>
      <c r="DG71" s="3537">
        <v>596</v>
      </c>
      <c r="DH71" s="3538">
        <v>566</v>
      </c>
      <c r="DI71" s="3539">
        <v>575</v>
      </c>
      <c r="DJ71" s="3539">
        <v>533</v>
      </c>
      <c r="DK71" s="3540">
        <v>489</v>
      </c>
      <c r="DL71" s="3540">
        <v>387</v>
      </c>
      <c r="DM71" s="3540">
        <v>383</v>
      </c>
      <c r="DN71" s="3540">
        <v>1133</v>
      </c>
      <c r="DO71" s="3540">
        <v>480</v>
      </c>
      <c r="DP71" s="2713">
        <v>403</v>
      </c>
      <c r="DQ71" s="3540">
        <v>692</v>
      </c>
      <c r="DR71" s="3540">
        <v>501</v>
      </c>
      <c r="DS71" s="3541">
        <v>545</v>
      </c>
      <c r="DT71" s="3542">
        <v>510</v>
      </c>
      <c r="DU71" s="3429">
        <v>457</v>
      </c>
      <c r="DV71" s="3429">
        <v>436</v>
      </c>
      <c r="DW71" s="3350">
        <v>611</v>
      </c>
      <c r="DX71" s="3350">
        <v>335</v>
      </c>
      <c r="DY71" s="3350">
        <v>452</v>
      </c>
      <c r="DZ71" s="3350">
        <v>981</v>
      </c>
      <c r="EA71" s="3350">
        <v>427</v>
      </c>
      <c r="EB71" s="3350">
        <v>447</v>
      </c>
      <c r="EC71" s="3350">
        <v>575</v>
      </c>
      <c r="ED71" s="3350">
        <v>478</v>
      </c>
      <c r="EE71" s="3349">
        <v>579</v>
      </c>
      <c r="EF71" s="2689">
        <v>507</v>
      </c>
      <c r="EG71" s="2688">
        <v>534</v>
      </c>
      <c r="EH71" s="2688">
        <v>515</v>
      </c>
      <c r="EI71" s="2688">
        <v>487</v>
      </c>
      <c r="EJ71" s="2688">
        <v>373</v>
      </c>
      <c r="EK71" s="2688">
        <v>437</v>
      </c>
      <c r="EL71" s="2688">
        <v>1093</v>
      </c>
      <c r="EM71" s="2714">
        <v>415</v>
      </c>
      <c r="EN71" s="2714">
        <v>526</v>
      </c>
      <c r="EO71" s="2715">
        <v>655</v>
      </c>
      <c r="EP71" s="2715">
        <v>579</v>
      </c>
      <c r="EQ71" s="2716">
        <v>714</v>
      </c>
      <c r="ER71" s="1348">
        <v>500</v>
      </c>
      <c r="ES71" s="3543">
        <v>462</v>
      </c>
      <c r="ET71" s="3543">
        <v>398</v>
      </c>
      <c r="EU71" s="2717">
        <v>546</v>
      </c>
      <c r="EV71" s="2162">
        <v>441</v>
      </c>
      <c r="EW71" s="2162">
        <v>503</v>
      </c>
      <c r="EX71" s="2162">
        <v>1198</v>
      </c>
      <c r="EY71" s="2162">
        <v>550</v>
      </c>
      <c r="EZ71" s="2162">
        <v>532</v>
      </c>
      <c r="FA71" s="2339">
        <v>538</v>
      </c>
      <c r="FB71" s="2339">
        <v>589</v>
      </c>
      <c r="FC71" s="2339">
        <v>776</v>
      </c>
      <c r="FD71" s="2765">
        <v>571</v>
      </c>
      <c r="FE71" s="2766">
        <v>552</v>
      </c>
      <c r="FF71" s="2766">
        <v>193</v>
      </c>
      <c r="FG71" s="2766">
        <v>35</v>
      </c>
      <c r="FH71" s="2766">
        <v>2</v>
      </c>
      <c r="FI71" s="2766">
        <v>3</v>
      </c>
      <c r="FJ71" s="2766">
        <v>30</v>
      </c>
      <c r="FK71" s="2766">
        <v>34</v>
      </c>
      <c r="FL71" s="2766">
        <v>34</v>
      </c>
      <c r="FM71" s="2766">
        <v>67</v>
      </c>
      <c r="FN71" s="2766">
        <v>84</v>
      </c>
      <c r="FO71" s="2767">
        <v>202</v>
      </c>
      <c r="FP71" s="2765">
        <v>103</v>
      </c>
      <c r="FQ71" s="2766">
        <v>118</v>
      </c>
      <c r="FR71" s="2766">
        <v>135</v>
      </c>
      <c r="FS71" s="2766">
        <v>186</v>
      </c>
      <c r="FT71" s="2766">
        <v>125</v>
      </c>
      <c r="FU71" s="2766"/>
      <c r="FV71" s="2766"/>
      <c r="FW71" s="2766"/>
      <c r="FX71" s="2766"/>
      <c r="FY71" s="2766"/>
      <c r="FZ71" s="2766"/>
      <c r="GA71" s="2771"/>
      <c r="GB71" s="2764"/>
      <c r="GC71" s="2911">
        <v>1124</v>
      </c>
      <c r="GD71" s="2912">
        <v>985</v>
      </c>
      <c r="GE71" s="2912">
        <v>1560</v>
      </c>
      <c r="GF71" s="2913">
        <v>1467</v>
      </c>
      <c r="GG71" s="2914">
        <v>1510</v>
      </c>
      <c r="GH71" s="2915">
        <v>1143</v>
      </c>
      <c r="GI71" s="2915">
        <v>1623</v>
      </c>
      <c r="GJ71" s="2916">
        <v>1459</v>
      </c>
      <c r="GK71" s="2917">
        <v>1175</v>
      </c>
      <c r="GL71" s="2918">
        <v>1156.5</v>
      </c>
      <c r="GM71" s="2919">
        <v>1724</v>
      </c>
      <c r="GN71" s="2919">
        <v>1479</v>
      </c>
      <c r="GO71" s="2920">
        <v>1177</v>
      </c>
      <c r="GP71" s="2921">
        <v>1004</v>
      </c>
      <c r="GQ71" s="2921">
        <v>1541</v>
      </c>
      <c r="GR71" s="2922">
        <v>1591</v>
      </c>
      <c r="GS71" s="2923">
        <v>1148</v>
      </c>
      <c r="GT71" s="2924">
        <v>1099</v>
      </c>
      <c r="GU71" s="2924">
        <v>1599</v>
      </c>
      <c r="GV71" s="2925">
        <v>1758</v>
      </c>
      <c r="GW71" s="2921">
        <v>1170</v>
      </c>
      <c r="GX71" s="2921">
        <v>1182</v>
      </c>
      <c r="GY71" s="2921">
        <v>1927</v>
      </c>
      <c r="GZ71" s="2921">
        <v>1941</v>
      </c>
      <c r="HA71" s="2926">
        <v>1336</v>
      </c>
      <c r="HB71" s="2926">
        <v>1260</v>
      </c>
      <c r="HC71" s="2926">
        <v>1852</v>
      </c>
      <c r="HD71" s="2926">
        <v>1843</v>
      </c>
      <c r="HE71" s="2927">
        <v>1402</v>
      </c>
      <c r="HF71" s="2927">
        <v>1364</v>
      </c>
      <c r="HG71" s="2927">
        <f t="shared" si="17"/>
        <v>1835</v>
      </c>
      <c r="HH71" s="2927">
        <v>1865</v>
      </c>
      <c r="HI71" s="2928">
        <v>1429</v>
      </c>
      <c r="HJ71" s="2928">
        <f t="shared" si="18"/>
        <v>1402</v>
      </c>
      <c r="HK71" s="2928">
        <f t="shared" si="19"/>
        <v>1918</v>
      </c>
      <c r="HL71" s="2927">
        <f t="shared" si="20"/>
        <v>1777</v>
      </c>
      <c r="HM71" s="2846">
        <f t="shared" si="21"/>
        <v>1674</v>
      </c>
      <c r="HN71" s="2846">
        <f t="shared" si="22"/>
        <v>1259</v>
      </c>
      <c r="HO71" s="2846">
        <f t="shared" si="23"/>
        <v>2158</v>
      </c>
      <c r="HP71" s="2846">
        <f t="shared" si="24"/>
        <v>1738</v>
      </c>
      <c r="HQ71" s="2921">
        <f t="shared" si="25"/>
        <v>1403</v>
      </c>
      <c r="HR71" s="2921">
        <f t="shared" si="26"/>
        <v>1398</v>
      </c>
      <c r="HS71" s="2921">
        <f t="shared" si="27"/>
        <v>1855</v>
      </c>
      <c r="HT71" s="2921">
        <f t="shared" si="28"/>
        <v>1632</v>
      </c>
      <c r="HU71" s="2929">
        <f t="shared" si="29"/>
        <v>1556</v>
      </c>
      <c r="HV71" s="2926">
        <f t="shared" si="30"/>
        <v>1297</v>
      </c>
      <c r="HW71" s="2926">
        <f t="shared" si="31"/>
        <v>2034</v>
      </c>
      <c r="HX71" s="2926">
        <f t="shared" si="32"/>
        <v>1948</v>
      </c>
      <c r="HY71" s="2930">
        <f t="shared" si="33"/>
        <v>1360</v>
      </c>
      <c r="HZ71" s="2931">
        <f t="shared" si="34"/>
        <v>1490</v>
      </c>
      <c r="IA71" s="2931">
        <f t="shared" si="35"/>
        <v>2280</v>
      </c>
      <c r="IB71" s="2931">
        <f t="shared" si="36"/>
        <v>1903</v>
      </c>
      <c r="IC71" s="2932">
        <f t="shared" si="65"/>
        <v>1316</v>
      </c>
      <c r="ID71" s="2933">
        <f t="shared" si="66"/>
        <v>40</v>
      </c>
      <c r="IE71" s="2933">
        <f t="shared" si="69"/>
        <v>98</v>
      </c>
      <c r="IF71" s="2934">
        <f t="shared" si="70"/>
        <v>353</v>
      </c>
      <c r="IG71" s="2929">
        <f t="shared" si="51"/>
        <v>356</v>
      </c>
      <c r="IH71" s="2926">
        <f t="shared" si="52"/>
        <v>311</v>
      </c>
      <c r="II71" s="2926">
        <f t="shared" si="53"/>
        <v>0</v>
      </c>
      <c r="IJ71" s="2926">
        <f t="shared" si="54"/>
        <v>0</v>
      </c>
      <c r="IK71" s="2735"/>
      <c r="IL71" s="3544">
        <v>5136</v>
      </c>
      <c r="IM71" s="3545">
        <v>5735</v>
      </c>
      <c r="IN71" s="3545">
        <v>5534.5</v>
      </c>
      <c r="IO71" s="3545">
        <v>5313</v>
      </c>
      <c r="IP71" s="3545">
        <v>5604</v>
      </c>
      <c r="IQ71" s="3545">
        <v>6220</v>
      </c>
      <c r="IR71" s="3546">
        <v>6291</v>
      </c>
      <c r="IS71" s="3547">
        <v>6466</v>
      </c>
      <c r="IT71" s="3547">
        <f t="shared" si="37"/>
        <v>6526</v>
      </c>
      <c r="IU71" s="3547">
        <f t="shared" si="38"/>
        <v>6687</v>
      </c>
      <c r="IV71" s="3547">
        <f t="shared" si="39"/>
        <v>6288</v>
      </c>
      <c r="IW71" s="3547">
        <f t="shared" si="40"/>
        <v>6835</v>
      </c>
      <c r="IX71" s="3548">
        <f t="shared" si="55"/>
        <v>7033</v>
      </c>
      <c r="IY71" s="3566">
        <f t="shared" si="71"/>
        <v>1807</v>
      </c>
      <c r="IZ71" s="3564">
        <f t="shared" si="57"/>
        <v>905</v>
      </c>
      <c r="JA71" s="3765">
        <f t="shared" si="58"/>
        <v>667</v>
      </c>
      <c r="JC71" s="3551">
        <f t="shared" si="59"/>
        <v>1356</v>
      </c>
      <c r="JD71" s="3552">
        <f t="shared" si="42"/>
        <v>1.0654434328724432E-2</v>
      </c>
      <c r="JE71" s="3552">
        <f t="shared" si="43"/>
        <v>9.6304203660111092E-3</v>
      </c>
      <c r="JF71" s="3552">
        <f t="shared" si="60"/>
        <v>9.9869957188152957E-3</v>
      </c>
      <c r="JG71" s="3552">
        <f t="shared" si="56"/>
        <v>1.027630444629524E-2</v>
      </c>
      <c r="JH71" s="3552">
        <f t="shared" si="61"/>
        <v>9.4896989239406145E-3</v>
      </c>
      <c r="JI71" s="3565">
        <f t="shared" si="62"/>
        <v>3.2206864154649887E-3</v>
      </c>
      <c r="JJ71" s="3552"/>
      <c r="JK71" s="3554">
        <f t="shared" si="44"/>
        <v>-5.9668012561686856E-2</v>
      </c>
      <c r="JL71" s="3555">
        <f t="shared" si="45"/>
        <v>-0.79721848362494385</v>
      </c>
      <c r="JM71" s="3555">
        <f t="shared" si="46"/>
        <v>8.6991094147582659E-2</v>
      </c>
      <c r="JN71" s="3555">
        <f t="shared" si="46"/>
        <v>2.8968544257498063E-2</v>
      </c>
      <c r="JO71" s="3555">
        <f t="shared" si="46"/>
        <v>-0.7430683918669132</v>
      </c>
      <c r="JP71" s="3556">
        <f t="shared" si="63"/>
        <v>-0.8713209156832078</v>
      </c>
      <c r="JQ71" s="3557">
        <f t="shared" si="64"/>
        <v>-0.49916989485334806</v>
      </c>
      <c r="JS71" s="3231"/>
      <c r="JT71" s="3231"/>
      <c r="JU71" s="3231"/>
      <c r="JV71" s="3231"/>
      <c r="JW71" s="3231"/>
      <c r="JX71" s="3231"/>
      <c r="JY71" s="3231"/>
      <c r="JZ71" s="3231"/>
      <c r="KA71" s="3231"/>
      <c r="KB71" s="3231"/>
      <c r="KC71" s="3231"/>
      <c r="KD71" s="3231"/>
      <c r="KE71" s="3231"/>
      <c r="KF71" s="3231"/>
      <c r="KG71" s="3231"/>
      <c r="KH71" s="3231"/>
      <c r="KI71" s="3231"/>
      <c r="KJ71" s="3231"/>
      <c r="KK71" s="3231"/>
      <c r="KL71" s="3231"/>
      <c r="KM71" s="3231"/>
      <c r="KN71" s="3231"/>
      <c r="KO71" s="3231"/>
    </row>
    <row r="72" spans="1:301" ht="21.9" customHeight="1">
      <c r="A72" s="3568"/>
      <c r="B72" s="3231"/>
      <c r="C72" s="3567" t="s">
        <v>31</v>
      </c>
      <c r="D72" s="3516">
        <v>286</v>
      </c>
      <c r="E72" s="3517">
        <v>223</v>
      </c>
      <c r="F72" s="3517">
        <v>234</v>
      </c>
      <c r="G72" s="3517">
        <v>325</v>
      </c>
      <c r="H72" s="3517">
        <v>318</v>
      </c>
      <c r="I72" s="3517">
        <v>277</v>
      </c>
      <c r="J72" s="3517">
        <v>322</v>
      </c>
      <c r="K72" s="3517">
        <v>300</v>
      </c>
      <c r="L72" s="3517">
        <v>421</v>
      </c>
      <c r="M72" s="3517">
        <v>451</v>
      </c>
      <c r="N72" s="3517">
        <v>458</v>
      </c>
      <c r="O72" s="3518">
        <v>428</v>
      </c>
      <c r="P72" s="3519">
        <v>405</v>
      </c>
      <c r="Q72" s="3520">
        <v>516</v>
      </c>
      <c r="R72" s="3520">
        <v>459</v>
      </c>
      <c r="S72" s="3520">
        <v>570</v>
      </c>
      <c r="T72" s="3520">
        <v>475</v>
      </c>
      <c r="U72" s="3520">
        <v>319</v>
      </c>
      <c r="V72" s="3520">
        <v>354</v>
      </c>
      <c r="W72" s="3520">
        <v>498</v>
      </c>
      <c r="X72" s="3520">
        <v>495</v>
      </c>
      <c r="Y72" s="3520">
        <v>611</v>
      </c>
      <c r="Z72" s="3520">
        <v>484</v>
      </c>
      <c r="AA72" s="3521">
        <v>517</v>
      </c>
      <c r="AB72" s="3522">
        <v>373</v>
      </c>
      <c r="AC72" s="3523">
        <v>273</v>
      </c>
      <c r="AD72" s="3523">
        <v>366</v>
      </c>
      <c r="AE72" s="3523">
        <v>426</v>
      </c>
      <c r="AF72" s="3523">
        <v>404</v>
      </c>
      <c r="AG72" s="3523">
        <v>382</v>
      </c>
      <c r="AH72" s="3523">
        <v>369</v>
      </c>
      <c r="AI72" s="3523">
        <v>469</v>
      </c>
      <c r="AJ72" s="3523">
        <v>494</v>
      </c>
      <c r="AK72" s="3523">
        <v>512</v>
      </c>
      <c r="AL72" s="3523">
        <v>510</v>
      </c>
      <c r="AM72" s="3524">
        <v>568</v>
      </c>
      <c r="AN72" s="3525">
        <v>469</v>
      </c>
      <c r="AO72" s="3526">
        <v>260</v>
      </c>
      <c r="AP72" s="3526">
        <v>424</v>
      </c>
      <c r="AQ72" s="3526">
        <v>545</v>
      </c>
      <c r="AR72" s="3526">
        <v>529</v>
      </c>
      <c r="AS72" s="3526">
        <v>447</v>
      </c>
      <c r="AT72" s="3526">
        <v>422</v>
      </c>
      <c r="AU72" s="3526">
        <v>436</v>
      </c>
      <c r="AV72" s="3526">
        <v>464</v>
      </c>
      <c r="AW72" s="3526">
        <v>558</v>
      </c>
      <c r="AX72" s="3526">
        <v>513</v>
      </c>
      <c r="AY72" s="3527">
        <v>529</v>
      </c>
      <c r="AZ72" s="3463">
        <v>503</v>
      </c>
      <c r="BA72" s="3463">
        <v>295</v>
      </c>
      <c r="BB72" s="3463">
        <v>499</v>
      </c>
      <c r="BC72" s="3463">
        <v>579</v>
      </c>
      <c r="BD72" s="3463">
        <v>572</v>
      </c>
      <c r="BE72" s="3463">
        <v>431</v>
      </c>
      <c r="BF72" s="3463">
        <v>461</v>
      </c>
      <c r="BG72" s="3463">
        <v>457</v>
      </c>
      <c r="BH72" s="3463">
        <v>507</v>
      </c>
      <c r="BI72" s="3463">
        <v>654</v>
      </c>
      <c r="BJ72" s="3463">
        <v>660</v>
      </c>
      <c r="BK72" s="3560">
        <v>629</v>
      </c>
      <c r="BL72" s="3530">
        <v>536</v>
      </c>
      <c r="BM72" s="3531">
        <v>420</v>
      </c>
      <c r="BN72" s="3531">
        <v>480</v>
      </c>
      <c r="BO72" s="3531">
        <v>593</v>
      </c>
      <c r="BP72" s="3531">
        <v>610</v>
      </c>
      <c r="BQ72" s="3531">
        <v>556</v>
      </c>
      <c r="BR72" s="3531">
        <v>521</v>
      </c>
      <c r="BS72" s="3531">
        <v>484</v>
      </c>
      <c r="BT72" s="3532">
        <v>574</v>
      </c>
      <c r="BU72" s="3532">
        <v>718</v>
      </c>
      <c r="BV72" s="3532">
        <v>763</v>
      </c>
      <c r="BW72" s="3533">
        <v>706</v>
      </c>
      <c r="BX72" s="3534">
        <v>565</v>
      </c>
      <c r="BY72" s="3459">
        <v>412</v>
      </c>
      <c r="BZ72" s="3459">
        <v>599</v>
      </c>
      <c r="CA72" s="3459">
        <v>660</v>
      </c>
      <c r="CB72" s="3459">
        <v>613</v>
      </c>
      <c r="CC72" s="3459">
        <v>626</v>
      </c>
      <c r="CD72" s="3459">
        <v>532</v>
      </c>
      <c r="CE72" s="3459">
        <v>589</v>
      </c>
      <c r="CF72" s="3459">
        <v>750</v>
      </c>
      <c r="CG72" s="3459">
        <v>677</v>
      </c>
      <c r="CH72" s="3459">
        <v>706</v>
      </c>
      <c r="CI72" s="3461">
        <v>603</v>
      </c>
      <c r="CJ72" s="3535">
        <v>557</v>
      </c>
      <c r="CK72" s="3536">
        <v>399</v>
      </c>
      <c r="CL72" s="3536">
        <v>522</v>
      </c>
      <c r="CM72" s="3536">
        <v>690</v>
      </c>
      <c r="CN72" s="3536">
        <v>757</v>
      </c>
      <c r="CO72" s="3536">
        <v>705</v>
      </c>
      <c r="CP72" s="3536">
        <v>631</v>
      </c>
      <c r="CQ72" s="3536">
        <v>767</v>
      </c>
      <c r="CR72" s="3536">
        <v>753</v>
      </c>
      <c r="CS72" s="3536">
        <v>725</v>
      </c>
      <c r="CT72" s="3536">
        <v>711</v>
      </c>
      <c r="CU72" s="3537">
        <v>758</v>
      </c>
      <c r="CV72" s="3535">
        <v>729</v>
      </c>
      <c r="CW72" s="3536">
        <v>449</v>
      </c>
      <c r="CX72" s="3458">
        <v>579</v>
      </c>
      <c r="CY72" s="3458">
        <v>650</v>
      </c>
      <c r="CZ72" s="3458">
        <v>806</v>
      </c>
      <c r="DA72" s="3458">
        <v>606</v>
      </c>
      <c r="DB72" s="3458">
        <v>591</v>
      </c>
      <c r="DC72" s="3458">
        <v>464</v>
      </c>
      <c r="DD72" s="3458">
        <v>741</v>
      </c>
      <c r="DE72" s="3458">
        <v>750</v>
      </c>
      <c r="DF72" s="3458">
        <v>556</v>
      </c>
      <c r="DG72" s="3537">
        <v>690</v>
      </c>
      <c r="DH72" s="3538">
        <v>609</v>
      </c>
      <c r="DI72" s="3539">
        <v>395</v>
      </c>
      <c r="DJ72" s="3539">
        <v>546</v>
      </c>
      <c r="DK72" s="3540">
        <v>650</v>
      </c>
      <c r="DL72" s="3540">
        <v>636</v>
      </c>
      <c r="DM72" s="3540">
        <v>511</v>
      </c>
      <c r="DN72" s="3540">
        <v>541</v>
      </c>
      <c r="DO72" s="3540">
        <v>566</v>
      </c>
      <c r="DP72" s="2713">
        <v>611</v>
      </c>
      <c r="DQ72" s="3540">
        <v>811</v>
      </c>
      <c r="DR72" s="3540">
        <v>600</v>
      </c>
      <c r="DS72" s="3541">
        <v>536</v>
      </c>
      <c r="DT72" s="3542">
        <v>502</v>
      </c>
      <c r="DU72" s="3429">
        <v>379</v>
      </c>
      <c r="DV72" s="3429">
        <v>480</v>
      </c>
      <c r="DW72" s="3350">
        <v>624</v>
      </c>
      <c r="DX72" s="3350">
        <v>603</v>
      </c>
      <c r="DY72" s="3350">
        <v>484</v>
      </c>
      <c r="DZ72" s="3350">
        <v>514</v>
      </c>
      <c r="EA72" s="3350">
        <v>473</v>
      </c>
      <c r="EB72" s="3350">
        <v>733</v>
      </c>
      <c r="EC72" s="3350">
        <v>686</v>
      </c>
      <c r="ED72" s="3350">
        <v>593</v>
      </c>
      <c r="EE72" s="3349">
        <v>569</v>
      </c>
      <c r="EF72" s="2689">
        <v>523</v>
      </c>
      <c r="EG72" s="2688">
        <v>452</v>
      </c>
      <c r="EH72" s="2688">
        <v>441</v>
      </c>
      <c r="EI72" s="2688">
        <v>586</v>
      </c>
      <c r="EJ72" s="2688">
        <v>641</v>
      </c>
      <c r="EK72" s="2688">
        <v>594</v>
      </c>
      <c r="EL72" s="2688">
        <v>593</v>
      </c>
      <c r="EM72" s="2714">
        <v>523</v>
      </c>
      <c r="EN72" s="2714">
        <v>644</v>
      </c>
      <c r="EO72" s="2715">
        <v>673</v>
      </c>
      <c r="EP72" s="2715">
        <v>567</v>
      </c>
      <c r="EQ72" s="2716">
        <v>592</v>
      </c>
      <c r="ER72" s="1346">
        <v>571</v>
      </c>
      <c r="ES72" s="3543">
        <v>364</v>
      </c>
      <c r="ET72" s="3543">
        <v>471</v>
      </c>
      <c r="EU72" s="2717">
        <v>623</v>
      </c>
      <c r="EV72" s="2160">
        <v>642</v>
      </c>
      <c r="EW72" s="2160">
        <v>533</v>
      </c>
      <c r="EX72" s="2160">
        <v>547</v>
      </c>
      <c r="EY72" s="2160">
        <v>544</v>
      </c>
      <c r="EZ72" s="2160">
        <v>664</v>
      </c>
      <c r="FA72" s="2339">
        <v>547</v>
      </c>
      <c r="FB72" s="2339">
        <v>572</v>
      </c>
      <c r="FC72" s="2339">
        <v>604</v>
      </c>
      <c r="FD72" s="2772">
        <v>647</v>
      </c>
      <c r="FE72" s="2773">
        <v>431</v>
      </c>
      <c r="FF72" s="2773">
        <v>182</v>
      </c>
      <c r="FG72" s="2773">
        <v>2</v>
      </c>
      <c r="FH72" s="2773">
        <v>4</v>
      </c>
      <c r="FI72" s="2773">
        <v>5</v>
      </c>
      <c r="FJ72" s="2773">
        <v>7</v>
      </c>
      <c r="FK72" s="2773">
        <v>5</v>
      </c>
      <c r="FL72" s="2773">
        <v>7</v>
      </c>
      <c r="FM72" s="2773">
        <v>13</v>
      </c>
      <c r="FN72" s="2773">
        <v>30</v>
      </c>
      <c r="FO72" s="2774">
        <v>13</v>
      </c>
      <c r="FP72" s="2772">
        <v>13</v>
      </c>
      <c r="FQ72" s="2773">
        <v>4</v>
      </c>
      <c r="FR72" s="2773">
        <v>13</v>
      </c>
      <c r="FS72" s="2773">
        <v>17</v>
      </c>
      <c r="FT72" s="2773">
        <v>13</v>
      </c>
      <c r="FU72" s="2773"/>
      <c r="FV72" s="2773"/>
      <c r="FW72" s="2773"/>
      <c r="FX72" s="2773"/>
      <c r="FY72" s="2773"/>
      <c r="FZ72" s="2773"/>
      <c r="GA72" s="2775"/>
      <c r="GB72" s="2764"/>
      <c r="GC72" s="2911">
        <v>743</v>
      </c>
      <c r="GD72" s="2912">
        <v>920</v>
      </c>
      <c r="GE72" s="2912">
        <v>1043</v>
      </c>
      <c r="GF72" s="2913">
        <v>1337</v>
      </c>
      <c r="GG72" s="2914">
        <v>1380</v>
      </c>
      <c r="GH72" s="2915">
        <v>1364</v>
      </c>
      <c r="GI72" s="2915">
        <v>1347</v>
      </c>
      <c r="GJ72" s="2916">
        <v>1612</v>
      </c>
      <c r="GK72" s="2917">
        <v>1012</v>
      </c>
      <c r="GL72" s="2918">
        <v>1212</v>
      </c>
      <c r="GM72" s="2919">
        <v>1332</v>
      </c>
      <c r="GN72" s="2919">
        <v>1590</v>
      </c>
      <c r="GO72" s="2920">
        <v>1153</v>
      </c>
      <c r="GP72" s="2921">
        <v>1521</v>
      </c>
      <c r="GQ72" s="2921">
        <v>1322</v>
      </c>
      <c r="GR72" s="2922">
        <v>1600</v>
      </c>
      <c r="GS72" s="2923">
        <v>1297</v>
      </c>
      <c r="GT72" s="2924">
        <v>1582</v>
      </c>
      <c r="GU72" s="2924">
        <v>1425</v>
      </c>
      <c r="GV72" s="2925">
        <v>1943</v>
      </c>
      <c r="GW72" s="2921">
        <v>1436</v>
      </c>
      <c r="GX72" s="2921">
        <v>1759</v>
      </c>
      <c r="GY72" s="2921">
        <v>1579</v>
      </c>
      <c r="GZ72" s="2921">
        <v>2187</v>
      </c>
      <c r="HA72" s="2926">
        <v>1576</v>
      </c>
      <c r="HB72" s="2926">
        <v>1899</v>
      </c>
      <c r="HC72" s="2926">
        <v>1871</v>
      </c>
      <c r="HD72" s="2926">
        <v>1986</v>
      </c>
      <c r="HE72" s="2927">
        <v>1478</v>
      </c>
      <c r="HF72" s="2927">
        <v>2152</v>
      </c>
      <c r="HG72" s="2927">
        <f t="shared" si="17"/>
        <v>2151</v>
      </c>
      <c r="HH72" s="2927">
        <v>2194</v>
      </c>
      <c r="HI72" s="2928">
        <v>1757</v>
      </c>
      <c r="HJ72" s="2928">
        <f t="shared" si="18"/>
        <v>2062</v>
      </c>
      <c r="HK72" s="2928">
        <f t="shared" si="19"/>
        <v>1796</v>
      </c>
      <c r="HL72" s="2927">
        <f t="shared" si="20"/>
        <v>1996</v>
      </c>
      <c r="HM72" s="2846">
        <f t="shared" si="21"/>
        <v>1550</v>
      </c>
      <c r="HN72" s="2846">
        <f t="shared" si="22"/>
        <v>1797</v>
      </c>
      <c r="HO72" s="2846">
        <f t="shared" si="23"/>
        <v>1643</v>
      </c>
      <c r="HP72" s="2846">
        <f t="shared" si="24"/>
        <v>1947</v>
      </c>
      <c r="HQ72" s="2921">
        <f t="shared" si="25"/>
        <v>1361</v>
      </c>
      <c r="HR72" s="2921">
        <f t="shared" si="26"/>
        <v>1711</v>
      </c>
      <c r="HS72" s="2921">
        <f t="shared" si="27"/>
        <v>1720</v>
      </c>
      <c r="HT72" s="2921">
        <f t="shared" si="28"/>
        <v>1848</v>
      </c>
      <c r="HU72" s="2929">
        <f t="shared" si="29"/>
        <v>1416</v>
      </c>
      <c r="HV72" s="2926">
        <f t="shared" si="30"/>
        <v>1821</v>
      </c>
      <c r="HW72" s="2926">
        <f t="shared" si="31"/>
        <v>1760</v>
      </c>
      <c r="HX72" s="2926">
        <f t="shared" si="32"/>
        <v>1832</v>
      </c>
      <c r="HY72" s="2930">
        <f t="shared" si="33"/>
        <v>1406</v>
      </c>
      <c r="HZ72" s="2931">
        <f t="shared" si="34"/>
        <v>1798</v>
      </c>
      <c r="IA72" s="2931">
        <f t="shared" si="35"/>
        <v>1755</v>
      </c>
      <c r="IB72" s="2931">
        <f t="shared" si="36"/>
        <v>1723</v>
      </c>
      <c r="IC72" s="2932">
        <f t="shared" si="65"/>
        <v>1260</v>
      </c>
      <c r="ID72" s="2933">
        <f t="shared" si="66"/>
        <v>11</v>
      </c>
      <c r="IE72" s="2933">
        <f t="shared" si="69"/>
        <v>19</v>
      </c>
      <c r="IF72" s="2934">
        <f t="shared" si="70"/>
        <v>56</v>
      </c>
      <c r="IG72" s="2929">
        <f t="shared" si="51"/>
        <v>30</v>
      </c>
      <c r="IH72" s="2926">
        <f t="shared" si="52"/>
        <v>30</v>
      </c>
      <c r="II72" s="2926">
        <f t="shared" si="53"/>
        <v>0</v>
      </c>
      <c r="IJ72" s="2926">
        <f t="shared" si="54"/>
        <v>0</v>
      </c>
      <c r="IK72" s="2735"/>
      <c r="IL72" s="3544">
        <v>4043</v>
      </c>
      <c r="IM72" s="3545">
        <v>5703</v>
      </c>
      <c r="IN72" s="3545">
        <v>5146</v>
      </c>
      <c r="IO72" s="3545">
        <v>5596</v>
      </c>
      <c r="IP72" s="3545">
        <v>6247</v>
      </c>
      <c r="IQ72" s="3545">
        <v>6961</v>
      </c>
      <c r="IR72" s="3546">
        <v>7332</v>
      </c>
      <c r="IS72" s="3547">
        <v>7975</v>
      </c>
      <c r="IT72" s="3547">
        <f t="shared" si="37"/>
        <v>7611</v>
      </c>
      <c r="IU72" s="3547">
        <f t="shared" si="38"/>
        <v>7012</v>
      </c>
      <c r="IV72" s="3547">
        <f t="shared" si="39"/>
        <v>6640</v>
      </c>
      <c r="IW72" s="3547">
        <f t="shared" si="40"/>
        <v>6829</v>
      </c>
      <c r="IX72" s="3548">
        <f t="shared" si="55"/>
        <v>6682</v>
      </c>
      <c r="IY72" s="3566">
        <f t="shared" si="71"/>
        <v>1346</v>
      </c>
      <c r="IZ72" s="3564">
        <f t="shared" si="57"/>
        <v>285</v>
      </c>
      <c r="JA72" s="3765">
        <f t="shared" si="58"/>
        <v>60</v>
      </c>
      <c r="JC72" s="3551">
        <f t="shared" si="59"/>
        <v>815.5</v>
      </c>
      <c r="JD72" s="3552">
        <f t="shared" si="42"/>
        <v>1.1172258638106133E-2</v>
      </c>
      <c r="JE72" s="3552">
        <f t="shared" si="43"/>
        <v>1.0169527867416312E-2</v>
      </c>
      <c r="JF72" s="3552">
        <f t="shared" si="60"/>
        <v>9.9782287876795401E-3</v>
      </c>
      <c r="JG72" s="3552">
        <f t="shared" si="56"/>
        <v>9.7634389748535184E-3</v>
      </c>
      <c r="JH72" s="3552">
        <f t="shared" si="61"/>
        <v>7.0686965974676632E-3</v>
      </c>
      <c r="JI72" s="3565">
        <f t="shared" si="62"/>
        <v>1.0142493131574826E-3</v>
      </c>
      <c r="JJ72" s="3552"/>
      <c r="JK72" s="3554">
        <f t="shared" si="44"/>
        <v>-5.3051911009697639E-2</v>
      </c>
      <c r="JL72" s="3555">
        <f t="shared" si="45"/>
        <v>-0.88369937250427832</v>
      </c>
      <c r="JM72" s="3555">
        <f t="shared" si="46"/>
        <v>2.8463855421686723E-2</v>
      </c>
      <c r="JN72" s="3555">
        <f t="shared" si="46"/>
        <v>-2.1525845658222242E-2</v>
      </c>
      <c r="JO72" s="3555">
        <f t="shared" si="46"/>
        <v>-0.79856330439988032</v>
      </c>
      <c r="JP72" s="3556">
        <f t="shared" si="63"/>
        <v>-0.95734809937144572</v>
      </c>
      <c r="JQ72" s="3557">
        <f t="shared" si="64"/>
        <v>-0.78826151560178304</v>
      </c>
      <c r="JS72" s="3231"/>
      <c r="JT72" s="3231"/>
      <c r="JU72" s="3231"/>
      <c r="JV72" s="3231"/>
      <c r="JW72" s="3231"/>
      <c r="JX72" s="3231"/>
      <c r="JY72" s="3231"/>
      <c r="JZ72" s="3231"/>
      <c r="KA72" s="3231"/>
      <c r="KB72" s="3231"/>
      <c r="KC72" s="3231"/>
      <c r="KD72" s="3231"/>
      <c r="KE72" s="3231"/>
      <c r="KF72" s="3231"/>
      <c r="KG72" s="3231"/>
      <c r="KH72" s="3231"/>
      <c r="KI72" s="3231"/>
      <c r="KJ72" s="3231"/>
      <c r="KK72" s="3231"/>
      <c r="KL72" s="3231"/>
      <c r="KM72" s="3231"/>
      <c r="KN72" s="3231"/>
      <c r="KO72" s="3231"/>
    </row>
    <row r="73" spans="1:301" ht="21.9" customHeight="1">
      <c r="A73" s="3568"/>
      <c r="B73" s="3231"/>
      <c r="C73" s="3567" t="s">
        <v>22</v>
      </c>
      <c r="D73" s="3516">
        <v>113</v>
      </c>
      <c r="E73" s="3517">
        <v>80</v>
      </c>
      <c r="F73" s="3517">
        <v>131</v>
      </c>
      <c r="G73" s="3517">
        <v>89</v>
      </c>
      <c r="H73" s="3517">
        <v>83</v>
      </c>
      <c r="I73" s="3517">
        <v>111</v>
      </c>
      <c r="J73" s="3517">
        <v>125</v>
      </c>
      <c r="K73" s="3517">
        <v>125</v>
      </c>
      <c r="L73" s="3517">
        <v>216</v>
      </c>
      <c r="M73" s="3517">
        <v>145</v>
      </c>
      <c r="N73" s="3517">
        <v>163</v>
      </c>
      <c r="O73" s="3518">
        <v>118</v>
      </c>
      <c r="P73" s="3519">
        <v>101</v>
      </c>
      <c r="Q73" s="3520">
        <v>137</v>
      </c>
      <c r="R73" s="3520">
        <v>136</v>
      </c>
      <c r="S73" s="3520">
        <v>129</v>
      </c>
      <c r="T73" s="3520">
        <v>159</v>
      </c>
      <c r="U73" s="3520">
        <v>162</v>
      </c>
      <c r="V73" s="3520">
        <v>179</v>
      </c>
      <c r="W73" s="3520">
        <v>205</v>
      </c>
      <c r="X73" s="3520">
        <v>213</v>
      </c>
      <c r="Y73" s="3520">
        <v>255</v>
      </c>
      <c r="Z73" s="3520">
        <v>461</v>
      </c>
      <c r="AA73" s="3521">
        <v>158</v>
      </c>
      <c r="AB73" s="3522">
        <v>143</v>
      </c>
      <c r="AC73" s="3523">
        <v>169</v>
      </c>
      <c r="AD73" s="3523">
        <v>150</v>
      </c>
      <c r="AE73" s="3523">
        <v>150</v>
      </c>
      <c r="AF73" s="3523">
        <v>149</v>
      </c>
      <c r="AG73" s="3523">
        <v>148</v>
      </c>
      <c r="AH73" s="3523">
        <v>177</v>
      </c>
      <c r="AI73" s="3523">
        <v>202</v>
      </c>
      <c r="AJ73" s="3523">
        <v>177</v>
      </c>
      <c r="AK73" s="3523">
        <v>142</v>
      </c>
      <c r="AL73" s="3523">
        <v>186</v>
      </c>
      <c r="AM73" s="3524">
        <v>313</v>
      </c>
      <c r="AN73" s="3525">
        <v>183</v>
      </c>
      <c r="AO73" s="3526">
        <v>334</v>
      </c>
      <c r="AP73" s="3526">
        <v>252</v>
      </c>
      <c r="AQ73" s="3526">
        <v>204</v>
      </c>
      <c r="AR73" s="3526">
        <v>152</v>
      </c>
      <c r="AS73" s="3526">
        <v>152</v>
      </c>
      <c r="AT73" s="3526">
        <v>230</v>
      </c>
      <c r="AU73" s="3526">
        <v>176</v>
      </c>
      <c r="AV73" s="3526">
        <v>157</v>
      </c>
      <c r="AW73" s="3526">
        <v>172</v>
      </c>
      <c r="AX73" s="3526">
        <v>217</v>
      </c>
      <c r="AY73" s="3527">
        <v>253</v>
      </c>
      <c r="AZ73" s="3463">
        <v>153</v>
      </c>
      <c r="BA73" s="3463">
        <v>142</v>
      </c>
      <c r="BB73" s="3463">
        <v>164</v>
      </c>
      <c r="BC73" s="3463">
        <v>293</v>
      </c>
      <c r="BD73" s="3463">
        <v>171</v>
      </c>
      <c r="BE73" s="3463">
        <v>173</v>
      </c>
      <c r="BF73" s="3463">
        <v>231</v>
      </c>
      <c r="BG73" s="3463">
        <v>197</v>
      </c>
      <c r="BH73" s="3463">
        <v>245</v>
      </c>
      <c r="BI73" s="3463">
        <v>280</v>
      </c>
      <c r="BJ73" s="3463">
        <v>283</v>
      </c>
      <c r="BK73" s="3560">
        <v>243</v>
      </c>
      <c r="BL73" s="3530">
        <v>268</v>
      </c>
      <c r="BM73" s="3531">
        <v>150</v>
      </c>
      <c r="BN73" s="3531">
        <v>224</v>
      </c>
      <c r="BO73" s="3531">
        <v>227</v>
      </c>
      <c r="BP73" s="3531">
        <v>202</v>
      </c>
      <c r="BQ73" s="3531">
        <v>282</v>
      </c>
      <c r="BR73" s="3531">
        <v>254</v>
      </c>
      <c r="BS73" s="3531">
        <v>203</v>
      </c>
      <c r="BT73" s="3532">
        <v>282</v>
      </c>
      <c r="BU73" s="3532">
        <v>257</v>
      </c>
      <c r="BV73" s="3532">
        <v>199</v>
      </c>
      <c r="BW73" s="3533">
        <v>315</v>
      </c>
      <c r="BX73" s="3534">
        <v>272</v>
      </c>
      <c r="BY73" s="3459">
        <v>189</v>
      </c>
      <c r="BZ73" s="3459">
        <v>443</v>
      </c>
      <c r="CA73" s="3459">
        <v>360</v>
      </c>
      <c r="CB73" s="3459">
        <v>387</v>
      </c>
      <c r="CC73" s="3459">
        <v>395</v>
      </c>
      <c r="CD73" s="3459">
        <v>479</v>
      </c>
      <c r="CE73" s="3459">
        <v>345</v>
      </c>
      <c r="CF73" s="3459">
        <v>386</v>
      </c>
      <c r="CG73" s="3459">
        <v>394</v>
      </c>
      <c r="CH73" s="3459">
        <v>424</v>
      </c>
      <c r="CI73" s="3461">
        <v>430</v>
      </c>
      <c r="CJ73" s="3535">
        <v>349</v>
      </c>
      <c r="CK73" s="3536">
        <v>333</v>
      </c>
      <c r="CL73" s="3536">
        <v>286</v>
      </c>
      <c r="CM73" s="3536">
        <v>303</v>
      </c>
      <c r="CN73" s="3536">
        <v>228</v>
      </c>
      <c r="CO73" s="3536">
        <v>316</v>
      </c>
      <c r="CP73" s="3536">
        <v>267</v>
      </c>
      <c r="CQ73" s="3536">
        <v>252</v>
      </c>
      <c r="CR73" s="3536">
        <v>253</v>
      </c>
      <c r="CS73" s="3536">
        <v>338</v>
      </c>
      <c r="CT73" s="3536">
        <v>304</v>
      </c>
      <c r="CU73" s="3537">
        <v>275</v>
      </c>
      <c r="CV73" s="3535">
        <v>278</v>
      </c>
      <c r="CW73" s="3536">
        <v>193</v>
      </c>
      <c r="CX73" s="3458">
        <v>249</v>
      </c>
      <c r="CY73" s="3458">
        <v>229</v>
      </c>
      <c r="CZ73" s="3458">
        <v>231</v>
      </c>
      <c r="DA73" s="3458">
        <v>190</v>
      </c>
      <c r="DB73" s="3458">
        <v>322</v>
      </c>
      <c r="DC73" s="3458">
        <v>196</v>
      </c>
      <c r="DD73" s="3458">
        <v>227</v>
      </c>
      <c r="DE73" s="3458">
        <v>228</v>
      </c>
      <c r="DF73" s="3458">
        <v>256</v>
      </c>
      <c r="DG73" s="3537">
        <v>262</v>
      </c>
      <c r="DH73" s="3538">
        <v>237</v>
      </c>
      <c r="DI73" s="3539">
        <v>168</v>
      </c>
      <c r="DJ73" s="3539">
        <v>204</v>
      </c>
      <c r="DK73" s="3540">
        <v>199</v>
      </c>
      <c r="DL73" s="3540">
        <v>158</v>
      </c>
      <c r="DM73" s="3540">
        <v>188</v>
      </c>
      <c r="DN73" s="3540">
        <v>339</v>
      </c>
      <c r="DO73" s="3540">
        <v>179</v>
      </c>
      <c r="DP73" s="2713">
        <v>191</v>
      </c>
      <c r="DQ73" s="3540">
        <v>315</v>
      </c>
      <c r="DR73" s="3540">
        <v>275</v>
      </c>
      <c r="DS73" s="3541">
        <v>226</v>
      </c>
      <c r="DT73" s="3542">
        <v>390</v>
      </c>
      <c r="DU73" s="3429">
        <v>471</v>
      </c>
      <c r="DV73" s="3429">
        <v>444</v>
      </c>
      <c r="DW73" s="3350">
        <v>759</v>
      </c>
      <c r="DX73" s="3350">
        <v>521</v>
      </c>
      <c r="DY73" s="3350">
        <v>439</v>
      </c>
      <c r="DZ73" s="3350">
        <v>488</v>
      </c>
      <c r="EA73" s="3350">
        <v>356</v>
      </c>
      <c r="EB73" s="3350">
        <v>426</v>
      </c>
      <c r="EC73" s="3350">
        <v>447</v>
      </c>
      <c r="ED73" s="3350">
        <v>495</v>
      </c>
      <c r="EE73" s="3349">
        <v>605</v>
      </c>
      <c r="EF73" s="2689">
        <v>506</v>
      </c>
      <c r="EG73" s="2688">
        <v>426</v>
      </c>
      <c r="EH73" s="2688">
        <v>456</v>
      </c>
      <c r="EI73" s="2688">
        <v>390</v>
      </c>
      <c r="EJ73" s="2688">
        <v>427</v>
      </c>
      <c r="EK73" s="2688">
        <v>471</v>
      </c>
      <c r="EL73" s="2688">
        <v>587</v>
      </c>
      <c r="EM73" s="2714">
        <v>397</v>
      </c>
      <c r="EN73" s="2714">
        <v>461</v>
      </c>
      <c r="EO73" s="2715">
        <v>502</v>
      </c>
      <c r="EP73" s="2715">
        <v>499</v>
      </c>
      <c r="EQ73" s="2716">
        <v>531</v>
      </c>
      <c r="ER73" s="1348">
        <v>495</v>
      </c>
      <c r="ES73" s="3543">
        <v>377</v>
      </c>
      <c r="ET73" s="3543">
        <v>451</v>
      </c>
      <c r="EU73" s="2717">
        <v>422</v>
      </c>
      <c r="EV73" s="2162">
        <v>387</v>
      </c>
      <c r="EW73" s="2162">
        <v>474</v>
      </c>
      <c r="EX73" s="2162">
        <v>548</v>
      </c>
      <c r="EY73" s="2162">
        <v>402</v>
      </c>
      <c r="EZ73" s="2162">
        <v>511</v>
      </c>
      <c r="FA73" s="2339">
        <v>346</v>
      </c>
      <c r="FB73" s="2339">
        <v>543</v>
      </c>
      <c r="FC73" s="2339">
        <v>517</v>
      </c>
      <c r="FD73" s="2765">
        <v>505</v>
      </c>
      <c r="FE73" s="2766">
        <v>402</v>
      </c>
      <c r="FF73" s="2766">
        <v>207</v>
      </c>
      <c r="FG73" s="2766"/>
      <c r="FH73" s="2766">
        <v>1</v>
      </c>
      <c r="FI73" s="2766">
        <v>2</v>
      </c>
      <c r="FJ73" s="2766">
        <v>1</v>
      </c>
      <c r="FK73" s="2766">
        <v>5</v>
      </c>
      <c r="FL73" s="2766">
        <v>3</v>
      </c>
      <c r="FM73" s="2766">
        <v>9</v>
      </c>
      <c r="FN73" s="2766">
        <v>56</v>
      </c>
      <c r="FO73" s="2767">
        <v>61</v>
      </c>
      <c r="FP73" s="2765">
        <v>44</v>
      </c>
      <c r="FQ73" s="2766">
        <v>33</v>
      </c>
      <c r="FR73" s="2766">
        <v>81</v>
      </c>
      <c r="FS73" s="2766">
        <v>34</v>
      </c>
      <c r="FT73" s="2766">
        <v>41</v>
      </c>
      <c r="FU73" s="2766"/>
      <c r="FV73" s="2766"/>
      <c r="FW73" s="2766"/>
      <c r="FX73" s="2766"/>
      <c r="FY73" s="2766"/>
      <c r="FZ73" s="2766"/>
      <c r="GA73" s="2771"/>
      <c r="GB73" s="2764"/>
      <c r="GC73" s="2911">
        <v>324</v>
      </c>
      <c r="GD73" s="2912">
        <v>283</v>
      </c>
      <c r="GE73" s="2912">
        <v>466</v>
      </c>
      <c r="GF73" s="2913">
        <v>426</v>
      </c>
      <c r="GG73" s="2914">
        <v>374</v>
      </c>
      <c r="GH73" s="2915">
        <v>450</v>
      </c>
      <c r="GI73" s="2915">
        <v>597</v>
      </c>
      <c r="GJ73" s="2916">
        <v>874</v>
      </c>
      <c r="GK73" s="2917">
        <v>462</v>
      </c>
      <c r="GL73" s="2918">
        <v>447</v>
      </c>
      <c r="GM73" s="2919">
        <v>556</v>
      </c>
      <c r="GN73" s="2919">
        <v>641</v>
      </c>
      <c r="GO73" s="2920">
        <v>769</v>
      </c>
      <c r="GP73" s="2921">
        <v>508</v>
      </c>
      <c r="GQ73" s="2921">
        <v>563</v>
      </c>
      <c r="GR73" s="2922">
        <v>642</v>
      </c>
      <c r="GS73" s="2923">
        <v>459</v>
      </c>
      <c r="GT73" s="2924">
        <v>637</v>
      </c>
      <c r="GU73" s="2924">
        <v>673</v>
      </c>
      <c r="GV73" s="2925">
        <v>806</v>
      </c>
      <c r="GW73" s="2921">
        <v>642</v>
      </c>
      <c r="GX73" s="2921">
        <v>711</v>
      </c>
      <c r="GY73" s="2921">
        <v>739</v>
      </c>
      <c r="GZ73" s="2921">
        <v>771</v>
      </c>
      <c r="HA73" s="2926">
        <v>904</v>
      </c>
      <c r="HB73" s="2926">
        <v>1142</v>
      </c>
      <c r="HC73" s="2926">
        <v>1210</v>
      </c>
      <c r="HD73" s="2926">
        <v>1248</v>
      </c>
      <c r="HE73" s="2927">
        <v>968</v>
      </c>
      <c r="HF73" s="2927">
        <v>847</v>
      </c>
      <c r="HG73" s="2927">
        <f t="shared" si="17"/>
        <v>772</v>
      </c>
      <c r="HH73" s="2927">
        <v>917</v>
      </c>
      <c r="HI73" s="2928">
        <v>720</v>
      </c>
      <c r="HJ73" s="2928">
        <f t="shared" si="18"/>
        <v>650</v>
      </c>
      <c r="HK73" s="2928">
        <f t="shared" si="19"/>
        <v>745</v>
      </c>
      <c r="HL73" s="2927">
        <f t="shared" si="20"/>
        <v>746</v>
      </c>
      <c r="HM73" s="2846">
        <f t="shared" si="21"/>
        <v>609</v>
      </c>
      <c r="HN73" s="2846">
        <f t="shared" si="22"/>
        <v>545</v>
      </c>
      <c r="HO73" s="2846">
        <f t="shared" si="23"/>
        <v>744</v>
      </c>
      <c r="HP73" s="2846">
        <f t="shared" si="24"/>
        <v>816</v>
      </c>
      <c r="HQ73" s="2921">
        <f t="shared" si="25"/>
        <v>1305</v>
      </c>
      <c r="HR73" s="2921">
        <f t="shared" si="26"/>
        <v>1719</v>
      </c>
      <c r="HS73" s="2921">
        <f t="shared" si="27"/>
        <v>1270</v>
      </c>
      <c r="HT73" s="2921">
        <f t="shared" si="28"/>
        <v>1547</v>
      </c>
      <c r="HU73" s="2929">
        <f t="shared" si="29"/>
        <v>1388</v>
      </c>
      <c r="HV73" s="2926">
        <f t="shared" si="30"/>
        <v>1288</v>
      </c>
      <c r="HW73" s="2926">
        <f t="shared" si="31"/>
        <v>1445</v>
      </c>
      <c r="HX73" s="2926">
        <f t="shared" si="32"/>
        <v>1532</v>
      </c>
      <c r="HY73" s="2930">
        <f t="shared" si="33"/>
        <v>1323</v>
      </c>
      <c r="HZ73" s="2931">
        <f t="shared" si="34"/>
        <v>1283</v>
      </c>
      <c r="IA73" s="2931">
        <f t="shared" si="35"/>
        <v>1461</v>
      </c>
      <c r="IB73" s="2931">
        <f t="shared" si="36"/>
        <v>1406</v>
      </c>
      <c r="IC73" s="2932">
        <f t="shared" si="65"/>
        <v>1114</v>
      </c>
      <c r="ID73" s="2933">
        <f t="shared" si="66"/>
        <v>3</v>
      </c>
      <c r="IE73" s="2933">
        <f t="shared" si="69"/>
        <v>9</v>
      </c>
      <c r="IF73" s="2934">
        <f t="shared" si="70"/>
        <v>126</v>
      </c>
      <c r="IG73" s="2929">
        <f t="shared" si="51"/>
        <v>158</v>
      </c>
      <c r="IH73" s="2926">
        <f t="shared" si="52"/>
        <v>75</v>
      </c>
      <c r="II73" s="2926">
        <f t="shared" si="53"/>
        <v>0</v>
      </c>
      <c r="IJ73" s="2926">
        <f t="shared" si="54"/>
        <v>0</v>
      </c>
      <c r="IK73" s="2735"/>
      <c r="IL73" s="3544">
        <v>1499</v>
      </c>
      <c r="IM73" s="3545">
        <v>2295</v>
      </c>
      <c r="IN73" s="3545">
        <v>2106</v>
      </c>
      <c r="IO73" s="3545">
        <v>2482</v>
      </c>
      <c r="IP73" s="3545">
        <v>2575</v>
      </c>
      <c r="IQ73" s="3545">
        <v>2863</v>
      </c>
      <c r="IR73" s="3546">
        <v>4504</v>
      </c>
      <c r="IS73" s="3547">
        <v>3504</v>
      </c>
      <c r="IT73" s="3547">
        <f t="shared" si="37"/>
        <v>2861</v>
      </c>
      <c r="IU73" s="3547">
        <f t="shared" si="38"/>
        <v>2679</v>
      </c>
      <c r="IV73" s="3547">
        <f t="shared" si="39"/>
        <v>5841</v>
      </c>
      <c r="IW73" s="3547">
        <f t="shared" si="40"/>
        <v>5653</v>
      </c>
      <c r="IX73" s="3548">
        <f t="shared" si="55"/>
        <v>5473</v>
      </c>
      <c r="IY73" s="3566">
        <f t="shared" si="71"/>
        <v>1252</v>
      </c>
      <c r="IZ73" s="3564">
        <f t="shared" si="57"/>
        <v>422</v>
      </c>
      <c r="JA73" s="3765">
        <f t="shared" si="58"/>
        <v>233</v>
      </c>
      <c r="JC73" s="3551">
        <f t="shared" si="59"/>
        <v>837</v>
      </c>
      <c r="JD73" s="3552">
        <f t="shared" si="42"/>
        <v>4.2684656148725512E-3</v>
      </c>
      <c r="JE73" s="3552">
        <f t="shared" si="43"/>
        <v>8.9458151014425724E-3</v>
      </c>
      <c r="JF73" s="3552">
        <f t="shared" si="60"/>
        <v>8.2599102850713767E-3</v>
      </c>
      <c r="JG73" s="3552">
        <f t="shared" si="56"/>
        <v>7.996902350998699E-3</v>
      </c>
      <c r="JH73" s="3552">
        <f t="shared" si="61"/>
        <v>6.575043194672745E-3</v>
      </c>
      <c r="JI73" s="3565">
        <f t="shared" si="62"/>
        <v>1.5018007373770446E-3</v>
      </c>
      <c r="JJ73" s="3552"/>
      <c r="JK73" s="3554">
        <f t="shared" si="44"/>
        <v>1.1802911534154537</v>
      </c>
      <c r="JL73" s="3555">
        <f t="shared" si="45"/>
        <v>-0.68756998880179165</v>
      </c>
      <c r="JM73" s="3555">
        <f t="shared" si="46"/>
        <v>-3.218626947440506E-2</v>
      </c>
      <c r="JN73" s="3555">
        <f t="shared" si="46"/>
        <v>-3.184150008844866E-2</v>
      </c>
      <c r="JO73" s="3555">
        <f t="shared" si="46"/>
        <v>-0.77124063584871183</v>
      </c>
      <c r="JP73" s="3556">
        <f t="shared" si="63"/>
        <v>-0.92289420792983734</v>
      </c>
      <c r="JQ73" s="3557">
        <f t="shared" si="64"/>
        <v>-0.66293929712460065</v>
      </c>
      <c r="JS73" s="3231"/>
      <c r="JT73" s="3231"/>
      <c r="JU73" s="3231"/>
      <c r="JV73" s="3231"/>
      <c r="JW73" s="3231"/>
      <c r="JX73" s="3231"/>
      <c r="JY73" s="3231"/>
      <c r="JZ73" s="3231"/>
      <c r="KA73" s="3231"/>
      <c r="KB73" s="3231"/>
      <c r="KC73" s="3231"/>
      <c r="KD73" s="3231"/>
      <c r="KE73" s="3231"/>
      <c r="KF73" s="3231"/>
      <c r="KG73" s="3231"/>
      <c r="KH73" s="3231"/>
      <c r="KI73" s="3231"/>
      <c r="KJ73" s="3231"/>
      <c r="KK73" s="3231"/>
      <c r="KL73" s="3231"/>
      <c r="KM73" s="3231"/>
      <c r="KN73" s="3231"/>
      <c r="KO73" s="3231"/>
    </row>
    <row r="74" spans="1:301" ht="21.9" customHeight="1">
      <c r="A74" s="3568"/>
      <c r="B74" s="3231"/>
      <c r="C74" s="3567" t="s">
        <v>25</v>
      </c>
      <c r="D74" s="3516">
        <v>191</v>
      </c>
      <c r="E74" s="3517">
        <v>147</v>
      </c>
      <c r="F74" s="3517">
        <v>184</v>
      </c>
      <c r="G74" s="3517">
        <v>164</v>
      </c>
      <c r="H74" s="3517">
        <v>171</v>
      </c>
      <c r="I74" s="3517">
        <v>315</v>
      </c>
      <c r="J74" s="3517">
        <v>438</v>
      </c>
      <c r="K74" s="3517">
        <v>326</v>
      </c>
      <c r="L74" s="3517">
        <v>276</v>
      </c>
      <c r="M74" s="3517">
        <v>312</v>
      </c>
      <c r="N74" s="3517">
        <v>240</v>
      </c>
      <c r="O74" s="3518">
        <v>141</v>
      </c>
      <c r="P74" s="3519">
        <v>227</v>
      </c>
      <c r="Q74" s="3520">
        <v>309</v>
      </c>
      <c r="R74" s="3520">
        <v>244</v>
      </c>
      <c r="S74" s="3520">
        <v>211</v>
      </c>
      <c r="T74" s="3520">
        <v>218</v>
      </c>
      <c r="U74" s="3520">
        <v>331</v>
      </c>
      <c r="V74" s="3520">
        <v>626</v>
      </c>
      <c r="W74" s="3520">
        <v>308</v>
      </c>
      <c r="X74" s="3520">
        <v>265</v>
      </c>
      <c r="Y74" s="3520">
        <v>268</v>
      </c>
      <c r="Z74" s="3520">
        <v>267</v>
      </c>
      <c r="AA74" s="3521">
        <v>167</v>
      </c>
      <c r="AB74" s="3522">
        <v>197</v>
      </c>
      <c r="AC74" s="3523">
        <v>192</v>
      </c>
      <c r="AD74" s="3523">
        <v>173</v>
      </c>
      <c r="AE74" s="3523">
        <v>357</v>
      </c>
      <c r="AF74" s="3523">
        <v>355</v>
      </c>
      <c r="AG74" s="3523">
        <v>353</v>
      </c>
      <c r="AH74" s="3523">
        <v>540</v>
      </c>
      <c r="AI74" s="3523">
        <v>350</v>
      </c>
      <c r="AJ74" s="3523">
        <v>282</v>
      </c>
      <c r="AK74" s="3523">
        <v>316</v>
      </c>
      <c r="AL74" s="3523">
        <v>221</v>
      </c>
      <c r="AM74" s="3524">
        <v>212</v>
      </c>
      <c r="AN74" s="3525">
        <v>233</v>
      </c>
      <c r="AO74" s="3526">
        <v>194</v>
      </c>
      <c r="AP74" s="3526">
        <v>155</v>
      </c>
      <c r="AQ74" s="3526">
        <v>196</v>
      </c>
      <c r="AR74" s="3526">
        <v>171</v>
      </c>
      <c r="AS74" s="3526">
        <v>316</v>
      </c>
      <c r="AT74" s="3526">
        <v>607</v>
      </c>
      <c r="AU74" s="3526">
        <v>289</v>
      </c>
      <c r="AV74" s="3526">
        <v>282</v>
      </c>
      <c r="AW74" s="3526">
        <v>216</v>
      </c>
      <c r="AX74" s="3526">
        <v>267</v>
      </c>
      <c r="AY74" s="3527">
        <v>190</v>
      </c>
      <c r="AZ74" s="3463">
        <v>184</v>
      </c>
      <c r="BA74" s="3463">
        <v>211</v>
      </c>
      <c r="BB74" s="3463">
        <v>169</v>
      </c>
      <c r="BC74" s="3463">
        <v>205</v>
      </c>
      <c r="BD74" s="3463">
        <v>200</v>
      </c>
      <c r="BE74" s="3463">
        <v>313</v>
      </c>
      <c r="BF74" s="3463">
        <v>620</v>
      </c>
      <c r="BG74" s="3463">
        <v>258</v>
      </c>
      <c r="BH74" s="3463">
        <v>275</v>
      </c>
      <c r="BI74" s="3463">
        <v>302</v>
      </c>
      <c r="BJ74" s="3463">
        <v>305</v>
      </c>
      <c r="BK74" s="3560">
        <v>214</v>
      </c>
      <c r="BL74" s="3530">
        <v>196</v>
      </c>
      <c r="BM74" s="3531">
        <v>218</v>
      </c>
      <c r="BN74" s="3531">
        <v>222</v>
      </c>
      <c r="BO74" s="3531">
        <v>155</v>
      </c>
      <c r="BP74" s="3531">
        <v>206</v>
      </c>
      <c r="BQ74" s="3531">
        <v>450</v>
      </c>
      <c r="BR74" s="3531">
        <v>575</v>
      </c>
      <c r="BS74" s="3531">
        <v>291</v>
      </c>
      <c r="BT74" s="3532">
        <v>229</v>
      </c>
      <c r="BU74" s="3532">
        <v>271</v>
      </c>
      <c r="BV74" s="3532">
        <v>261</v>
      </c>
      <c r="BW74" s="3533">
        <v>255</v>
      </c>
      <c r="BX74" s="3534">
        <v>204</v>
      </c>
      <c r="BY74" s="3459">
        <v>192</v>
      </c>
      <c r="BZ74" s="3459">
        <v>280</v>
      </c>
      <c r="CA74" s="3459">
        <v>160</v>
      </c>
      <c r="CB74" s="3459">
        <v>223</v>
      </c>
      <c r="CC74" s="3459">
        <v>404</v>
      </c>
      <c r="CD74" s="3459">
        <v>597</v>
      </c>
      <c r="CE74" s="3459">
        <v>307</v>
      </c>
      <c r="CF74" s="3459">
        <v>259</v>
      </c>
      <c r="CG74" s="3459">
        <v>272</v>
      </c>
      <c r="CH74" s="3459">
        <v>263</v>
      </c>
      <c r="CI74" s="3461">
        <v>290</v>
      </c>
      <c r="CJ74" s="3535">
        <v>251</v>
      </c>
      <c r="CK74" s="3536">
        <v>233</v>
      </c>
      <c r="CL74" s="3536">
        <v>238</v>
      </c>
      <c r="CM74" s="3536">
        <v>277</v>
      </c>
      <c r="CN74" s="3536">
        <v>207</v>
      </c>
      <c r="CO74" s="3536">
        <v>470</v>
      </c>
      <c r="CP74" s="3536">
        <v>549</v>
      </c>
      <c r="CQ74" s="3536">
        <v>239</v>
      </c>
      <c r="CR74" s="3536">
        <v>269</v>
      </c>
      <c r="CS74" s="3536">
        <v>283</v>
      </c>
      <c r="CT74" s="3536">
        <v>246</v>
      </c>
      <c r="CU74" s="3537">
        <v>254</v>
      </c>
      <c r="CV74" s="3535">
        <v>241</v>
      </c>
      <c r="CW74" s="3536">
        <v>223</v>
      </c>
      <c r="CX74" s="3458">
        <v>216</v>
      </c>
      <c r="CY74" s="3458">
        <v>246</v>
      </c>
      <c r="CZ74" s="3458">
        <v>178</v>
      </c>
      <c r="DA74" s="3458">
        <v>422</v>
      </c>
      <c r="DB74" s="3458">
        <v>543</v>
      </c>
      <c r="DC74" s="3458">
        <v>270</v>
      </c>
      <c r="DD74" s="3458">
        <v>258</v>
      </c>
      <c r="DE74" s="3458">
        <v>297</v>
      </c>
      <c r="DF74" s="3458">
        <v>250</v>
      </c>
      <c r="DG74" s="3537">
        <v>227</v>
      </c>
      <c r="DH74" s="3538">
        <v>280</v>
      </c>
      <c r="DI74" s="3539">
        <v>197</v>
      </c>
      <c r="DJ74" s="3539">
        <v>236</v>
      </c>
      <c r="DK74" s="3540">
        <v>158</v>
      </c>
      <c r="DL74" s="3540">
        <v>178</v>
      </c>
      <c r="DM74" s="3540">
        <v>492</v>
      </c>
      <c r="DN74" s="3540">
        <v>634</v>
      </c>
      <c r="DO74" s="3540">
        <v>279</v>
      </c>
      <c r="DP74" s="2713">
        <v>280</v>
      </c>
      <c r="DQ74" s="3540">
        <v>301</v>
      </c>
      <c r="DR74" s="3540">
        <v>213</v>
      </c>
      <c r="DS74" s="3541">
        <v>198</v>
      </c>
      <c r="DT74" s="3542">
        <v>219</v>
      </c>
      <c r="DU74" s="3429">
        <v>171</v>
      </c>
      <c r="DV74" s="3429">
        <v>217</v>
      </c>
      <c r="DW74" s="3350">
        <v>219</v>
      </c>
      <c r="DX74" s="3350">
        <v>146</v>
      </c>
      <c r="DY74" s="3350">
        <v>398</v>
      </c>
      <c r="DZ74" s="3350">
        <v>590</v>
      </c>
      <c r="EA74" s="3350">
        <v>340</v>
      </c>
      <c r="EB74" s="3350">
        <v>296</v>
      </c>
      <c r="EC74" s="3350">
        <v>261</v>
      </c>
      <c r="ED74" s="3350">
        <v>257</v>
      </c>
      <c r="EE74" s="3349">
        <v>209</v>
      </c>
      <c r="EF74" s="2689">
        <v>187</v>
      </c>
      <c r="EG74" s="2688">
        <v>221</v>
      </c>
      <c r="EH74" s="2688">
        <v>298</v>
      </c>
      <c r="EI74" s="2688">
        <v>220</v>
      </c>
      <c r="EJ74" s="2688">
        <v>271</v>
      </c>
      <c r="EK74" s="2688">
        <v>384</v>
      </c>
      <c r="EL74" s="2688">
        <v>705</v>
      </c>
      <c r="EM74" s="2714">
        <v>361</v>
      </c>
      <c r="EN74" s="2714">
        <v>355</v>
      </c>
      <c r="EO74" s="2715">
        <v>351</v>
      </c>
      <c r="EP74" s="2715">
        <v>305</v>
      </c>
      <c r="EQ74" s="2716">
        <v>277</v>
      </c>
      <c r="ER74" s="1348">
        <v>216</v>
      </c>
      <c r="ES74" s="3543">
        <v>230</v>
      </c>
      <c r="ET74" s="3543">
        <v>215</v>
      </c>
      <c r="EU74" s="2717">
        <v>326</v>
      </c>
      <c r="EV74" s="2162">
        <v>321</v>
      </c>
      <c r="EW74" s="2162">
        <v>638</v>
      </c>
      <c r="EX74" s="2162">
        <v>876</v>
      </c>
      <c r="EY74" s="2162">
        <v>440</v>
      </c>
      <c r="EZ74" s="2162">
        <v>523</v>
      </c>
      <c r="FA74" s="2339">
        <v>295</v>
      </c>
      <c r="FB74" s="2339">
        <v>448</v>
      </c>
      <c r="FC74" s="2339">
        <v>423</v>
      </c>
      <c r="FD74" s="2772">
        <v>342</v>
      </c>
      <c r="FE74" s="2773">
        <v>340</v>
      </c>
      <c r="FF74" s="2773">
        <v>151</v>
      </c>
      <c r="FG74" s="2773">
        <v>4</v>
      </c>
      <c r="FH74" s="2773">
        <v>5</v>
      </c>
      <c r="FI74" s="2773">
        <v>9</v>
      </c>
      <c r="FJ74" s="2773">
        <v>33</v>
      </c>
      <c r="FK74" s="2773">
        <v>28</v>
      </c>
      <c r="FL74" s="2773">
        <v>23</v>
      </c>
      <c r="FM74" s="2773">
        <v>33</v>
      </c>
      <c r="FN74" s="2773">
        <v>34</v>
      </c>
      <c r="FO74" s="2774">
        <v>93</v>
      </c>
      <c r="FP74" s="2772">
        <v>62</v>
      </c>
      <c r="FQ74" s="2773">
        <v>42</v>
      </c>
      <c r="FR74" s="2773">
        <v>56</v>
      </c>
      <c r="FS74" s="2773">
        <v>68</v>
      </c>
      <c r="FT74" s="2773">
        <v>55</v>
      </c>
      <c r="FU74" s="2773"/>
      <c r="FV74" s="2773"/>
      <c r="FW74" s="2773"/>
      <c r="FX74" s="2773"/>
      <c r="FY74" s="2773"/>
      <c r="FZ74" s="2773"/>
      <c r="GA74" s="2775"/>
      <c r="GB74" s="2764"/>
      <c r="GC74" s="2911">
        <v>522</v>
      </c>
      <c r="GD74" s="2912">
        <v>650</v>
      </c>
      <c r="GE74" s="2912">
        <v>1040</v>
      </c>
      <c r="GF74" s="2913">
        <v>693</v>
      </c>
      <c r="GG74" s="2914">
        <v>780</v>
      </c>
      <c r="GH74" s="2915">
        <v>760</v>
      </c>
      <c r="GI74" s="2915">
        <v>1199</v>
      </c>
      <c r="GJ74" s="2916">
        <v>702</v>
      </c>
      <c r="GK74" s="2917">
        <v>562</v>
      </c>
      <c r="GL74" s="2918">
        <v>1065</v>
      </c>
      <c r="GM74" s="2919">
        <v>1172</v>
      </c>
      <c r="GN74" s="2919">
        <v>749</v>
      </c>
      <c r="GO74" s="2920">
        <v>582</v>
      </c>
      <c r="GP74" s="2921">
        <v>683</v>
      </c>
      <c r="GQ74" s="2921">
        <v>1178</v>
      </c>
      <c r="GR74" s="2922">
        <v>673</v>
      </c>
      <c r="GS74" s="2923">
        <v>564</v>
      </c>
      <c r="GT74" s="2924">
        <v>718</v>
      </c>
      <c r="GU74" s="2924">
        <v>1153</v>
      </c>
      <c r="GV74" s="2925">
        <v>821</v>
      </c>
      <c r="GW74" s="2921">
        <v>636</v>
      </c>
      <c r="GX74" s="2921">
        <v>811</v>
      </c>
      <c r="GY74" s="2921">
        <v>1095</v>
      </c>
      <c r="GZ74" s="2921">
        <v>787</v>
      </c>
      <c r="HA74" s="2926">
        <v>676</v>
      </c>
      <c r="HB74" s="2926">
        <v>787</v>
      </c>
      <c r="HC74" s="2926">
        <v>1163</v>
      </c>
      <c r="HD74" s="2926">
        <v>825</v>
      </c>
      <c r="HE74" s="2927">
        <v>722</v>
      </c>
      <c r="HF74" s="2927">
        <v>954</v>
      </c>
      <c r="HG74" s="2927">
        <f t="shared" si="17"/>
        <v>1057</v>
      </c>
      <c r="HH74" s="2927">
        <v>783</v>
      </c>
      <c r="HI74" s="2928">
        <v>680</v>
      </c>
      <c r="HJ74" s="2928">
        <f t="shared" si="18"/>
        <v>846</v>
      </c>
      <c r="HK74" s="2928">
        <f t="shared" si="19"/>
        <v>1071</v>
      </c>
      <c r="HL74" s="2927">
        <f t="shared" si="20"/>
        <v>774</v>
      </c>
      <c r="HM74" s="2846">
        <f t="shared" si="21"/>
        <v>713</v>
      </c>
      <c r="HN74" s="2846">
        <f t="shared" si="22"/>
        <v>828</v>
      </c>
      <c r="HO74" s="2846">
        <f t="shared" si="23"/>
        <v>1111</v>
      </c>
      <c r="HP74" s="2846">
        <f t="shared" si="24"/>
        <v>712</v>
      </c>
      <c r="HQ74" s="2921">
        <f t="shared" si="25"/>
        <v>607</v>
      </c>
      <c r="HR74" s="2921">
        <f t="shared" si="26"/>
        <v>763</v>
      </c>
      <c r="HS74" s="2921">
        <f t="shared" si="27"/>
        <v>1226</v>
      </c>
      <c r="HT74" s="2921">
        <f t="shared" si="28"/>
        <v>727</v>
      </c>
      <c r="HU74" s="2929">
        <f t="shared" si="29"/>
        <v>706</v>
      </c>
      <c r="HV74" s="2926">
        <f t="shared" si="30"/>
        <v>875</v>
      </c>
      <c r="HW74" s="2926">
        <f t="shared" si="31"/>
        <v>1421</v>
      </c>
      <c r="HX74" s="2926">
        <f t="shared" si="32"/>
        <v>933</v>
      </c>
      <c r="HY74" s="2930">
        <f t="shared" si="33"/>
        <v>661</v>
      </c>
      <c r="HZ74" s="2931">
        <f t="shared" si="34"/>
        <v>1285</v>
      </c>
      <c r="IA74" s="2931">
        <f t="shared" si="35"/>
        <v>1839</v>
      </c>
      <c r="IB74" s="2931">
        <f t="shared" si="36"/>
        <v>1166</v>
      </c>
      <c r="IC74" s="2932">
        <f t="shared" si="65"/>
        <v>833</v>
      </c>
      <c r="ID74" s="2933">
        <f t="shared" si="66"/>
        <v>18</v>
      </c>
      <c r="IE74" s="2933">
        <f t="shared" si="69"/>
        <v>84</v>
      </c>
      <c r="IF74" s="2934">
        <f t="shared" si="70"/>
        <v>160</v>
      </c>
      <c r="IG74" s="2929">
        <f t="shared" si="51"/>
        <v>160</v>
      </c>
      <c r="IH74" s="2926">
        <f t="shared" si="52"/>
        <v>123</v>
      </c>
      <c r="II74" s="2926">
        <f t="shared" si="53"/>
        <v>0</v>
      </c>
      <c r="IJ74" s="2926">
        <f t="shared" si="54"/>
        <v>0</v>
      </c>
      <c r="IK74" s="2735"/>
      <c r="IL74" s="3544">
        <v>2905</v>
      </c>
      <c r="IM74" s="3545">
        <v>3441</v>
      </c>
      <c r="IN74" s="3545">
        <v>3548</v>
      </c>
      <c r="IO74" s="3545">
        <v>3116</v>
      </c>
      <c r="IP74" s="3545">
        <v>3256</v>
      </c>
      <c r="IQ74" s="3545">
        <v>3329</v>
      </c>
      <c r="IR74" s="3546">
        <v>3451</v>
      </c>
      <c r="IS74" s="3547">
        <v>3516</v>
      </c>
      <c r="IT74" s="3547">
        <f t="shared" si="37"/>
        <v>3371</v>
      </c>
      <c r="IU74" s="3547">
        <f t="shared" si="38"/>
        <v>3446</v>
      </c>
      <c r="IV74" s="3547">
        <f t="shared" si="39"/>
        <v>3323</v>
      </c>
      <c r="IW74" s="3547">
        <f t="shared" si="40"/>
        <v>3935</v>
      </c>
      <c r="IX74" s="3548">
        <f t="shared" si="55"/>
        <v>4951</v>
      </c>
      <c r="IY74" s="3566">
        <f t="shared" si="71"/>
        <v>1095</v>
      </c>
      <c r="IZ74" s="3564">
        <f t="shared" si="57"/>
        <v>517</v>
      </c>
      <c r="JA74" s="3765">
        <f t="shared" si="58"/>
        <v>283</v>
      </c>
      <c r="JC74" s="3551">
        <f t="shared" si="59"/>
        <v>806</v>
      </c>
      <c r="JD74" s="3552">
        <f t="shared" si="42"/>
        <v>5.4905309850133682E-3</v>
      </c>
      <c r="JE74" s="3552">
        <f t="shared" si="43"/>
        <v>5.0893585999133139E-3</v>
      </c>
      <c r="JF74" s="3552">
        <f t="shared" si="60"/>
        <v>5.7496456698665965E-3</v>
      </c>
      <c r="JG74" s="3552">
        <f t="shared" si="56"/>
        <v>7.2341793421879337E-3</v>
      </c>
      <c r="JH74" s="3552">
        <f t="shared" si="61"/>
        <v>5.7505369793663377E-3</v>
      </c>
      <c r="JI74" s="3565">
        <f t="shared" si="62"/>
        <v>1.8398838417628721E-3</v>
      </c>
      <c r="JJ74" s="3552"/>
      <c r="JK74" s="3554">
        <f t="shared" si="44"/>
        <v>-3.569355774811378E-2</v>
      </c>
      <c r="JL74" s="3555">
        <f t="shared" si="45"/>
        <v>-0.76610562971561236</v>
      </c>
      <c r="JM74" s="3555">
        <f t="shared" si="46"/>
        <v>0.18417092988263617</v>
      </c>
      <c r="JN74" s="3555">
        <f t="shared" si="46"/>
        <v>0.25819567979669622</v>
      </c>
      <c r="JO74" s="3555">
        <f t="shared" si="46"/>
        <v>-0.77883255907897397</v>
      </c>
      <c r="JP74" s="3556">
        <f t="shared" si="63"/>
        <v>-0.89557665118157948</v>
      </c>
      <c r="JQ74" s="3557">
        <f t="shared" si="64"/>
        <v>-0.52785388127853883</v>
      </c>
      <c r="JS74" s="3231"/>
      <c r="JT74" s="3231"/>
      <c r="JU74" s="3231"/>
      <c r="JV74" s="3231"/>
      <c r="JW74" s="3231"/>
      <c r="JX74" s="3231"/>
      <c r="JY74" s="3231"/>
      <c r="JZ74" s="3231"/>
      <c r="KA74" s="3231"/>
      <c r="KB74" s="3231"/>
      <c r="KC74" s="3231"/>
      <c r="KD74" s="3231"/>
      <c r="KE74" s="3231"/>
      <c r="KF74" s="3231"/>
      <c r="KG74" s="3231"/>
      <c r="KH74" s="3231"/>
      <c r="KI74" s="3231"/>
      <c r="KJ74" s="3231"/>
      <c r="KK74" s="3231"/>
      <c r="KL74" s="3231"/>
      <c r="KM74" s="3231"/>
      <c r="KN74" s="3231"/>
      <c r="KO74" s="3231"/>
    </row>
    <row r="75" spans="1:301" ht="21.9" customHeight="1">
      <c r="A75" s="3568"/>
      <c r="B75" s="3231"/>
      <c r="C75" s="3567" t="s">
        <v>30</v>
      </c>
      <c r="D75" s="3516">
        <v>164</v>
      </c>
      <c r="E75" s="3517">
        <v>248</v>
      </c>
      <c r="F75" s="3517">
        <v>234</v>
      </c>
      <c r="G75" s="3517">
        <v>208</v>
      </c>
      <c r="H75" s="3517">
        <v>139</v>
      </c>
      <c r="I75" s="3517">
        <v>167</v>
      </c>
      <c r="J75" s="3517">
        <v>217</v>
      </c>
      <c r="K75" s="3517">
        <v>310</v>
      </c>
      <c r="L75" s="3517">
        <v>201</v>
      </c>
      <c r="M75" s="3517">
        <v>197</v>
      </c>
      <c r="N75" s="3517">
        <v>288</v>
      </c>
      <c r="O75" s="3518">
        <v>260</v>
      </c>
      <c r="P75" s="3519">
        <v>271</v>
      </c>
      <c r="Q75" s="3520">
        <v>459</v>
      </c>
      <c r="R75" s="3520">
        <v>298</v>
      </c>
      <c r="S75" s="3520">
        <v>187</v>
      </c>
      <c r="T75" s="3520">
        <v>206</v>
      </c>
      <c r="U75" s="3520">
        <v>261</v>
      </c>
      <c r="V75" s="3520">
        <v>251</v>
      </c>
      <c r="W75" s="3520">
        <v>413</v>
      </c>
      <c r="X75" s="3520">
        <v>500</v>
      </c>
      <c r="Y75" s="3520">
        <v>268</v>
      </c>
      <c r="Z75" s="3520">
        <v>279</v>
      </c>
      <c r="AA75" s="3521">
        <v>284</v>
      </c>
      <c r="AB75" s="3522">
        <v>231</v>
      </c>
      <c r="AC75" s="3523">
        <v>272</v>
      </c>
      <c r="AD75" s="3523">
        <v>309</v>
      </c>
      <c r="AE75" s="3523">
        <v>217</v>
      </c>
      <c r="AF75" s="3523">
        <v>201.5</v>
      </c>
      <c r="AG75" s="3523">
        <v>186</v>
      </c>
      <c r="AH75" s="3523">
        <v>319</v>
      </c>
      <c r="AI75" s="3523">
        <v>287</v>
      </c>
      <c r="AJ75" s="3523">
        <v>355</v>
      </c>
      <c r="AK75" s="3523">
        <v>237</v>
      </c>
      <c r="AL75" s="3523">
        <v>212</v>
      </c>
      <c r="AM75" s="3524">
        <v>284</v>
      </c>
      <c r="AN75" s="3525">
        <v>214</v>
      </c>
      <c r="AO75" s="3526">
        <v>229</v>
      </c>
      <c r="AP75" s="3526">
        <v>253</v>
      </c>
      <c r="AQ75" s="3526">
        <v>222</v>
      </c>
      <c r="AR75" s="3526">
        <v>206</v>
      </c>
      <c r="AS75" s="3526">
        <v>292</v>
      </c>
      <c r="AT75" s="3526">
        <v>267</v>
      </c>
      <c r="AU75" s="3526">
        <v>293</v>
      </c>
      <c r="AV75" s="3526">
        <v>423</v>
      </c>
      <c r="AW75" s="3526">
        <v>147</v>
      </c>
      <c r="AX75" s="3526">
        <v>234</v>
      </c>
      <c r="AY75" s="3527">
        <v>268</v>
      </c>
      <c r="AZ75" s="3463">
        <v>162</v>
      </c>
      <c r="BA75" s="3463">
        <v>261</v>
      </c>
      <c r="BB75" s="3463">
        <v>238</v>
      </c>
      <c r="BC75" s="3463">
        <v>206</v>
      </c>
      <c r="BD75" s="3463">
        <v>181</v>
      </c>
      <c r="BE75" s="3463">
        <v>178</v>
      </c>
      <c r="BF75" s="3463">
        <v>207</v>
      </c>
      <c r="BG75" s="3463">
        <v>327</v>
      </c>
      <c r="BH75" s="3463">
        <v>363</v>
      </c>
      <c r="BI75" s="3463">
        <v>308</v>
      </c>
      <c r="BJ75" s="3463">
        <v>257</v>
      </c>
      <c r="BK75" s="3560">
        <v>318</v>
      </c>
      <c r="BL75" s="3530">
        <v>174</v>
      </c>
      <c r="BM75" s="3531">
        <v>210</v>
      </c>
      <c r="BN75" s="3531">
        <v>273</v>
      </c>
      <c r="BO75" s="3531">
        <v>245</v>
      </c>
      <c r="BP75" s="3531">
        <v>198</v>
      </c>
      <c r="BQ75" s="3531">
        <v>263</v>
      </c>
      <c r="BR75" s="3531">
        <v>300</v>
      </c>
      <c r="BS75" s="3531">
        <v>322</v>
      </c>
      <c r="BT75" s="3532">
        <v>392</v>
      </c>
      <c r="BU75" s="3532">
        <v>304</v>
      </c>
      <c r="BV75" s="3532">
        <v>226</v>
      </c>
      <c r="BW75" s="3533">
        <v>380</v>
      </c>
      <c r="BX75" s="3534">
        <v>246</v>
      </c>
      <c r="BY75" s="3459">
        <v>230</v>
      </c>
      <c r="BZ75" s="3459">
        <v>250</v>
      </c>
      <c r="CA75" s="3459">
        <v>268</v>
      </c>
      <c r="CB75" s="3459">
        <v>172</v>
      </c>
      <c r="CC75" s="3459">
        <v>227</v>
      </c>
      <c r="CD75" s="3459">
        <v>231</v>
      </c>
      <c r="CE75" s="3459">
        <v>305</v>
      </c>
      <c r="CF75" s="3459">
        <v>386</v>
      </c>
      <c r="CG75" s="3459">
        <v>233</v>
      </c>
      <c r="CH75" s="3459">
        <v>295</v>
      </c>
      <c r="CI75" s="3461">
        <v>399</v>
      </c>
      <c r="CJ75" s="3535">
        <v>275</v>
      </c>
      <c r="CK75" s="3536">
        <v>249</v>
      </c>
      <c r="CL75" s="3536">
        <v>305</v>
      </c>
      <c r="CM75" s="3536">
        <v>246</v>
      </c>
      <c r="CN75" s="3536">
        <v>181</v>
      </c>
      <c r="CO75" s="3536">
        <v>184</v>
      </c>
      <c r="CP75" s="3536">
        <v>215</v>
      </c>
      <c r="CQ75" s="3536">
        <v>314</v>
      </c>
      <c r="CR75" s="3536">
        <v>322</v>
      </c>
      <c r="CS75" s="3536">
        <v>214</v>
      </c>
      <c r="CT75" s="3536">
        <v>237</v>
      </c>
      <c r="CU75" s="3537">
        <v>326</v>
      </c>
      <c r="CV75" s="3535">
        <v>273</v>
      </c>
      <c r="CW75" s="3536">
        <v>301</v>
      </c>
      <c r="CX75" s="3458">
        <v>306</v>
      </c>
      <c r="CY75" s="3458">
        <v>203</v>
      </c>
      <c r="CZ75" s="3458">
        <v>196</v>
      </c>
      <c r="DA75" s="3458">
        <v>197</v>
      </c>
      <c r="DB75" s="3458">
        <v>197</v>
      </c>
      <c r="DC75" s="3458">
        <v>250</v>
      </c>
      <c r="DD75" s="3458">
        <v>472</v>
      </c>
      <c r="DE75" s="3458">
        <v>190</v>
      </c>
      <c r="DF75" s="3458">
        <v>234</v>
      </c>
      <c r="DG75" s="3537">
        <v>286</v>
      </c>
      <c r="DH75" s="3538">
        <v>237</v>
      </c>
      <c r="DI75" s="3539">
        <v>251</v>
      </c>
      <c r="DJ75" s="3539">
        <v>266</v>
      </c>
      <c r="DK75" s="3540">
        <v>190</v>
      </c>
      <c r="DL75" s="3540">
        <v>172</v>
      </c>
      <c r="DM75" s="3540">
        <v>158</v>
      </c>
      <c r="DN75" s="3540">
        <v>217</v>
      </c>
      <c r="DO75" s="3540">
        <v>207</v>
      </c>
      <c r="DP75" s="2713">
        <v>258</v>
      </c>
      <c r="DQ75" s="3540">
        <v>294</v>
      </c>
      <c r="DR75" s="3540">
        <v>242</v>
      </c>
      <c r="DS75" s="3541">
        <v>290</v>
      </c>
      <c r="DT75" s="3542">
        <v>219</v>
      </c>
      <c r="DU75" s="3429">
        <v>224</v>
      </c>
      <c r="DV75" s="3429">
        <v>359</v>
      </c>
      <c r="DW75" s="3350">
        <v>236</v>
      </c>
      <c r="DX75" s="3350">
        <v>164</v>
      </c>
      <c r="DY75" s="3350">
        <v>225</v>
      </c>
      <c r="DZ75" s="3350">
        <v>222</v>
      </c>
      <c r="EA75" s="3350">
        <v>330</v>
      </c>
      <c r="EB75" s="3350">
        <v>234</v>
      </c>
      <c r="EC75" s="3350">
        <v>240</v>
      </c>
      <c r="ED75" s="3350">
        <v>328</v>
      </c>
      <c r="EE75" s="3349">
        <v>327</v>
      </c>
      <c r="EF75" s="2689">
        <v>253</v>
      </c>
      <c r="EG75" s="2688">
        <v>276</v>
      </c>
      <c r="EH75" s="2688">
        <v>394</v>
      </c>
      <c r="EI75" s="2688">
        <v>291</v>
      </c>
      <c r="EJ75" s="2688">
        <v>230</v>
      </c>
      <c r="EK75" s="2688">
        <v>294</v>
      </c>
      <c r="EL75" s="2688">
        <v>286</v>
      </c>
      <c r="EM75" s="2714">
        <v>421</v>
      </c>
      <c r="EN75" s="2714">
        <v>364</v>
      </c>
      <c r="EO75" s="2715">
        <v>252</v>
      </c>
      <c r="EP75" s="2715">
        <v>303</v>
      </c>
      <c r="EQ75" s="2716">
        <v>333</v>
      </c>
      <c r="ER75" s="1348">
        <v>227</v>
      </c>
      <c r="ES75" s="3543">
        <v>338</v>
      </c>
      <c r="ET75" s="3543">
        <v>267</v>
      </c>
      <c r="EU75" s="2717">
        <v>344</v>
      </c>
      <c r="EV75" s="2162">
        <v>221</v>
      </c>
      <c r="EW75" s="2162">
        <v>258</v>
      </c>
      <c r="EX75" s="2162">
        <v>289</v>
      </c>
      <c r="EY75" s="2162">
        <v>311</v>
      </c>
      <c r="EZ75" s="2162">
        <v>403</v>
      </c>
      <c r="FA75" s="2338">
        <v>155</v>
      </c>
      <c r="FB75" s="2338">
        <v>261</v>
      </c>
      <c r="FC75" s="2338">
        <v>324</v>
      </c>
      <c r="FD75" s="2765">
        <v>334</v>
      </c>
      <c r="FE75" s="2766">
        <v>327</v>
      </c>
      <c r="FF75" s="2766">
        <v>121</v>
      </c>
      <c r="FG75" s="2766"/>
      <c r="FH75" s="2766"/>
      <c r="FI75" s="2766">
        <v>4</v>
      </c>
      <c r="FJ75" s="2766">
        <v>4</v>
      </c>
      <c r="FK75" s="2766">
        <v>5</v>
      </c>
      <c r="FL75" s="2766">
        <v>7</v>
      </c>
      <c r="FM75" s="2766">
        <v>15</v>
      </c>
      <c r="FN75" s="2766">
        <v>16</v>
      </c>
      <c r="FO75" s="2767">
        <v>29</v>
      </c>
      <c r="FP75" s="2765">
        <v>21</v>
      </c>
      <c r="FQ75" s="2766">
        <v>12</v>
      </c>
      <c r="FR75" s="2766">
        <v>11</v>
      </c>
      <c r="FS75" s="2766">
        <v>15</v>
      </c>
      <c r="FT75" s="2766">
        <v>9</v>
      </c>
      <c r="FU75" s="2766"/>
      <c r="FV75" s="2766"/>
      <c r="FW75" s="2766"/>
      <c r="FX75" s="2766"/>
      <c r="FY75" s="2766"/>
      <c r="FZ75" s="2766"/>
      <c r="GA75" s="2771"/>
      <c r="GB75" s="2764"/>
      <c r="GC75" s="2911">
        <v>646</v>
      </c>
      <c r="GD75" s="2912">
        <v>514</v>
      </c>
      <c r="GE75" s="2912">
        <v>728</v>
      </c>
      <c r="GF75" s="2913">
        <v>745</v>
      </c>
      <c r="GG75" s="2914">
        <v>1028</v>
      </c>
      <c r="GH75" s="2915">
        <v>654</v>
      </c>
      <c r="GI75" s="2915">
        <v>1164</v>
      </c>
      <c r="GJ75" s="2916">
        <v>831</v>
      </c>
      <c r="GK75" s="2917">
        <v>812</v>
      </c>
      <c r="GL75" s="2918">
        <v>604.5</v>
      </c>
      <c r="GM75" s="2919">
        <v>961</v>
      </c>
      <c r="GN75" s="2919">
        <v>733</v>
      </c>
      <c r="GO75" s="2920">
        <v>696</v>
      </c>
      <c r="GP75" s="2921">
        <v>720</v>
      </c>
      <c r="GQ75" s="2921">
        <v>983</v>
      </c>
      <c r="GR75" s="2922">
        <v>649</v>
      </c>
      <c r="GS75" s="2923">
        <v>661</v>
      </c>
      <c r="GT75" s="2924">
        <v>565</v>
      </c>
      <c r="GU75" s="2924">
        <v>897</v>
      </c>
      <c r="GV75" s="2925">
        <v>883</v>
      </c>
      <c r="GW75" s="2921">
        <v>657</v>
      </c>
      <c r="GX75" s="2921">
        <v>706</v>
      </c>
      <c r="GY75" s="2921">
        <v>1014</v>
      </c>
      <c r="GZ75" s="2921">
        <v>910</v>
      </c>
      <c r="HA75" s="2926">
        <v>726</v>
      </c>
      <c r="HB75" s="2926">
        <v>667</v>
      </c>
      <c r="HC75" s="2926">
        <v>922</v>
      </c>
      <c r="HD75" s="2926">
        <v>927</v>
      </c>
      <c r="HE75" s="2927">
        <v>829</v>
      </c>
      <c r="HF75" s="2927">
        <v>611</v>
      </c>
      <c r="HG75" s="2927">
        <f t="shared" si="17"/>
        <v>851</v>
      </c>
      <c r="HH75" s="2927">
        <v>777</v>
      </c>
      <c r="HI75" s="2928">
        <v>880</v>
      </c>
      <c r="HJ75" s="2928">
        <f t="shared" si="18"/>
        <v>596</v>
      </c>
      <c r="HK75" s="2928">
        <f t="shared" si="19"/>
        <v>919</v>
      </c>
      <c r="HL75" s="2927">
        <f t="shared" si="20"/>
        <v>710</v>
      </c>
      <c r="HM75" s="2846">
        <f t="shared" si="21"/>
        <v>754</v>
      </c>
      <c r="HN75" s="2846">
        <f t="shared" si="22"/>
        <v>520</v>
      </c>
      <c r="HO75" s="2846">
        <f t="shared" si="23"/>
        <v>714</v>
      </c>
      <c r="HP75" s="2846">
        <f t="shared" si="24"/>
        <v>826</v>
      </c>
      <c r="HQ75" s="2921">
        <f t="shared" si="25"/>
        <v>802</v>
      </c>
      <c r="HR75" s="2921">
        <f t="shared" si="26"/>
        <v>625</v>
      </c>
      <c r="HS75" s="2921">
        <f t="shared" si="27"/>
        <v>786</v>
      </c>
      <c r="HT75" s="2921">
        <f t="shared" si="28"/>
        <v>895</v>
      </c>
      <c r="HU75" s="2929">
        <f t="shared" si="29"/>
        <v>923</v>
      </c>
      <c r="HV75" s="2926">
        <f t="shared" si="30"/>
        <v>815</v>
      </c>
      <c r="HW75" s="2926">
        <f t="shared" si="31"/>
        <v>1071</v>
      </c>
      <c r="HX75" s="2926">
        <f t="shared" si="32"/>
        <v>888</v>
      </c>
      <c r="HY75" s="2930">
        <f t="shared" si="33"/>
        <v>832</v>
      </c>
      <c r="HZ75" s="2931">
        <f t="shared" si="34"/>
        <v>823</v>
      </c>
      <c r="IA75" s="2931">
        <f t="shared" si="35"/>
        <v>1003</v>
      </c>
      <c r="IB75" s="2931">
        <f t="shared" si="36"/>
        <v>740</v>
      </c>
      <c r="IC75" s="2932">
        <f t="shared" si="65"/>
        <v>782</v>
      </c>
      <c r="ID75" s="2933">
        <f t="shared" si="66"/>
        <v>4</v>
      </c>
      <c r="IE75" s="2933">
        <f t="shared" si="69"/>
        <v>16</v>
      </c>
      <c r="IF75" s="2934">
        <f t="shared" si="70"/>
        <v>60</v>
      </c>
      <c r="IG75" s="2929">
        <f t="shared" si="51"/>
        <v>44</v>
      </c>
      <c r="IH75" s="2926">
        <f t="shared" si="52"/>
        <v>24</v>
      </c>
      <c r="II75" s="2926">
        <f t="shared" si="53"/>
        <v>0</v>
      </c>
      <c r="IJ75" s="2926">
        <f t="shared" si="54"/>
        <v>0</v>
      </c>
      <c r="IK75" s="2735"/>
      <c r="IL75" s="3544">
        <v>2633</v>
      </c>
      <c r="IM75" s="3545">
        <v>3677</v>
      </c>
      <c r="IN75" s="3545">
        <v>3110.5</v>
      </c>
      <c r="IO75" s="3545">
        <v>3048</v>
      </c>
      <c r="IP75" s="3545">
        <v>3006</v>
      </c>
      <c r="IQ75" s="3545">
        <v>3287</v>
      </c>
      <c r="IR75" s="3546">
        <v>3242</v>
      </c>
      <c r="IS75" s="3547">
        <v>3068</v>
      </c>
      <c r="IT75" s="3547">
        <f t="shared" si="37"/>
        <v>3105</v>
      </c>
      <c r="IU75" s="3547">
        <f t="shared" si="38"/>
        <v>2782</v>
      </c>
      <c r="IV75" s="3547">
        <f t="shared" si="39"/>
        <v>3108</v>
      </c>
      <c r="IW75" s="3547">
        <f t="shared" si="40"/>
        <v>3697</v>
      </c>
      <c r="IX75" s="3548">
        <f t="shared" si="55"/>
        <v>3398</v>
      </c>
      <c r="IY75" s="3566">
        <f t="shared" si="71"/>
        <v>862</v>
      </c>
      <c r="IZ75" s="3564">
        <f t="shared" si="57"/>
        <v>234</v>
      </c>
      <c r="JA75" s="3765">
        <f t="shared" si="58"/>
        <v>68</v>
      </c>
      <c r="JC75" s="3551">
        <f t="shared" si="59"/>
        <v>548</v>
      </c>
      <c r="JD75" s="3552">
        <f t="shared" si="42"/>
        <v>4.4325760883073681E-3</v>
      </c>
      <c r="JE75" s="3552">
        <f t="shared" si="43"/>
        <v>4.7600741885436594E-3</v>
      </c>
      <c r="JF75" s="3552">
        <f t="shared" si="60"/>
        <v>5.4018907348149445E-3</v>
      </c>
      <c r="JG75" s="3552">
        <f t="shared" si="56"/>
        <v>4.9650053332164412E-3</v>
      </c>
      <c r="JH75" s="3552">
        <f t="shared" si="61"/>
        <v>4.5269067362682953E-3</v>
      </c>
      <c r="JI75" s="3565">
        <f t="shared" si="62"/>
        <v>8.32752067645091E-4</v>
      </c>
      <c r="JJ75" s="3552"/>
      <c r="JK75" s="3554">
        <f t="shared" si="44"/>
        <v>0.11718188353702375</v>
      </c>
      <c r="JL75" s="3555">
        <f t="shared" si="45"/>
        <v>-0.80301941049604597</v>
      </c>
      <c r="JM75" s="3555">
        <f t="shared" si="46"/>
        <v>0.18951093951093956</v>
      </c>
      <c r="JN75" s="3555">
        <f t="shared" si="46"/>
        <v>-8.0876386259129074E-2</v>
      </c>
      <c r="JO75" s="3555">
        <f t="shared" si="46"/>
        <v>-0.74632136550912298</v>
      </c>
      <c r="JP75" s="3556">
        <f t="shared" si="63"/>
        <v>-0.93113596233078277</v>
      </c>
      <c r="JQ75" s="3557">
        <f t="shared" si="64"/>
        <v>-0.72853828306264501</v>
      </c>
      <c r="JS75" s="3231"/>
      <c r="JT75" s="3231"/>
      <c r="JU75" s="3231"/>
      <c r="JV75" s="3231"/>
      <c r="JW75" s="3231"/>
      <c r="JX75" s="3231"/>
      <c r="JY75" s="3231"/>
      <c r="JZ75" s="3231"/>
      <c r="KA75" s="3231"/>
      <c r="KB75" s="3231"/>
      <c r="KC75" s="3231"/>
      <c r="KD75" s="3231"/>
      <c r="KE75" s="3231"/>
      <c r="KF75" s="3231"/>
      <c r="KG75" s="3231"/>
      <c r="KH75" s="3231"/>
      <c r="KI75" s="3231"/>
      <c r="KJ75" s="3231"/>
      <c r="KK75" s="3231"/>
      <c r="KL75" s="3231"/>
      <c r="KM75" s="3231"/>
      <c r="KN75" s="3231"/>
      <c r="KO75" s="3231"/>
    </row>
    <row r="76" spans="1:301" ht="21.9" customHeight="1">
      <c r="A76" s="3568"/>
      <c r="B76" s="3231"/>
      <c r="C76" s="3567" t="s">
        <v>19</v>
      </c>
      <c r="D76" s="3516">
        <v>106</v>
      </c>
      <c r="E76" s="3517">
        <v>77</v>
      </c>
      <c r="F76" s="3517">
        <v>164</v>
      </c>
      <c r="G76" s="3517">
        <v>124</v>
      </c>
      <c r="H76" s="3517">
        <v>101</v>
      </c>
      <c r="I76" s="3517">
        <v>151</v>
      </c>
      <c r="J76" s="3517">
        <v>131</v>
      </c>
      <c r="K76" s="3517">
        <v>168</v>
      </c>
      <c r="L76" s="3517">
        <v>204</v>
      </c>
      <c r="M76" s="3517">
        <v>300</v>
      </c>
      <c r="N76" s="3517">
        <v>233</v>
      </c>
      <c r="O76" s="3518">
        <v>211</v>
      </c>
      <c r="P76" s="3519">
        <v>300</v>
      </c>
      <c r="Q76" s="3520">
        <v>404</v>
      </c>
      <c r="R76" s="3520">
        <v>290</v>
      </c>
      <c r="S76" s="3520">
        <v>346</v>
      </c>
      <c r="T76" s="3520">
        <v>350</v>
      </c>
      <c r="U76" s="3520">
        <v>372</v>
      </c>
      <c r="V76" s="3520">
        <v>536</v>
      </c>
      <c r="W76" s="3520">
        <v>619</v>
      </c>
      <c r="X76" s="3520">
        <v>611</v>
      </c>
      <c r="Y76" s="3520">
        <v>684</v>
      </c>
      <c r="Z76" s="3520">
        <v>721</v>
      </c>
      <c r="AA76" s="3521">
        <v>903</v>
      </c>
      <c r="AB76" s="3522">
        <v>1157</v>
      </c>
      <c r="AC76" s="3523">
        <v>1112</v>
      </c>
      <c r="AD76" s="3523">
        <v>1391</v>
      </c>
      <c r="AE76" s="3523">
        <v>1532</v>
      </c>
      <c r="AF76" s="3523">
        <v>1541.5</v>
      </c>
      <c r="AG76" s="3523">
        <v>1551</v>
      </c>
      <c r="AH76" s="3523">
        <v>1371</v>
      </c>
      <c r="AI76" s="3523">
        <v>1483</v>
      </c>
      <c r="AJ76" s="3523">
        <v>1483</v>
      </c>
      <c r="AK76" s="3523">
        <v>1483</v>
      </c>
      <c r="AL76" s="3523">
        <v>1508</v>
      </c>
      <c r="AM76" s="3524">
        <v>1112</v>
      </c>
      <c r="AN76" s="3525">
        <v>1670</v>
      </c>
      <c r="AO76" s="3526">
        <v>1244</v>
      </c>
      <c r="AP76" s="3526">
        <v>1508</v>
      </c>
      <c r="AQ76" s="3526">
        <v>1345</v>
      </c>
      <c r="AR76" s="3526">
        <v>1092</v>
      </c>
      <c r="AS76" s="3526">
        <v>1109</v>
      </c>
      <c r="AT76" s="3526">
        <v>891</v>
      </c>
      <c r="AU76" s="3526">
        <v>1140</v>
      </c>
      <c r="AV76" s="3526">
        <v>997</v>
      </c>
      <c r="AW76" s="3526">
        <v>1311</v>
      </c>
      <c r="AX76" s="3526">
        <v>1203</v>
      </c>
      <c r="AY76" s="3527">
        <v>960</v>
      </c>
      <c r="AZ76" s="3463">
        <v>992</v>
      </c>
      <c r="BA76" s="3463">
        <v>732</v>
      </c>
      <c r="BB76" s="3463">
        <v>978</v>
      </c>
      <c r="BC76" s="3463">
        <v>817</v>
      </c>
      <c r="BD76" s="3463">
        <v>838</v>
      </c>
      <c r="BE76" s="3463">
        <v>887</v>
      </c>
      <c r="BF76" s="3463">
        <v>692</v>
      </c>
      <c r="BG76" s="3463">
        <v>892</v>
      </c>
      <c r="BH76" s="3463">
        <v>731</v>
      </c>
      <c r="BI76" s="3463">
        <v>750</v>
      </c>
      <c r="BJ76" s="3463">
        <v>871</v>
      </c>
      <c r="BK76" s="3560">
        <v>710</v>
      </c>
      <c r="BL76" s="3530">
        <v>499</v>
      </c>
      <c r="BM76" s="3531">
        <v>499</v>
      </c>
      <c r="BN76" s="3531">
        <v>547</v>
      </c>
      <c r="BO76" s="3531">
        <v>895</v>
      </c>
      <c r="BP76" s="3531">
        <v>771</v>
      </c>
      <c r="BQ76" s="3531">
        <v>1058</v>
      </c>
      <c r="BR76" s="3531">
        <v>888</v>
      </c>
      <c r="BS76" s="3531">
        <v>976</v>
      </c>
      <c r="BT76" s="3532">
        <v>831</v>
      </c>
      <c r="BU76" s="3532">
        <v>1039</v>
      </c>
      <c r="BV76" s="3532">
        <v>1026</v>
      </c>
      <c r="BW76" s="3533">
        <v>1042</v>
      </c>
      <c r="BX76" s="3534">
        <v>750</v>
      </c>
      <c r="BY76" s="3459">
        <v>510</v>
      </c>
      <c r="BZ76" s="3459">
        <v>450</v>
      </c>
      <c r="CA76" s="3459">
        <v>871</v>
      </c>
      <c r="CB76" s="3459">
        <v>931</v>
      </c>
      <c r="CC76" s="3459">
        <v>942</v>
      </c>
      <c r="CD76" s="3459">
        <v>982</v>
      </c>
      <c r="CE76" s="3459">
        <v>1290</v>
      </c>
      <c r="CF76" s="3459">
        <v>1267</v>
      </c>
      <c r="CG76" s="3459">
        <v>1309</v>
      </c>
      <c r="CH76" s="3459">
        <v>1575</v>
      </c>
      <c r="CI76" s="3461">
        <v>1856</v>
      </c>
      <c r="CJ76" s="3535">
        <v>893</v>
      </c>
      <c r="CK76" s="3536">
        <v>801</v>
      </c>
      <c r="CL76" s="3536">
        <v>871</v>
      </c>
      <c r="CM76" s="3536">
        <v>1883</v>
      </c>
      <c r="CN76" s="3536">
        <v>2034</v>
      </c>
      <c r="CO76" s="3536">
        <v>2126</v>
      </c>
      <c r="CP76" s="3536">
        <v>2458</v>
      </c>
      <c r="CQ76" s="3536">
        <v>2398</v>
      </c>
      <c r="CR76" s="3536">
        <v>2644</v>
      </c>
      <c r="CS76" s="3536">
        <v>3590</v>
      </c>
      <c r="CT76" s="3536">
        <v>3991</v>
      </c>
      <c r="CU76" s="3537">
        <v>4790</v>
      </c>
      <c r="CV76" s="3535">
        <v>3360</v>
      </c>
      <c r="CW76" s="3536">
        <v>3179</v>
      </c>
      <c r="CX76" s="3458">
        <v>4515</v>
      </c>
      <c r="CY76" s="3458">
        <v>4321</v>
      </c>
      <c r="CZ76" s="3458">
        <v>4182</v>
      </c>
      <c r="DA76" s="3458">
        <v>4631</v>
      </c>
      <c r="DB76" s="3458">
        <v>4067</v>
      </c>
      <c r="DC76" s="3458">
        <v>3726</v>
      </c>
      <c r="DD76" s="3458">
        <v>5741</v>
      </c>
      <c r="DE76" s="3458">
        <v>5804</v>
      </c>
      <c r="DF76" s="3458">
        <v>9307</v>
      </c>
      <c r="DG76" s="3537">
        <v>5009</v>
      </c>
      <c r="DH76" s="3538">
        <v>1225</v>
      </c>
      <c r="DI76" s="3539">
        <v>2019</v>
      </c>
      <c r="DJ76" s="3539">
        <v>907</v>
      </c>
      <c r="DK76" s="3540">
        <v>278</v>
      </c>
      <c r="DL76" s="3540">
        <v>325</v>
      </c>
      <c r="DM76" s="3540">
        <v>306</v>
      </c>
      <c r="DN76" s="3540">
        <v>246</v>
      </c>
      <c r="DO76" s="3540">
        <v>246</v>
      </c>
      <c r="DP76" s="2713">
        <v>765</v>
      </c>
      <c r="DQ76" s="3540">
        <v>506</v>
      </c>
      <c r="DR76" s="3540">
        <v>429</v>
      </c>
      <c r="DS76" s="3541">
        <v>379</v>
      </c>
      <c r="DT76" s="3542">
        <v>338</v>
      </c>
      <c r="DU76" s="3429">
        <v>315</v>
      </c>
      <c r="DV76" s="3429">
        <v>296</v>
      </c>
      <c r="DW76" s="3350">
        <v>264</v>
      </c>
      <c r="DX76" s="3350">
        <v>350</v>
      </c>
      <c r="DY76" s="3350">
        <v>296</v>
      </c>
      <c r="DZ76" s="3350">
        <v>339</v>
      </c>
      <c r="EA76" s="3350">
        <v>273</v>
      </c>
      <c r="EB76" s="3350">
        <v>322</v>
      </c>
      <c r="EC76" s="3350">
        <v>328</v>
      </c>
      <c r="ED76" s="3350">
        <v>362</v>
      </c>
      <c r="EE76" s="3349">
        <v>330</v>
      </c>
      <c r="EF76" s="2689">
        <v>267</v>
      </c>
      <c r="EG76" s="2688">
        <v>279</v>
      </c>
      <c r="EH76" s="2688">
        <v>283</v>
      </c>
      <c r="EI76" s="2688">
        <v>288</v>
      </c>
      <c r="EJ76" s="2688">
        <v>317</v>
      </c>
      <c r="EK76" s="2688">
        <v>290</v>
      </c>
      <c r="EL76" s="2688">
        <v>325</v>
      </c>
      <c r="EM76" s="2714">
        <v>300</v>
      </c>
      <c r="EN76" s="2714">
        <v>287</v>
      </c>
      <c r="EO76" s="2715">
        <v>320</v>
      </c>
      <c r="EP76" s="2715">
        <v>345</v>
      </c>
      <c r="EQ76" s="2716">
        <v>273</v>
      </c>
      <c r="ER76" s="1348">
        <v>305</v>
      </c>
      <c r="ES76" s="3543">
        <v>219</v>
      </c>
      <c r="ET76" s="3543">
        <v>261</v>
      </c>
      <c r="EU76" s="2717">
        <v>226</v>
      </c>
      <c r="EV76" s="2162">
        <v>800</v>
      </c>
      <c r="EW76" s="2162">
        <v>686</v>
      </c>
      <c r="EX76" s="2162">
        <v>764</v>
      </c>
      <c r="EY76" s="2162">
        <v>1134</v>
      </c>
      <c r="EZ76" s="2162">
        <v>1157</v>
      </c>
      <c r="FA76" s="2339">
        <v>725</v>
      </c>
      <c r="FB76" s="2339">
        <v>701</v>
      </c>
      <c r="FC76" s="2339">
        <v>596</v>
      </c>
      <c r="FD76" s="2772">
        <v>1012</v>
      </c>
      <c r="FE76" s="2773">
        <v>617</v>
      </c>
      <c r="FF76" s="2773">
        <v>416</v>
      </c>
      <c r="FG76" s="2773">
        <v>2</v>
      </c>
      <c r="FH76" s="2773">
        <v>97</v>
      </c>
      <c r="FI76" s="2773">
        <v>140</v>
      </c>
      <c r="FJ76" s="2773">
        <v>9</v>
      </c>
      <c r="FK76" s="2773">
        <v>130</v>
      </c>
      <c r="FL76" s="2773">
        <v>66</v>
      </c>
      <c r="FM76" s="2773">
        <v>16</v>
      </c>
      <c r="FN76" s="2773">
        <v>126</v>
      </c>
      <c r="FO76" s="2774">
        <v>371</v>
      </c>
      <c r="FP76" s="2772">
        <v>452</v>
      </c>
      <c r="FQ76" s="2773">
        <v>133</v>
      </c>
      <c r="FR76" s="2773">
        <v>87</v>
      </c>
      <c r="FS76" s="2773">
        <v>231</v>
      </c>
      <c r="FT76" s="2773">
        <v>86</v>
      </c>
      <c r="FU76" s="2773"/>
      <c r="FV76" s="2773"/>
      <c r="FW76" s="2773"/>
      <c r="FX76" s="2773"/>
      <c r="FY76" s="2773"/>
      <c r="FZ76" s="2773"/>
      <c r="GA76" s="2775"/>
      <c r="GB76" s="2764"/>
      <c r="GC76" s="2911">
        <v>347</v>
      </c>
      <c r="GD76" s="2912">
        <v>376</v>
      </c>
      <c r="GE76" s="2912">
        <v>503</v>
      </c>
      <c r="GF76" s="2913">
        <v>744</v>
      </c>
      <c r="GG76" s="2914">
        <v>994</v>
      </c>
      <c r="GH76" s="2915">
        <v>1068</v>
      </c>
      <c r="GI76" s="2915">
        <v>1766</v>
      </c>
      <c r="GJ76" s="2916">
        <v>2308</v>
      </c>
      <c r="GK76" s="2917">
        <v>3660</v>
      </c>
      <c r="GL76" s="2918">
        <v>4624.5</v>
      </c>
      <c r="GM76" s="2919">
        <v>4337</v>
      </c>
      <c r="GN76" s="2919">
        <v>4103</v>
      </c>
      <c r="GO76" s="2920">
        <v>4422</v>
      </c>
      <c r="GP76" s="2921">
        <v>3546</v>
      </c>
      <c r="GQ76" s="2921">
        <v>3028</v>
      </c>
      <c r="GR76" s="2922">
        <v>3474</v>
      </c>
      <c r="GS76" s="2923">
        <v>2702</v>
      </c>
      <c r="GT76" s="2924">
        <v>2542</v>
      </c>
      <c r="GU76" s="2924">
        <v>2315</v>
      </c>
      <c r="GV76" s="2925">
        <v>2331</v>
      </c>
      <c r="GW76" s="2921">
        <v>1545</v>
      </c>
      <c r="GX76" s="2921">
        <v>2724</v>
      </c>
      <c r="GY76" s="2921">
        <v>2695</v>
      </c>
      <c r="GZ76" s="2921">
        <v>3107</v>
      </c>
      <c r="HA76" s="2926">
        <v>1710</v>
      </c>
      <c r="HB76" s="2926">
        <v>2744</v>
      </c>
      <c r="HC76" s="2926">
        <v>3539</v>
      </c>
      <c r="HD76" s="2926">
        <v>4740</v>
      </c>
      <c r="HE76" s="2927">
        <v>2565</v>
      </c>
      <c r="HF76" s="2927">
        <v>6043</v>
      </c>
      <c r="HG76" s="2927">
        <f t="shared" si="17"/>
        <v>7500</v>
      </c>
      <c r="HH76" s="2927">
        <v>12371</v>
      </c>
      <c r="HI76" s="2928">
        <v>11054</v>
      </c>
      <c r="HJ76" s="2928">
        <f t="shared" si="18"/>
        <v>13134</v>
      </c>
      <c r="HK76" s="2928">
        <f t="shared" si="19"/>
        <v>13534</v>
      </c>
      <c r="HL76" s="2927">
        <f t="shared" si="20"/>
        <v>20120</v>
      </c>
      <c r="HM76" s="2846">
        <f t="shared" si="21"/>
        <v>4151</v>
      </c>
      <c r="HN76" s="2846">
        <f t="shared" si="22"/>
        <v>909</v>
      </c>
      <c r="HO76" s="2846">
        <f t="shared" si="23"/>
        <v>871</v>
      </c>
      <c r="HP76" s="2846">
        <f t="shared" si="24"/>
        <v>1314</v>
      </c>
      <c r="HQ76" s="2921">
        <f t="shared" si="25"/>
        <v>949</v>
      </c>
      <c r="HR76" s="2921">
        <f t="shared" si="26"/>
        <v>910</v>
      </c>
      <c r="HS76" s="2921">
        <f t="shared" si="27"/>
        <v>934</v>
      </c>
      <c r="HT76" s="2921">
        <f t="shared" si="28"/>
        <v>1020</v>
      </c>
      <c r="HU76" s="2929">
        <f t="shared" si="29"/>
        <v>829</v>
      </c>
      <c r="HV76" s="2926">
        <f t="shared" si="30"/>
        <v>895</v>
      </c>
      <c r="HW76" s="2926">
        <f t="shared" si="31"/>
        <v>912</v>
      </c>
      <c r="HX76" s="2926">
        <f t="shared" si="32"/>
        <v>938</v>
      </c>
      <c r="HY76" s="2930">
        <f t="shared" si="33"/>
        <v>785</v>
      </c>
      <c r="HZ76" s="2931">
        <f t="shared" si="34"/>
        <v>1712</v>
      </c>
      <c r="IA76" s="2931">
        <f t="shared" si="35"/>
        <v>3055</v>
      </c>
      <c r="IB76" s="2931">
        <f t="shared" si="36"/>
        <v>2022</v>
      </c>
      <c r="IC76" s="2932">
        <f t="shared" si="65"/>
        <v>2045</v>
      </c>
      <c r="ID76" s="2933">
        <f t="shared" si="66"/>
        <v>239</v>
      </c>
      <c r="IE76" s="2933">
        <f t="shared" si="69"/>
        <v>205</v>
      </c>
      <c r="IF76" s="2934">
        <f t="shared" si="70"/>
        <v>513</v>
      </c>
      <c r="IG76" s="2929">
        <f t="shared" si="51"/>
        <v>672</v>
      </c>
      <c r="IH76" s="2926">
        <f t="shared" si="52"/>
        <v>317</v>
      </c>
      <c r="II76" s="2926">
        <f t="shared" si="53"/>
        <v>0</v>
      </c>
      <c r="IJ76" s="2926">
        <f t="shared" si="54"/>
        <v>0</v>
      </c>
      <c r="IK76" s="2735"/>
      <c r="IL76" s="3544">
        <v>1970</v>
      </c>
      <c r="IM76" s="3545">
        <v>6136</v>
      </c>
      <c r="IN76" s="3545">
        <v>16724.5</v>
      </c>
      <c r="IO76" s="3545">
        <v>14470</v>
      </c>
      <c r="IP76" s="3545">
        <v>9890</v>
      </c>
      <c r="IQ76" s="3545">
        <v>10071</v>
      </c>
      <c r="IR76" s="3546">
        <v>12733</v>
      </c>
      <c r="IS76" s="3547">
        <v>28479</v>
      </c>
      <c r="IT76" s="3547">
        <f t="shared" si="37"/>
        <v>57842</v>
      </c>
      <c r="IU76" s="3547">
        <f t="shared" si="38"/>
        <v>7631</v>
      </c>
      <c r="IV76" s="3547">
        <f t="shared" si="39"/>
        <v>3813</v>
      </c>
      <c r="IW76" s="3547">
        <f t="shared" si="40"/>
        <v>3574</v>
      </c>
      <c r="IX76" s="3548">
        <f t="shared" si="55"/>
        <v>7574</v>
      </c>
      <c r="IY76" s="3566">
        <f t="shared" si="71"/>
        <v>3002</v>
      </c>
      <c r="IZ76" s="3564">
        <f t="shared" si="57"/>
        <v>1958</v>
      </c>
      <c r="JA76" s="3765">
        <f t="shared" si="58"/>
        <v>989</v>
      </c>
      <c r="JC76" s="3551">
        <f t="shared" si="59"/>
        <v>2480</v>
      </c>
      <c r="JD76" s="3552">
        <f t="shared" si="42"/>
        <v>1.215851478428236E-2</v>
      </c>
      <c r="JE76" s="3552">
        <f t="shared" si="43"/>
        <v>5.839820746755783E-3</v>
      </c>
      <c r="JF76" s="3552">
        <f t="shared" si="60"/>
        <v>5.2221686465319479E-3</v>
      </c>
      <c r="JG76" s="3552">
        <f t="shared" si="56"/>
        <v>1.1066789403702567E-2</v>
      </c>
      <c r="JH76" s="3552">
        <f t="shared" si="61"/>
        <v>1.5765399097769632E-2</v>
      </c>
      <c r="JI76" s="3565">
        <f t="shared" si="62"/>
        <v>6.9680707198678986E-3</v>
      </c>
      <c r="JJ76" s="3552"/>
      <c r="JK76" s="3554">
        <f t="shared" si="44"/>
        <v>-0.50032761106014934</v>
      </c>
      <c r="JL76" s="3555">
        <f t="shared" si="45"/>
        <v>-0.67500982833180445</v>
      </c>
      <c r="JM76" s="3555">
        <f t="shared" si="46"/>
        <v>-6.268030422239701E-2</v>
      </c>
      <c r="JN76" s="3555">
        <f t="shared" si="46"/>
        <v>1.119194180190263</v>
      </c>
      <c r="JO76" s="3555">
        <f t="shared" si="46"/>
        <v>-0.60364404541853711</v>
      </c>
      <c r="JP76" s="3556">
        <f t="shared" si="63"/>
        <v>-0.74148402429363613</v>
      </c>
      <c r="JQ76" s="3557">
        <f t="shared" si="64"/>
        <v>-0.3477681545636242</v>
      </c>
      <c r="JS76" s="3231"/>
      <c r="JT76" s="3231"/>
      <c r="JU76" s="3231"/>
      <c r="JV76" s="3231"/>
      <c r="JW76" s="3231"/>
      <c r="JX76" s="3231"/>
      <c r="JY76" s="3231"/>
      <c r="JZ76" s="3231"/>
      <c r="KA76" s="3231"/>
      <c r="KB76" s="3231"/>
      <c r="KC76" s="3231"/>
      <c r="KD76" s="3231"/>
      <c r="KE76" s="3231"/>
      <c r="KF76" s="3231"/>
      <c r="KG76" s="3231"/>
      <c r="KH76" s="3231"/>
      <c r="KI76" s="3231"/>
      <c r="KJ76" s="3231"/>
      <c r="KK76" s="3231"/>
      <c r="KL76" s="3231"/>
      <c r="KM76" s="3231"/>
      <c r="KN76" s="3231"/>
      <c r="KO76" s="3231"/>
    </row>
    <row r="77" spans="1:301" ht="21.9" customHeight="1">
      <c r="A77" s="3568"/>
      <c r="B77" s="3231"/>
      <c r="C77" s="3567" t="s">
        <v>18</v>
      </c>
      <c r="D77" s="3516">
        <v>119</v>
      </c>
      <c r="E77" s="3517">
        <v>130</v>
      </c>
      <c r="F77" s="3517">
        <v>176</v>
      </c>
      <c r="G77" s="3517">
        <v>124</v>
      </c>
      <c r="H77" s="3517">
        <v>123</v>
      </c>
      <c r="I77" s="3517">
        <v>173</v>
      </c>
      <c r="J77" s="3517">
        <v>251</v>
      </c>
      <c r="K77" s="3517">
        <v>216</v>
      </c>
      <c r="L77" s="3517">
        <v>321</v>
      </c>
      <c r="M77" s="3517">
        <v>214</v>
      </c>
      <c r="N77" s="3517">
        <v>244</v>
      </c>
      <c r="O77" s="3518">
        <v>126</v>
      </c>
      <c r="P77" s="3519">
        <v>134</v>
      </c>
      <c r="Q77" s="3520">
        <v>307</v>
      </c>
      <c r="R77" s="3520">
        <v>218</v>
      </c>
      <c r="S77" s="3520">
        <v>255</v>
      </c>
      <c r="T77" s="3520">
        <v>201</v>
      </c>
      <c r="U77" s="3520">
        <v>215</v>
      </c>
      <c r="V77" s="3520">
        <v>187</v>
      </c>
      <c r="W77" s="3520">
        <v>228</v>
      </c>
      <c r="X77" s="3520">
        <v>253</v>
      </c>
      <c r="Y77" s="3520">
        <v>230</v>
      </c>
      <c r="Z77" s="3520">
        <v>279</v>
      </c>
      <c r="AA77" s="3521">
        <v>228</v>
      </c>
      <c r="AB77" s="3522">
        <v>182</v>
      </c>
      <c r="AC77" s="3523">
        <v>186</v>
      </c>
      <c r="AD77" s="3523">
        <v>274</v>
      </c>
      <c r="AE77" s="3523">
        <v>222</v>
      </c>
      <c r="AF77" s="3523">
        <v>220.5</v>
      </c>
      <c r="AG77" s="3523">
        <v>219</v>
      </c>
      <c r="AH77" s="3523">
        <v>220</v>
      </c>
      <c r="AI77" s="3523">
        <v>205</v>
      </c>
      <c r="AJ77" s="3523">
        <v>241</v>
      </c>
      <c r="AK77" s="3523">
        <v>178</v>
      </c>
      <c r="AL77" s="3523">
        <v>253</v>
      </c>
      <c r="AM77" s="3524">
        <v>160</v>
      </c>
      <c r="AN77" s="3525">
        <v>173</v>
      </c>
      <c r="AO77" s="3526">
        <v>480</v>
      </c>
      <c r="AP77" s="3526">
        <v>219</v>
      </c>
      <c r="AQ77" s="3526">
        <v>183</v>
      </c>
      <c r="AR77" s="3526">
        <v>203</v>
      </c>
      <c r="AS77" s="3526">
        <v>202</v>
      </c>
      <c r="AT77" s="3526">
        <v>126</v>
      </c>
      <c r="AU77" s="3526">
        <v>185</v>
      </c>
      <c r="AV77" s="3526">
        <v>172</v>
      </c>
      <c r="AW77" s="3526">
        <v>151</v>
      </c>
      <c r="AX77" s="3526">
        <v>223</v>
      </c>
      <c r="AY77" s="3527">
        <v>172</v>
      </c>
      <c r="AZ77" s="3463">
        <v>173</v>
      </c>
      <c r="BA77" s="3463">
        <v>187</v>
      </c>
      <c r="BB77" s="3463">
        <v>216</v>
      </c>
      <c r="BC77" s="3463">
        <v>138</v>
      </c>
      <c r="BD77" s="3463">
        <v>194</v>
      </c>
      <c r="BE77" s="3463">
        <v>192</v>
      </c>
      <c r="BF77" s="3463">
        <v>186</v>
      </c>
      <c r="BG77" s="3463">
        <v>182</v>
      </c>
      <c r="BH77" s="3463">
        <v>218</v>
      </c>
      <c r="BI77" s="3463">
        <v>222</v>
      </c>
      <c r="BJ77" s="3463">
        <v>219</v>
      </c>
      <c r="BK77" s="3560">
        <v>161</v>
      </c>
      <c r="BL77" s="3530">
        <v>2</v>
      </c>
      <c r="BM77" s="3531">
        <v>148</v>
      </c>
      <c r="BN77" s="3531">
        <v>155</v>
      </c>
      <c r="BO77" s="3531">
        <v>190</v>
      </c>
      <c r="BP77" s="3531">
        <v>221</v>
      </c>
      <c r="BQ77" s="3531">
        <v>224</v>
      </c>
      <c r="BR77" s="3531">
        <v>248</v>
      </c>
      <c r="BS77" s="3531">
        <v>205</v>
      </c>
      <c r="BT77" s="3532">
        <v>314</v>
      </c>
      <c r="BU77" s="3532">
        <v>260</v>
      </c>
      <c r="BV77" s="3532">
        <v>276</v>
      </c>
      <c r="BW77" s="3533">
        <v>182</v>
      </c>
      <c r="BX77" s="3534">
        <v>201</v>
      </c>
      <c r="BY77" s="3459">
        <v>185</v>
      </c>
      <c r="BZ77" s="3459">
        <v>224</v>
      </c>
      <c r="CA77" s="3459">
        <v>156</v>
      </c>
      <c r="CB77" s="3459">
        <v>251</v>
      </c>
      <c r="CC77" s="3459">
        <v>282</v>
      </c>
      <c r="CD77" s="3459">
        <v>325</v>
      </c>
      <c r="CE77" s="3459">
        <v>208</v>
      </c>
      <c r="CF77" s="3459">
        <v>236</v>
      </c>
      <c r="CG77" s="3459">
        <v>227</v>
      </c>
      <c r="CH77" s="3459">
        <v>327</v>
      </c>
      <c r="CI77" s="3461">
        <v>247</v>
      </c>
      <c r="CJ77" s="3535">
        <v>171</v>
      </c>
      <c r="CK77" s="3536">
        <v>189</v>
      </c>
      <c r="CL77" s="3536">
        <v>203</v>
      </c>
      <c r="CM77" s="3536">
        <v>239</v>
      </c>
      <c r="CN77" s="3536">
        <v>239</v>
      </c>
      <c r="CO77" s="3536">
        <v>247</v>
      </c>
      <c r="CP77" s="3536">
        <v>214</v>
      </c>
      <c r="CQ77" s="3536">
        <v>268</v>
      </c>
      <c r="CR77" s="3536">
        <v>318</v>
      </c>
      <c r="CS77" s="3536">
        <v>325</v>
      </c>
      <c r="CT77" s="3536">
        <v>275</v>
      </c>
      <c r="CU77" s="3537">
        <v>267</v>
      </c>
      <c r="CV77" s="3535">
        <v>193</v>
      </c>
      <c r="CW77" s="3536">
        <v>216</v>
      </c>
      <c r="CX77" s="3458">
        <v>209</v>
      </c>
      <c r="CY77" s="3458">
        <v>223</v>
      </c>
      <c r="CZ77" s="3458">
        <v>231</v>
      </c>
      <c r="DA77" s="3458">
        <v>215</v>
      </c>
      <c r="DB77" s="3458">
        <v>241</v>
      </c>
      <c r="DC77" s="3458">
        <v>229</v>
      </c>
      <c r="DD77" s="3458">
        <v>220</v>
      </c>
      <c r="DE77" s="3458">
        <v>313</v>
      </c>
      <c r="DF77" s="3458">
        <v>259</v>
      </c>
      <c r="DG77" s="3537">
        <v>272</v>
      </c>
      <c r="DH77" s="3538">
        <v>208</v>
      </c>
      <c r="DI77" s="3539">
        <v>198</v>
      </c>
      <c r="DJ77" s="3539">
        <v>189</v>
      </c>
      <c r="DK77" s="3540">
        <v>151</v>
      </c>
      <c r="DL77" s="3540">
        <v>162</v>
      </c>
      <c r="DM77" s="3540">
        <v>234</v>
      </c>
      <c r="DN77" s="3540">
        <v>292</v>
      </c>
      <c r="DO77" s="3540">
        <v>183</v>
      </c>
      <c r="DP77" s="2713">
        <v>214</v>
      </c>
      <c r="DQ77" s="3540">
        <v>300</v>
      </c>
      <c r="DR77" s="3540">
        <v>242</v>
      </c>
      <c r="DS77" s="3541">
        <v>325</v>
      </c>
      <c r="DT77" s="3542">
        <v>284</v>
      </c>
      <c r="DU77" s="3429">
        <v>170</v>
      </c>
      <c r="DV77" s="3429">
        <v>251</v>
      </c>
      <c r="DW77" s="3350">
        <v>239</v>
      </c>
      <c r="DX77" s="3350">
        <v>317</v>
      </c>
      <c r="DY77" s="3350">
        <v>264</v>
      </c>
      <c r="DZ77" s="3350">
        <v>306</v>
      </c>
      <c r="EA77" s="3350">
        <v>225</v>
      </c>
      <c r="EB77" s="3350">
        <v>258</v>
      </c>
      <c r="EC77" s="3350">
        <v>212</v>
      </c>
      <c r="ED77" s="3350">
        <v>352</v>
      </c>
      <c r="EE77" s="3349">
        <v>284</v>
      </c>
      <c r="EF77" s="2689">
        <v>267</v>
      </c>
      <c r="EG77" s="2688">
        <v>231</v>
      </c>
      <c r="EH77" s="2688">
        <v>204</v>
      </c>
      <c r="EI77" s="2688">
        <v>179</v>
      </c>
      <c r="EJ77" s="2688">
        <v>219</v>
      </c>
      <c r="EK77" s="2688">
        <v>249</v>
      </c>
      <c r="EL77" s="2688">
        <v>318</v>
      </c>
      <c r="EM77" s="2714">
        <v>205</v>
      </c>
      <c r="EN77" s="2714">
        <v>217</v>
      </c>
      <c r="EO77" s="2715">
        <v>284</v>
      </c>
      <c r="EP77" s="2715">
        <v>356</v>
      </c>
      <c r="EQ77" s="2716">
        <v>311</v>
      </c>
      <c r="ER77" s="1345">
        <v>204</v>
      </c>
      <c r="ES77" s="3543">
        <v>244</v>
      </c>
      <c r="ET77" s="3543">
        <v>216</v>
      </c>
      <c r="EU77" s="2717">
        <v>192</v>
      </c>
      <c r="EV77" s="2159">
        <v>266</v>
      </c>
      <c r="EW77" s="2159">
        <v>294</v>
      </c>
      <c r="EX77" s="2159">
        <v>299</v>
      </c>
      <c r="EY77" s="2159">
        <v>233</v>
      </c>
      <c r="EZ77" s="2159">
        <v>299</v>
      </c>
      <c r="FA77" s="2339">
        <v>341</v>
      </c>
      <c r="FB77" s="2339">
        <v>245</v>
      </c>
      <c r="FC77" s="2339">
        <v>285</v>
      </c>
      <c r="FD77" s="2772">
        <v>254</v>
      </c>
      <c r="FE77" s="2773">
        <v>289</v>
      </c>
      <c r="FF77" s="2773">
        <v>92</v>
      </c>
      <c r="FG77" s="2773">
        <v>1</v>
      </c>
      <c r="FH77" s="2773"/>
      <c r="FI77" s="2773">
        <v>3</v>
      </c>
      <c r="FJ77" s="2773">
        <v>6</v>
      </c>
      <c r="FK77" s="2773">
        <v>5</v>
      </c>
      <c r="FL77" s="2773">
        <v>6</v>
      </c>
      <c r="FM77" s="2773">
        <v>23</v>
      </c>
      <c r="FN77" s="2773">
        <v>41</v>
      </c>
      <c r="FO77" s="2774">
        <v>96</v>
      </c>
      <c r="FP77" s="2772">
        <v>56</v>
      </c>
      <c r="FQ77" s="2773">
        <v>82</v>
      </c>
      <c r="FR77" s="2773">
        <v>79</v>
      </c>
      <c r="FS77" s="2773">
        <v>49</v>
      </c>
      <c r="FT77" s="2773">
        <v>66</v>
      </c>
      <c r="FU77" s="2773"/>
      <c r="FV77" s="2773"/>
      <c r="FW77" s="2773"/>
      <c r="FX77" s="2773"/>
      <c r="FY77" s="2773"/>
      <c r="FZ77" s="2773"/>
      <c r="GA77" s="2775"/>
      <c r="GB77" s="2764"/>
      <c r="GC77" s="2911">
        <v>425</v>
      </c>
      <c r="GD77" s="2912">
        <v>420</v>
      </c>
      <c r="GE77" s="2912">
        <v>788</v>
      </c>
      <c r="GF77" s="2913">
        <v>584</v>
      </c>
      <c r="GG77" s="2914">
        <v>659</v>
      </c>
      <c r="GH77" s="2915">
        <v>671</v>
      </c>
      <c r="GI77" s="2915">
        <v>668</v>
      </c>
      <c r="GJ77" s="2916">
        <v>737</v>
      </c>
      <c r="GK77" s="2917">
        <v>642</v>
      </c>
      <c r="GL77" s="2918">
        <v>661.5</v>
      </c>
      <c r="GM77" s="2919">
        <v>666</v>
      </c>
      <c r="GN77" s="2919">
        <v>591</v>
      </c>
      <c r="GO77" s="2920">
        <v>872</v>
      </c>
      <c r="GP77" s="2921">
        <v>588</v>
      </c>
      <c r="GQ77" s="2921">
        <v>483</v>
      </c>
      <c r="GR77" s="2922">
        <v>546</v>
      </c>
      <c r="GS77" s="2923">
        <v>576</v>
      </c>
      <c r="GT77" s="2924">
        <v>524</v>
      </c>
      <c r="GU77" s="2924">
        <v>586</v>
      </c>
      <c r="GV77" s="2925">
        <v>602</v>
      </c>
      <c r="GW77" s="2921">
        <v>305</v>
      </c>
      <c r="GX77" s="2921">
        <v>635</v>
      </c>
      <c r="GY77" s="2921">
        <v>767</v>
      </c>
      <c r="GZ77" s="2921">
        <v>718</v>
      </c>
      <c r="HA77" s="2926">
        <v>610</v>
      </c>
      <c r="HB77" s="2926">
        <v>689</v>
      </c>
      <c r="HC77" s="2926">
        <v>769</v>
      </c>
      <c r="HD77" s="2926">
        <v>801</v>
      </c>
      <c r="HE77" s="2927">
        <v>563</v>
      </c>
      <c r="HF77" s="2927">
        <v>725</v>
      </c>
      <c r="HG77" s="2927">
        <f t="shared" si="17"/>
        <v>800</v>
      </c>
      <c r="HH77" s="2927">
        <v>867</v>
      </c>
      <c r="HI77" s="2928">
        <v>618</v>
      </c>
      <c r="HJ77" s="2928">
        <f t="shared" si="18"/>
        <v>669</v>
      </c>
      <c r="HK77" s="2928">
        <f t="shared" si="19"/>
        <v>690</v>
      </c>
      <c r="HL77" s="2927">
        <f t="shared" si="20"/>
        <v>844</v>
      </c>
      <c r="HM77" s="2846">
        <f t="shared" si="21"/>
        <v>595</v>
      </c>
      <c r="HN77" s="2846">
        <f t="shared" si="22"/>
        <v>547</v>
      </c>
      <c r="HO77" s="2846">
        <f t="shared" si="23"/>
        <v>800</v>
      </c>
      <c r="HP77" s="2846">
        <f t="shared" si="24"/>
        <v>867</v>
      </c>
      <c r="HQ77" s="2921">
        <f t="shared" si="25"/>
        <v>705</v>
      </c>
      <c r="HR77" s="2921">
        <f t="shared" si="26"/>
        <v>820</v>
      </c>
      <c r="HS77" s="2921">
        <f t="shared" si="27"/>
        <v>789</v>
      </c>
      <c r="HT77" s="2921">
        <f t="shared" si="28"/>
        <v>848</v>
      </c>
      <c r="HU77" s="2929">
        <f t="shared" si="29"/>
        <v>702</v>
      </c>
      <c r="HV77" s="2926">
        <f t="shared" si="30"/>
        <v>647</v>
      </c>
      <c r="HW77" s="2926">
        <f t="shared" si="31"/>
        <v>740</v>
      </c>
      <c r="HX77" s="2926">
        <f t="shared" si="32"/>
        <v>951</v>
      </c>
      <c r="HY77" s="2930">
        <f t="shared" si="33"/>
        <v>664</v>
      </c>
      <c r="HZ77" s="2931">
        <f t="shared" si="34"/>
        <v>752</v>
      </c>
      <c r="IA77" s="2931">
        <f t="shared" si="35"/>
        <v>831</v>
      </c>
      <c r="IB77" s="2931">
        <f t="shared" si="36"/>
        <v>871</v>
      </c>
      <c r="IC77" s="2932">
        <f t="shared" si="65"/>
        <v>635</v>
      </c>
      <c r="ID77" s="2933">
        <f t="shared" si="66"/>
        <v>4</v>
      </c>
      <c r="IE77" s="2933">
        <f t="shared" si="69"/>
        <v>17</v>
      </c>
      <c r="IF77" s="2934">
        <f t="shared" si="70"/>
        <v>160</v>
      </c>
      <c r="IG77" s="2929">
        <f t="shared" si="51"/>
        <v>217</v>
      </c>
      <c r="IH77" s="2926">
        <f t="shared" si="52"/>
        <v>115</v>
      </c>
      <c r="II77" s="2926">
        <f t="shared" si="53"/>
        <v>0</v>
      </c>
      <c r="IJ77" s="2926">
        <f t="shared" si="54"/>
        <v>0</v>
      </c>
      <c r="IK77" s="2735"/>
      <c r="IL77" s="3544">
        <v>2217</v>
      </c>
      <c r="IM77" s="3545">
        <v>2735</v>
      </c>
      <c r="IN77" s="3545">
        <v>2560.5</v>
      </c>
      <c r="IO77" s="3545">
        <v>2489</v>
      </c>
      <c r="IP77" s="3545">
        <v>2288</v>
      </c>
      <c r="IQ77" s="3545">
        <v>2425</v>
      </c>
      <c r="IR77" s="3546">
        <v>2869</v>
      </c>
      <c r="IS77" s="3547">
        <v>2955</v>
      </c>
      <c r="IT77" s="3547">
        <f t="shared" si="37"/>
        <v>2821</v>
      </c>
      <c r="IU77" s="3547">
        <f t="shared" si="38"/>
        <v>2698</v>
      </c>
      <c r="IV77" s="3547">
        <f t="shared" si="39"/>
        <v>3162</v>
      </c>
      <c r="IW77" s="3547">
        <f t="shared" si="40"/>
        <v>3040</v>
      </c>
      <c r="IX77" s="3548">
        <f t="shared" si="55"/>
        <v>3118</v>
      </c>
      <c r="IY77" s="3566">
        <f t="shared" si="71"/>
        <v>816</v>
      </c>
      <c r="IZ77" s="3564">
        <f t="shared" si="57"/>
        <v>411</v>
      </c>
      <c r="JA77" s="3765">
        <f t="shared" si="58"/>
        <v>332</v>
      </c>
      <c r="JC77" s="3551">
        <f t="shared" si="59"/>
        <v>613.5</v>
      </c>
      <c r="JD77" s="3552">
        <f t="shared" si="42"/>
        <v>4.2987384206517893E-3</v>
      </c>
      <c r="JE77" s="3552">
        <f t="shared" si="43"/>
        <v>4.8427781802365026E-3</v>
      </c>
      <c r="JF77" s="3552">
        <f t="shared" si="60"/>
        <v>4.4419117754496704E-3</v>
      </c>
      <c r="JG77" s="3552">
        <f t="shared" si="56"/>
        <v>4.555881880214498E-3</v>
      </c>
      <c r="JH77" s="3552">
        <f t="shared" si="61"/>
        <v>4.285331666815463E-3</v>
      </c>
      <c r="JI77" s="3565">
        <f t="shared" si="62"/>
        <v>1.4626542726586856E-3</v>
      </c>
      <c r="JJ77" s="3552"/>
      <c r="JK77" s="3554">
        <f t="shared" si="44"/>
        <v>0.17197924388435881</v>
      </c>
      <c r="JL77" s="3555">
        <f t="shared" si="45"/>
        <v>-0.77260934025203853</v>
      </c>
      <c r="JM77" s="3555">
        <f t="shared" si="46"/>
        <v>-3.8583175205566089E-2</v>
      </c>
      <c r="JN77" s="3555">
        <f t="shared" si="46"/>
        <v>2.5657894736842213E-2</v>
      </c>
      <c r="JO77" s="3555">
        <f t="shared" si="46"/>
        <v>-0.73829377806286078</v>
      </c>
      <c r="JP77" s="3556">
        <f t="shared" si="63"/>
        <v>-0.8681847338037203</v>
      </c>
      <c r="JQ77" s="3557">
        <f t="shared" si="64"/>
        <v>-0.49632352941176472</v>
      </c>
      <c r="JS77" s="3231"/>
      <c r="JT77" s="3231"/>
      <c r="JU77" s="3231"/>
      <c r="JV77" s="3231"/>
      <c r="JW77" s="3231"/>
      <c r="JX77" s="3231"/>
      <c r="JY77" s="3231"/>
      <c r="JZ77" s="3231"/>
      <c r="KA77" s="3231"/>
      <c r="KB77" s="3231"/>
      <c r="KC77" s="3231"/>
      <c r="KD77" s="3231"/>
      <c r="KE77" s="3231"/>
      <c r="KF77" s="3231"/>
      <c r="KG77" s="3231"/>
      <c r="KH77" s="3231"/>
      <c r="KI77" s="3231"/>
      <c r="KJ77" s="3231"/>
      <c r="KK77" s="3231"/>
      <c r="KL77" s="3231"/>
      <c r="KM77" s="3231"/>
      <c r="KN77" s="3231"/>
      <c r="KO77" s="3231"/>
    </row>
    <row r="78" spans="1:301" ht="21.9" customHeight="1">
      <c r="A78" s="3568"/>
      <c r="B78" s="3231"/>
      <c r="C78" s="3285" t="s">
        <v>27</v>
      </c>
      <c r="D78" s="3516">
        <v>265</v>
      </c>
      <c r="E78" s="3517">
        <v>307</v>
      </c>
      <c r="F78" s="3517">
        <v>216</v>
      </c>
      <c r="G78" s="3517">
        <v>119</v>
      </c>
      <c r="H78" s="3517">
        <v>65</v>
      </c>
      <c r="I78" s="3517">
        <v>98</v>
      </c>
      <c r="J78" s="3517">
        <v>294</v>
      </c>
      <c r="K78" s="3517">
        <v>80</v>
      </c>
      <c r="L78" s="3517">
        <v>155</v>
      </c>
      <c r="M78" s="3517">
        <v>283</v>
      </c>
      <c r="N78" s="3517">
        <v>162</v>
      </c>
      <c r="O78" s="3518">
        <v>88</v>
      </c>
      <c r="P78" s="3519">
        <v>219</v>
      </c>
      <c r="Q78" s="3520">
        <v>477</v>
      </c>
      <c r="R78" s="3520">
        <v>222</v>
      </c>
      <c r="S78" s="3520">
        <v>110</v>
      </c>
      <c r="T78" s="3520">
        <v>92</v>
      </c>
      <c r="U78" s="3520">
        <v>159</v>
      </c>
      <c r="V78" s="3520">
        <v>307</v>
      </c>
      <c r="W78" s="3520">
        <v>107</v>
      </c>
      <c r="X78" s="3520">
        <v>148</v>
      </c>
      <c r="Y78" s="3520">
        <v>279</v>
      </c>
      <c r="Z78" s="3520">
        <v>201</v>
      </c>
      <c r="AA78" s="3521">
        <v>148</v>
      </c>
      <c r="AB78" s="3522">
        <v>203</v>
      </c>
      <c r="AC78" s="3523">
        <v>261</v>
      </c>
      <c r="AD78" s="3523">
        <v>206</v>
      </c>
      <c r="AE78" s="3523">
        <v>168</v>
      </c>
      <c r="AF78" s="3523">
        <v>175.5</v>
      </c>
      <c r="AG78" s="3523">
        <v>183</v>
      </c>
      <c r="AH78" s="3523">
        <v>252</v>
      </c>
      <c r="AI78" s="3523">
        <v>99</v>
      </c>
      <c r="AJ78" s="3523">
        <v>98</v>
      </c>
      <c r="AK78" s="3523">
        <v>238</v>
      </c>
      <c r="AL78" s="3523">
        <v>202</v>
      </c>
      <c r="AM78" s="3524">
        <v>115</v>
      </c>
      <c r="AN78" s="3525">
        <v>178</v>
      </c>
      <c r="AO78" s="3526">
        <v>251</v>
      </c>
      <c r="AP78" s="3526">
        <v>200</v>
      </c>
      <c r="AQ78" s="3526">
        <v>92</v>
      </c>
      <c r="AR78" s="3526">
        <v>87</v>
      </c>
      <c r="AS78" s="3526">
        <v>128</v>
      </c>
      <c r="AT78" s="3526">
        <v>283</v>
      </c>
      <c r="AU78" s="3526">
        <v>77</v>
      </c>
      <c r="AV78" s="3526">
        <v>113</v>
      </c>
      <c r="AW78" s="3526">
        <v>172</v>
      </c>
      <c r="AX78" s="3526">
        <v>246</v>
      </c>
      <c r="AY78" s="3527">
        <v>112</v>
      </c>
      <c r="AZ78" s="3463">
        <v>213</v>
      </c>
      <c r="BA78" s="3463">
        <v>406</v>
      </c>
      <c r="BB78" s="3463">
        <v>152</v>
      </c>
      <c r="BC78" s="3463">
        <v>116</v>
      </c>
      <c r="BD78" s="3463">
        <v>60</v>
      </c>
      <c r="BE78" s="3463">
        <v>122</v>
      </c>
      <c r="BF78" s="3463">
        <v>217</v>
      </c>
      <c r="BG78" s="3463">
        <v>88</v>
      </c>
      <c r="BH78" s="3463">
        <v>138</v>
      </c>
      <c r="BI78" s="3463">
        <v>226</v>
      </c>
      <c r="BJ78" s="3463">
        <v>103</v>
      </c>
      <c r="BK78" s="3560">
        <v>150</v>
      </c>
      <c r="BL78" s="3530">
        <v>250</v>
      </c>
      <c r="BM78" s="3531">
        <v>287</v>
      </c>
      <c r="BN78" s="3531">
        <v>177</v>
      </c>
      <c r="BO78" s="3531">
        <v>87</v>
      </c>
      <c r="BP78" s="3531">
        <v>81</v>
      </c>
      <c r="BQ78" s="3531">
        <v>96</v>
      </c>
      <c r="BR78" s="3531">
        <v>200</v>
      </c>
      <c r="BS78" s="3531">
        <v>61</v>
      </c>
      <c r="BT78" s="3532">
        <v>166</v>
      </c>
      <c r="BU78" s="3532">
        <v>157</v>
      </c>
      <c r="BV78" s="3532">
        <v>166</v>
      </c>
      <c r="BW78" s="3533">
        <v>70</v>
      </c>
      <c r="BX78" s="3534">
        <v>234</v>
      </c>
      <c r="BY78" s="3459">
        <v>196</v>
      </c>
      <c r="BZ78" s="3459">
        <v>222</v>
      </c>
      <c r="CA78" s="3459">
        <v>104</v>
      </c>
      <c r="CB78" s="3459">
        <v>71</v>
      </c>
      <c r="CC78" s="3459">
        <v>101</v>
      </c>
      <c r="CD78" s="3459">
        <v>269</v>
      </c>
      <c r="CE78" s="3459">
        <v>67</v>
      </c>
      <c r="CF78" s="3459">
        <v>95</v>
      </c>
      <c r="CG78" s="3459">
        <v>146</v>
      </c>
      <c r="CH78" s="3459">
        <v>239</v>
      </c>
      <c r="CI78" s="3461">
        <v>112</v>
      </c>
      <c r="CJ78" s="3535">
        <v>252</v>
      </c>
      <c r="CK78" s="3536">
        <v>231</v>
      </c>
      <c r="CL78" s="3536">
        <v>180</v>
      </c>
      <c r="CM78" s="3536">
        <v>128</v>
      </c>
      <c r="CN78" s="3536">
        <v>77</v>
      </c>
      <c r="CO78" s="3536">
        <v>117</v>
      </c>
      <c r="CP78" s="3536">
        <v>176</v>
      </c>
      <c r="CQ78" s="3536">
        <v>98</v>
      </c>
      <c r="CR78" s="3536">
        <v>126</v>
      </c>
      <c r="CS78" s="3536">
        <v>196</v>
      </c>
      <c r="CT78" s="3536">
        <v>187</v>
      </c>
      <c r="CU78" s="3537">
        <v>137</v>
      </c>
      <c r="CV78" s="3535">
        <v>133</v>
      </c>
      <c r="CW78" s="3536">
        <v>234</v>
      </c>
      <c r="CX78" s="3458">
        <v>242</v>
      </c>
      <c r="CY78" s="3458">
        <v>102</v>
      </c>
      <c r="CZ78" s="3458">
        <v>65</v>
      </c>
      <c r="DA78" s="3458">
        <v>124</v>
      </c>
      <c r="DB78" s="3458">
        <v>224</v>
      </c>
      <c r="DC78" s="3458">
        <v>70</v>
      </c>
      <c r="DD78" s="3458">
        <v>93</v>
      </c>
      <c r="DE78" s="3458">
        <v>185</v>
      </c>
      <c r="DF78" s="3458">
        <v>146</v>
      </c>
      <c r="DG78" s="3537">
        <v>117</v>
      </c>
      <c r="DH78" s="3538">
        <v>180</v>
      </c>
      <c r="DI78" s="3539">
        <v>228</v>
      </c>
      <c r="DJ78" s="3539">
        <v>313</v>
      </c>
      <c r="DK78" s="3540">
        <v>108</v>
      </c>
      <c r="DL78" s="3540">
        <v>75</v>
      </c>
      <c r="DM78" s="3540">
        <v>154</v>
      </c>
      <c r="DN78" s="3540">
        <v>248</v>
      </c>
      <c r="DO78" s="3540">
        <v>76</v>
      </c>
      <c r="DP78" s="2713">
        <v>99</v>
      </c>
      <c r="DQ78" s="3540">
        <v>209</v>
      </c>
      <c r="DR78" s="3540">
        <v>114</v>
      </c>
      <c r="DS78" s="3541">
        <v>97</v>
      </c>
      <c r="DT78" s="3542">
        <v>165</v>
      </c>
      <c r="DU78" s="3429">
        <v>265</v>
      </c>
      <c r="DV78" s="3429">
        <v>226</v>
      </c>
      <c r="DW78" s="3350">
        <v>167</v>
      </c>
      <c r="DX78" s="3350">
        <v>67</v>
      </c>
      <c r="DY78" s="3350">
        <v>147</v>
      </c>
      <c r="DZ78" s="3350">
        <v>267</v>
      </c>
      <c r="EA78" s="3350">
        <v>116</v>
      </c>
      <c r="EB78" s="3350">
        <v>166</v>
      </c>
      <c r="EC78" s="3350">
        <v>230</v>
      </c>
      <c r="ED78" s="3350">
        <v>154</v>
      </c>
      <c r="EE78" s="3349">
        <v>150</v>
      </c>
      <c r="EF78" s="2689">
        <v>202</v>
      </c>
      <c r="EG78" s="2688">
        <v>365</v>
      </c>
      <c r="EH78" s="2688">
        <v>309</v>
      </c>
      <c r="EI78" s="2688">
        <v>194</v>
      </c>
      <c r="EJ78" s="2688">
        <v>79</v>
      </c>
      <c r="EK78" s="2688">
        <v>144</v>
      </c>
      <c r="EL78" s="2688">
        <v>268</v>
      </c>
      <c r="EM78" s="2714">
        <v>88</v>
      </c>
      <c r="EN78" s="2714">
        <v>172</v>
      </c>
      <c r="EO78" s="2715">
        <v>309</v>
      </c>
      <c r="EP78" s="2715">
        <v>189</v>
      </c>
      <c r="EQ78" s="2716">
        <v>154</v>
      </c>
      <c r="ER78" s="1349">
        <v>229</v>
      </c>
      <c r="ES78" s="3543">
        <v>408</v>
      </c>
      <c r="ET78" s="3543">
        <v>247</v>
      </c>
      <c r="EU78" s="2717">
        <v>255</v>
      </c>
      <c r="EV78" s="2163">
        <v>103</v>
      </c>
      <c r="EW78" s="2163">
        <v>140</v>
      </c>
      <c r="EX78" s="2163">
        <v>343</v>
      </c>
      <c r="EY78" s="2163">
        <v>141</v>
      </c>
      <c r="EZ78" s="2163">
        <v>242</v>
      </c>
      <c r="FA78" s="2340">
        <v>175</v>
      </c>
      <c r="FB78" s="2340">
        <v>177</v>
      </c>
      <c r="FC78" s="2340">
        <v>150</v>
      </c>
      <c r="FD78" s="2765">
        <v>283</v>
      </c>
      <c r="FE78" s="2766">
        <v>504</v>
      </c>
      <c r="FF78" s="2766">
        <v>137</v>
      </c>
      <c r="FG78" s="2766">
        <v>2</v>
      </c>
      <c r="FH78" s="2766">
        <v>2</v>
      </c>
      <c r="FI78" s="2766">
        <v>4</v>
      </c>
      <c r="FJ78" s="2766">
        <v>7</v>
      </c>
      <c r="FK78" s="2766">
        <v>2</v>
      </c>
      <c r="FL78" s="2766">
        <v>11</v>
      </c>
      <c r="FM78" s="2766">
        <v>16</v>
      </c>
      <c r="FN78" s="2766">
        <v>7</v>
      </c>
      <c r="FO78" s="2767">
        <v>15</v>
      </c>
      <c r="FP78" s="2765">
        <v>12</v>
      </c>
      <c r="FQ78" s="2766">
        <v>7</v>
      </c>
      <c r="FR78" s="2766">
        <v>9</v>
      </c>
      <c r="FS78" s="2766">
        <v>4</v>
      </c>
      <c r="FT78" s="2766">
        <v>13</v>
      </c>
      <c r="FU78" s="2766"/>
      <c r="FV78" s="2766"/>
      <c r="FW78" s="2766"/>
      <c r="FX78" s="2766"/>
      <c r="FY78" s="2766"/>
      <c r="FZ78" s="2766"/>
      <c r="GA78" s="2771"/>
      <c r="GB78" s="2764"/>
      <c r="GC78" s="2911">
        <v>788</v>
      </c>
      <c r="GD78" s="2912">
        <v>282</v>
      </c>
      <c r="GE78" s="2912">
        <v>529</v>
      </c>
      <c r="GF78" s="2913">
        <v>533</v>
      </c>
      <c r="GG78" s="2914">
        <v>918</v>
      </c>
      <c r="GH78" s="2915">
        <v>361</v>
      </c>
      <c r="GI78" s="2915">
        <v>562</v>
      </c>
      <c r="GJ78" s="2916">
        <v>628</v>
      </c>
      <c r="GK78" s="2917">
        <v>670</v>
      </c>
      <c r="GL78" s="2918">
        <v>526.5</v>
      </c>
      <c r="GM78" s="2919">
        <v>449</v>
      </c>
      <c r="GN78" s="2919">
        <v>555</v>
      </c>
      <c r="GO78" s="2920">
        <v>629</v>
      </c>
      <c r="GP78" s="2921">
        <v>307</v>
      </c>
      <c r="GQ78" s="2921">
        <v>473</v>
      </c>
      <c r="GR78" s="2922">
        <v>530</v>
      </c>
      <c r="GS78" s="2923">
        <v>771</v>
      </c>
      <c r="GT78" s="2924">
        <v>298</v>
      </c>
      <c r="GU78" s="2924">
        <v>443</v>
      </c>
      <c r="GV78" s="2925">
        <v>479</v>
      </c>
      <c r="GW78" s="2921">
        <v>714</v>
      </c>
      <c r="GX78" s="2921">
        <v>264</v>
      </c>
      <c r="GY78" s="2921">
        <v>427</v>
      </c>
      <c r="GZ78" s="2921">
        <v>393</v>
      </c>
      <c r="HA78" s="2926">
        <v>652</v>
      </c>
      <c r="HB78" s="2926">
        <v>276</v>
      </c>
      <c r="HC78" s="2926">
        <v>431</v>
      </c>
      <c r="HD78" s="2926">
        <v>497</v>
      </c>
      <c r="HE78" s="2927">
        <v>663</v>
      </c>
      <c r="HF78" s="2927">
        <v>322</v>
      </c>
      <c r="HG78" s="2927">
        <f t="shared" si="17"/>
        <v>400</v>
      </c>
      <c r="HH78" s="2927">
        <v>520</v>
      </c>
      <c r="HI78" s="2928">
        <v>609</v>
      </c>
      <c r="HJ78" s="2928">
        <f t="shared" si="18"/>
        <v>291</v>
      </c>
      <c r="HK78" s="2928">
        <f t="shared" si="19"/>
        <v>387</v>
      </c>
      <c r="HL78" s="2927">
        <f t="shared" si="20"/>
        <v>448</v>
      </c>
      <c r="HM78" s="2846">
        <f t="shared" si="21"/>
        <v>721</v>
      </c>
      <c r="HN78" s="2846">
        <f t="shared" si="22"/>
        <v>337</v>
      </c>
      <c r="HO78" s="2846">
        <f t="shared" si="23"/>
        <v>421</v>
      </c>
      <c r="HP78" s="2846">
        <f t="shared" si="24"/>
        <v>420</v>
      </c>
      <c r="HQ78" s="2921">
        <f t="shared" si="25"/>
        <v>656</v>
      </c>
      <c r="HR78" s="2921">
        <f t="shared" si="26"/>
        <v>381</v>
      </c>
      <c r="HS78" s="2921">
        <f t="shared" si="27"/>
        <v>549</v>
      </c>
      <c r="HT78" s="2921">
        <f t="shared" si="28"/>
        <v>534</v>
      </c>
      <c r="HU78" s="2929">
        <f t="shared" si="29"/>
        <v>876</v>
      </c>
      <c r="HV78" s="2926">
        <f t="shared" si="30"/>
        <v>417</v>
      </c>
      <c r="HW78" s="2926">
        <f t="shared" si="31"/>
        <v>528</v>
      </c>
      <c r="HX78" s="2926">
        <f t="shared" si="32"/>
        <v>652</v>
      </c>
      <c r="HY78" s="2930">
        <f t="shared" si="33"/>
        <v>884</v>
      </c>
      <c r="HZ78" s="2931">
        <f t="shared" si="34"/>
        <v>498</v>
      </c>
      <c r="IA78" s="2931">
        <f t="shared" si="35"/>
        <v>726</v>
      </c>
      <c r="IB78" s="2931">
        <f t="shared" si="36"/>
        <v>502</v>
      </c>
      <c r="IC78" s="2932">
        <f t="shared" si="65"/>
        <v>924</v>
      </c>
      <c r="ID78" s="2933">
        <f t="shared" si="66"/>
        <v>8</v>
      </c>
      <c r="IE78" s="2933">
        <f t="shared" si="69"/>
        <v>20</v>
      </c>
      <c r="IF78" s="2934">
        <f t="shared" si="70"/>
        <v>38</v>
      </c>
      <c r="IG78" s="2929">
        <f t="shared" si="51"/>
        <v>28</v>
      </c>
      <c r="IH78" s="2926">
        <f t="shared" si="52"/>
        <v>17</v>
      </c>
      <c r="II78" s="2926">
        <f t="shared" si="53"/>
        <v>0</v>
      </c>
      <c r="IJ78" s="2926">
        <f t="shared" si="54"/>
        <v>0</v>
      </c>
      <c r="IK78" s="2735"/>
      <c r="IL78" s="3544">
        <v>2132</v>
      </c>
      <c r="IM78" s="3545">
        <v>2469</v>
      </c>
      <c r="IN78" s="3545">
        <v>2200.5</v>
      </c>
      <c r="IO78" s="3545">
        <v>1939</v>
      </c>
      <c r="IP78" s="3545">
        <v>1991</v>
      </c>
      <c r="IQ78" s="3545">
        <v>1798</v>
      </c>
      <c r="IR78" s="3546">
        <v>1856</v>
      </c>
      <c r="IS78" s="3547">
        <v>1905</v>
      </c>
      <c r="IT78" s="3547">
        <f t="shared" si="37"/>
        <v>1735</v>
      </c>
      <c r="IU78" s="3547">
        <f t="shared" si="38"/>
        <v>1901</v>
      </c>
      <c r="IV78" s="3547">
        <f t="shared" si="39"/>
        <v>2120</v>
      </c>
      <c r="IW78" s="3547">
        <f t="shared" si="40"/>
        <v>2473</v>
      </c>
      <c r="IX78" s="3548">
        <f t="shared" si="55"/>
        <v>2610</v>
      </c>
      <c r="IY78" s="3566">
        <f t="shared" si="71"/>
        <v>990</v>
      </c>
      <c r="IZ78" s="3564">
        <f t="shared" si="57"/>
        <v>222</v>
      </c>
      <c r="JA78" s="3765">
        <f t="shared" si="58"/>
        <v>45</v>
      </c>
      <c r="JC78" s="3551">
        <f t="shared" si="59"/>
        <v>606</v>
      </c>
      <c r="JD78" s="3552">
        <f t="shared" si="42"/>
        <v>3.0288738834911236E-3</v>
      </c>
      <c r="JE78" s="3552">
        <f t="shared" si="43"/>
        <v>3.246897451644967E-3</v>
      </c>
      <c r="JF78" s="3552">
        <f t="shared" si="60"/>
        <v>3.6134367831207352E-3</v>
      </c>
      <c r="JG78" s="3552">
        <f t="shared" si="56"/>
        <v>3.813615044053829E-3</v>
      </c>
      <c r="JH78" s="3552">
        <f t="shared" si="61"/>
        <v>5.1991156251805252E-3</v>
      </c>
      <c r="JI78" s="3565">
        <f t="shared" si="62"/>
        <v>7.9004683340688124E-4</v>
      </c>
      <c r="JJ78" s="3552"/>
      <c r="JK78" s="3554">
        <f t="shared" si="44"/>
        <v>0.11520252498684913</v>
      </c>
      <c r="JL78" s="3555">
        <f t="shared" si="45"/>
        <v>-0.68122041031036296</v>
      </c>
      <c r="JM78" s="3555">
        <f t="shared" si="46"/>
        <v>0.16650943396226414</v>
      </c>
      <c r="JN78" s="3555">
        <f t="shared" si="46"/>
        <v>5.539830165790538E-2</v>
      </c>
      <c r="JO78" s="3555">
        <f t="shared" si="46"/>
        <v>-0.62068965517241381</v>
      </c>
      <c r="JP78" s="3556">
        <f t="shared" si="63"/>
        <v>-0.9149425287356322</v>
      </c>
      <c r="JQ78" s="3557">
        <f t="shared" si="64"/>
        <v>-0.77575757575757576</v>
      </c>
      <c r="JS78" s="3231"/>
      <c r="JT78" s="3231"/>
      <c r="JU78" s="3231"/>
      <c r="JV78" s="3231"/>
      <c r="JW78" s="3231"/>
      <c r="JX78" s="3231"/>
      <c r="JY78" s="3231"/>
      <c r="JZ78" s="3231"/>
      <c r="KA78" s="3231"/>
      <c r="KB78" s="3231"/>
      <c r="KC78" s="3231"/>
      <c r="KD78" s="3231"/>
      <c r="KE78" s="3231"/>
      <c r="KF78" s="3231"/>
      <c r="KG78" s="3231"/>
      <c r="KH78" s="3231"/>
      <c r="KI78" s="3231"/>
      <c r="KJ78" s="3231"/>
      <c r="KK78" s="3231"/>
      <c r="KL78" s="3231"/>
      <c r="KM78" s="3231"/>
      <c r="KN78" s="3231"/>
      <c r="KO78" s="3231"/>
    </row>
    <row r="79" spans="1:301" ht="21.9" customHeight="1">
      <c r="A79" s="3568"/>
      <c r="B79" s="3231"/>
      <c r="C79" s="3567" t="s">
        <v>26</v>
      </c>
      <c r="D79" s="3516">
        <v>78</v>
      </c>
      <c r="E79" s="3517">
        <v>103</v>
      </c>
      <c r="F79" s="3517">
        <v>184</v>
      </c>
      <c r="G79" s="3517">
        <v>112</v>
      </c>
      <c r="H79" s="3517">
        <v>114</v>
      </c>
      <c r="I79" s="3517">
        <v>148</v>
      </c>
      <c r="J79" s="3517">
        <v>197</v>
      </c>
      <c r="K79" s="3517">
        <v>193</v>
      </c>
      <c r="L79" s="3517">
        <v>181</v>
      </c>
      <c r="M79" s="3517">
        <v>180</v>
      </c>
      <c r="N79" s="3517">
        <v>90</v>
      </c>
      <c r="O79" s="3518">
        <v>80</v>
      </c>
      <c r="P79" s="3519">
        <v>155</v>
      </c>
      <c r="Q79" s="3520">
        <v>173</v>
      </c>
      <c r="R79" s="3520">
        <v>175</v>
      </c>
      <c r="S79" s="3520">
        <v>248</v>
      </c>
      <c r="T79" s="3520">
        <v>167</v>
      </c>
      <c r="U79" s="3520">
        <v>202</v>
      </c>
      <c r="V79" s="3520">
        <v>236</v>
      </c>
      <c r="W79" s="3520">
        <v>262</v>
      </c>
      <c r="X79" s="3520">
        <v>246</v>
      </c>
      <c r="Y79" s="3520">
        <v>170</v>
      </c>
      <c r="Z79" s="3520">
        <v>145</v>
      </c>
      <c r="AA79" s="3521">
        <v>145</v>
      </c>
      <c r="AB79" s="3522">
        <v>130</v>
      </c>
      <c r="AC79" s="3523">
        <v>123</v>
      </c>
      <c r="AD79" s="3523">
        <v>218</v>
      </c>
      <c r="AE79" s="3523">
        <v>241</v>
      </c>
      <c r="AF79" s="3523">
        <v>241</v>
      </c>
      <c r="AG79" s="3523">
        <v>241</v>
      </c>
      <c r="AH79" s="3523">
        <v>289</v>
      </c>
      <c r="AI79" s="3523">
        <v>236</v>
      </c>
      <c r="AJ79" s="3523">
        <v>213</v>
      </c>
      <c r="AK79" s="3523">
        <v>154</v>
      </c>
      <c r="AL79" s="3523">
        <v>149</v>
      </c>
      <c r="AM79" s="3524">
        <v>91</v>
      </c>
      <c r="AN79" s="3525">
        <v>175</v>
      </c>
      <c r="AO79" s="3526">
        <v>112</v>
      </c>
      <c r="AP79" s="3526">
        <v>279</v>
      </c>
      <c r="AQ79" s="3526">
        <v>168</v>
      </c>
      <c r="AR79" s="3526">
        <v>152</v>
      </c>
      <c r="AS79" s="3526">
        <v>226</v>
      </c>
      <c r="AT79" s="3526">
        <v>249</v>
      </c>
      <c r="AU79" s="3526">
        <v>261</v>
      </c>
      <c r="AV79" s="3526">
        <v>217</v>
      </c>
      <c r="AW79" s="3526">
        <v>88</v>
      </c>
      <c r="AX79" s="3526">
        <v>87</v>
      </c>
      <c r="AY79" s="3527">
        <v>78</v>
      </c>
      <c r="AZ79" s="3463">
        <v>118</v>
      </c>
      <c r="BA79" s="3463">
        <v>139</v>
      </c>
      <c r="BB79" s="3463">
        <v>125</v>
      </c>
      <c r="BC79" s="3463">
        <v>217</v>
      </c>
      <c r="BD79" s="3463">
        <v>175</v>
      </c>
      <c r="BE79" s="3463">
        <v>150</v>
      </c>
      <c r="BF79" s="3463">
        <v>262</v>
      </c>
      <c r="BG79" s="3463">
        <v>198</v>
      </c>
      <c r="BH79" s="3463">
        <v>219</v>
      </c>
      <c r="BI79" s="3463">
        <v>271</v>
      </c>
      <c r="BJ79" s="3463">
        <v>98</v>
      </c>
      <c r="BK79" s="3560">
        <v>86</v>
      </c>
      <c r="BL79" s="3530">
        <v>133</v>
      </c>
      <c r="BM79" s="3531">
        <v>119</v>
      </c>
      <c r="BN79" s="3531">
        <v>163</v>
      </c>
      <c r="BO79" s="3531">
        <v>213</v>
      </c>
      <c r="BP79" s="3531">
        <v>210</v>
      </c>
      <c r="BQ79" s="3531">
        <v>203</v>
      </c>
      <c r="BR79" s="3531">
        <v>253</v>
      </c>
      <c r="BS79" s="3531">
        <v>221</v>
      </c>
      <c r="BT79" s="3532">
        <v>326</v>
      </c>
      <c r="BU79" s="3532">
        <v>176</v>
      </c>
      <c r="BV79" s="3532">
        <v>131</v>
      </c>
      <c r="BW79" s="3533">
        <v>106</v>
      </c>
      <c r="BX79" s="3534">
        <v>135</v>
      </c>
      <c r="BY79" s="3459">
        <v>152</v>
      </c>
      <c r="BZ79" s="3459">
        <v>185</v>
      </c>
      <c r="CA79" s="3459">
        <v>132</v>
      </c>
      <c r="CB79" s="3459">
        <v>195</v>
      </c>
      <c r="CC79" s="3459">
        <v>177</v>
      </c>
      <c r="CD79" s="3459">
        <v>258</v>
      </c>
      <c r="CE79" s="3459">
        <v>175</v>
      </c>
      <c r="CF79" s="3459">
        <v>275</v>
      </c>
      <c r="CG79" s="3459">
        <v>119</v>
      </c>
      <c r="CH79" s="3459">
        <v>118</v>
      </c>
      <c r="CI79" s="3461">
        <v>86</v>
      </c>
      <c r="CJ79" s="3535">
        <v>153</v>
      </c>
      <c r="CK79" s="3536">
        <v>143</v>
      </c>
      <c r="CL79" s="3536">
        <v>161</v>
      </c>
      <c r="CM79" s="3536">
        <v>201</v>
      </c>
      <c r="CN79" s="3536">
        <v>206</v>
      </c>
      <c r="CO79" s="3536">
        <v>181</v>
      </c>
      <c r="CP79" s="3536">
        <v>278</v>
      </c>
      <c r="CQ79" s="3536">
        <v>198</v>
      </c>
      <c r="CR79" s="3536">
        <v>227</v>
      </c>
      <c r="CS79" s="3536">
        <v>207</v>
      </c>
      <c r="CT79" s="3536">
        <v>126</v>
      </c>
      <c r="CU79" s="3537">
        <v>73</v>
      </c>
      <c r="CV79" s="3535">
        <v>204</v>
      </c>
      <c r="CW79" s="3536">
        <v>104</v>
      </c>
      <c r="CX79" s="3458">
        <v>171</v>
      </c>
      <c r="CY79" s="3458">
        <v>264</v>
      </c>
      <c r="CZ79" s="3458">
        <v>250</v>
      </c>
      <c r="DA79" s="3458">
        <v>188</v>
      </c>
      <c r="DB79" s="3458">
        <v>204</v>
      </c>
      <c r="DC79" s="3458">
        <v>170</v>
      </c>
      <c r="DD79" s="3458">
        <v>298</v>
      </c>
      <c r="DE79" s="3458">
        <v>111</v>
      </c>
      <c r="DF79" s="3458">
        <v>147</v>
      </c>
      <c r="DG79" s="3537">
        <v>77</v>
      </c>
      <c r="DH79" s="3538">
        <v>124</v>
      </c>
      <c r="DI79" s="3539">
        <v>147</v>
      </c>
      <c r="DJ79" s="3539">
        <v>120</v>
      </c>
      <c r="DK79" s="3540">
        <v>273</v>
      </c>
      <c r="DL79" s="3540">
        <v>157</v>
      </c>
      <c r="DM79" s="3540">
        <v>220</v>
      </c>
      <c r="DN79" s="3540">
        <v>209</v>
      </c>
      <c r="DO79" s="3540">
        <v>188</v>
      </c>
      <c r="DP79" s="2713">
        <v>175</v>
      </c>
      <c r="DQ79" s="3540">
        <v>245</v>
      </c>
      <c r="DR79" s="3540">
        <v>107</v>
      </c>
      <c r="DS79" s="3541">
        <v>136</v>
      </c>
      <c r="DT79" s="3542">
        <v>102</v>
      </c>
      <c r="DU79" s="3429">
        <v>109</v>
      </c>
      <c r="DV79" s="3429">
        <v>146</v>
      </c>
      <c r="DW79" s="3350">
        <v>271</v>
      </c>
      <c r="DX79" s="3350">
        <v>156</v>
      </c>
      <c r="DY79" s="3350">
        <v>142</v>
      </c>
      <c r="DZ79" s="3350">
        <v>179</v>
      </c>
      <c r="EA79" s="3350">
        <v>186</v>
      </c>
      <c r="EB79" s="3350">
        <v>144</v>
      </c>
      <c r="EC79" s="3350">
        <v>117</v>
      </c>
      <c r="ED79" s="3350">
        <v>104</v>
      </c>
      <c r="EE79" s="3349">
        <v>119</v>
      </c>
      <c r="EF79" s="2689">
        <v>145</v>
      </c>
      <c r="EG79" s="2688">
        <v>134</v>
      </c>
      <c r="EH79" s="2688">
        <v>200</v>
      </c>
      <c r="EI79" s="2688">
        <v>232</v>
      </c>
      <c r="EJ79" s="2688">
        <v>249</v>
      </c>
      <c r="EK79" s="2688">
        <v>206</v>
      </c>
      <c r="EL79" s="2688">
        <v>241</v>
      </c>
      <c r="EM79" s="2714">
        <v>250</v>
      </c>
      <c r="EN79" s="2714">
        <v>307</v>
      </c>
      <c r="EO79" s="2715">
        <v>141</v>
      </c>
      <c r="EP79" s="2715">
        <v>72</v>
      </c>
      <c r="EQ79" s="2716">
        <v>230</v>
      </c>
      <c r="ER79" s="1348">
        <v>127</v>
      </c>
      <c r="ES79" s="3543">
        <v>102</v>
      </c>
      <c r="ET79" s="3543">
        <v>181</v>
      </c>
      <c r="EU79" s="2717">
        <v>326</v>
      </c>
      <c r="EV79" s="2162">
        <v>267</v>
      </c>
      <c r="EW79" s="2162">
        <v>227</v>
      </c>
      <c r="EX79" s="2162">
        <v>312</v>
      </c>
      <c r="EY79" s="2162">
        <v>221</v>
      </c>
      <c r="EZ79" s="2162">
        <v>232</v>
      </c>
      <c r="FA79" s="2339">
        <v>262</v>
      </c>
      <c r="FB79" s="2339">
        <v>139</v>
      </c>
      <c r="FC79" s="2339">
        <v>165</v>
      </c>
      <c r="FD79" s="2772">
        <v>173</v>
      </c>
      <c r="FE79" s="2773">
        <v>113</v>
      </c>
      <c r="FF79" s="2773">
        <v>75</v>
      </c>
      <c r="FG79" s="2773"/>
      <c r="FH79" s="2773"/>
      <c r="FI79" s="2773">
        <v>1</v>
      </c>
      <c r="FJ79" s="2773">
        <v>5</v>
      </c>
      <c r="FK79" s="2773">
        <v>12</v>
      </c>
      <c r="FL79" s="2773">
        <v>7</v>
      </c>
      <c r="FM79" s="2773">
        <v>12</v>
      </c>
      <c r="FN79" s="2773">
        <v>24</v>
      </c>
      <c r="FO79" s="2774">
        <v>21</v>
      </c>
      <c r="FP79" s="2772">
        <v>29</v>
      </c>
      <c r="FQ79" s="2773">
        <v>7</v>
      </c>
      <c r="FR79" s="2773">
        <v>24</v>
      </c>
      <c r="FS79" s="2773">
        <v>46</v>
      </c>
      <c r="FT79" s="2773">
        <v>42</v>
      </c>
      <c r="FU79" s="2773"/>
      <c r="FV79" s="2773"/>
      <c r="FW79" s="2773"/>
      <c r="FX79" s="2773"/>
      <c r="FY79" s="2773"/>
      <c r="FZ79" s="2773"/>
      <c r="GA79" s="2775"/>
      <c r="GB79" s="2764"/>
      <c r="GC79" s="2911">
        <v>365</v>
      </c>
      <c r="GD79" s="2912">
        <v>374</v>
      </c>
      <c r="GE79" s="2912">
        <v>571</v>
      </c>
      <c r="GF79" s="2913">
        <v>350</v>
      </c>
      <c r="GG79" s="2914">
        <v>503</v>
      </c>
      <c r="GH79" s="2915">
        <v>617</v>
      </c>
      <c r="GI79" s="2915">
        <v>744</v>
      </c>
      <c r="GJ79" s="2916">
        <v>460</v>
      </c>
      <c r="GK79" s="2917">
        <v>471</v>
      </c>
      <c r="GL79" s="2918">
        <v>723</v>
      </c>
      <c r="GM79" s="2919">
        <v>738</v>
      </c>
      <c r="GN79" s="2919">
        <v>394</v>
      </c>
      <c r="GO79" s="2920">
        <v>566</v>
      </c>
      <c r="GP79" s="2921">
        <v>546</v>
      </c>
      <c r="GQ79" s="2921">
        <v>727</v>
      </c>
      <c r="GR79" s="2922">
        <v>253</v>
      </c>
      <c r="GS79" s="2923">
        <v>382</v>
      </c>
      <c r="GT79" s="2924">
        <v>542</v>
      </c>
      <c r="GU79" s="2924">
        <v>679</v>
      </c>
      <c r="GV79" s="2925">
        <v>455</v>
      </c>
      <c r="GW79" s="2921">
        <v>415</v>
      </c>
      <c r="GX79" s="2921">
        <v>626</v>
      </c>
      <c r="GY79" s="2921">
        <v>800</v>
      </c>
      <c r="GZ79" s="2921">
        <v>413</v>
      </c>
      <c r="HA79" s="2926">
        <v>472</v>
      </c>
      <c r="HB79" s="2926">
        <v>504</v>
      </c>
      <c r="HC79" s="2926">
        <v>708</v>
      </c>
      <c r="HD79" s="2926">
        <v>323</v>
      </c>
      <c r="HE79" s="2927">
        <v>457</v>
      </c>
      <c r="HF79" s="2927">
        <v>588</v>
      </c>
      <c r="HG79" s="2927">
        <f t="shared" si="17"/>
        <v>703</v>
      </c>
      <c r="HH79" s="2927">
        <v>406</v>
      </c>
      <c r="HI79" s="2928">
        <v>479</v>
      </c>
      <c r="HJ79" s="2928">
        <f t="shared" si="18"/>
        <v>702</v>
      </c>
      <c r="HK79" s="2928">
        <f t="shared" si="19"/>
        <v>672</v>
      </c>
      <c r="HL79" s="2927">
        <f t="shared" si="20"/>
        <v>335</v>
      </c>
      <c r="HM79" s="2846">
        <f t="shared" si="21"/>
        <v>391</v>
      </c>
      <c r="HN79" s="2846">
        <f t="shared" si="22"/>
        <v>650</v>
      </c>
      <c r="HO79" s="2846">
        <f t="shared" si="23"/>
        <v>533</v>
      </c>
      <c r="HP79" s="2846">
        <f t="shared" si="24"/>
        <v>488</v>
      </c>
      <c r="HQ79" s="2921">
        <f t="shared" si="25"/>
        <v>357</v>
      </c>
      <c r="HR79" s="2921">
        <f t="shared" si="26"/>
        <v>569</v>
      </c>
      <c r="HS79" s="2921">
        <f t="shared" si="27"/>
        <v>509</v>
      </c>
      <c r="HT79" s="2921">
        <f t="shared" si="28"/>
        <v>340</v>
      </c>
      <c r="HU79" s="2929">
        <f t="shared" si="29"/>
        <v>479</v>
      </c>
      <c r="HV79" s="2926">
        <f t="shared" si="30"/>
        <v>687</v>
      </c>
      <c r="HW79" s="2926">
        <f t="shared" si="31"/>
        <v>798</v>
      </c>
      <c r="HX79" s="2926">
        <f t="shared" si="32"/>
        <v>443</v>
      </c>
      <c r="HY79" s="2930">
        <f t="shared" si="33"/>
        <v>410</v>
      </c>
      <c r="HZ79" s="2931">
        <f t="shared" si="34"/>
        <v>820</v>
      </c>
      <c r="IA79" s="2931">
        <f t="shared" si="35"/>
        <v>765</v>
      </c>
      <c r="IB79" s="2931">
        <f t="shared" si="36"/>
        <v>566</v>
      </c>
      <c r="IC79" s="2932">
        <f t="shared" si="65"/>
        <v>361</v>
      </c>
      <c r="ID79" s="2933">
        <f t="shared" si="66"/>
        <v>1</v>
      </c>
      <c r="IE79" s="2933">
        <f t="shared" si="69"/>
        <v>24</v>
      </c>
      <c r="IF79" s="2934">
        <f t="shared" si="70"/>
        <v>57</v>
      </c>
      <c r="IG79" s="2929">
        <f t="shared" si="51"/>
        <v>60</v>
      </c>
      <c r="IH79" s="2926">
        <f t="shared" si="52"/>
        <v>88</v>
      </c>
      <c r="II79" s="2926">
        <f t="shared" si="53"/>
        <v>0</v>
      </c>
      <c r="IJ79" s="2926">
        <f t="shared" si="54"/>
        <v>0</v>
      </c>
      <c r="IK79" s="2735"/>
      <c r="IL79" s="3544">
        <v>1660</v>
      </c>
      <c r="IM79" s="3545">
        <v>2324</v>
      </c>
      <c r="IN79" s="3545">
        <v>2326</v>
      </c>
      <c r="IO79" s="3545">
        <v>2092</v>
      </c>
      <c r="IP79" s="3545">
        <v>2058</v>
      </c>
      <c r="IQ79" s="3545">
        <v>2254</v>
      </c>
      <c r="IR79" s="3546">
        <v>2007</v>
      </c>
      <c r="IS79" s="3547">
        <v>2154</v>
      </c>
      <c r="IT79" s="3547">
        <f t="shared" si="37"/>
        <v>2188</v>
      </c>
      <c r="IU79" s="3547">
        <f t="shared" si="38"/>
        <v>2101</v>
      </c>
      <c r="IV79" s="3547">
        <f t="shared" si="39"/>
        <v>1775</v>
      </c>
      <c r="IW79" s="3547">
        <f t="shared" si="40"/>
        <v>2407</v>
      </c>
      <c r="IX79" s="3548">
        <f t="shared" si="55"/>
        <v>2561</v>
      </c>
      <c r="IY79" s="3566">
        <f t="shared" si="71"/>
        <v>443</v>
      </c>
      <c r="IZ79" s="3564">
        <f t="shared" si="57"/>
        <v>193</v>
      </c>
      <c r="JA79" s="3765">
        <f t="shared" si="58"/>
        <v>148</v>
      </c>
      <c r="JC79" s="3551">
        <f t="shared" si="59"/>
        <v>318</v>
      </c>
      <c r="JD79" s="3552">
        <f t="shared" si="42"/>
        <v>3.3475349969567863E-3</v>
      </c>
      <c r="JE79" s="3552">
        <f t="shared" si="43"/>
        <v>2.7185108380518002E-3</v>
      </c>
      <c r="JF79" s="3552">
        <f t="shared" si="60"/>
        <v>3.5170005406274202E-3</v>
      </c>
      <c r="JG79" s="3552">
        <f t="shared" si="56"/>
        <v>3.742018439778489E-3</v>
      </c>
      <c r="JH79" s="3552">
        <f t="shared" si="61"/>
        <v>2.3264729514696691E-3</v>
      </c>
      <c r="JI79" s="3565">
        <f t="shared" si="62"/>
        <v>6.8684251733120761E-4</v>
      </c>
      <c r="JJ79" s="3552"/>
      <c r="JK79" s="3554">
        <f t="shared" si="44"/>
        <v>-0.15516420752022841</v>
      </c>
      <c r="JL79" s="3555">
        <f t="shared" si="45"/>
        <v>-0.84864350309376491</v>
      </c>
      <c r="JM79" s="3555">
        <f t="shared" si="46"/>
        <v>0.35605633802816894</v>
      </c>
      <c r="JN79" s="3555">
        <f t="shared" si="46"/>
        <v>6.3980058163689346E-2</v>
      </c>
      <c r="JO79" s="3555">
        <f t="shared" si="46"/>
        <v>-0.82702069504099962</v>
      </c>
      <c r="JP79" s="3556">
        <f t="shared" si="63"/>
        <v>-0.92463881296368611</v>
      </c>
      <c r="JQ79" s="3557">
        <f t="shared" si="64"/>
        <v>-0.56433408577878108</v>
      </c>
      <c r="JS79" s="3231"/>
      <c r="JT79" s="3231"/>
      <c r="JU79" s="3231"/>
      <c r="JV79" s="3231"/>
      <c r="JW79" s="3231"/>
      <c r="JX79" s="3231"/>
      <c r="JY79" s="3231"/>
      <c r="JZ79" s="3231"/>
      <c r="KA79" s="3231"/>
      <c r="KB79" s="3231"/>
      <c r="KC79" s="3231"/>
      <c r="KD79" s="3231"/>
      <c r="KE79" s="3231"/>
      <c r="KF79" s="3231"/>
      <c r="KG79" s="3231"/>
      <c r="KH79" s="3231"/>
      <c r="KI79" s="3231"/>
      <c r="KJ79" s="3231"/>
      <c r="KK79" s="3231"/>
      <c r="KL79" s="3231"/>
      <c r="KM79" s="3231"/>
      <c r="KN79" s="3231"/>
      <c r="KO79" s="3231"/>
    </row>
    <row r="80" spans="1:301" ht="21.9" customHeight="1">
      <c r="A80" s="3568"/>
      <c r="B80" s="3231"/>
      <c r="C80" s="3567" t="s">
        <v>29</v>
      </c>
      <c r="D80" s="3516">
        <v>120</v>
      </c>
      <c r="E80" s="3517">
        <v>59</v>
      </c>
      <c r="F80" s="3517">
        <v>128</v>
      </c>
      <c r="G80" s="3517">
        <v>109</v>
      </c>
      <c r="H80" s="3517">
        <v>113</v>
      </c>
      <c r="I80" s="3517">
        <v>72</v>
      </c>
      <c r="J80" s="3517">
        <v>102</v>
      </c>
      <c r="K80" s="3517">
        <v>118</v>
      </c>
      <c r="L80" s="3517">
        <v>110</v>
      </c>
      <c r="M80" s="3517">
        <v>166</v>
      </c>
      <c r="N80" s="3517">
        <v>172</v>
      </c>
      <c r="O80" s="3518">
        <v>155</v>
      </c>
      <c r="P80" s="3519">
        <v>194</v>
      </c>
      <c r="Q80" s="3520">
        <v>225</v>
      </c>
      <c r="R80" s="3520">
        <v>75</v>
      </c>
      <c r="S80" s="3520">
        <v>146</v>
      </c>
      <c r="T80" s="3520">
        <v>108</v>
      </c>
      <c r="U80" s="3520">
        <v>91</v>
      </c>
      <c r="V80" s="3520">
        <v>59</v>
      </c>
      <c r="W80" s="3520">
        <v>146</v>
      </c>
      <c r="X80" s="3520">
        <v>144</v>
      </c>
      <c r="Y80" s="3520">
        <v>246</v>
      </c>
      <c r="Z80" s="3520">
        <v>176</v>
      </c>
      <c r="AA80" s="3521">
        <v>156</v>
      </c>
      <c r="AB80" s="3522">
        <v>242</v>
      </c>
      <c r="AC80" s="3523">
        <v>112</v>
      </c>
      <c r="AD80" s="3523">
        <v>107</v>
      </c>
      <c r="AE80" s="3523">
        <v>162</v>
      </c>
      <c r="AF80" s="3523">
        <v>132</v>
      </c>
      <c r="AG80" s="3523">
        <v>102</v>
      </c>
      <c r="AH80" s="3523">
        <v>113</v>
      </c>
      <c r="AI80" s="3523">
        <v>121</v>
      </c>
      <c r="AJ80" s="3523">
        <v>168</v>
      </c>
      <c r="AK80" s="3523">
        <v>111</v>
      </c>
      <c r="AL80" s="3523">
        <v>109</v>
      </c>
      <c r="AM80" s="3524">
        <v>124</v>
      </c>
      <c r="AN80" s="3525">
        <v>180</v>
      </c>
      <c r="AO80" s="3526">
        <v>118</v>
      </c>
      <c r="AP80" s="3526">
        <v>148</v>
      </c>
      <c r="AQ80" s="3526">
        <v>100</v>
      </c>
      <c r="AR80" s="3526">
        <v>129</v>
      </c>
      <c r="AS80" s="3526">
        <v>93</v>
      </c>
      <c r="AT80" s="3526">
        <v>88</v>
      </c>
      <c r="AU80" s="3526">
        <v>74</v>
      </c>
      <c r="AV80" s="3526">
        <v>110</v>
      </c>
      <c r="AW80" s="3526">
        <v>95</v>
      </c>
      <c r="AX80" s="3526">
        <v>136</v>
      </c>
      <c r="AY80" s="3527">
        <v>177</v>
      </c>
      <c r="AZ80" s="3463">
        <v>162</v>
      </c>
      <c r="BA80" s="3463">
        <v>143</v>
      </c>
      <c r="BB80" s="3463">
        <v>142</v>
      </c>
      <c r="BC80" s="3463">
        <v>190</v>
      </c>
      <c r="BD80" s="3463">
        <v>66</v>
      </c>
      <c r="BE80" s="3463">
        <v>108</v>
      </c>
      <c r="BF80" s="3463">
        <v>147</v>
      </c>
      <c r="BG80" s="3463">
        <v>120</v>
      </c>
      <c r="BH80" s="3463">
        <v>122</v>
      </c>
      <c r="BI80" s="3463">
        <v>233</v>
      </c>
      <c r="BJ80" s="3463">
        <v>327</v>
      </c>
      <c r="BK80" s="3560">
        <v>182</v>
      </c>
      <c r="BL80" s="3530">
        <v>251</v>
      </c>
      <c r="BM80" s="3531">
        <v>150</v>
      </c>
      <c r="BN80" s="3531">
        <v>195</v>
      </c>
      <c r="BO80" s="3531">
        <v>172</v>
      </c>
      <c r="BP80" s="3531">
        <v>182</v>
      </c>
      <c r="BQ80" s="3531">
        <v>137</v>
      </c>
      <c r="BR80" s="3531">
        <v>166</v>
      </c>
      <c r="BS80" s="3531">
        <v>178</v>
      </c>
      <c r="BT80" s="3532">
        <v>154</v>
      </c>
      <c r="BU80" s="3532">
        <v>220</v>
      </c>
      <c r="BV80" s="3532">
        <v>229</v>
      </c>
      <c r="BW80" s="3533">
        <v>199</v>
      </c>
      <c r="BX80" s="3534">
        <v>291</v>
      </c>
      <c r="BY80" s="3459">
        <v>256</v>
      </c>
      <c r="BZ80" s="3459">
        <v>196</v>
      </c>
      <c r="CA80" s="3459">
        <v>178</v>
      </c>
      <c r="CB80" s="3459">
        <v>194</v>
      </c>
      <c r="CC80" s="3459">
        <v>139</v>
      </c>
      <c r="CD80" s="3459">
        <v>129</v>
      </c>
      <c r="CE80" s="3459">
        <v>136</v>
      </c>
      <c r="CF80" s="3459">
        <v>181</v>
      </c>
      <c r="CG80" s="3459">
        <v>182</v>
      </c>
      <c r="CH80" s="3459">
        <v>201</v>
      </c>
      <c r="CI80" s="3461">
        <v>247</v>
      </c>
      <c r="CJ80" s="3535">
        <v>283</v>
      </c>
      <c r="CK80" s="3536">
        <v>291</v>
      </c>
      <c r="CL80" s="3536">
        <v>178</v>
      </c>
      <c r="CM80" s="3536">
        <v>224</v>
      </c>
      <c r="CN80" s="3536">
        <v>155</v>
      </c>
      <c r="CO80" s="3536">
        <v>158</v>
      </c>
      <c r="CP80" s="3536">
        <v>153</v>
      </c>
      <c r="CQ80" s="3536">
        <v>165</v>
      </c>
      <c r="CR80" s="3536">
        <v>173</v>
      </c>
      <c r="CS80" s="3536">
        <v>247</v>
      </c>
      <c r="CT80" s="3536">
        <v>240</v>
      </c>
      <c r="CU80" s="3537">
        <v>293</v>
      </c>
      <c r="CV80" s="3535">
        <v>376</v>
      </c>
      <c r="CW80" s="3536">
        <v>163</v>
      </c>
      <c r="CX80" s="3458">
        <v>162</v>
      </c>
      <c r="CY80" s="3458">
        <v>180</v>
      </c>
      <c r="CZ80" s="3458">
        <v>145</v>
      </c>
      <c r="DA80" s="3458">
        <v>118</v>
      </c>
      <c r="DB80" s="3458">
        <v>159</v>
      </c>
      <c r="DC80" s="3458">
        <v>113</v>
      </c>
      <c r="DD80" s="3458">
        <v>185</v>
      </c>
      <c r="DE80" s="3458">
        <v>181</v>
      </c>
      <c r="DF80" s="3458">
        <v>191</v>
      </c>
      <c r="DG80" s="3537">
        <v>200</v>
      </c>
      <c r="DH80" s="3538">
        <v>228</v>
      </c>
      <c r="DI80" s="3539">
        <v>199</v>
      </c>
      <c r="DJ80" s="3539">
        <v>167</v>
      </c>
      <c r="DK80" s="3540">
        <v>147</v>
      </c>
      <c r="DL80" s="3540">
        <v>136</v>
      </c>
      <c r="DM80" s="3540">
        <v>146</v>
      </c>
      <c r="DN80" s="3540">
        <v>117</v>
      </c>
      <c r="DO80" s="3540">
        <v>130</v>
      </c>
      <c r="DP80" s="2713">
        <v>120</v>
      </c>
      <c r="DQ80" s="3540">
        <v>266</v>
      </c>
      <c r="DR80" s="3540">
        <v>200</v>
      </c>
      <c r="DS80" s="3541">
        <v>214</v>
      </c>
      <c r="DT80" s="3542">
        <v>248</v>
      </c>
      <c r="DU80" s="3429">
        <v>204</v>
      </c>
      <c r="DV80" s="3429">
        <v>211</v>
      </c>
      <c r="DW80" s="3350">
        <v>202</v>
      </c>
      <c r="DX80" s="3350">
        <v>142</v>
      </c>
      <c r="DY80" s="3350">
        <v>160</v>
      </c>
      <c r="DZ80" s="3350">
        <v>134</v>
      </c>
      <c r="EA80" s="3350">
        <v>152</v>
      </c>
      <c r="EB80" s="3350">
        <v>185</v>
      </c>
      <c r="EC80" s="3350">
        <v>234</v>
      </c>
      <c r="ED80" s="3350">
        <v>193</v>
      </c>
      <c r="EE80" s="3349">
        <v>296</v>
      </c>
      <c r="EF80" s="2689">
        <v>246</v>
      </c>
      <c r="EG80" s="2688">
        <v>213</v>
      </c>
      <c r="EH80" s="2688">
        <v>182</v>
      </c>
      <c r="EI80" s="2688">
        <v>198</v>
      </c>
      <c r="EJ80" s="2688">
        <v>159</v>
      </c>
      <c r="EK80" s="2688">
        <v>138</v>
      </c>
      <c r="EL80" s="2688">
        <v>169</v>
      </c>
      <c r="EM80" s="2714">
        <v>173</v>
      </c>
      <c r="EN80" s="2714">
        <v>195</v>
      </c>
      <c r="EO80" s="2715">
        <v>203</v>
      </c>
      <c r="EP80" s="2715">
        <v>223</v>
      </c>
      <c r="EQ80" s="2716">
        <v>279</v>
      </c>
      <c r="ER80" s="1345">
        <v>262</v>
      </c>
      <c r="ES80" s="3543">
        <v>212</v>
      </c>
      <c r="ET80" s="3543">
        <v>207</v>
      </c>
      <c r="EU80" s="2717">
        <v>218</v>
      </c>
      <c r="EV80" s="2159">
        <v>155</v>
      </c>
      <c r="EW80" s="2159">
        <v>178</v>
      </c>
      <c r="EX80" s="2159">
        <v>194</v>
      </c>
      <c r="EY80" s="2159">
        <v>225</v>
      </c>
      <c r="EZ80" s="2159">
        <v>226</v>
      </c>
      <c r="FA80" s="2339">
        <v>205</v>
      </c>
      <c r="FB80" s="2339">
        <v>228</v>
      </c>
      <c r="FC80" s="2339">
        <v>316</v>
      </c>
      <c r="FD80" s="2772">
        <v>301</v>
      </c>
      <c r="FE80" s="2773">
        <v>244</v>
      </c>
      <c r="FF80" s="2773">
        <v>104</v>
      </c>
      <c r="FG80" s="2773">
        <v>1</v>
      </c>
      <c r="FH80" s="2773">
        <v>1</v>
      </c>
      <c r="FI80" s="2773">
        <v>9</v>
      </c>
      <c r="FJ80" s="2773">
        <v>6</v>
      </c>
      <c r="FK80" s="2773">
        <v>22</v>
      </c>
      <c r="FL80" s="2773">
        <v>33</v>
      </c>
      <c r="FM80" s="2773">
        <v>56</v>
      </c>
      <c r="FN80" s="2773">
        <v>64</v>
      </c>
      <c r="FO80" s="2774">
        <v>67</v>
      </c>
      <c r="FP80" s="2772">
        <v>92</v>
      </c>
      <c r="FQ80" s="2773">
        <v>69</v>
      </c>
      <c r="FR80" s="2773">
        <v>89</v>
      </c>
      <c r="FS80" s="2773">
        <v>87</v>
      </c>
      <c r="FT80" s="2773">
        <v>61</v>
      </c>
      <c r="FU80" s="2773"/>
      <c r="FV80" s="2773"/>
      <c r="FW80" s="2773"/>
      <c r="FX80" s="2773"/>
      <c r="FY80" s="2773"/>
      <c r="FZ80" s="2773"/>
      <c r="GA80" s="2775"/>
      <c r="GB80" s="2764"/>
      <c r="GC80" s="2911">
        <v>307</v>
      </c>
      <c r="GD80" s="2912">
        <v>294</v>
      </c>
      <c r="GE80" s="2912">
        <v>330</v>
      </c>
      <c r="GF80" s="2913">
        <v>493</v>
      </c>
      <c r="GG80" s="2914">
        <v>494</v>
      </c>
      <c r="GH80" s="2915">
        <v>345</v>
      </c>
      <c r="GI80" s="2915">
        <v>349</v>
      </c>
      <c r="GJ80" s="2916">
        <v>578</v>
      </c>
      <c r="GK80" s="2917">
        <v>461</v>
      </c>
      <c r="GL80" s="2918">
        <v>396</v>
      </c>
      <c r="GM80" s="2919">
        <v>402</v>
      </c>
      <c r="GN80" s="2919">
        <v>344</v>
      </c>
      <c r="GO80" s="2920">
        <v>446</v>
      </c>
      <c r="GP80" s="2921">
        <v>322</v>
      </c>
      <c r="GQ80" s="2921">
        <v>272</v>
      </c>
      <c r="GR80" s="2922">
        <v>408</v>
      </c>
      <c r="GS80" s="2923">
        <v>447</v>
      </c>
      <c r="GT80" s="2924">
        <v>364</v>
      </c>
      <c r="GU80" s="2924">
        <v>389</v>
      </c>
      <c r="GV80" s="2925">
        <v>742</v>
      </c>
      <c r="GW80" s="2921">
        <v>596</v>
      </c>
      <c r="GX80" s="2921">
        <v>491</v>
      </c>
      <c r="GY80" s="2921">
        <v>498</v>
      </c>
      <c r="GZ80" s="2921">
        <v>648</v>
      </c>
      <c r="HA80" s="2926">
        <v>743</v>
      </c>
      <c r="HB80" s="2926">
        <v>511</v>
      </c>
      <c r="HC80" s="2926">
        <v>446</v>
      </c>
      <c r="HD80" s="2926">
        <v>630</v>
      </c>
      <c r="HE80" s="2927">
        <v>752</v>
      </c>
      <c r="HF80" s="2927">
        <v>537</v>
      </c>
      <c r="HG80" s="2927">
        <f t="shared" si="17"/>
        <v>491</v>
      </c>
      <c r="HH80" s="2927">
        <v>780</v>
      </c>
      <c r="HI80" s="2928">
        <v>701</v>
      </c>
      <c r="HJ80" s="2928">
        <f t="shared" si="18"/>
        <v>443</v>
      </c>
      <c r="HK80" s="2928">
        <f t="shared" si="19"/>
        <v>457</v>
      </c>
      <c r="HL80" s="2927">
        <f t="shared" si="20"/>
        <v>572</v>
      </c>
      <c r="HM80" s="2846">
        <f t="shared" si="21"/>
        <v>594</v>
      </c>
      <c r="HN80" s="2846">
        <f t="shared" si="22"/>
        <v>429</v>
      </c>
      <c r="HO80" s="2846">
        <f t="shared" si="23"/>
        <v>461</v>
      </c>
      <c r="HP80" s="2846">
        <f t="shared" si="24"/>
        <v>680</v>
      </c>
      <c r="HQ80" s="2921">
        <f t="shared" si="25"/>
        <v>663</v>
      </c>
      <c r="HR80" s="2921">
        <f t="shared" si="26"/>
        <v>504</v>
      </c>
      <c r="HS80" s="2921">
        <f t="shared" si="27"/>
        <v>471</v>
      </c>
      <c r="HT80" s="2921">
        <f t="shared" si="28"/>
        <v>723</v>
      </c>
      <c r="HU80" s="2929">
        <f t="shared" si="29"/>
        <v>641</v>
      </c>
      <c r="HV80" s="2926">
        <f t="shared" si="30"/>
        <v>495</v>
      </c>
      <c r="HW80" s="2926">
        <f t="shared" si="31"/>
        <v>537</v>
      </c>
      <c r="HX80" s="2926">
        <f t="shared" si="32"/>
        <v>705</v>
      </c>
      <c r="HY80" s="2930">
        <f t="shared" si="33"/>
        <v>681</v>
      </c>
      <c r="HZ80" s="2931">
        <f t="shared" si="34"/>
        <v>551</v>
      </c>
      <c r="IA80" s="2931">
        <f t="shared" si="35"/>
        <v>645</v>
      </c>
      <c r="IB80" s="2931">
        <f t="shared" si="36"/>
        <v>749</v>
      </c>
      <c r="IC80" s="2932">
        <f t="shared" si="65"/>
        <v>649</v>
      </c>
      <c r="ID80" s="2933">
        <f t="shared" si="66"/>
        <v>11</v>
      </c>
      <c r="IE80" s="2933">
        <f t="shared" si="69"/>
        <v>61</v>
      </c>
      <c r="IF80" s="2934">
        <f t="shared" si="70"/>
        <v>187</v>
      </c>
      <c r="IG80" s="2929">
        <f t="shared" si="51"/>
        <v>250</v>
      </c>
      <c r="IH80" s="2926">
        <f t="shared" si="52"/>
        <v>148</v>
      </c>
      <c r="II80" s="2926">
        <f t="shared" si="53"/>
        <v>0</v>
      </c>
      <c r="IJ80" s="2926">
        <f t="shared" si="54"/>
        <v>0</v>
      </c>
      <c r="IK80" s="2735"/>
      <c r="IL80" s="3544">
        <v>1424</v>
      </c>
      <c r="IM80" s="3545">
        <v>1766</v>
      </c>
      <c r="IN80" s="3545">
        <v>1603</v>
      </c>
      <c r="IO80" s="3545">
        <v>1448</v>
      </c>
      <c r="IP80" s="3545">
        <v>1942</v>
      </c>
      <c r="IQ80" s="3545">
        <v>2233</v>
      </c>
      <c r="IR80" s="3546">
        <v>2330</v>
      </c>
      <c r="IS80" s="3547">
        <v>2560</v>
      </c>
      <c r="IT80" s="3547">
        <f t="shared" si="37"/>
        <v>2173</v>
      </c>
      <c r="IU80" s="3547">
        <f t="shared" si="38"/>
        <v>2070</v>
      </c>
      <c r="IV80" s="3547">
        <f t="shared" si="39"/>
        <v>2361</v>
      </c>
      <c r="IW80" s="3547">
        <f t="shared" si="40"/>
        <v>2378</v>
      </c>
      <c r="IX80" s="3548">
        <f t="shared" si="55"/>
        <v>2626</v>
      </c>
      <c r="IY80" s="3566">
        <f t="shared" si="71"/>
        <v>908</v>
      </c>
      <c r="IZ80" s="3564">
        <f t="shared" si="57"/>
        <v>524</v>
      </c>
      <c r="JA80" s="3765">
        <f t="shared" si="58"/>
        <v>398</v>
      </c>
      <c r="JC80" s="3551">
        <f t="shared" si="59"/>
        <v>716</v>
      </c>
      <c r="JD80" s="3552">
        <f t="shared" si="42"/>
        <v>3.2981425243696085E-3</v>
      </c>
      <c r="JE80" s="3552">
        <f t="shared" si="43"/>
        <v>3.6160023034593242E-3</v>
      </c>
      <c r="JF80" s="3552">
        <f t="shared" si="60"/>
        <v>3.474627040137933E-3</v>
      </c>
      <c r="JG80" s="3552">
        <f t="shared" si="56"/>
        <v>3.8369935270825112E-3</v>
      </c>
      <c r="JH80" s="3552">
        <f t="shared" si="61"/>
        <v>4.7684818057211276E-3</v>
      </c>
      <c r="JI80" s="3565">
        <f t="shared" si="62"/>
        <v>1.8647952284018279E-3</v>
      </c>
      <c r="JJ80" s="3552"/>
      <c r="JK80" s="3554">
        <f t="shared" si="44"/>
        <v>0.14057971014492754</v>
      </c>
      <c r="JL80" s="3555">
        <f t="shared" si="45"/>
        <v>-0.65410628019323669</v>
      </c>
      <c r="JM80" s="3555">
        <f t="shared" si="46"/>
        <v>7.2003388394747958E-3</v>
      </c>
      <c r="JN80" s="3555">
        <f t="shared" si="46"/>
        <v>0.10428931875525649</v>
      </c>
      <c r="JO80" s="3555">
        <f t="shared" si="46"/>
        <v>-0.65422696115765422</v>
      </c>
      <c r="JP80" s="3556">
        <f t="shared" si="63"/>
        <v>-0.80045696877380046</v>
      </c>
      <c r="JQ80" s="3557">
        <f t="shared" si="64"/>
        <v>-0.4229074889867841</v>
      </c>
      <c r="JS80" s="3231"/>
      <c r="JT80" s="3231"/>
      <c r="JU80" s="3231"/>
      <c r="JV80" s="3231"/>
      <c r="JW80" s="3231"/>
      <c r="JX80" s="3231"/>
      <c r="JY80" s="3231"/>
      <c r="JZ80" s="3231"/>
      <c r="KA80" s="3231"/>
      <c r="KB80" s="3231"/>
      <c r="KC80" s="3231"/>
      <c r="KD80" s="3231"/>
      <c r="KE80" s="3231"/>
      <c r="KF80" s="3231"/>
      <c r="KG80" s="3231"/>
      <c r="KH80" s="3231"/>
      <c r="KI80" s="3231"/>
      <c r="KJ80" s="3231"/>
      <c r="KK80" s="3231"/>
      <c r="KL80" s="3231"/>
      <c r="KM80" s="3231"/>
      <c r="KN80" s="3231"/>
      <c r="KO80" s="3231"/>
    </row>
    <row r="81" spans="1:301" ht="21.9" customHeight="1">
      <c r="A81" s="3568"/>
      <c r="B81" s="3231"/>
      <c r="C81" s="3285" t="s">
        <v>24</v>
      </c>
      <c r="D81" s="3569">
        <v>90</v>
      </c>
      <c r="E81" s="3570">
        <v>70</v>
      </c>
      <c r="F81" s="3570">
        <v>94</v>
      </c>
      <c r="G81" s="3570">
        <v>80</v>
      </c>
      <c r="H81" s="3570">
        <v>77</v>
      </c>
      <c r="I81" s="3570">
        <v>104</v>
      </c>
      <c r="J81" s="3570">
        <v>112</v>
      </c>
      <c r="K81" s="3570">
        <v>170</v>
      </c>
      <c r="L81" s="3570">
        <v>120</v>
      </c>
      <c r="M81" s="3570">
        <v>184</v>
      </c>
      <c r="N81" s="3570">
        <v>125</v>
      </c>
      <c r="O81" s="3571">
        <v>60</v>
      </c>
      <c r="P81" s="3519">
        <v>96</v>
      </c>
      <c r="Q81" s="3520">
        <v>129</v>
      </c>
      <c r="R81" s="3520">
        <v>105</v>
      </c>
      <c r="S81" s="3520">
        <v>118</v>
      </c>
      <c r="T81" s="3520">
        <v>121</v>
      </c>
      <c r="U81" s="3520">
        <v>112</v>
      </c>
      <c r="V81" s="3520">
        <v>164</v>
      </c>
      <c r="W81" s="3520">
        <v>138</v>
      </c>
      <c r="X81" s="3520">
        <v>125</v>
      </c>
      <c r="Y81" s="3520">
        <v>137</v>
      </c>
      <c r="Z81" s="3520">
        <v>167</v>
      </c>
      <c r="AA81" s="3521">
        <v>102</v>
      </c>
      <c r="AB81" s="3522">
        <v>111</v>
      </c>
      <c r="AC81" s="3523">
        <v>90</v>
      </c>
      <c r="AD81" s="3523">
        <v>127</v>
      </c>
      <c r="AE81" s="3523">
        <v>124</v>
      </c>
      <c r="AF81" s="3523">
        <v>129.5</v>
      </c>
      <c r="AG81" s="3523">
        <v>135</v>
      </c>
      <c r="AH81" s="3523">
        <v>136</v>
      </c>
      <c r="AI81" s="3523">
        <v>128</v>
      </c>
      <c r="AJ81" s="3523">
        <v>105</v>
      </c>
      <c r="AK81" s="3523">
        <v>161</v>
      </c>
      <c r="AL81" s="3523">
        <v>145</v>
      </c>
      <c r="AM81" s="3524">
        <v>92</v>
      </c>
      <c r="AN81" s="3525">
        <v>110</v>
      </c>
      <c r="AO81" s="3526">
        <v>117</v>
      </c>
      <c r="AP81" s="3526">
        <v>126</v>
      </c>
      <c r="AQ81" s="3526">
        <v>133</v>
      </c>
      <c r="AR81" s="3526">
        <v>112</v>
      </c>
      <c r="AS81" s="3526">
        <v>130</v>
      </c>
      <c r="AT81" s="3526">
        <v>106</v>
      </c>
      <c r="AU81" s="3526">
        <v>129</v>
      </c>
      <c r="AV81" s="3526">
        <v>98</v>
      </c>
      <c r="AW81" s="3526">
        <v>102</v>
      </c>
      <c r="AX81" s="3526">
        <v>193</v>
      </c>
      <c r="AY81" s="3527">
        <v>110</v>
      </c>
      <c r="AZ81" s="3463">
        <v>120</v>
      </c>
      <c r="BA81" s="3463">
        <v>131</v>
      </c>
      <c r="BB81" s="3463">
        <v>181</v>
      </c>
      <c r="BC81" s="3463">
        <v>146</v>
      </c>
      <c r="BD81" s="3463">
        <v>119</v>
      </c>
      <c r="BE81" s="3463">
        <v>111</v>
      </c>
      <c r="BF81" s="3463">
        <v>135</v>
      </c>
      <c r="BG81" s="3463">
        <v>117</v>
      </c>
      <c r="BH81" s="3463">
        <v>146</v>
      </c>
      <c r="BI81" s="3463">
        <v>146</v>
      </c>
      <c r="BJ81" s="3463">
        <v>146</v>
      </c>
      <c r="BK81" s="3560">
        <v>94</v>
      </c>
      <c r="BL81" s="3530">
        <v>88</v>
      </c>
      <c r="BM81" s="3531">
        <v>92</v>
      </c>
      <c r="BN81" s="3531">
        <v>110</v>
      </c>
      <c r="BO81" s="3531">
        <v>169</v>
      </c>
      <c r="BP81" s="3531">
        <v>178</v>
      </c>
      <c r="BQ81" s="3531">
        <v>182</v>
      </c>
      <c r="BR81" s="3531">
        <v>203</v>
      </c>
      <c r="BS81" s="3531">
        <v>98</v>
      </c>
      <c r="BT81" s="3532">
        <v>163</v>
      </c>
      <c r="BU81" s="3532">
        <v>160</v>
      </c>
      <c r="BV81" s="3532">
        <v>216</v>
      </c>
      <c r="BW81" s="3533">
        <v>139</v>
      </c>
      <c r="BX81" s="3534">
        <v>147</v>
      </c>
      <c r="BY81" s="3459">
        <v>131</v>
      </c>
      <c r="BZ81" s="3459">
        <v>146</v>
      </c>
      <c r="CA81" s="3459">
        <v>150</v>
      </c>
      <c r="CB81" s="3459">
        <v>161</v>
      </c>
      <c r="CC81" s="3459">
        <v>198</v>
      </c>
      <c r="CD81" s="3459">
        <v>154</v>
      </c>
      <c r="CE81" s="3459">
        <v>173</v>
      </c>
      <c r="CF81" s="3459">
        <v>155</v>
      </c>
      <c r="CG81" s="3459">
        <v>288</v>
      </c>
      <c r="CH81" s="3459">
        <v>181</v>
      </c>
      <c r="CI81" s="3461">
        <v>120</v>
      </c>
      <c r="CJ81" s="3535">
        <v>145</v>
      </c>
      <c r="CK81" s="3536">
        <v>146</v>
      </c>
      <c r="CL81" s="3536">
        <v>144</v>
      </c>
      <c r="CM81" s="3536">
        <v>156</v>
      </c>
      <c r="CN81" s="3536">
        <v>133</v>
      </c>
      <c r="CO81" s="3536">
        <v>125</v>
      </c>
      <c r="CP81" s="3536">
        <v>156</v>
      </c>
      <c r="CQ81" s="3536">
        <v>183</v>
      </c>
      <c r="CR81" s="3536">
        <v>249</v>
      </c>
      <c r="CS81" s="3536">
        <v>141</v>
      </c>
      <c r="CT81" s="3536">
        <v>221</v>
      </c>
      <c r="CU81" s="3537">
        <v>169</v>
      </c>
      <c r="CV81" s="3535">
        <v>176</v>
      </c>
      <c r="CW81" s="3536">
        <v>115</v>
      </c>
      <c r="CX81" s="3458">
        <v>180</v>
      </c>
      <c r="CY81" s="3458">
        <v>180</v>
      </c>
      <c r="CZ81" s="3458">
        <v>192</v>
      </c>
      <c r="DA81" s="3458">
        <v>170</v>
      </c>
      <c r="DB81" s="3458">
        <v>148</v>
      </c>
      <c r="DC81" s="3458">
        <v>190</v>
      </c>
      <c r="DD81" s="3458">
        <v>162</v>
      </c>
      <c r="DE81" s="3458">
        <v>176</v>
      </c>
      <c r="DF81" s="3458">
        <v>180</v>
      </c>
      <c r="DG81" s="3537">
        <v>130</v>
      </c>
      <c r="DH81" s="3538">
        <v>160</v>
      </c>
      <c r="DI81" s="3539">
        <v>120</v>
      </c>
      <c r="DJ81" s="3539">
        <v>153</v>
      </c>
      <c r="DK81" s="3540">
        <v>121</v>
      </c>
      <c r="DL81" s="3540">
        <v>126</v>
      </c>
      <c r="DM81" s="3540">
        <v>187</v>
      </c>
      <c r="DN81" s="3540">
        <v>148</v>
      </c>
      <c r="DO81" s="3540">
        <v>133</v>
      </c>
      <c r="DP81" s="2713">
        <v>126</v>
      </c>
      <c r="DQ81" s="3540">
        <v>231</v>
      </c>
      <c r="DR81" s="3540">
        <v>192</v>
      </c>
      <c r="DS81" s="3541">
        <v>155</v>
      </c>
      <c r="DT81" s="3542">
        <v>279</v>
      </c>
      <c r="DU81" s="3429">
        <v>182</v>
      </c>
      <c r="DV81" s="3429">
        <v>147</v>
      </c>
      <c r="DW81" s="3350">
        <v>152</v>
      </c>
      <c r="DX81" s="3350">
        <v>125</v>
      </c>
      <c r="DY81" s="3350">
        <v>152</v>
      </c>
      <c r="DZ81" s="3350">
        <v>203</v>
      </c>
      <c r="EA81" s="3350">
        <v>198</v>
      </c>
      <c r="EB81" s="3350">
        <v>213</v>
      </c>
      <c r="EC81" s="3350">
        <v>185</v>
      </c>
      <c r="ED81" s="3350">
        <v>205</v>
      </c>
      <c r="EE81" s="3349">
        <v>242</v>
      </c>
      <c r="EF81" s="2689">
        <v>240</v>
      </c>
      <c r="EG81" s="2688">
        <v>134</v>
      </c>
      <c r="EH81" s="2688">
        <v>197</v>
      </c>
      <c r="EI81" s="2688">
        <v>152</v>
      </c>
      <c r="EJ81" s="2688">
        <v>183</v>
      </c>
      <c r="EK81" s="2688">
        <v>238</v>
      </c>
      <c r="EL81" s="2688">
        <v>201</v>
      </c>
      <c r="EM81" s="2714">
        <v>184</v>
      </c>
      <c r="EN81" s="2714">
        <v>193</v>
      </c>
      <c r="EO81" s="2715">
        <v>217</v>
      </c>
      <c r="EP81" s="2715">
        <v>232</v>
      </c>
      <c r="EQ81" s="2716">
        <v>203</v>
      </c>
      <c r="ER81" s="1349">
        <v>191</v>
      </c>
      <c r="ES81" s="3543">
        <v>196</v>
      </c>
      <c r="ET81" s="3543">
        <v>245</v>
      </c>
      <c r="EU81" s="2717">
        <v>262</v>
      </c>
      <c r="EV81" s="2163">
        <v>175</v>
      </c>
      <c r="EW81" s="2163">
        <v>225</v>
      </c>
      <c r="EX81" s="2163">
        <v>197</v>
      </c>
      <c r="EY81" s="2163">
        <v>272</v>
      </c>
      <c r="EZ81" s="2163">
        <v>228</v>
      </c>
      <c r="FA81" s="2340">
        <v>183</v>
      </c>
      <c r="FB81" s="2340">
        <v>245</v>
      </c>
      <c r="FC81" s="2340">
        <v>178</v>
      </c>
      <c r="FD81" s="2765">
        <v>190</v>
      </c>
      <c r="FE81" s="2766">
        <v>181</v>
      </c>
      <c r="FF81" s="2766">
        <v>73</v>
      </c>
      <c r="FG81" s="2766"/>
      <c r="FH81" s="2766">
        <v>1</v>
      </c>
      <c r="FI81" s="2766">
        <v>2</v>
      </c>
      <c r="FJ81" s="2766">
        <v>8</v>
      </c>
      <c r="FK81" s="2766">
        <v>2</v>
      </c>
      <c r="FL81" s="2766">
        <v>19</v>
      </c>
      <c r="FM81" s="2766">
        <v>33</v>
      </c>
      <c r="FN81" s="2766">
        <v>23</v>
      </c>
      <c r="FO81" s="2767">
        <v>34</v>
      </c>
      <c r="FP81" s="2765">
        <v>60</v>
      </c>
      <c r="FQ81" s="2766">
        <v>26</v>
      </c>
      <c r="FR81" s="2766">
        <v>71</v>
      </c>
      <c r="FS81" s="2766">
        <v>33</v>
      </c>
      <c r="FT81" s="2766">
        <v>46</v>
      </c>
      <c r="FU81" s="2766"/>
      <c r="FV81" s="2766"/>
      <c r="FW81" s="2766"/>
      <c r="FX81" s="2766"/>
      <c r="FY81" s="2766"/>
      <c r="FZ81" s="2766"/>
      <c r="GA81" s="2771"/>
      <c r="GB81" s="2764"/>
      <c r="GC81" s="2911">
        <v>254</v>
      </c>
      <c r="GD81" s="2912">
        <v>261</v>
      </c>
      <c r="GE81" s="2912">
        <v>402</v>
      </c>
      <c r="GF81" s="2913">
        <v>369</v>
      </c>
      <c r="GG81" s="2914">
        <v>330</v>
      </c>
      <c r="GH81" s="2915">
        <v>351</v>
      </c>
      <c r="GI81" s="2915">
        <v>427</v>
      </c>
      <c r="GJ81" s="2916">
        <v>406</v>
      </c>
      <c r="GK81" s="2917">
        <v>328</v>
      </c>
      <c r="GL81" s="2918">
        <v>388.5</v>
      </c>
      <c r="GM81" s="2919">
        <v>369</v>
      </c>
      <c r="GN81" s="2919">
        <v>398</v>
      </c>
      <c r="GO81" s="2920">
        <v>353</v>
      </c>
      <c r="GP81" s="2921">
        <v>375</v>
      </c>
      <c r="GQ81" s="2921">
        <v>333</v>
      </c>
      <c r="GR81" s="2922">
        <v>405</v>
      </c>
      <c r="GS81" s="2923">
        <v>432</v>
      </c>
      <c r="GT81" s="2924">
        <v>376</v>
      </c>
      <c r="GU81" s="2924">
        <v>398</v>
      </c>
      <c r="GV81" s="2925">
        <v>386</v>
      </c>
      <c r="GW81" s="2921">
        <v>290</v>
      </c>
      <c r="GX81" s="2921">
        <v>529</v>
      </c>
      <c r="GY81" s="2921">
        <v>464</v>
      </c>
      <c r="GZ81" s="2921">
        <v>515</v>
      </c>
      <c r="HA81" s="2926">
        <v>424</v>
      </c>
      <c r="HB81" s="2926">
        <v>509</v>
      </c>
      <c r="HC81" s="2926">
        <v>482</v>
      </c>
      <c r="HD81" s="2926">
        <v>589</v>
      </c>
      <c r="HE81" s="2927">
        <v>435</v>
      </c>
      <c r="HF81" s="2927">
        <v>414</v>
      </c>
      <c r="HG81" s="2927">
        <f t="shared" si="17"/>
        <v>588</v>
      </c>
      <c r="HH81" s="2927">
        <v>531</v>
      </c>
      <c r="HI81" s="2928">
        <v>471</v>
      </c>
      <c r="HJ81" s="2928">
        <f t="shared" si="18"/>
        <v>542</v>
      </c>
      <c r="HK81" s="2928">
        <f t="shared" si="19"/>
        <v>500</v>
      </c>
      <c r="HL81" s="2927">
        <f t="shared" si="20"/>
        <v>486</v>
      </c>
      <c r="HM81" s="2846">
        <f t="shared" si="21"/>
        <v>433</v>
      </c>
      <c r="HN81" s="2846">
        <f t="shared" si="22"/>
        <v>434</v>
      </c>
      <c r="HO81" s="2846">
        <f t="shared" si="23"/>
        <v>436</v>
      </c>
      <c r="HP81" s="2846">
        <f t="shared" si="24"/>
        <v>578</v>
      </c>
      <c r="HQ81" s="2921">
        <f t="shared" si="25"/>
        <v>608</v>
      </c>
      <c r="HR81" s="2921">
        <f t="shared" si="26"/>
        <v>429</v>
      </c>
      <c r="HS81" s="2921">
        <f t="shared" si="27"/>
        <v>614</v>
      </c>
      <c r="HT81" s="2921">
        <f t="shared" si="28"/>
        <v>632</v>
      </c>
      <c r="HU81" s="2929">
        <f t="shared" si="29"/>
        <v>571</v>
      </c>
      <c r="HV81" s="2926">
        <f t="shared" si="30"/>
        <v>573</v>
      </c>
      <c r="HW81" s="2926">
        <f t="shared" si="31"/>
        <v>578</v>
      </c>
      <c r="HX81" s="2926">
        <f t="shared" si="32"/>
        <v>652</v>
      </c>
      <c r="HY81" s="2930">
        <f t="shared" si="33"/>
        <v>632</v>
      </c>
      <c r="HZ81" s="2931">
        <f t="shared" si="34"/>
        <v>662</v>
      </c>
      <c r="IA81" s="2931">
        <f t="shared" si="35"/>
        <v>697</v>
      </c>
      <c r="IB81" s="2931">
        <f t="shared" si="36"/>
        <v>606</v>
      </c>
      <c r="IC81" s="2932">
        <f t="shared" si="65"/>
        <v>444</v>
      </c>
      <c r="ID81" s="2933">
        <f t="shared" si="66"/>
        <v>3</v>
      </c>
      <c r="IE81" s="2933">
        <f t="shared" si="69"/>
        <v>29</v>
      </c>
      <c r="IF81" s="2934">
        <f t="shared" si="70"/>
        <v>90</v>
      </c>
      <c r="IG81" s="2929">
        <f t="shared" si="51"/>
        <v>157</v>
      </c>
      <c r="IH81" s="2926">
        <f t="shared" si="52"/>
        <v>79</v>
      </c>
      <c r="II81" s="2926">
        <f t="shared" si="53"/>
        <v>0</v>
      </c>
      <c r="IJ81" s="2926">
        <f t="shared" si="54"/>
        <v>0</v>
      </c>
      <c r="IK81" s="2735"/>
      <c r="IL81" s="3544">
        <v>1286</v>
      </c>
      <c r="IM81" s="3545">
        <v>1514</v>
      </c>
      <c r="IN81" s="3545">
        <v>1483.5</v>
      </c>
      <c r="IO81" s="3545">
        <v>1466</v>
      </c>
      <c r="IP81" s="3545">
        <v>1592</v>
      </c>
      <c r="IQ81" s="3545">
        <v>1798</v>
      </c>
      <c r="IR81" s="3546">
        <v>2004</v>
      </c>
      <c r="IS81" s="3547">
        <v>1968</v>
      </c>
      <c r="IT81" s="3547">
        <f t="shared" si="37"/>
        <v>1999</v>
      </c>
      <c r="IU81" s="3547">
        <f t="shared" si="38"/>
        <v>1852</v>
      </c>
      <c r="IV81" s="3547">
        <f t="shared" si="39"/>
        <v>2283</v>
      </c>
      <c r="IW81" s="3547">
        <f t="shared" si="40"/>
        <v>2374</v>
      </c>
      <c r="IX81" s="3548">
        <f t="shared" si="55"/>
        <v>2597</v>
      </c>
      <c r="IY81" s="3566">
        <f t="shared" si="71"/>
        <v>566</v>
      </c>
      <c r="IZ81" s="3564">
        <f t="shared" si="57"/>
        <v>281</v>
      </c>
      <c r="JA81" s="3765">
        <f t="shared" si="58"/>
        <v>236</v>
      </c>
      <c r="JC81" s="3551">
        <f t="shared" si="59"/>
        <v>423.5</v>
      </c>
      <c r="JD81" s="3552">
        <f t="shared" si="42"/>
        <v>2.9508019106920364E-3</v>
      </c>
      <c r="JE81" s="3552">
        <f t="shared" si="43"/>
        <v>3.4965409821252169E-3</v>
      </c>
      <c r="JF81" s="3552">
        <f t="shared" si="60"/>
        <v>3.4687824193807624E-3</v>
      </c>
      <c r="JG81" s="3552">
        <f t="shared" si="56"/>
        <v>3.7946200265930245E-3</v>
      </c>
      <c r="JH81" s="3552">
        <f t="shared" si="61"/>
        <v>2.9724236806587647E-3</v>
      </c>
      <c r="JI81" s="3565">
        <f t="shared" si="62"/>
        <v>1.0000142350780794E-3</v>
      </c>
      <c r="JJ81" s="3552"/>
      <c r="JK81" s="3554">
        <f t="shared" si="44"/>
        <v>0.23272138228941674</v>
      </c>
      <c r="JL81" s="3555">
        <f t="shared" si="45"/>
        <v>-0.77132829373650114</v>
      </c>
      <c r="JM81" s="3555">
        <f t="shared" si="46"/>
        <v>3.985983355234346E-2</v>
      </c>
      <c r="JN81" s="3555">
        <f t="shared" si="46"/>
        <v>9.3934288121314324E-2</v>
      </c>
      <c r="JO81" s="3555">
        <f t="shared" si="46"/>
        <v>-0.78205621871390063</v>
      </c>
      <c r="JP81" s="3556">
        <f t="shared" si="63"/>
        <v>-0.89179822872545245</v>
      </c>
      <c r="JQ81" s="3557">
        <f t="shared" si="64"/>
        <v>-0.50353356890459366</v>
      </c>
    </row>
    <row r="82" spans="1:301" ht="21.9" customHeight="1">
      <c r="A82" s="3568"/>
      <c r="B82" s="3231"/>
      <c r="C82" s="3567" t="s">
        <v>28</v>
      </c>
      <c r="D82" s="3569">
        <v>138</v>
      </c>
      <c r="E82" s="3570">
        <v>149</v>
      </c>
      <c r="F82" s="3570">
        <v>93</v>
      </c>
      <c r="G82" s="3570">
        <v>71</v>
      </c>
      <c r="H82" s="3570">
        <v>66</v>
      </c>
      <c r="I82" s="3570">
        <v>73</v>
      </c>
      <c r="J82" s="3570">
        <v>273</v>
      </c>
      <c r="K82" s="3570">
        <v>222</v>
      </c>
      <c r="L82" s="3570">
        <v>113</v>
      </c>
      <c r="M82" s="3570">
        <v>166</v>
      </c>
      <c r="N82" s="3570">
        <v>134</v>
      </c>
      <c r="O82" s="3571">
        <v>162</v>
      </c>
      <c r="P82" s="3519">
        <v>167</v>
      </c>
      <c r="Q82" s="3520">
        <v>188</v>
      </c>
      <c r="R82" s="3520">
        <v>94</v>
      </c>
      <c r="S82" s="3520">
        <v>113</v>
      </c>
      <c r="T82" s="3520">
        <v>105</v>
      </c>
      <c r="U82" s="3520">
        <v>120</v>
      </c>
      <c r="V82" s="3520">
        <v>255</v>
      </c>
      <c r="W82" s="3520">
        <v>170</v>
      </c>
      <c r="X82" s="3520">
        <v>131</v>
      </c>
      <c r="Y82" s="3520">
        <v>185</v>
      </c>
      <c r="Z82" s="3520">
        <v>164</v>
      </c>
      <c r="AA82" s="3521">
        <v>159</v>
      </c>
      <c r="AB82" s="3522">
        <v>134</v>
      </c>
      <c r="AC82" s="3523">
        <v>96</v>
      </c>
      <c r="AD82" s="3523">
        <v>90</v>
      </c>
      <c r="AE82" s="3523">
        <v>110</v>
      </c>
      <c r="AF82" s="3523">
        <v>119</v>
      </c>
      <c r="AG82" s="3523">
        <v>128</v>
      </c>
      <c r="AH82" s="3523">
        <v>272</v>
      </c>
      <c r="AI82" s="3523">
        <v>165</v>
      </c>
      <c r="AJ82" s="3523">
        <v>119</v>
      </c>
      <c r="AK82" s="3523">
        <v>146</v>
      </c>
      <c r="AL82" s="3523">
        <v>215</v>
      </c>
      <c r="AM82" s="3524">
        <v>170</v>
      </c>
      <c r="AN82" s="3525">
        <v>177</v>
      </c>
      <c r="AO82" s="3526">
        <v>92</v>
      </c>
      <c r="AP82" s="3526">
        <v>146</v>
      </c>
      <c r="AQ82" s="3526">
        <v>95</v>
      </c>
      <c r="AR82" s="3526">
        <v>91</v>
      </c>
      <c r="AS82" s="3526">
        <v>100</v>
      </c>
      <c r="AT82" s="3526">
        <v>236</v>
      </c>
      <c r="AU82" s="3526">
        <v>185</v>
      </c>
      <c r="AV82" s="3526">
        <v>102</v>
      </c>
      <c r="AW82" s="3526">
        <v>65</v>
      </c>
      <c r="AX82" s="3526">
        <v>181</v>
      </c>
      <c r="AY82" s="3527">
        <v>133</v>
      </c>
      <c r="AZ82" s="3463">
        <v>124</v>
      </c>
      <c r="BA82" s="3463">
        <v>128</v>
      </c>
      <c r="BB82" s="3463">
        <v>97</v>
      </c>
      <c r="BC82" s="3463">
        <v>97</v>
      </c>
      <c r="BD82" s="3463">
        <v>73</v>
      </c>
      <c r="BE82" s="3463">
        <v>87</v>
      </c>
      <c r="BF82" s="3463">
        <v>232</v>
      </c>
      <c r="BG82" s="3463">
        <v>210</v>
      </c>
      <c r="BH82" s="3463">
        <v>131</v>
      </c>
      <c r="BI82" s="3463">
        <v>157</v>
      </c>
      <c r="BJ82" s="3463">
        <v>200</v>
      </c>
      <c r="BK82" s="3560">
        <v>130</v>
      </c>
      <c r="BL82" s="3530">
        <v>157</v>
      </c>
      <c r="BM82" s="3531">
        <v>139</v>
      </c>
      <c r="BN82" s="3531">
        <v>112</v>
      </c>
      <c r="BO82" s="3531">
        <v>105</v>
      </c>
      <c r="BP82" s="3531">
        <v>107</v>
      </c>
      <c r="BQ82" s="3531">
        <v>110</v>
      </c>
      <c r="BR82" s="3531">
        <v>321</v>
      </c>
      <c r="BS82" s="3531">
        <v>252</v>
      </c>
      <c r="BT82" s="3532">
        <v>119</v>
      </c>
      <c r="BU82" s="3532">
        <v>185</v>
      </c>
      <c r="BV82" s="3532">
        <v>180</v>
      </c>
      <c r="BW82" s="3533">
        <v>215</v>
      </c>
      <c r="BX82" s="3534">
        <v>188</v>
      </c>
      <c r="BY82" s="3459">
        <v>155</v>
      </c>
      <c r="BZ82" s="3459">
        <v>124</v>
      </c>
      <c r="CA82" s="3459">
        <v>85</v>
      </c>
      <c r="CB82" s="3459">
        <v>98</v>
      </c>
      <c r="CC82" s="3459">
        <v>116</v>
      </c>
      <c r="CD82" s="3459">
        <v>334</v>
      </c>
      <c r="CE82" s="3459">
        <v>184</v>
      </c>
      <c r="CF82" s="3459">
        <v>116</v>
      </c>
      <c r="CG82" s="3459">
        <v>188</v>
      </c>
      <c r="CH82" s="3459">
        <v>217</v>
      </c>
      <c r="CI82" s="3461">
        <v>213</v>
      </c>
      <c r="CJ82" s="3535">
        <v>154</v>
      </c>
      <c r="CK82" s="3536">
        <v>218</v>
      </c>
      <c r="CL82" s="3536">
        <v>150</v>
      </c>
      <c r="CM82" s="3536">
        <v>102</v>
      </c>
      <c r="CN82" s="3536">
        <v>127</v>
      </c>
      <c r="CO82" s="3536">
        <v>148</v>
      </c>
      <c r="CP82" s="3536">
        <v>356</v>
      </c>
      <c r="CQ82" s="3536">
        <v>244</v>
      </c>
      <c r="CR82" s="3536">
        <v>139</v>
      </c>
      <c r="CS82" s="3536">
        <v>182</v>
      </c>
      <c r="CT82" s="3536">
        <v>216</v>
      </c>
      <c r="CU82" s="3537">
        <v>174</v>
      </c>
      <c r="CV82" s="3535">
        <v>141</v>
      </c>
      <c r="CW82" s="3536">
        <v>235</v>
      </c>
      <c r="CX82" s="3458">
        <v>158</v>
      </c>
      <c r="CY82" s="3458">
        <v>101</v>
      </c>
      <c r="CZ82" s="3458">
        <v>126</v>
      </c>
      <c r="DA82" s="3458">
        <v>105</v>
      </c>
      <c r="DB82" s="3458">
        <v>297</v>
      </c>
      <c r="DC82" s="3458">
        <v>231</v>
      </c>
      <c r="DD82" s="3458">
        <v>140</v>
      </c>
      <c r="DE82" s="3458">
        <v>165</v>
      </c>
      <c r="DF82" s="3458">
        <v>213</v>
      </c>
      <c r="DG82" s="3537">
        <v>154</v>
      </c>
      <c r="DH82" s="3538">
        <v>151</v>
      </c>
      <c r="DI82" s="3539">
        <v>183</v>
      </c>
      <c r="DJ82" s="3539">
        <v>129</v>
      </c>
      <c r="DK82" s="3540">
        <v>112</v>
      </c>
      <c r="DL82" s="3540">
        <v>87</v>
      </c>
      <c r="DM82" s="3540">
        <v>103</v>
      </c>
      <c r="DN82" s="3540">
        <v>117</v>
      </c>
      <c r="DO82" s="3540">
        <v>153</v>
      </c>
      <c r="DP82" s="2713">
        <v>140</v>
      </c>
      <c r="DQ82" s="3540">
        <v>189</v>
      </c>
      <c r="DR82" s="3540">
        <v>171</v>
      </c>
      <c r="DS82" s="3541">
        <v>137</v>
      </c>
      <c r="DT82" s="3542">
        <v>168</v>
      </c>
      <c r="DU82" s="3429">
        <v>142</v>
      </c>
      <c r="DV82" s="3429">
        <v>113</v>
      </c>
      <c r="DW82" s="3350">
        <v>157</v>
      </c>
      <c r="DX82" s="3350">
        <v>113</v>
      </c>
      <c r="DY82" s="3350">
        <v>102</v>
      </c>
      <c r="DZ82" s="3350">
        <v>264</v>
      </c>
      <c r="EA82" s="3350">
        <v>228</v>
      </c>
      <c r="EB82" s="3350">
        <v>135</v>
      </c>
      <c r="EC82" s="3350">
        <v>169</v>
      </c>
      <c r="ED82" s="3350">
        <v>191</v>
      </c>
      <c r="EE82" s="3349">
        <v>143</v>
      </c>
      <c r="EF82" s="2689">
        <v>187</v>
      </c>
      <c r="EG82" s="2688">
        <v>214</v>
      </c>
      <c r="EH82" s="2688">
        <v>150</v>
      </c>
      <c r="EI82" s="2688">
        <v>142</v>
      </c>
      <c r="EJ82" s="2688">
        <v>131</v>
      </c>
      <c r="EK82" s="2688">
        <v>131</v>
      </c>
      <c r="EL82" s="2688">
        <v>273</v>
      </c>
      <c r="EM82" s="2714">
        <v>208</v>
      </c>
      <c r="EN82" s="2714">
        <v>147</v>
      </c>
      <c r="EO82" s="2715">
        <v>236</v>
      </c>
      <c r="EP82" s="2715">
        <v>206</v>
      </c>
      <c r="EQ82" s="2716">
        <v>165</v>
      </c>
      <c r="ER82" s="1348">
        <v>195</v>
      </c>
      <c r="ES82" s="3543">
        <v>254</v>
      </c>
      <c r="ET82" s="3543">
        <v>168</v>
      </c>
      <c r="EU82" s="2717">
        <v>170</v>
      </c>
      <c r="EV82" s="2162">
        <v>155</v>
      </c>
      <c r="EW82" s="2162">
        <v>139</v>
      </c>
      <c r="EX82" s="2162">
        <v>329</v>
      </c>
      <c r="EY82" s="2162">
        <v>278</v>
      </c>
      <c r="EZ82" s="2162">
        <v>180</v>
      </c>
      <c r="FA82" s="2339">
        <v>169</v>
      </c>
      <c r="FB82" s="2339">
        <v>181</v>
      </c>
      <c r="FC82" s="2339">
        <v>202</v>
      </c>
      <c r="FD82" s="2772">
        <v>260</v>
      </c>
      <c r="FE82" s="2773">
        <v>232</v>
      </c>
      <c r="FF82" s="2773">
        <v>86</v>
      </c>
      <c r="FG82" s="2773"/>
      <c r="FH82" s="2773">
        <v>1</v>
      </c>
      <c r="FI82" s="2773">
        <v>1</v>
      </c>
      <c r="FJ82" s="2773">
        <v>7</v>
      </c>
      <c r="FK82" s="2773">
        <v>17</v>
      </c>
      <c r="FL82" s="2773">
        <v>8</v>
      </c>
      <c r="FM82" s="2773">
        <v>12</v>
      </c>
      <c r="FN82" s="2773">
        <v>21</v>
      </c>
      <c r="FO82" s="2774">
        <v>32</v>
      </c>
      <c r="FP82" s="2772">
        <v>29</v>
      </c>
      <c r="FQ82" s="2773">
        <v>17</v>
      </c>
      <c r="FR82" s="2773">
        <v>19</v>
      </c>
      <c r="FS82" s="2773">
        <v>23</v>
      </c>
      <c r="FT82" s="2773">
        <v>26</v>
      </c>
      <c r="FU82" s="2773"/>
      <c r="FV82" s="2773"/>
      <c r="FW82" s="2773"/>
      <c r="FX82" s="2773"/>
      <c r="FY82" s="2773"/>
      <c r="FZ82" s="2773"/>
      <c r="GA82" s="2775"/>
      <c r="GB82" s="2764"/>
      <c r="GC82" s="2911">
        <v>380</v>
      </c>
      <c r="GD82" s="2912">
        <v>210</v>
      </c>
      <c r="GE82" s="2912">
        <v>608</v>
      </c>
      <c r="GF82" s="2913">
        <v>462</v>
      </c>
      <c r="GG82" s="2914">
        <v>449</v>
      </c>
      <c r="GH82" s="2915">
        <v>338</v>
      </c>
      <c r="GI82" s="2915">
        <v>556</v>
      </c>
      <c r="GJ82" s="2916">
        <v>508</v>
      </c>
      <c r="GK82" s="2917">
        <v>320</v>
      </c>
      <c r="GL82" s="2918">
        <v>357</v>
      </c>
      <c r="GM82" s="2919">
        <v>556</v>
      </c>
      <c r="GN82" s="2919">
        <v>531</v>
      </c>
      <c r="GO82" s="2920">
        <v>415</v>
      </c>
      <c r="GP82" s="2921">
        <v>286</v>
      </c>
      <c r="GQ82" s="2921">
        <v>523</v>
      </c>
      <c r="GR82" s="2922">
        <v>379</v>
      </c>
      <c r="GS82" s="2923">
        <v>349</v>
      </c>
      <c r="GT82" s="2924">
        <v>257</v>
      </c>
      <c r="GU82" s="2924">
        <v>573</v>
      </c>
      <c r="GV82" s="2925">
        <v>487</v>
      </c>
      <c r="GW82" s="2921">
        <v>408</v>
      </c>
      <c r="GX82" s="2921">
        <v>322</v>
      </c>
      <c r="GY82" s="2921">
        <v>692</v>
      </c>
      <c r="GZ82" s="2921">
        <v>580</v>
      </c>
      <c r="HA82" s="2926">
        <v>467</v>
      </c>
      <c r="HB82" s="2926">
        <v>299</v>
      </c>
      <c r="HC82" s="2926">
        <v>634</v>
      </c>
      <c r="HD82" s="2926">
        <v>618</v>
      </c>
      <c r="HE82" s="2927">
        <v>522</v>
      </c>
      <c r="HF82" s="2927">
        <v>377</v>
      </c>
      <c r="HG82" s="2927">
        <f t="shared" si="17"/>
        <v>739</v>
      </c>
      <c r="HH82" s="2927">
        <v>572</v>
      </c>
      <c r="HI82" s="2928">
        <v>534</v>
      </c>
      <c r="HJ82" s="2928">
        <f t="shared" si="18"/>
        <v>332</v>
      </c>
      <c r="HK82" s="2928">
        <f t="shared" si="19"/>
        <v>668</v>
      </c>
      <c r="HL82" s="2927">
        <f t="shared" si="20"/>
        <v>532</v>
      </c>
      <c r="HM82" s="2846">
        <f t="shared" si="21"/>
        <v>463</v>
      </c>
      <c r="HN82" s="2846">
        <f t="shared" si="22"/>
        <v>302</v>
      </c>
      <c r="HO82" s="2846">
        <f t="shared" si="23"/>
        <v>407</v>
      </c>
      <c r="HP82" s="2846">
        <f t="shared" si="24"/>
        <v>497</v>
      </c>
      <c r="HQ82" s="2921">
        <f t="shared" si="25"/>
        <v>423</v>
      </c>
      <c r="HR82" s="2921">
        <f t="shared" si="26"/>
        <v>372</v>
      </c>
      <c r="HS82" s="2921">
        <f t="shared" si="27"/>
        <v>627</v>
      </c>
      <c r="HT82" s="2921">
        <f t="shared" si="28"/>
        <v>503</v>
      </c>
      <c r="HU82" s="2929">
        <f t="shared" si="29"/>
        <v>551</v>
      </c>
      <c r="HV82" s="2926">
        <f t="shared" si="30"/>
        <v>404</v>
      </c>
      <c r="HW82" s="2926">
        <f t="shared" si="31"/>
        <v>628</v>
      </c>
      <c r="HX82" s="2926">
        <f t="shared" si="32"/>
        <v>607</v>
      </c>
      <c r="HY82" s="2930">
        <f t="shared" si="33"/>
        <v>617</v>
      </c>
      <c r="HZ82" s="2931">
        <f t="shared" si="34"/>
        <v>464</v>
      </c>
      <c r="IA82" s="2931">
        <f t="shared" si="35"/>
        <v>787</v>
      </c>
      <c r="IB82" s="2931">
        <f t="shared" si="36"/>
        <v>552</v>
      </c>
      <c r="IC82" s="2932">
        <f t="shared" si="65"/>
        <v>578</v>
      </c>
      <c r="ID82" s="2933">
        <f t="shared" si="66"/>
        <v>2</v>
      </c>
      <c r="IE82" s="2933">
        <f t="shared" si="69"/>
        <v>32</v>
      </c>
      <c r="IF82" s="2934">
        <f t="shared" si="70"/>
        <v>65</v>
      </c>
      <c r="IG82" s="2929">
        <f t="shared" si="51"/>
        <v>65</v>
      </c>
      <c r="IH82" s="2926">
        <f t="shared" si="52"/>
        <v>49</v>
      </c>
      <c r="II82" s="2926">
        <f t="shared" si="53"/>
        <v>0</v>
      </c>
      <c r="IJ82" s="2926">
        <f t="shared" si="54"/>
        <v>0</v>
      </c>
      <c r="IK82" s="2735"/>
      <c r="IL82" s="3544">
        <v>1660</v>
      </c>
      <c r="IM82" s="3545">
        <v>1851</v>
      </c>
      <c r="IN82" s="3545">
        <v>1764</v>
      </c>
      <c r="IO82" s="3545">
        <v>1603</v>
      </c>
      <c r="IP82" s="3545">
        <v>1666</v>
      </c>
      <c r="IQ82" s="3545">
        <v>2002</v>
      </c>
      <c r="IR82" s="3546">
        <v>2018</v>
      </c>
      <c r="IS82" s="3547">
        <v>2210</v>
      </c>
      <c r="IT82" s="3547">
        <f t="shared" si="37"/>
        <v>2066</v>
      </c>
      <c r="IU82" s="3547">
        <f t="shared" si="38"/>
        <v>1672</v>
      </c>
      <c r="IV82" s="3547">
        <f t="shared" si="39"/>
        <v>1925</v>
      </c>
      <c r="IW82" s="3547">
        <f t="shared" si="40"/>
        <v>2190</v>
      </c>
      <c r="IX82" s="3548">
        <f t="shared" si="55"/>
        <v>2420</v>
      </c>
      <c r="IY82" s="3566">
        <f t="shared" si="71"/>
        <v>677</v>
      </c>
      <c r="IZ82" s="3564">
        <f t="shared" si="57"/>
        <v>231</v>
      </c>
      <c r="JA82" s="3765">
        <f t="shared" si="58"/>
        <v>114</v>
      </c>
      <c r="JC82" s="3551">
        <f t="shared" si="59"/>
        <v>454</v>
      </c>
      <c r="JD82" s="3552">
        <f t="shared" si="42"/>
        <v>2.66400690857294E-3</v>
      </c>
      <c r="JE82" s="3552">
        <f t="shared" si="43"/>
        <v>2.9482441483096988E-3</v>
      </c>
      <c r="JF82" s="3552">
        <f t="shared" si="60"/>
        <v>3.1999298645509142E-3</v>
      </c>
      <c r="JG82" s="3552">
        <f t="shared" si="56"/>
        <v>3.5359955580882246E-3</v>
      </c>
      <c r="JH82" s="3552">
        <f t="shared" si="61"/>
        <v>3.5553548265123388E-3</v>
      </c>
      <c r="JI82" s="3565">
        <f t="shared" si="62"/>
        <v>8.2207575908553859E-4</v>
      </c>
      <c r="JJ82" s="3552"/>
      <c r="JK82" s="3554">
        <f t="shared" si="44"/>
        <v>0.15131578947368429</v>
      </c>
      <c r="JL82" s="3555">
        <f t="shared" si="45"/>
        <v>-0.72846889952153115</v>
      </c>
      <c r="JM82" s="3555">
        <f t="shared" si="46"/>
        <v>0.1376623376623376</v>
      </c>
      <c r="JN82" s="3555">
        <f t="shared" si="46"/>
        <v>0.10502283105022836</v>
      </c>
      <c r="JO82" s="3555">
        <f t="shared" si="46"/>
        <v>-0.72024793388429753</v>
      </c>
      <c r="JP82" s="3556">
        <f t="shared" si="63"/>
        <v>-0.90454545454545454</v>
      </c>
      <c r="JQ82" s="3557">
        <f t="shared" si="64"/>
        <v>-0.65878877400295421</v>
      </c>
    </row>
    <row r="83" spans="1:301" ht="21.9" customHeight="1">
      <c r="A83" s="3568"/>
      <c r="B83" s="3231"/>
      <c r="C83" s="3567" t="s">
        <v>50</v>
      </c>
      <c r="D83" s="3569">
        <v>339</v>
      </c>
      <c r="E83" s="3570">
        <v>210</v>
      </c>
      <c r="F83" s="3570">
        <v>197</v>
      </c>
      <c r="G83" s="3570">
        <v>159</v>
      </c>
      <c r="H83" s="3570">
        <v>91</v>
      </c>
      <c r="I83" s="3570">
        <v>219</v>
      </c>
      <c r="J83" s="3570">
        <v>149</v>
      </c>
      <c r="K83" s="3570">
        <v>85</v>
      </c>
      <c r="L83" s="3570">
        <v>129</v>
      </c>
      <c r="M83" s="3570">
        <v>258</v>
      </c>
      <c r="N83" s="3570">
        <v>319</v>
      </c>
      <c r="O83" s="3571">
        <v>367</v>
      </c>
      <c r="P83" s="3519">
        <v>226</v>
      </c>
      <c r="Q83" s="3520">
        <v>386</v>
      </c>
      <c r="R83" s="3520">
        <v>264</v>
      </c>
      <c r="S83" s="3520">
        <v>123</v>
      </c>
      <c r="T83" s="3520">
        <v>132</v>
      </c>
      <c r="U83" s="3520">
        <v>204</v>
      </c>
      <c r="V83" s="3520">
        <v>173</v>
      </c>
      <c r="W83" s="3520">
        <v>77</v>
      </c>
      <c r="X83" s="3520">
        <v>137</v>
      </c>
      <c r="Y83" s="3520">
        <v>325</v>
      </c>
      <c r="Z83" s="3520">
        <v>450</v>
      </c>
      <c r="AA83" s="3521">
        <v>328</v>
      </c>
      <c r="AB83" s="3522">
        <v>333</v>
      </c>
      <c r="AC83" s="3523">
        <v>256</v>
      </c>
      <c r="AD83" s="3523">
        <v>147</v>
      </c>
      <c r="AE83" s="3523">
        <v>149</v>
      </c>
      <c r="AF83" s="3523">
        <v>162</v>
      </c>
      <c r="AG83" s="3523">
        <v>175</v>
      </c>
      <c r="AH83" s="3523">
        <v>174</v>
      </c>
      <c r="AI83" s="3523">
        <v>70</v>
      </c>
      <c r="AJ83" s="3523">
        <v>125</v>
      </c>
      <c r="AK83" s="3523">
        <v>265</v>
      </c>
      <c r="AL83" s="3523">
        <v>391</v>
      </c>
      <c r="AM83" s="3524">
        <v>315</v>
      </c>
      <c r="AN83" s="3525">
        <v>395</v>
      </c>
      <c r="AO83" s="3526">
        <v>294</v>
      </c>
      <c r="AP83" s="3526">
        <v>272</v>
      </c>
      <c r="AQ83" s="3526">
        <v>88</v>
      </c>
      <c r="AR83" s="3526">
        <v>79</v>
      </c>
      <c r="AS83" s="3526">
        <v>166</v>
      </c>
      <c r="AT83" s="3526">
        <v>142</v>
      </c>
      <c r="AU83" s="3526">
        <v>83</v>
      </c>
      <c r="AV83" s="3526">
        <v>98</v>
      </c>
      <c r="AW83" s="3526">
        <v>145</v>
      </c>
      <c r="AX83" s="3526">
        <v>286</v>
      </c>
      <c r="AY83" s="3527">
        <v>256</v>
      </c>
      <c r="AZ83" s="3463">
        <v>277</v>
      </c>
      <c r="BA83" s="3463">
        <v>260</v>
      </c>
      <c r="BB83" s="3463">
        <v>183</v>
      </c>
      <c r="BC83" s="3463">
        <v>123</v>
      </c>
      <c r="BD83" s="3463">
        <v>86</v>
      </c>
      <c r="BE83" s="3463">
        <v>219</v>
      </c>
      <c r="BF83" s="3463">
        <v>105</v>
      </c>
      <c r="BG83" s="3463">
        <v>112</v>
      </c>
      <c r="BH83" s="3463">
        <v>111</v>
      </c>
      <c r="BI83" s="3463">
        <v>254</v>
      </c>
      <c r="BJ83" s="3463">
        <v>359</v>
      </c>
      <c r="BK83" s="3560">
        <v>276</v>
      </c>
      <c r="BL83" s="3530">
        <v>262</v>
      </c>
      <c r="BM83" s="3531">
        <v>289</v>
      </c>
      <c r="BN83" s="3531">
        <v>213</v>
      </c>
      <c r="BO83" s="3531">
        <v>112</v>
      </c>
      <c r="BP83" s="3531">
        <v>95</v>
      </c>
      <c r="BQ83" s="3531">
        <v>248</v>
      </c>
      <c r="BR83" s="3531">
        <v>156</v>
      </c>
      <c r="BS83" s="3531">
        <v>88</v>
      </c>
      <c r="BT83" s="3532">
        <v>131</v>
      </c>
      <c r="BU83" s="3532">
        <v>245</v>
      </c>
      <c r="BV83" s="3532">
        <v>457</v>
      </c>
      <c r="BW83" s="3533">
        <v>390</v>
      </c>
      <c r="BX83" s="3534">
        <v>285</v>
      </c>
      <c r="BY83" s="3459">
        <v>221</v>
      </c>
      <c r="BZ83" s="3459">
        <v>246</v>
      </c>
      <c r="CA83" s="3459">
        <v>101</v>
      </c>
      <c r="CB83" s="3459">
        <v>77</v>
      </c>
      <c r="CC83" s="3459">
        <v>202</v>
      </c>
      <c r="CD83" s="3459">
        <v>190</v>
      </c>
      <c r="CE83" s="3459">
        <v>55</v>
      </c>
      <c r="CF83" s="3459">
        <v>100</v>
      </c>
      <c r="CG83" s="3459">
        <v>284</v>
      </c>
      <c r="CH83" s="3459">
        <v>378</v>
      </c>
      <c r="CI83" s="3461">
        <v>396</v>
      </c>
      <c r="CJ83" s="3535">
        <v>313</v>
      </c>
      <c r="CK83" s="3536">
        <v>295</v>
      </c>
      <c r="CL83" s="3536">
        <v>198</v>
      </c>
      <c r="CM83" s="3536">
        <v>114</v>
      </c>
      <c r="CN83" s="3536">
        <v>95</v>
      </c>
      <c r="CO83" s="3536">
        <v>180</v>
      </c>
      <c r="CP83" s="3536">
        <v>145</v>
      </c>
      <c r="CQ83" s="3536">
        <v>101</v>
      </c>
      <c r="CR83" s="3536">
        <v>88</v>
      </c>
      <c r="CS83" s="3536">
        <v>305</v>
      </c>
      <c r="CT83" s="3536">
        <v>368</v>
      </c>
      <c r="CU83" s="3537">
        <v>385</v>
      </c>
      <c r="CV83" s="3535">
        <v>271</v>
      </c>
      <c r="CW83" s="3536">
        <v>281</v>
      </c>
      <c r="CX83" s="3458">
        <v>204</v>
      </c>
      <c r="CY83" s="3458">
        <v>122</v>
      </c>
      <c r="CZ83" s="3458">
        <v>83</v>
      </c>
      <c r="DA83" s="3458">
        <v>245</v>
      </c>
      <c r="DB83" s="3458">
        <v>168</v>
      </c>
      <c r="DC83" s="3458">
        <v>86</v>
      </c>
      <c r="DD83" s="3458">
        <v>149</v>
      </c>
      <c r="DE83" s="3458">
        <v>327</v>
      </c>
      <c r="DF83" s="3458">
        <v>370</v>
      </c>
      <c r="DG83" s="3537">
        <v>393</v>
      </c>
      <c r="DH83" s="3538">
        <v>261</v>
      </c>
      <c r="DI83" s="3539">
        <v>243</v>
      </c>
      <c r="DJ83" s="3539">
        <v>222</v>
      </c>
      <c r="DK83" s="3540">
        <v>135</v>
      </c>
      <c r="DL83" s="3540">
        <v>89</v>
      </c>
      <c r="DM83" s="3540">
        <v>230</v>
      </c>
      <c r="DN83" s="3540">
        <v>147</v>
      </c>
      <c r="DO83" s="3540">
        <v>63</v>
      </c>
      <c r="DP83" s="2713">
        <v>96</v>
      </c>
      <c r="DQ83" s="3540">
        <v>338</v>
      </c>
      <c r="DR83" s="3540">
        <v>256</v>
      </c>
      <c r="DS83" s="3541">
        <v>252</v>
      </c>
      <c r="DT83" s="3542">
        <v>197</v>
      </c>
      <c r="DU83" s="3429">
        <v>217</v>
      </c>
      <c r="DV83" s="3429">
        <v>144</v>
      </c>
      <c r="DW83" s="3350">
        <v>145</v>
      </c>
      <c r="DX83" s="3350">
        <v>75</v>
      </c>
      <c r="DY83" s="3350">
        <v>141</v>
      </c>
      <c r="DZ83" s="3350">
        <v>109</v>
      </c>
      <c r="EA83" s="3350">
        <v>77</v>
      </c>
      <c r="EB83" s="3350">
        <v>82</v>
      </c>
      <c r="EC83" s="3350">
        <v>232</v>
      </c>
      <c r="ED83" s="3350">
        <v>376</v>
      </c>
      <c r="EE83" s="3349">
        <v>299</v>
      </c>
      <c r="EF83" s="2689">
        <v>195</v>
      </c>
      <c r="EG83" s="2688">
        <v>235</v>
      </c>
      <c r="EH83" s="2688">
        <v>183</v>
      </c>
      <c r="EI83" s="2688">
        <v>113</v>
      </c>
      <c r="EJ83" s="2688">
        <v>75</v>
      </c>
      <c r="EK83" s="2688">
        <v>182</v>
      </c>
      <c r="EL83" s="2688">
        <v>155</v>
      </c>
      <c r="EM83" s="2714">
        <v>72</v>
      </c>
      <c r="EN83" s="2714">
        <v>97</v>
      </c>
      <c r="EO83" s="2715">
        <v>185</v>
      </c>
      <c r="EP83" s="2715">
        <v>290</v>
      </c>
      <c r="EQ83" s="2716">
        <v>273</v>
      </c>
      <c r="ER83" s="1348">
        <v>248</v>
      </c>
      <c r="ES83" s="3543">
        <v>226</v>
      </c>
      <c r="ET83" s="3543">
        <v>182</v>
      </c>
      <c r="EU83" s="2717">
        <v>104</v>
      </c>
      <c r="EV83" s="2162">
        <v>93</v>
      </c>
      <c r="EW83" s="2162">
        <v>256</v>
      </c>
      <c r="EX83" s="2162">
        <v>199</v>
      </c>
      <c r="EY83" s="2162">
        <v>90</v>
      </c>
      <c r="EZ83" s="2162">
        <v>89</v>
      </c>
      <c r="FA83" s="2338">
        <v>133</v>
      </c>
      <c r="FB83" s="2338">
        <v>278</v>
      </c>
      <c r="FC83" s="2338">
        <v>272</v>
      </c>
      <c r="FD83" s="2765">
        <v>263</v>
      </c>
      <c r="FE83" s="2766">
        <v>231</v>
      </c>
      <c r="FF83" s="2766">
        <v>68</v>
      </c>
      <c r="FG83" s="2766"/>
      <c r="FH83" s="2766">
        <v>3</v>
      </c>
      <c r="FI83" s="2766">
        <v>5</v>
      </c>
      <c r="FJ83" s="2766">
        <v>10</v>
      </c>
      <c r="FK83" s="2766">
        <v>9</v>
      </c>
      <c r="FL83" s="2766">
        <v>15</v>
      </c>
      <c r="FM83" s="2766">
        <v>16</v>
      </c>
      <c r="FN83" s="2766">
        <v>29</v>
      </c>
      <c r="FO83" s="2767">
        <v>37</v>
      </c>
      <c r="FP83" s="2765">
        <v>34</v>
      </c>
      <c r="FQ83" s="2766">
        <v>17</v>
      </c>
      <c r="FR83" s="2766">
        <v>20</v>
      </c>
      <c r="FS83" s="2766">
        <v>15</v>
      </c>
      <c r="FT83" s="2766">
        <v>24</v>
      </c>
      <c r="FU83" s="2766"/>
      <c r="FV83" s="2766"/>
      <c r="FW83" s="2766"/>
      <c r="FX83" s="2766"/>
      <c r="FY83" s="2766"/>
      <c r="FZ83" s="2766"/>
      <c r="GA83" s="2771"/>
      <c r="GB83" s="2764"/>
      <c r="GC83" s="2911">
        <v>746</v>
      </c>
      <c r="GD83" s="2912">
        <v>469</v>
      </c>
      <c r="GE83" s="2912">
        <v>363</v>
      </c>
      <c r="GF83" s="2913">
        <v>944</v>
      </c>
      <c r="GG83" s="2914">
        <v>876</v>
      </c>
      <c r="GH83" s="2915">
        <v>459</v>
      </c>
      <c r="GI83" s="2915">
        <v>387</v>
      </c>
      <c r="GJ83" s="2916">
        <v>1103</v>
      </c>
      <c r="GK83" s="2917">
        <v>736</v>
      </c>
      <c r="GL83" s="2918">
        <v>486</v>
      </c>
      <c r="GM83" s="2919">
        <v>369</v>
      </c>
      <c r="GN83" s="2919">
        <v>971</v>
      </c>
      <c r="GO83" s="2920">
        <v>961</v>
      </c>
      <c r="GP83" s="2921">
        <v>333</v>
      </c>
      <c r="GQ83" s="2921">
        <v>323</v>
      </c>
      <c r="GR83" s="2922">
        <v>687</v>
      </c>
      <c r="GS83" s="2923">
        <v>720</v>
      </c>
      <c r="GT83" s="2924">
        <v>428</v>
      </c>
      <c r="GU83" s="2924">
        <v>328</v>
      </c>
      <c r="GV83" s="2925">
        <v>889</v>
      </c>
      <c r="GW83" s="2921">
        <v>764</v>
      </c>
      <c r="GX83" s="2921">
        <v>455</v>
      </c>
      <c r="GY83" s="2921">
        <v>375</v>
      </c>
      <c r="GZ83" s="2921">
        <v>1092</v>
      </c>
      <c r="HA83" s="2926">
        <v>752</v>
      </c>
      <c r="HB83" s="2926">
        <v>380</v>
      </c>
      <c r="HC83" s="2926">
        <v>345</v>
      </c>
      <c r="HD83" s="2926">
        <v>1058</v>
      </c>
      <c r="HE83" s="2927">
        <v>806</v>
      </c>
      <c r="HF83" s="2927">
        <v>389</v>
      </c>
      <c r="HG83" s="2927">
        <f t="shared" si="17"/>
        <v>334</v>
      </c>
      <c r="HH83" s="2927">
        <v>1058</v>
      </c>
      <c r="HI83" s="2928">
        <v>756</v>
      </c>
      <c r="HJ83" s="2928">
        <f t="shared" si="18"/>
        <v>450</v>
      </c>
      <c r="HK83" s="2928">
        <f t="shared" si="19"/>
        <v>403</v>
      </c>
      <c r="HL83" s="2927">
        <f t="shared" si="20"/>
        <v>1090</v>
      </c>
      <c r="HM83" s="2846">
        <f t="shared" si="21"/>
        <v>726</v>
      </c>
      <c r="HN83" s="2846">
        <f t="shared" si="22"/>
        <v>454</v>
      </c>
      <c r="HO83" s="2846">
        <f t="shared" si="23"/>
        <v>462</v>
      </c>
      <c r="HP83" s="2846">
        <f t="shared" si="24"/>
        <v>846</v>
      </c>
      <c r="HQ83" s="2921">
        <f t="shared" si="25"/>
        <v>558</v>
      </c>
      <c r="HR83" s="2921">
        <f t="shared" si="26"/>
        <v>361</v>
      </c>
      <c r="HS83" s="2921">
        <f t="shared" si="27"/>
        <v>268</v>
      </c>
      <c r="HT83" s="2921">
        <f t="shared" si="28"/>
        <v>907</v>
      </c>
      <c r="HU83" s="2929">
        <f t="shared" si="29"/>
        <v>613</v>
      </c>
      <c r="HV83" s="2926">
        <f t="shared" si="30"/>
        <v>370</v>
      </c>
      <c r="HW83" s="2926">
        <f t="shared" si="31"/>
        <v>324</v>
      </c>
      <c r="HX83" s="2926">
        <f t="shared" si="32"/>
        <v>748</v>
      </c>
      <c r="HY83" s="2930">
        <f t="shared" si="33"/>
        <v>656</v>
      </c>
      <c r="HZ83" s="2931">
        <f t="shared" si="34"/>
        <v>453</v>
      </c>
      <c r="IA83" s="2931">
        <f t="shared" si="35"/>
        <v>378</v>
      </c>
      <c r="IB83" s="2931">
        <f t="shared" si="36"/>
        <v>683</v>
      </c>
      <c r="IC83" s="2932">
        <f t="shared" si="65"/>
        <v>562</v>
      </c>
      <c r="ID83" s="2933">
        <f t="shared" si="66"/>
        <v>8</v>
      </c>
      <c r="IE83" s="2933">
        <f t="shared" si="69"/>
        <v>34</v>
      </c>
      <c r="IF83" s="2934">
        <f t="shared" si="70"/>
        <v>82</v>
      </c>
      <c r="IG83" s="2929">
        <f t="shared" si="51"/>
        <v>71</v>
      </c>
      <c r="IH83" s="2926">
        <f t="shared" si="52"/>
        <v>39</v>
      </c>
      <c r="II83" s="2926">
        <f t="shared" si="53"/>
        <v>0</v>
      </c>
      <c r="IJ83" s="2926">
        <f t="shared" si="54"/>
        <v>0</v>
      </c>
      <c r="IK83" s="2735"/>
      <c r="IL83" s="3544">
        <v>2522</v>
      </c>
      <c r="IM83" s="3545">
        <v>2825</v>
      </c>
      <c r="IN83" s="3545">
        <v>2562</v>
      </c>
      <c r="IO83" s="3545">
        <v>2304</v>
      </c>
      <c r="IP83" s="3545">
        <v>2365</v>
      </c>
      <c r="IQ83" s="3545">
        <v>2686</v>
      </c>
      <c r="IR83" s="3546">
        <v>2535</v>
      </c>
      <c r="IS83" s="3547">
        <v>2587</v>
      </c>
      <c r="IT83" s="3547">
        <f t="shared" si="37"/>
        <v>2699</v>
      </c>
      <c r="IU83" s="3547">
        <f t="shared" si="38"/>
        <v>2332</v>
      </c>
      <c r="IV83" s="3547">
        <f t="shared" si="39"/>
        <v>2094</v>
      </c>
      <c r="IW83" s="3547">
        <f t="shared" si="40"/>
        <v>2055</v>
      </c>
      <c r="IX83" s="3548">
        <f t="shared" si="55"/>
        <v>2170</v>
      </c>
      <c r="IY83" s="3566">
        <f t="shared" si="71"/>
        <v>686</v>
      </c>
      <c r="IZ83" s="3564">
        <f t="shared" si="57"/>
        <v>243</v>
      </c>
      <c r="JA83" s="3765">
        <f t="shared" si="58"/>
        <v>110</v>
      </c>
      <c r="JC83" s="3551">
        <f t="shared" si="59"/>
        <v>464.5</v>
      </c>
      <c r="JD83" s="3552">
        <f t="shared" si="42"/>
        <v>3.7155885830096268E-3</v>
      </c>
      <c r="JE83" s="3552">
        <f t="shared" si="43"/>
        <v>3.2070770112002647E-3</v>
      </c>
      <c r="JF83" s="3552">
        <f t="shared" si="60"/>
        <v>3.0026739139964054E-3</v>
      </c>
      <c r="JG83" s="3552">
        <f t="shared" si="56"/>
        <v>3.1707067607650609E-3</v>
      </c>
      <c r="JH83" s="3552">
        <f t="shared" si="61"/>
        <v>3.6026195140139799E-3</v>
      </c>
      <c r="JI83" s="3565">
        <f t="shared" si="62"/>
        <v>8.6478099332374834E-4</v>
      </c>
      <c r="JJ83" s="3552"/>
      <c r="JK83" s="3554">
        <f t="shared" si="44"/>
        <v>-0.10205831903945106</v>
      </c>
      <c r="JL83" s="3555">
        <f t="shared" si="45"/>
        <v>-0.80081475128644941</v>
      </c>
      <c r="JM83" s="3555">
        <f t="shared" si="46"/>
        <v>-1.8624641833810851E-2</v>
      </c>
      <c r="JN83" s="3555">
        <f t="shared" si="46"/>
        <v>5.5961070559610748E-2</v>
      </c>
      <c r="JO83" s="3555">
        <f t="shared" si="46"/>
        <v>-0.68387096774193545</v>
      </c>
      <c r="JP83" s="3556">
        <f t="shared" si="63"/>
        <v>-0.88801843317972351</v>
      </c>
      <c r="JQ83" s="3557">
        <f t="shared" si="64"/>
        <v>-0.64577259475218662</v>
      </c>
    </row>
    <row r="84" spans="1:301" ht="21.9" customHeight="1">
      <c r="A84" s="3568"/>
      <c r="B84" s="3231"/>
      <c r="C84" s="3567" t="s">
        <v>1508</v>
      </c>
      <c r="D84" s="3569"/>
      <c r="E84" s="3570"/>
      <c r="F84" s="3570"/>
      <c r="G84" s="3570"/>
      <c r="H84" s="3570"/>
      <c r="I84" s="3570"/>
      <c r="J84" s="3570"/>
      <c r="K84" s="3570"/>
      <c r="L84" s="3570"/>
      <c r="M84" s="3570"/>
      <c r="N84" s="3570"/>
      <c r="O84" s="3571"/>
      <c r="P84" s="3519"/>
      <c r="Q84" s="3520"/>
      <c r="R84" s="3520"/>
      <c r="S84" s="3520"/>
      <c r="T84" s="3520"/>
      <c r="U84" s="3520"/>
      <c r="V84" s="3520"/>
      <c r="W84" s="3520"/>
      <c r="X84" s="3520"/>
      <c r="Y84" s="3520"/>
      <c r="Z84" s="3520"/>
      <c r="AA84" s="3521"/>
      <c r="AB84" s="3522"/>
      <c r="AC84" s="3523"/>
      <c r="AD84" s="3523"/>
      <c r="AE84" s="3523"/>
      <c r="AF84" s="3523"/>
      <c r="AG84" s="3523"/>
      <c r="AH84" s="3523"/>
      <c r="AI84" s="3523"/>
      <c r="AJ84" s="3523"/>
      <c r="AK84" s="3523"/>
      <c r="AL84" s="3523"/>
      <c r="AM84" s="3524"/>
      <c r="AN84" s="3525"/>
      <c r="AO84" s="3526"/>
      <c r="AP84" s="3526"/>
      <c r="AQ84" s="3526"/>
      <c r="AR84" s="3526"/>
      <c r="AS84" s="3526"/>
      <c r="AT84" s="3526"/>
      <c r="AU84" s="3526"/>
      <c r="AV84" s="3526"/>
      <c r="AW84" s="3526"/>
      <c r="AX84" s="3526"/>
      <c r="AY84" s="3527"/>
      <c r="AZ84" s="3463"/>
      <c r="BA84" s="3463"/>
      <c r="BB84" s="3463"/>
      <c r="BC84" s="3463"/>
      <c r="BD84" s="3463"/>
      <c r="BE84" s="3463"/>
      <c r="BF84" s="3463"/>
      <c r="BG84" s="3463"/>
      <c r="BH84" s="3463"/>
      <c r="BI84" s="3463"/>
      <c r="BJ84" s="3463"/>
      <c r="BK84" s="3560"/>
      <c r="BL84" s="3530"/>
      <c r="BM84" s="3531"/>
      <c r="BN84" s="3531"/>
      <c r="BO84" s="3531"/>
      <c r="BP84" s="3531"/>
      <c r="BQ84" s="3531"/>
      <c r="BR84" s="3531"/>
      <c r="BS84" s="3531"/>
      <c r="BT84" s="3532"/>
      <c r="BU84" s="3532"/>
      <c r="BV84" s="3532"/>
      <c r="BW84" s="3533"/>
      <c r="BX84" s="3534"/>
      <c r="BY84" s="3459"/>
      <c r="BZ84" s="3459"/>
      <c r="CA84" s="3459"/>
      <c r="CB84" s="3459"/>
      <c r="CC84" s="3459"/>
      <c r="CD84" s="3459"/>
      <c r="CE84" s="3459"/>
      <c r="CF84" s="3459"/>
      <c r="CG84" s="3459"/>
      <c r="CH84" s="3459"/>
      <c r="CI84" s="3461"/>
      <c r="CJ84" s="3535"/>
      <c r="CK84" s="3536"/>
      <c r="CL84" s="3536"/>
      <c r="CM84" s="3536"/>
      <c r="CN84" s="3536"/>
      <c r="CO84" s="3536"/>
      <c r="CP84" s="3536"/>
      <c r="CQ84" s="3536"/>
      <c r="CR84" s="3536"/>
      <c r="CS84" s="3536"/>
      <c r="CT84" s="3536"/>
      <c r="CU84" s="3537"/>
      <c r="CV84" s="3535"/>
      <c r="CW84" s="3536"/>
      <c r="CX84" s="3458"/>
      <c r="CY84" s="3458"/>
      <c r="CZ84" s="3458"/>
      <c r="DA84" s="3458"/>
      <c r="DB84" s="3458"/>
      <c r="DC84" s="3458"/>
      <c r="DD84" s="3458"/>
      <c r="DE84" s="3458"/>
      <c r="DF84" s="3458"/>
      <c r="DG84" s="3537"/>
      <c r="DH84" s="3538"/>
      <c r="DI84" s="3539"/>
      <c r="DJ84" s="3539"/>
      <c r="DK84" s="3540"/>
      <c r="DL84" s="3540"/>
      <c r="DM84" s="3540"/>
      <c r="DN84" s="3540"/>
      <c r="DO84" s="3540"/>
      <c r="DP84" s="2713"/>
      <c r="DQ84" s="3540"/>
      <c r="DR84" s="3540"/>
      <c r="DS84" s="3541"/>
      <c r="DT84" s="3542"/>
      <c r="DU84" s="3429"/>
      <c r="DV84" s="3429"/>
      <c r="DW84" s="3350"/>
      <c r="DX84" s="3350"/>
      <c r="DY84" s="3350"/>
      <c r="DZ84" s="3350"/>
      <c r="EA84" s="3350"/>
      <c r="EB84" s="3350"/>
      <c r="EC84" s="3350"/>
      <c r="ED84" s="3350"/>
      <c r="EE84" s="3349"/>
      <c r="EF84" s="2689"/>
      <c r="EG84" s="2688"/>
      <c r="EH84" s="2688"/>
      <c r="EI84" s="2688"/>
      <c r="EJ84" s="2688"/>
      <c r="EK84" s="2688"/>
      <c r="EL84" s="2688"/>
      <c r="EM84" s="2714"/>
      <c r="EN84" s="2714"/>
      <c r="EO84" s="2715"/>
      <c r="EP84" s="2715"/>
      <c r="EQ84" s="2716"/>
      <c r="ER84" s="1348"/>
      <c r="ES84" s="3543"/>
      <c r="ET84" s="3543"/>
      <c r="EU84" s="2717"/>
      <c r="EV84" s="2162"/>
      <c r="EW84" s="2162"/>
      <c r="EX84" s="2162"/>
      <c r="EY84" s="2162"/>
      <c r="EZ84" s="2162"/>
      <c r="FA84" s="2339"/>
      <c r="FB84" s="2339"/>
      <c r="FC84" s="2339"/>
      <c r="FD84" s="2772"/>
      <c r="FE84" s="2773"/>
      <c r="FF84" s="2773"/>
      <c r="FG84" s="2773"/>
      <c r="FH84" s="2773"/>
      <c r="FI84" s="2773"/>
      <c r="FJ84" s="2773"/>
      <c r="FK84" s="2773"/>
      <c r="FL84" s="2773"/>
      <c r="FM84" s="2773"/>
      <c r="FN84" s="2773"/>
      <c r="FO84" s="2774"/>
      <c r="FP84" s="2776">
        <v>45</v>
      </c>
      <c r="FQ84" s="2777">
        <v>30</v>
      </c>
      <c r="FR84" s="2777">
        <v>25</v>
      </c>
      <c r="FS84" s="2777">
        <v>34</v>
      </c>
      <c r="FT84" s="2777">
        <v>25</v>
      </c>
      <c r="FU84" s="2777"/>
      <c r="FV84" s="2777"/>
      <c r="FW84" s="2777"/>
      <c r="FX84" s="2777"/>
      <c r="FY84" s="2777"/>
      <c r="FZ84" s="2777"/>
      <c r="GA84" s="2778"/>
      <c r="GB84" s="2764"/>
      <c r="GC84" s="2911"/>
      <c r="GD84" s="2912"/>
      <c r="GE84" s="2912"/>
      <c r="GF84" s="2913"/>
      <c r="GG84" s="2914"/>
      <c r="GH84" s="2915"/>
      <c r="GI84" s="2915"/>
      <c r="GJ84" s="2916"/>
      <c r="GK84" s="2917"/>
      <c r="GL84" s="2918"/>
      <c r="GM84" s="2919"/>
      <c r="GN84" s="2919"/>
      <c r="GO84" s="2920"/>
      <c r="GP84" s="2921"/>
      <c r="GQ84" s="2921"/>
      <c r="GR84" s="2922"/>
      <c r="GS84" s="2923"/>
      <c r="GT84" s="2924"/>
      <c r="GU84" s="2924"/>
      <c r="GV84" s="2925"/>
      <c r="GW84" s="2921"/>
      <c r="GX84" s="2921"/>
      <c r="GY84" s="2921"/>
      <c r="GZ84" s="2921"/>
      <c r="HA84" s="2926"/>
      <c r="HB84" s="2926"/>
      <c r="HC84" s="2926"/>
      <c r="HD84" s="2926"/>
      <c r="HE84" s="2927"/>
      <c r="HF84" s="2927"/>
      <c r="HG84" s="2927"/>
      <c r="HH84" s="2927"/>
      <c r="HI84" s="2928"/>
      <c r="HJ84" s="2928"/>
      <c r="HK84" s="2928"/>
      <c r="HL84" s="2927"/>
      <c r="HM84" s="2846"/>
      <c r="HN84" s="2846"/>
      <c r="HO84" s="2846"/>
      <c r="HP84" s="2846"/>
      <c r="HQ84" s="2921"/>
      <c r="HR84" s="2921"/>
      <c r="HS84" s="2921"/>
      <c r="HT84" s="2921"/>
      <c r="HU84" s="2929"/>
      <c r="HV84" s="2926"/>
      <c r="HW84" s="2926"/>
      <c r="HX84" s="2926"/>
      <c r="HY84" s="2930"/>
      <c r="HZ84" s="2931"/>
      <c r="IA84" s="2931"/>
      <c r="IB84" s="2931"/>
      <c r="IC84" s="2932"/>
      <c r="ID84" s="2933"/>
      <c r="IE84" s="2933"/>
      <c r="IF84" s="2934"/>
      <c r="IG84" s="2929"/>
      <c r="IH84" s="2926"/>
      <c r="II84" s="2926"/>
      <c r="IJ84" s="2926"/>
      <c r="IK84" s="2735"/>
      <c r="IL84" s="3544"/>
      <c r="IM84" s="3545"/>
      <c r="IN84" s="3545"/>
      <c r="IO84" s="3545"/>
      <c r="IP84" s="3545"/>
      <c r="IQ84" s="3545"/>
      <c r="IR84" s="3546"/>
      <c r="IS84" s="3547"/>
      <c r="IT84" s="3547"/>
      <c r="IU84" s="3547"/>
      <c r="IV84" s="3547"/>
      <c r="IW84" s="3547"/>
      <c r="IX84" s="3548"/>
      <c r="IY84" s="3566"/>
      <c r="IZ84" s="3564">
        <f t="shared" si="57"/>
        <v>75</v>
      </c>
      <c r="JA84" s="3765">
        <f t="shared" si="58"/>
        <v>159</v>
      </c>
      <c r="JC84" s="3551"/>
      <c r="JD84" s="3552"/>
      <c r="JE84" s="3552"/>
      <c r="JF84" s="3552"/>
      <c r="JG84" s="3552"/>
      <c r="JH84" s="3552"/>
      <c r="JI84" s="3565">
        <f t="shared" si="62"/>
        <v>2.6690771398881125E-4</v>
      </c>
      <c r="JJ84" s="3552"/>
      <c r="JK84" s="3554"/>
      <c r="JL84" s="3555"/>
      <c r="JM84" s="3555"/>
      <c r="JN84" s="3555"/>
      <c r="JO84" s="3555"/>
      <c r="JP84" s="3556" t="str">
        <f>IF(IY84="","",IZ84/IX84-1)</f>
        <v/>
      </c>
      <c r="JQ84" s="3557" t="str">
        <f>IF(IY84="","",IZ84/IY84-1)</f>
        <v/>
      </c>
    </row>
    <row r="85" spans="1:301" ht="21.9" customHeight="1" thickBot="1">
      <c r="A85" s="3568"/>
      <c r="B85" s="3231"/>
      <c r="C85" s="3572" t="s">
        <v>51</v>
      </c>
      <c r="D85" s="3573">
        <v>1352</v>
      </c>
      <c r="E85" s="3574">
        <v>1073</v>
      </c>
      <c r="F85" s="3574">
        <v>1228</v>
      </c>
      <c r="G85" s="3574">
        <v>1130</v>
      </c>
      <c r="H85" s="3574">
        <v>1032</v>
      </c>
      <c r="I85" s="3574">
        <v>1214</v>
      </c>
      <c r="J85" s="3574">
        <v>1621</v>
      </c>
      <c r="K85" s="3574">
        <v>1503</v>
      </c>
      <c r="L85" s="3574">
        <v>1581</v>
      </c>
      <c r="M85" s="3574">
        <v>1686</v>
      </c>
      <c r="N85" s="3574">
        <v>1465</v>
      </c>
      <c r="O85" s="3575">
        <v>1267</v>
      </c>
      <c r="P85" s="3576">
        <v>1457</v>
      </c>
      <c r="Q85" s="3577">
        <v>1912</v>
      </c>
      <c r="R85" s="3577">
        <v>1681</v>
      </c>
      <c r="S85" s="3577">
        <v>1419</v>
      </c>
      <c r="T85" s="3577">
        <v>1507</v>
      </c>
      <c r="U85" s="3577">
        <v>1667</v>
      </c>
      <c r="V85" s="3577">
        <v>1856</v>
      </c>
      <c r="W85" s="3577">
        <v>2105</v>
      </c>
      <c r="X85" s="3577">
        <v>1931</v>
      </c>
      <c r="Y85" s="3577">
        <v>2079</v>
      </c>
      <c r="Z85" s="3577">
        <v>2062</v>
      </c>
      <c r="AA85" s="3578">
        <v>1753</v>
      </c>
      <c r="AB85" s="3579">
        <v>1691</v>
      </c>
      <c r="AC85" s="3580">
        <v>1564</v>
      </c>
      <c r="AD85" s="3580">
        <v>1837</v>
      </c>
      <c r="AE85" s="3580">
        <v>1902</v>
      </c>
      <c r="AF85" s="3580">
        <v>1950.5</v>
      </c>
      <c r="AG85" s="3580">
        <v>1999</v>
      </c>
      <c r="AH85" s="3580">
        <v>2276</v>
      </c>
      <c r="AI85" s="3580">
        <v>2179</v>
      </c>
      <c r="AJ85" s="3580">
        <v>1873</v>
      </c>
      <c r="AK85" s="3580">
        <v>2115</v>
      </c>
      <c r="AL85" s="3580">
        <v>1922</v>
      </c>
      <c r="AM85" s="3581">
        <v>1842</v>
      </c>
      <c r="AN85" s="3582">
        <v>2005</v>
      </c>
      <c r="AO85" s="3583">
        <v>2148</v>
      </c>
      <c r="AP85" s="3583">
        <v>2032</v>
      </c>
      <c r="AQ85" s="3583">
        <v>1797</v>
      </c>
      <c r="AR85" s="3583">
        <v>1836</v>
      </c>
      <c r="AS85" s="3583">
        <v>2056</v>
      </c>
      <c r="AT85" s="3583">
        <v>2157</v>
      </c>
      <c r="AU85" s="3583">
        <v>2080</v>
      </c>
      <c r="AV85" s="3583">
        <v>1869</v>
      </c>
      <c r="AW85" s="3583">
        <v>3234</v>
      </c>
      <c r="AX85" s="3583">
        <v>2064</v>
      </c>
      <c r="AY85" s="3584">
        <v>1947</v>
      </c>
      <c r="AZ85" s="3463">
        <v>2161</v>
      </c>
      <c r="BA85" s="3463">
        <v>1925</v>
      </c>
      <c r="BB85" s="3463">
        <v>2397</v>
      </c>
      <c r="BC85" s="3463">
        <v>2132</v>
      </c>
      <c r="BD85" s="3463">
        <v>1881</v>
      </c>
      <c r="BE85" s="3463">
        <v>1933</v>
      </c>
      <c r="BF85" s="3463">
        <v>1785</v>
      </c>
      <c r="BG85" s="3463">
        <v>1871</v>
      </c>
      <c r="BH85" s="3463">
        <v>1793</v>
      </c>
      <c r="BI85" s="3463">
        <v>1900</v>
      </c>
      <c r="BJ85" s="3463">
        <v>2198</v>
      </c>
      <c r="BK85" s="3560">
        <v>1731</v>
      </c>
      <c r="BL85" s="3585">
        <v>2292</v>
      </c>
      <c r="BM85" s="3586">
        <v>1667</v>
      </c>
      <c r="BN85" s="3586">
        <v>1785</v>
      </c>
      <c r="BO85" s="3586">
        <v>1717</v>
      </c>
      <c r="BP85" s="3586">
        <v>2030</v>
      </c>
      <c r="BQ85" s="3586">
        <v>2417</v>
      </c>
      <c r="BR85" s="3586">
        <v>2406</v>
      </c>
      <c r="BS85" s="3586">
        <v>2181</v>
      </c>
      <c r="BT85" s="3587">
        <v>2263</v>
      </c>
      <c r="BU85" s="3587">
        <v>2409</v>
      </c>
      <c r="BV85" s="3587">
        <v>2762</v>
      </c>
      <c r="BW85" s="3588">
        <v>2408</v>
      </c>
      <c r="BX85" s="3589">
        <v>2705</v>
      </c>
      <c r="BY85" s="3590">
        <v>2224</v>
      </c>
      <c r="BZ85" s="3590">
        <v>3674</v>
      </c>
      <c r="CA85" s="3590">
        <v>2902</v>
      </c>
      <c r="CB85" s="3590">
        <v>2693</v>
      </c>
      <c r="CC85" s="3590">
        <v>3260</v>
      </c>
      <c r="CD85" s="3590">
        <v>2875</v>
      </c>
      <c r="CE85" s="3590">
        <v>2875</v>
      </c>
      <c r="CF85" s="3590">
        <v>2838</v>
      </c>
      <c r="CG85" s="3590">
        <v>3163</v>
      </c>
      <c r="CH85" s="3590">
        <v>3258</v>
      </c>
      <c r="CI85" s="3591">
        <v>3987</v>
      </c>
      <c r="CJ85" s="3592">
        <v>1464</v>
      </c>
      <c r="CK85" s="3593">
        <v>2663</v>
      </c>
      <c r="CL85" s="3593">
        <v>2765</v>
      </c>
      <c r="CM85" s="3593">
        <v>2718</v>
      </c>
      <c r="CN85" s="3593">
        <v>2898</v>
      </c>
      <c r="CO85" s="3593">
        <v>1850</v>
      </c>
      <c r="CP85" s="3593">
        <v>3517</v>
      </c>
      <c r="CQ85" s="3593">
        <v>3243</v>
      </c>
      <c r="CR85" s="3593">
        <v>4230</v>
      </c>
      <c r="CS85" s="3593">
        <v>4080</v>
      </c>
      <c r="CT85" s="3593">
        <v>4657</v>
      </c>
      <c r="CU85" s="3594">
        <v>4249</v>
      </c>
      <c r="CV85" s="3592">
        <v>4365</v>
      </c>
      <c r="CW85" s="3593">
        <v>4265</v>
      </c>
      <c r="CX85" s="3595">
        <v>4529</v>
      </c>
      <c r="CY85" s="3595">
        <v>4893</v>
      </c>
      <c r="CZ85" s="3595">
        <v>4695</v>
      </c>
      <c r="DA85" s="3595">
        <v>4155</v>
      </c>
      <c r="DB85" s="3595">
        <v>4388</v>
      </c>
      <c r="DC85" s="3595">
        <v>2823</v>
      </c>
      <c r="DD85" s="3595">
        <v>3036</v>
      </c>
      <c r="DE85" s="3595">
        <v>2822</v>
      </c>
      <c r="DF85" s="3595">
        <v>3131</v>
      </c>
      <c r="DG85" s="3594">
        <v>2609</v>
      </c>
      <c r="DH85" s="3596">
        <v>2637</v>
      </c>
      <c r="DI85" s="3597">
        <v>2682</v>
      </c>
      <c r="DJ85" s="3597">
        <v>2560</v>
      </c>
      <c r="DK85" s="3598">
        <v>2027</v>
      </c>
      <c r="DL85" s="3598">
        <v>2406</v>
      </c>
      <c r="DM85" s="3598">
        <v>2378</v>
      </c>
      <c r="DN85" s="3598">
        <v>2754</v>
      </c>
      <c r="DO85" s="3598">
        <v>2485</v>
      </c>
      <c r="DP85" s="3599">
        <v>2655</v>
      </c>
      <c r="DQ85" s="3598">
        <v>5694</v>
      </c>
      <c r="DR85" s="3598">
        <v>3499</v>
      </c>
      <c r="DS85" s="3600">
        <v>3813</v>
      </c>
      <c r="DT85" s="3601">
        <v>3249</v>
      </c>
      <c r="DU85" s="3602">
        <v>2963</v>
      </c>
      <c r="DV85" s="3602">
        <v>3245</v>
      </c>
      <c r="DW85" s="3603">
        <v>3320</v>
      </c>
      <c r="DX85" s="3603">
        <v>3212</v>
      </c>
      <c r="DY85" s="3603">
        <v>3871</v>
      </c>
      <c r="DZ85" s="3603">
        <v>4324</v>
      </c>
      <c r="EA85" s="3603">
        <v>3626</v>
      </c>
      <c r="EB85" s="3603">
        <v>3420</v>
      </c>
      <c r="EC85" s="3603">
        <v>3792</v>
      </c>
      <c r="ED85" s="3603">
        <v>4114</v>
      </c>
      <c r="EE85" s="3604">
        <v>4059</v>
      </c>
      <c r="EF85" s="2718">
        <f>53007-SUM(EF53:EF83)</f>
        <v>3570</v>
      </c>
      <c r="EG85" s="2719">
        <f>52567-SUM(EG53:EG83)</f>
        <v>3494</v>
      </c>
      <c r="EH85" s="2719">
        <f>58154-SUM(EH53:EH83)</f>
        <v>3839</v>
      </c>
      <c r="EI85" s="2719">
        <f>47644-SUM(EI53:EI83)</f>
        <v>3851</v>
      </c>
      <c r="EJ85" s="2719">
        <f>53921-SUM(EJ53:EJ83)</f>
        <v>3882</v>
      </c>
      <c r="EK85" s="2719">
        <f>70620-SUM(EK53:EK83)</f>
        <v>4239</v>
      </c>
      <c r="EL85" s="2719">
        <f>72893-SUM(EL53:EL83)</f>
        <v>4301</v>
      </c>
      <c r="EM85" s="2719">
        <v>3635</v>
      </c>
      <c r="EN85" s="2719">
        <v>3911</v>
      </c>
      <c r="EO85" s="2719">
        <v>4054</v>
      </c>
      <c r="EP85" s="2719">
        <f>54720-49952</f>
        <v>4768</v>
      </c>
      <c r="EQ85" s="2720">
        <f>71516-67031</f>
        <v>4485</v>
      </c>
      <c r="ER85" s="1350">
        <f>52976-49111+2</f>
        <v>3867</v>
      </c>
      <c r="ES85" s="1351">
        <v>3871</v>
      </c>
      <c r="ET85" s="1351">
        <f>54669-SUM(ET53:ET83)+1</f>
        <v>4529</v>
      </c>
      <c r="EU85" s="1351">
        <f>4834-5</f>
        <v>4829</v>
      </c>
      <c r="EV85" s="2164">
        <v>3586</v>
      </c>
      <c r="EW85" s="2164">
        <v>6971</v>
      </c>
      <c r="EX85" s="2164">
        <v>6736</v>
      </c>
      <c r="EY85" s="2164">
        <v>1079</v>
      </c>
      <c r="EZ85" s="2164">
        <v>3112</v>
      </c>
      <c r="FA85" s="1351">
        <f>'Llegadas '!N13-SUM('Tendencias nacionalidad'!FA53:FA83)</f>
        <v>2696</v>
      </c>
      <c r="FB85" s="1351">
        <f>'Llegadas '!N14-SUM('Tendencias nacionalidad'!FB53:FB83)</f>
        <v>3234</v>
      </c>
      <c r="FC85" s="1351">
        <f>'Llegadas '!N15-SUM('Tendencias nacionalidad'!FC53:FC83)</f>
        <v>3088</v>
      </c>
      <c r="FD85" s="2679">
        <f>'Llegadas '!O4-SUM('Tendencias nacionalidad'!FD53:FD83)</f>
        <v>3447</v>
      </c>
      <c r="FE85" s="2341">
        <f>'Llegadas '!O5-SUM('Tendencias nacionalidad'!FE53:FE83)</f>
        <v>2919</v>
      </c>
      <c r="FF85" s="2341">
        <f>'Llegadas '!O6-SUM('Tendencias nacionalidad'!FF53:FF83)</f>
        <v>1120</v>
      </c>
      <c r="FG85" s="2341">
        <f>'Llegadas '!O7-SUM('Tendencias nacionalidad'!FG53:FG83)</f>
        <v>23</v>
      </c>
      <c r="FH85" s="2341">
        <f>'Llegadas '!O8-SUM('Tendencias nacionalidad'!FH53:FH83)</f>
        <v>40</v>
      </c>
      <c r="FI85" s="2341">
        <f>'Llegadas '!O9-SUM('Tendencias nacionalidad'!FI53:FI83)</f>
        <v>81</v>
      </c>
      <c r="FJ85" s="2341">
        <f>'Llegadas '!O10-SUM('Tendencias nacionalidad'!FJ53:FJ83)</f>
        <v>160</v>
      </c>
      <c r="FK85" s="2341">
        <f>'Llegadas '!O11-SUM('Tendencias nacionalidad'!FK53:FK83)</f>
        <v>197</v>
      </c>
      <c r="FL85" s="2341">
        <f>'Llegadas '!O12-SUM('Tendencias nacionalidad'!FL53:FL83)</f>
        <v>256</v>
      </c>
      <c r="FM85" s="2341">
        <f>'Llegadas '!O13-SUM('Tendencias nacionalidad'!FM53:FM83)</f>
        <v>421</v>
      </c>
      <c r="FN85" s="2341">
        <f>'Llegadas '!O14-SUM('Tendencias nacionalidad'!FN53:FN83)</f>
        <v>533</v>
      </c>
      <c r="FO85" s="2341">
        <f>'Llegadas '!O15-SUM('Tendencias nacionalidad'!FO53:FO83)</f>
        <v>796</v>
      </c>
      <c r="FP85" s="2681">
        <f>'Llegadas '!$P$4-SUM('Tendencias nacionalidad'!FP54:FP84)</f>
        <v>-330</v>
      </c>
      <c r="FQ85" s="2680">
        <f>'Llegadas '!$P$5-SUM('Tendencias nacionalidad'!FQ54:FQ84)</f>
        <v>535</v>
      </c>
      <c r="FR85" s="2680">
        <f>'Llegadas '!$P$6-SUM('Tendencias nacionalidad'!FR54:FR84)</f>
        <v>676</v>
      </c>
      <c r="FS85" s="2680">
        <f>'Llegadas '!$P$7-SUM('Tendencias nacionalidad'!FS54:FS84)</f>
        <v>695</v>
      </c>
      <c r="FT85" s="2680">
        <f>'Llegadas '!$P$8-SUM('Tendencias nacionalidad'!FT54:FT84)</f>
        <v>698</v>
      </c>
      <c r="FU85" s="2680">
        <f>'Llegadas '!$P$9-SUM('Tendencias nacionalidad'!FU54:FU84)</f>
        <v>22654</v>
      </c>
      <c r="FV85" s="2680">
        <f>'Llegadas '!$P$10-SUM('Tendencias nacionalidad'!FV54:FV84)</f>
        <v>30018</v>
      </c>
      <c r="FW85" s="2680">
        <f>'Llegadas '!$P$11-SUM('Tendencias nacionalidad'!FW54:FW84)</f>
        <v>27480</v>
      </c>
      <c r="FX85" s="2680">
        <f>'Llegadas '!$P$12-SUM('Tendencias nacionalidad'!FX54:FX84)</f>
        <v>25275</v>
      </c>
      <c r="FY85" s="2680">
        <f>'Llegadas '!$P$13-SUM('Tendencias nacionalidad'!FY54:FY84)</f>
        <v>29775</v>
      </c>
      <c r="FZ85" s="2680">
        <f>'Llegadas '!$P$14-SUM('Tendencias nacionalidad'!FZ54:FZ84)</f>
        <v>35230</v>
      </c>
      <c r="GA85" s="2680">
        <f>'Llegadas '!$P$15-SUM('Tendencias nacionalidad'!GA54:GA84)</f>
        <v>42970</v>
      </c>
      <c r="GB85" s="2764"/>
      <c r="GC85" s="2935">
        <v>3653</v>
      </c>
      <c r="GD85" s="2936">
        <v>3376</v>
      </c>
      <c r="GE85" s="2936">
        <v>4705</v>
      </c>
      <c r="GF85" s="2937">
        <v>4418</v>
      </c>
      <c r="GG85" s="2938">
        <v>5050</v>
      </c>
      <c r="GH85" s="2939">
        <v>4593</v>
      </c>
      <c r="GI85" s="2939">
        <v>5892</v>
      </c>
      <c r="GJ85" s="2940">
        <v>5894</v>
      </c>
      <c r="GK85" s="2941">
        <v>5092</v>
      </c>
      <c r="GL85" s="2918">
        <v>5851.5</v>
      </c>
      <c r="GM85" s="2942">
        <v>6328</v>
      </c>
      <c r="GN85" s="2942">
        <v>5879</v>
      </c>
      <c r="GO85" s="2920">
        <v>6185</v>
      </c>
      <c r="GP85" s="2921">
        <v>5689</v>
      </c>
      <c r="GQ85" s="2921">
        <v>6106</v>
      </c>
      <c r="GR85" s="2922">
        <v>7245</v>
      </c>
      <c r="GS85" s="2923">
        <v>6483</v>
      </c>
      <c r="GT85" s="2924">
        <v>5946</v>
      </c>
      <c r="GU85" s="2924">
        <v>5449</v>
      </c>
      <c r="GV85" s="2925">
        <v>5829</v>
      </c>
      <c r="GW85" s="2921">
        <v>5744</v>
      </c>
      <c r="GX85" s="2921">
        <v>6164</v>
      </c>
      <c r="GY85" s="2921">
        <v>6850</v>
      </c>
      <c r="GZ85" s="2921">
        <v>7579</v>
      </c>
      <c r="HA85" s="2926">
        <v>8603</v>
      </c>
      <c r="HB85" s="2926">
        <v>8855</v>
      </c>
      <c r="HC85" s="2926">
        <v>8588</v>
      </c>
      <c r="HD85" s="2926">
        <v>10408</v>
      </c>
      <c r="HE85" s="2927">
        <v>6892</v>
      </c>
      <c r="HF85" s="2927">
        <v>7466</v>
      </c>
      <c r="HG85" s="2927">
        <f>+CP85+CQ85+CR85</f>
        <v>10990</v>
      </c>
      <c r="HH85" s="2927">
        <v>12986</v>
      </c>
      <c r="HI85" s="2928">
        <v>13159</v>
      </c>
      <c r="HJ85" s="2928">
        <f>+CY85+CZ85+DA85</f>
        <v>13743</v>
      </c>
      <c r="HK85" s="2928">
        <f>+DB85+DC85+DD85</f>
        <v>10247</v>
      </c>
      <c r="HL85" s="2927">
        <f>+DE85+DF85+DG85</f>
        <v>8562</v>
      </c>
      <c r="HM85" s="2846">
        <f>+DH85+DI85+DJ85</f>
        <v>7879</v>
      </c>
      <c r="HN85" s="2846">
        <f>+DM85+DL85+DK85</f>
        <v>6811</v>
      </c>
      <c r="HO85" s="2846">
        <f>+DS85+DO85+DN85</f>
        <v>9052</v>
      </c>
      <c r="HP85" s="2846">
        <f>+DQ85+DR85+DS85</f>
        <v>13006</v>
      </c>
      <c r="HQ85" s="2921">
        <f>+DT85+DU85+DV85</f>
        <v>9457</v>
      </c>
      <c r="HR85" s="2921">
        <f>+DW85+DX85+DY85</f>
        <v>10403</v>
      </c>
      <c r="HS85" s="2921">
        <f>+DZ85+EA85+EB85</f>
        <v>11370</v>
      </c>
      <c r="HT85" s="2921">
        <f>+EC85+ED85+EE85</f>
        <v>11965</v>
      </c>
      <c r="HU85" s="2929">
        <f>EF85+EG85+EH85</f>
        <v>10903</v>
      </c>
      <c r="HV85" s="2926">
        <f>EI85+EJ85+EK85</f>
        <v>11972</v>
      </c>
      <c r="HW85" s="2926">
        <f>EL85+EM85+EN85</f>
        <v>11847</v>
      </c>
      <c r="HX85" s="2926">
        <f>EO85+EP85+EQ85</f>
        <v>13307</v>
      </c>
      <c r="HY85" s="2930">
        <f t="shared" si="33"/>
        <v>12267</v>
      </c>
      <c r="HZ85" s="2931">
        <f t="shared" si="34"/>
        <v>15386</v>
      </c>
      <c r="IA85" s="2931">
        <f t="shared" si="35"/>
        <v>10927</v>
      </c>
      <c r="IB85" s="2931">
        <f t="shared" si="36"/>
        <v>9018</v>
      </c>
      <c r="IC85" s="2932">
        <f t="shared" si="65"/>
        <v>7486</v>
      </c>
      <c r="ID85" s="2933">
        <f t="shared" si="66"/>
        <v>144</v>
      </c>
      <c r="IE85" s="2933">
        <f t="shared" si="69"/>
        <v>613</v>
      </c>
      <c r="IF85" s="2934">
        <f t="shared" si="70"/>
        <v>1750</v>
      </c>
      <c r="IG85" s="2929">
        <f t="shared" si="51"/>
        <v>881</v>
      </c>
      <c r="IH85" s="2926">
        <f t="shared" si="52"/>
        <v>24047</v>
      </c>
      <c r="II85" s="2926">
        <f t="shared" si="53"/>
        <v>82773</v>
      </c>
      <c r="IJ85" s="2926">
        <f t="shared" si="54"/>
        <v>107975</v>
      </c>
      <c r="IK85" s="2735"/>
      <c r="IL85" s="3605">
        <v>16152</v>
      </c>
      <c r="IM85" s="3606">
        <v>21429</v>
      </c>
      <c r="IN85" s="3606">
        <v>23150.5</v>
      </c>
      <c r="IO85" s="3606">
        <v>25225</v>
      </c>
      <c r="IP85" s="3606">
        <v>23707</v>
      </c>
      <c r="IQ85" s="3606">
        <v>26337</v>
      </c>
      <c r="IR85" s="3607">
        <f>36454+28</f>
        <v>36482</v>
      </c>
      <c r="IS85" s="3608">
        <v>38334</v>
      </c>
      <c r="IT85" s="3608">
        <f t="shared" si="37"/>
        <v>45711</v>
      </c>
      <c r="IU85" s="3608">
        <f t="shared" si="38"/>
        <v>35590</v>
      </c>
      <c r="IV85" s="3608">
        <f>SUM(DT85:EE85)+12</f>
        <v>43207</v>
      </c>
      <c r="IW85" s="3608">
        <f t="shared" si="40"/>
        <v>48029</v>
      </c>
      <c r="IX85" s="3609">
        <f>684390-SUM(IX53:IX83)</f>
        <v>47598</v>
      </c>
      <c r="IY85" s="3610">
        <f>SUM(FD85:FO85)</f>
        <v>9993</v>
      </c>
      <c r="IZ85" s="3762">
        <f>'Llegadas '!$P$16-SUM('Tendencias nacionalidad'!IZ54:IZ84)</f>
        <v>181978</v>
      </c>
      <c r="JA85" s="3763">
        <f>SUM(FP85:FT85)</f>
        <v>2274</v>
      </c>
      <c r="JC85" s="3611">
        <f t="shared" si="59"/>
        <v>95985.5</v>
      </c>
      <c r="JD85" s="3552">
        <f>IU85/$IU$86</f>
        <v>5.6705745141214674E-2</v>
      </c>
      <c r="JE85" s="3552">
        <f>IV85/$IV$86</f>
        <v>6.6173914242086837E-2</v>
      </c>
      <c r="JF85" s="3552">
        <f>IW85/$IX$86</f>
        <v>7.0177822586536917E-2</v>
      </c>
      <c r="JG85" s="3552">
        <f>IX85/$IX$86</f>
        <v>6.9548064699951784E-2</v>
      </c>
      <c r="JH85" s="3552">
        <f t="shared" si="61"/>
        <v>5.247955802265554E-2</v>
      </c>
      <c r="JI85" s="3565">
        <f t="shared" si="62"/>
        <v>0.64761775968341184</v>
      </c>
      <c r="JJ85" s="3552"/>
      <c r="JK85" s="3612">
        <f>IV85/IU85-1</f>
        <v>0.21402079235740379</v>
      </c>
      <c r="JL85" s="3613">
        <f>JC85/IU85-1</f>
        <v>1.696979488620399</v>
      </c>
      <c r="JM85" s="3613">
        <f>IW85/IV85-1</f>
        <v>0.11160228666651228</v>
      </c>
      <c r="JN85" s="3613">
        <f>IX85/IW85-1</f>
        <v>-8.9737450290449106E-3</v>
      </c>
      <c r="JO85" s="3613">
        <f t="shared" ref="JO85" si="72">IY85/IX85-1</f>
        <v>-0.79005420395814951</v>
      </c>
      <c r="JP85" s="3556">
        <f t="shared" si="63"/>
        <v>2.8232278667170889</v>
      </c>
      <c r="JQ85" s="3557">
        <f>IF(IY85="","",IZ85/IY85-1)</f>
        <v>17.210547383168219</v>
      </c>
    </row>
    <row r="86" spans="1:301" ht="15" thickBot="1">
      <c r="A86" s="3614"/>
      <c r="B86" s="3615"/>
      <c r="C86" s="3616" t="s">
        <v>52</v>
      </c>
      <c r="D86" s="3617">
        <v>29447</v>
      </c>
      <c r="E86" s="3618">
        <v>29249</v>
      </c>
      <c r="F86" s="3618">
        <v>32536</v>
      </c>
      <c r="G86" s="3618">
        <v>26929</v>
      </c>
      <c r="H86" s="3618">
        <v>28526</v>
      </c>
      <c r="I86" s="3618">
        <v>41105</v>
      </c>
      <c r="J86" s="3618">
        <v>49933</v>
      </c>
      <c r="K86" s="3618">
        <v>42244</v>
      </c>
      <c r="L86" s="3618">
        <v>31407</v>
      </c>
      <c r="M86" s="3618">
        <v>33891</v>
      </c>
      <c r="N86" s="3618">
        <v>35806</v>
      </c>
      <c r="O86" s="3619">
        <v>36780</v>
      </c>
      <c r="P86" s="3620">
        <v>34991</v>
      </c>
      <c r="Q86" s="3621">
        <v>46490</v>
      </c>
      <c r="R86" s="3621">
        <v>36805</v>
      </c>
      <c r="S86" s="3621">
        <v>31105</v>
      </c>
      <c r="T86" s="3621">
        <v>35598</v>
      </c>
      <c r="U86" s="3621">
        <v>45584</v>
      </c>
      <c r="V86" s="3621">
        <v>50484</v>
      </c>
      <c r="W86" s="3621">
        <v>43576</v>
      </c>
      <c r="X86" s="3621">
        <v>34318</v>
      </c>
      <c r="Y86" s="3621">
        <v>36977</v>
      </c>
      <c r="Z86" s="3621">
        <v>38290</v>
      </c>
      <c r="AA86" s="3622">
        <v>37281</v>
      </c>
      <c r="AB86" s="3623">
        <v>35904</v>
      </c>
      <c r="AC86" s="3624">
        <v>32995</v>
      </c>
      <c r="AD86" s="3624">
        <v>34242</v>
      </c>
      <c r="AE86" s="3624">
        <v>33161</v>
      </c>
      <c r="AF86" s="3624">
        <v>32773</v>
      </c>
      <c r="AG86" s="3624">
        <v>46796</v>
      </c>
      <c r="AH86" s="3624">
        <v>50069</v>
      </c>
      <c r="AI86" s="3624">
        <v>44378</v>
      </c>
      <c r="AJ86" s="3624">
        <v>33494</v>
      </c>
      <c r="AK86" s="3624">
        <v>35959</v>
      </c>
      <c r="AL86" s="3624">
        <v>38401</v>
      </c>
      <c r="AM86" s="3625">
        <v>43693</v>
      </c>
      <c r="AN86" s="3626">
        <v>38603</v>
      </c>
      <c r="AO86" s="3627">
        <v>39843</v>
      </c>
      <c r="AP86" s="3627">
        <v>38029</v>
      </c>
      <c r="AQ86" s="3627">
        <v>31598</v>
      </c>
      <c r="AR86" s="3627">
        <v>37116</v>
      </c>
      <c r="AS86" s="3627">
        <v>46093</v>
      </c>
      <c r="AT86" s="3627">
        <v>49766</v>
      </c>
      <c r="AU86" s="3627">
        <v>42481</v>
      </c>
      <c r="AV86" s="3627">
        <v>33003</v>
      </c>
      <c r="AW86" s="3627">
        <v>38298</v>
      </c>
      <c r="AX86" s="3627">
        <v>38171</v>
      </c>
      <c r="AY86" s="3628">
        <v>41220</v>
      </c>
      <c r="AZ86" s="3629">
        <v>37463</v>
      </c>
      <c r="BA86" s="3629">
        <v>35978</v>
      </c>
      <c r="BB86" s="3629">
        <v>39415</v>
      </c>
      <c r="BC86" s="3629">
        <v>35949</v>
      </c>
      <c r="BD86" s="3629">
        <v>38023</v>
      </c>
      <c r="BE86" s="3629">
        <v>47844</v>
      </c>
      <c r="BF86" s="3629">
        <v>51152</v>
      </c>
      <c r="BG86" s="3629">
        <v>43036</v>
      </c>
      <c r="BH86" s="3629">
        <v>34628</v>
      </c>
      <c r="BI86" s="3629">
        <v>38582</v>
      </c>
      <c r="BJ86" s="3629">
        <v>41073</v>
      </c>
      <c r="BK86" s="3630">
        <v>44235</v>
      </c>
      <c r="BL86" s="3631">
        <v>37773</v>
      </c>
      <c r="BM86" s="3632">
        <v>35654</v>
      </c>
      <c r="BN86" s="3632">
        <v>40663</v>
      </c>
      <c r="BO86" s="3632">
        <v>36524</v>
      </c>
      <c r="BP86" s="3632">
        <v>40720</v>
      </c>
      <c r="BQ86" s="3632">
        <v>54166</v>
      </c>
      <c r="BR86" s="3632">
        <v>56168</v>
      </c>
      <c r="BS86" s="3632">
        <v>46212</v>
      </c>
      <c r="BT86" s="3633">
        <v>39747</v>
      </c>
      <c r="BU86" s="3633">
        <v>44864</v>
      </c>
      <c r="BV86" s="3633">
        <v>46422</v>
      </c>
      <c r="BW86" s="3634">
        <v>54545</v>
      </c>
      <c r="BX86" s="3635">
        <v>46137</v>
      </c>
      <c r="BY86" s="3636">
        <v>43174</v>
      </c>
      <c r="BZ86" s="3636">
        <v>49027</v>
      </c>
      <c r="CA86" s="3636">
        <v>41634</v>
      </c>
      <c r="CB86" s="3636">
        <v>48103</v>
      </c>
      <c r="CC86" s="3636">
        <v>61054</v>
      </c>
      <c r="CD86" s="3636">
        <v>64119</v>
      </c>
      <c r="CE86" s="3636">
        <v>52709</v>
      </c>
      <c r="CF86" s="3636">
        <v>49386</v>
      </c>
      <c r="CG86" s="3636">
        <v>52967</v>
      </c>
      <c r="CH86" s="3636">
        <v>56261</v>
      </c>
      <c r="CI86" s="3637">
        <v>64359</v>
      </c>
      <c r="CJ86" s="3638">
        <v>51688</v>
      </c>
      <c r="CK86" s="3639">
        <v>53622</v>
      </c>
      <c r="CL86" s="3639">
        <v>51748</v>
      </c>
      <c r="CM86" s="3639">
        <v>49570</v>
      </c>
      <c r="CN86" s="3639">
        <v>52174</v>
      </c>
      <c r="CO86" s="3639">
        <v>58795</v>
      </c>
      <c r="CP86" s="3639">
        <v>71099</v>
      </c>
      <c r="CQ86" s="3639">
        <v>57790</v>
      </c>
      <c r="CR86" s="3639">
        <v>55854</v>
      </c>
      <c r="CS86" s="3639">
        <v>59469</v>
      </c>
      <c r="CT86" s="3639">
        <v>63257</v>
      </c>
      <c r="CU86" s="3640">
        <v>77949</v>
      </c>
      <c r="CV86" s="3635">
        <v>58224</v>
      </c>
      <c r="CW86" s="3636">
        <v>53321</v>
      </c>
      <c r="CX86" s="3637">
        <v>59393</v>
      </c>
      <c r="CY86" s="3637">
        <v>53854</v>
      </c>
      <c r="CZ86" s="3637">
        <v>56638</v>
      </c>
      <c r="DA86" s="3637">
        <v>67138</v>
      </c>
      <c r="DB86" s="3637">
        <v>73006</v>
      </c>
      <c r="DC86" s="3637">
        <v>52994</v>
      </c>
      <c r="DD86" s="3637">
        <v>51643</v>
      </c>
      <c r="DE86" s="3637">
        <v>56449</v>
      </c>
      <c r="DF86" s="3637">
        <v>61342</v>
      </c>
      <c r="DG86" s="3641">
        <v>68875</v>
      </c>
      <c r="DH86" s="3642">
        <v>52833</v>
      </c>
      <c r="DI86" s="3643">
        <v>51438</v>
      </c>
      <c r="DJ86" s="3643">
        <v>54420</v>
      </c>
      <c r="DK86" s="3644">
        <v>40983</v>
      </c>
      <c r="DL86" s="3644">
        <v>46162</v>
      </c>
      <c r="DM86" s="3644">
        <v>61277</v>
      </c>
      <c r="DN86" s="3644">
        <v>66352</v>
      </c>
      <c r="DO86" s="3644">
        <v>47805</v>
      </c>
      <c r="DP86" s="3645">
        <f>SUM(DP53:DP85)</f>
        <v>40169</v>
      </c>
      <c r="DQ86" s="3644">
        <v>53831</v>
      </c>
      <c r="DR86" s="3644">
        <v>48311</v>
      </c>
      <c r="DS86" s="3646">
        <v>64045</v>
      </c>
      <c r="DT86" s="3647">
        <v>50617</v>
      </c>
      <c r="DU86" s="3648">
        <v>47432</v>
      </c>
      <c r="DV86" s="3648">
        <v>53030</v>
      </c>
      <c r="DW86" s="3649">
        <v>50212</v>
      </c>
      <c r="DX86" s="3649">
        <v>47035</v>
      </c>
      <c r="DY86" s="3649">
        <v>65878</v>
      </c>
      <c r="DZ86" s="3649">
        <v>70150</v>
      </c>
      <c r="EA86" s="3649">
        <v>51198</v>
      </c>
      <c r="EB86" s="3649">
        <v>45357</v>
      </c>
      <c r="EC86" s="3649">
        <v>49733</v>
      </c>
      <c r="ED86" s="3649">
        <v>52215</v>
      </c>
      <c r="EE86" s="3648">
        <v>70062</v>
      </c>
      <c r="EF86" s="3650">
        <f>SUM(EF53:EF85)</f>
        <v>53007</v>
      </c>
      <c r="EG86" s="3647">
        <f t="shared" ref="EG86:EQ86" si="73">SUM(EG53:EG85)</f>
        <v>52567</v>
      </c>
      <c r="EH86" s="3647">
        <f t="shared" si="73"/>
        <v>58154</v>
      </c>
      <c r="EI86" s="3647">
        <f t="shared" si="73"/>
        <v>47644</v>
      </c>
      <c r="EJ86" s="3647">
        <f t="shared" si="73"/>
        <v>53921</v>
      </c>
      <c r="EK86" s="3647">
        <f t="shared" si="73"/>
        <v>70620</v>
      </c>
      <c r="EL86" s="3647">
        <f t="shared" si="73"/>
        <v>72893</v>
      </c>
      <c r="EM86" s="3647">
        <f t="shared" si="73"/>
        <v>54375</v>
      </c>
      <c r="EN86" s="3647">
        <f t="shared" si="73"/>
        <v>50018</v>
      </c>
      <c r="EO86" s="3647">
        <f t="shared" si="73"/>
        <v>53057</v>
      </c>
      <c r="EP86" s="3647">
        <f t="shared" si="73"/>
        <v>54720</v>
      </c>
      <c r="EQ86" s="3647">
        <f t="shared" si="73"/>
        <v>71516</v>
      </c>
      <c r="ER86" s="3650">
        <f>SUM(ER53:ER85)</f>
        <v>52978</v>
      </c>
      <c r="ES86" s="3650">
        <f t="shared" ref="ES86:GA86" si="74">SUM(ES53:ES85)</f>
        <v>51944</v>
      </c>
      <c r="ET86" s="3650">
        <f t="shared" si="74"/>
        <v>54670</v>
      </c>
      <c r="EU86" s="3650">
        <f t="shared" si="74"/>
        <v>53311</v>
      </c>
      <c r="EV86" s="3650">
        <f t="shared" si="74"/>
        <v>53992</v>
      </c>
      <c r="EW86" s="3650">
        <f t="shared" si="74"/>
        <v>70733</v>
      </c>
      <c r="EX86" s="3650">
        <f t="shared" si="74"/>
        <v>76918</v>
      </c>
      <c r="EY86" s="3650">
        <f t="shared" si="74"/>
        <v>57411</v>
      </c>
      <c r="EZ86" s="3650">
        <f t="shared" si="74"/>
        <v>52806</v>
      </c>
      <c r="FA86" s="3650">
        <f t="shared" si="74"/>
        <v>42426</v>
      </c>
      <c r="FB86" s="3650">
        <f t="shared" si="74"/>
        <v>52993</v>
      </c>
      <c r="FC86" s="3650">
        <f t="shared" si="74"/>
        <v>64208</v>
      </c>
      <c r="FD86" s="2943">
        <f t="shared" si="74"/>
        <v>57800</v>
      </c>
      <c r="FE86" s="2943">
        <f t="shared" si="74"/>
        <v>54899</v>
      </c>
      <c r="FF86" s="2943">
        <f t="shared" si="74"/>
        <v>22206</v>
      </c>
      <c r="FG86" s="2943">
        <f t="shared" si="74"/>
        <v>379</v>
      </c>
      <c r="FH86" s="2943">
        <f t="shared" si="74"/>
        <v>650</v>
      </c>
      <c r="FI86" s="2943">
        <f t="shared" si="74"/>
        <v>1431</v>
      </c>
      <c r="FJ86" s="2943">
        <f t="shared" si="74"/>
        <v>3655</v>
      </c>
      <c r="FK86" s="2943">
        <f t="shared" si="74"/>
        <v>4553</v>
      </c>
      <c r="FL86" s="2943">
        <f t="shared" si="74"/>
        <v>5708</v>
      </c>
      <c r="FM86" s="2943">
        <f t="shared" si="74"/>
        <v>9063</v>
      </c>
      <c r="FN86" s="2943">
        <f t="shared" si="74"/>
        <v>11553</v>
      </c>
      <c r="FO86" s="2944">
        <f t="shared" si="74"/>
        <v>18520</v>
      </c>
      <c r="FP86" s="2943">
        <f>SUM(FP53:FP85)</f>
        <v>14237</v>
      </c>
      <c r="FQ86" s="2943">
        <f t="shared" si="74"/>
        <v>10895</v>
      </c>
      <c r="FR86" s="2943">
        <f t="shared" si="74"/>
        <v>13935</v>
      </c>
      <c r="FS86" s="2943">
        <f t="shared" si="74"/>
        <v>13232</v>
      </c>
      <c r="FT86" s="2943">
        <f t="shared" si="74"/>
        <v>15295</v>
      </c>
      <c r="FU86" s="2943">
        <f t="shared" si="74"/>
        <v>22654</v>
      </c>
      <c r="FV86" s="2943">
        <f t="shared" si="74"/>
        <v>30018</v>
      </c>
      <c r="FW86" s="2943">
        <f t="shared" si="74"/>
        <v>27480</v>
      </c>
      <c r="FX86" s="2943">
        <f t="shared" si="74"/>
        <v>25275</v>
      </c>
      <c r="FY86" s="2943">
        <f t="shared" si="74"/>
        <v>29775</v>
      </c>
      <c r="FZ86" s="2943">
        <f t="shared" si="74"/>
        <v>35230</v>
      </c>
      <c r="GA86" s="2943">
        <f t="shared" si="74"/>
        <v>42970</v>
      </c>
      <c r="GB86" s="2945"/>
      <c r="GC86" s="2946">
        <v>91232</v>
      </c>
      <c r="GD86" s="2947">
        <v>96560</v>
      </c>
      <c r="GE86" s="2947">
        <v>123584</v>
      </c>
      <c r="GF86" s="2948">
        <v>106477</v>
      </c>
      <c r="GG86" s="2949">
        <v>118286</v>
      </c>
      <c r="GH86" s="2950">
        <v>112287</v>
      </c>
      <c r="GI86" s="2950">
        <v>128378</v>
      </c>
      <c r="GJ86" s="2951">
        <v>112548</v>
      </c>
      <c r="GK86" s="2952">
        <v>103141</v>
      </c>
      <c r="GL86" s="2953">
        <v>112730</v>
      </c>
      <c r="GM86" s="2953">
        <v>127941</v>
      </c>
      <c r="GN86" s="2953">
        <v>118053</v>
      </c>
      <c r="GO86" s="2954">
        <v>116475</v>
      </c>
      <c r="GP86" s="2955">
        <v>114807</v>
      </c>
      <c r="GQ86" s="2955">
        <v>125250</v>
      </c>
      <c r="GR86" s="2956">
        <v>117689</v>
      </c>
      <c r="GS86" s="2957">
        <v>112856</v>
      </c>
      <c r="GT86" s="2958">
        <v>121816</v>
      </c>
      <c r="GU86" s="2958">
        <v>128816</v>
      </c>
      <c r="GV86" s="2959">
        <v>123890</v>
      </c>
      <c r="GW86" s="2955">
        <v>114090</v>
      </c>
      <c r="GX86" s="2955">
        <v>131410</v>
      </c>
      <c r="GY86" s="2955">
        <v>142127</v>
      </c>
      <c r="GZ86" s="2955">
        <v>145831</v>
      </c>
      <c r="HA86" s="2960">
        <v>138338</v>
      </c>
      <c r="HB86" s="2960">
        <v>150791</v>
      </c>
      <c r="HC86" s="2960">
        <v>166214</v>
      </c>
      <c r="HD86" s="2960">
        <v>173587</v>
      </c>
      <c r="HE86" s="2961">
        <v>157058</v>
      </c>
      <c r="HF86" s="2961">
        <v>160539</v>
      </c>
      <c r="HG86" s="2961">
        <f>+CP86+CQ86+CR86</f>
        <v>184743</v>
      </c>
      <c r="HH86" s="2961">
        <v>200675</v>
      </c>
      <c r="HI86" s="2962">
        <v>170938</v>
      </c>
      <c r="HJ86" s="2962">
        <f>+CY86+CZ86+DA86</f>
        <v>177630</v>
      </c>
      <c r="HK86" s="2962">
        <f>+DB86+DC86+DD86</f>
        <v>177643</v>
      </c>
      <c r="HL86" s="2961">
        <f>+DE86+DF86+DG86</f>
        <v>186666</v>
      </c>
      <c r="HM86" s="2963">
        <f>+DH86+DI86+DJ86</f>
        <v>158691</v>
      </c>
      <c r="HN86" s="2963">
        <f>+DM86+DL86+DK86</f>
        <v>148422</v>
      </c>
      <c r="HO86" s="2963">
        <f>+DS86+DO86+DN86</f>
        <v>178202</v>
      </c>
      <c r="HP86" s="2963">
        <f>+DQ86+DR86+DS86</f>
        <v>166187</v>
      </c>
      <c r="HQ86" s="2955">
        <f>+DT86+DU86+DV86</f>
        <v>151079</v>
      </c>
      <c r="HR86" s="2955">
        <f>+DW86+DX86+DY86</f>
        <v>163125</v>
      </c>
      <c r="HS86" s="2955">
        <f>+DZ86+EA86+EB86</f>
        <v>166705</v>
      </c>
      <c r="HT86" s="2955">
        <f>+EC86+ED86+EE86</f>
        <v>172010</v>
      </c>
      <c r="HU86" s="2964">
        <f>EF86+EG86+EH86</f>
        <v>163728</v>
      </c>
      <c r="HV86" s="2960">
        <f>EI86+EJ86+EK86</f>
        <v>172185</v>
      </c>
      <c r="HW86" s="2960">
        <f>EL86+EM86+EN86</f>
        <v>177286</v>
      </c>
      <c r="HX86" s="2960">
        <f>EO86+EP86+EQ86</f>
        <v>179293</v>
      </c>
      <c r="HY86" s="2965">
        <f t="shared" si="33"/>
        <v>159592</v>
      </c>
      <c r="HZ86" s="2966">
        <f t="shared" si="34"/>
        <v>178036</v>
      </c>
      <c r="IA86" s="2966">
        <f t="shared" si="35"/>
        <v>187135</v>
      </c>
      <c r="IB86" s="2966">
        <f t="shared" si="36"/>
        <v>159627</v>
      </c>
      <c r="IC86" s="2967">
        <f t="shared" si="65"/>
        <v>134905</v>
      </c>
      <c r="ID86" s="2968">
        <f t="shared" si="66"/>
        <v>2460</v>
      </c>
      <c r="IE86" s="2968">
        <f t="shared" si="69"/>
        <v>13916</v>
      </c>
      <c r="IF86" s="2969">
        <f t="shared" si="70"/>
        <v>39136</v>
      </c>
      <c r="IG86" s="2964">
        <f>FP86+FQ86+FR86</f>
        <v>39067</v>
      </c>
      <c r="IH86" s="2960">
        <f>FS86+FT86+FU86</f>
        <v>51181</v>
      </c>
      <c r="II86" s="2960">
        <f>FV86+FW86+FX86</f>
        <v>82773</v>
      </c>
      <c r="IJ86" s="2960">
        <f>FY86+FZ86+GA86</f>
        <v>107975</v>
      </c>
      <c r="IK86" s="2736"/>
      <c r="IL86" s="3651">
        <f>SUM(IL53:IL85)</f>
        <v>417853</v>
      </c>
      <c r="IM86" s="3651">
        <f>SUM(IM53:IM85)</f>
        <v>471499</v>
      </c>
      <c r="IN86" s="3652">
        <v>461865</v>
      </c>
      <c r="IO86" s="3652">
        <f>SUM(IO53:IO85)</f>
        <v>474221</v>
      </c>
      <c r="IP86" s="3652">
        <f t="shared" ref="IP86:IW86" si="75">SUM(IP53:IP85)</f>
        <v>487378</v>
      </c>
      <c r="IQ86" s="3652">
        <f t="shared" si="75"/>
        <v>533458</v>
      </c>
      <c r="IR86" s="3652">
        <f t="shared" si="75"/>
        <v>628958</v>
      </c>
      <c r="IS86" s="3652">
        <f t="shared" si="75"/>
        <v>703015</v>
      </c>
      <c r="IT86" s="3652">
        <f t="shared" si="75"/>
        <v>712877</v>
      </c>
      <c r="IU86" s="3652">
        <f t="shared" si="75"/>
        <v>627626</v>
      </c>
      <c r="IV86" s="3652">
        <f t="shared" si="75"/>
        <v>652931</v>
      </c>
      <c r="IW86" s="3652">
        <f t="shared" si="75"/>
        <v>692492</v>
      </c>
      <c r="IX86" s="3653">
        <f>SUM(IX53:IX85)</f>
        <v>684390</v>
      </c>
      <c r="IY86" s="3654">
        <f>SUM(IY53:IY85)</f>
        <v>190417</v>
      </c>
      <c r="IZ86" s="3655">
        <f>SUM(IZ54:IZ85)</f>
        <v>280996</v>
      </c>
      <c r="JA86" s="3766">
        <f>SUM(JA54:JA85)</f>
        <v>67594</v>
      </c>
      <c r="JC86" s="3656">
        <f t="shared" si="59"/>
        <v>235706.5</v>
      </c>
      <c r="JD86" s="3657"/>
      <c r="JE86" s="3657"/>
      <c r="JF86" s="3657"/>
      <c r="JG86" s="3657"/>
      <c r="JH86" s="3657"/>
      <c r="JI86" s="3657"/>
      <c r="JJ86" s="3657"/>
      <c r="JK86" s="3658">
        <f>IV86/IU86-1</f>
        <v>4.0318597381242993E-2</v>
      </c>
      <c r="JL86" s="3658">
        <f>JC86/IU86-1</f>
        <v>-0.62444752129452885</v>
      </c>
      <c r="JM86" s="3659">
        <f>IW86/IV86-1</f>
        <v>6.0589863247418219E-2</v>
      </c>
      <c r="JN86" s="3659">
        <f>IX86/IW86-1</f>
        <v>-1.1699774149015463E-2</v>
      </c>
      <c r="JO86" s="3659">
        <f>IY86/IX86-1</f>
        <v>-0.72177121232046049</v>
      </c>
      <c r="JP86" s="3660">
        <f t="shared" si="63"/>
        <v>-0.58942123642952116</v>
      </c>
      <c r="JQ86" s="3661">
        <f>IZ86/IY86-1</f>
        <v>0.47568756991235017</v>
      </c>
    </row>
    <row r="87" spans="1:301" ht="15" thickBot="1">
      <c r="A87" s="3662"/>
      <c r="B87" s="3471"/>
      <c r="C87" s="3663" t="s">
        <v>478</v>
      </c>
      <c r="D87" s="2761"/>
      <c r="E87" s="2730"/>
      <c r="F87" s="2730"/>
      <c r="G87" s="2725"/>
      <c r="H87" s="2730"/>
      <c r="I87" s="2730"/>
      <c r="J87" s="2730"/>
      <c r="K87" s="2730"/>
      <c r="L87" s="2730"/>
      <c r="M87" s="2725"/>
      <c r="N87" s="2730"/>
      <c r="O87" s="2730"/>
      <c r="P87" s="2730"/>
      <c r="Q87" s="2730"/>
      <c r="R87" s="2730"/>
      <c r="S87" s="2725"/>
      <c r="T87" s="2730"/>
      <c r="U87" s="2730"/>
      <c r="V87" s="2730"/>
      <c r="W87" s="2730"/>
      <c r="X87" s="2730"/>
      <c r="Y87" s="2730"/>
      <c r="Z87" s="2730"/>
      <c r="AA87" s="2730"/>
      <c r="AB87" s="2730">
        <v>0</v>
      </c>
      <c r="AC87" s="2730">
        <v>0</v>
      </c>
      <c r="AD87" s="2730">
        <v>0</v>
      </c>
      <c r="AE87" s="2730">
        <v>0</v>
      </c>
      <c r="AF87" s="2730">
        <v>0</v>
      </c>
      <c r="AG87" s="2730">
        <v>0</v>
      </c>
      <c r="AH87" s="2730">
        <v>0</v>
      </c>
      <c r="AI87" s="2730">
        <v>0</v>
      </c>
      <c r="AJ87" s="2730">
        <v>0</v>
      </c>
      <c r="AK87" s="2730">
        <v>0</v>
      </c>
      <c r="AL87" s="2730">
        <v>0</v>
      </c>
      <c r="AM87" s="2730">
        <v>0</v>
      </c>
      <c r="AN87" s="2730"/>
      <c r="AO87" s="2730"/>
      <c r="AP87" s="2730"/>
      <c r="AQ87" s="2730"/>
      <c r="AR87" s="2730"/>
      <c r="AS87" s="2730"/>
      <c r="AT87" s="2730"/>
      <c r="AU87" s="2730"/>
      <c r="AV87" s="2730"/>
      <c r="AW87" s="2730"/>
      <c r="AX87" s="2730">
        <v>0</v>
      </c>
      <c r="AY87" s="2730">
        <v>0</v>
      </c>
      <c r="AZ87" s="2730">
        <v>0</v>
      </c>
      <c r="BA87" s="2730">
        <v>0</v>
      </c>
      <c r="BB87" s="2730">
        <v>0</v>
      </c>
      <c r="BC87" s="2730"/>
      <c r="BD87" s="2730">
        <v>0</v>
      </c>
      <c r="BE87" s="2730">
        <v>0</v>
      </c>
      <c r="BF87" s="2730"/>
      <c r="BG87" s="2730">
        <v>0</v>
      </c>
      <c r="BH87" s="2730"/>
      <c r="BI87" s="2730">
        <v>0</v>
      </c>
      <c r="BJ87" s="2730">
        <v>0</v>
      </c>
      <c r="BK87" s="2730">
        <v>0</v>
      </c>
      <c r="BL87" s="2730">
        <v>0</v>
      </c>
      <c r="BM87" s="2730"/>
      <c r="BN87" s="2730"/>
      <c r="BO87" s="2730"/>
      <c r="BP87" s="2730"/>
      <c r="BQ87" s="2730"/>
      <c r="BR87" s="2730"/>
      <c r="BS87" s="2730"/>
      <c r="BT87" s="2730">
        <v>0</v>
      </c>
      <c r="BU87" s="2730"/>
      <c r="BV87" s="2730"/>
      <c r="BW87" s="2730"/>
      <c r="BX87" s="2730"/>
      <c r="BY87" s="2730"/>
      <c r="BZ87" s="2730"/>
      <c r="CA87" s="2730"/>
      <c r="CB87" s="2730"/>
      <c r="CC87" s="2730">
        <v>5607</v>
      </c>
      <c r="CD87" s="2730"/>
      <c r="CE87" s="2730"/>
      <c r="CF87" s="2730"/>
      <c r="CG87" s="2730"/>
      <c r="CH87" s="2730"/>
      <c r="CI87" s="2730"/>
      <c r="CJ87" s="2730"/>
      <c r="CK87" s="2730"/>
      <c r="CL87" s="2730"/>
      <c r="CM87" s="2730"/>
      <c r="CN87" s="2730"/>
      <c r="CO87" s="2730"/>
      <c r="CP87" s="2730"/>
      <c r="CQ87" s="2730"/>
      <c r="CR87" s="2730"/>
      <c r="CS87" s="2730"/>
      <c r="CT87" s="2730"/>
      <c r="CU87" s="2730"/>
      <c r="CV87" s="2730"/>
      <c r="CW87" s="2730"/>
      <c r="CX87" s="2730"/>
      <c r="CY87" s="2730"/>
      <c r="CZ87" s="2730"/>
      <c r="DA87" s="2730"/>
      <c r="DB87" s="2730"/>
      <c r="DC87" s="2730"/>
      <c r="DD87" s="2730"/>
      <c r="DE87" s="2730"/>
      <c r="DF87" s="2730"/>
      <c r="DG87" s="2730"/>
      <c r="DH87" s="3476">
        <v>0</v>
      </c>
      <c r="DI87" s="3476">
        <v>0</v>
      </c>
      <c r="DJ87" s="3476">
        <v>0</v>
      </c>
      <c r="DK87" s="3476">
        <v>0</v>
      </c>
      <c r="DL87" s="3476">
        <v>0</v>
      </c>
      <c r="DM87" s="3476">
        <v>0</v>
      </c>
      <c r="DN87" s="3476">
        <v>0</v>
      </c>
      <c r="DO87" s="3476">
        <v>0</v>
      </c>
      <c r="DP87" s="3476">
        <v>0</v>
      </c>
      <c r="DQ87" s="3476">
        <v>0</v>
      </c>
      <c r="DR87" s="3476">
        <v>0</v>
      </c>
      <c r="DS87" s="3476">
        <v>0</v>
      </c>
      <c r="DT87" s="3476">
        <v>0</v>
      </c>
      <c r="DU87" s="3476">
        <v>0</v>
      </c>
      <c r="DV87" s="3476">
        <v>0</v>
      </c>
      <c r="DW87" s="3476">
        <v>0</v>
      </c>
      <c r="DX87" s="3476">
        <v>0</v>
      </c>
      <c r="DY87" s="3476">
        <v>0</v>
      </c>
      <c r="DZ87" s="3476"/>
      <c r="EA87" s="3476"/>
      <c r="EB87" s="3476"/>
      <c r="EC87" s="3476"/>
      <c r="ED87" s="3476"/>
      <c r="EE87" s="3476"/>
      <c r="EF87" s="3664">
        <f>EF86/DT86-1</f>
        <v>4.7217338048481716E-2</v>
      </c>
      <c r="EG87" s="3665">
        <f t="shared" ref="EG87:GA87" si="76">EG86/DU86-1</f>
        <v>0.10826024624725927</v>
      </c>
      <c r="EH87" s="3665">
        <f t="shared" si="76"/>
        <v>9.662455214029797E-2</v>
      </c>
      <c r="EI87" s="3665">
        <f t="shared" si="76"/>
        <v>-5.1143153031147914E-2</v>
      </c>
      <c r="EJ87" s="3665">
        <f t="shared" si="76"/>
        <v>0.14640161581800792</v>
      </c>
      <c r="EK87" s="3665">
        <f t="shared" si="76"/>
        <v>7.1981541637572422E-2</v>
      </c>
      <c r="EL87" s="3665">
        <f t="shared" si="76"/>
        <v>3.9101924447612291E-2</v>
      </c>
      <c r="EM87" s="3665">
        <f t="shared" si="76"/>
        <v>6.2053205203328243E-2</v>
      </c>
      <c r="EN87" s="3665">
        <f t="shared" si="76"/>
        <v>0.10276252838591615</v>
      </c>
      <c r="EO87" s="3665">
        <f t="shared" si="76"/>
        <v>6.6836909094565078E-2</v>
      </c>
      <c r="EP87" s="3666">
        <f t="shared" si="76"/>
        <v>4.797471990807245E-2</v>
      </c>
      <c r="EQ87" s="3665">
        <f t="shared" si="76"/>
        <v>2.0753047300962058E-2</v>
      </c>
      <c r="ER87" s="3664">
        <f t="shared" si="76"/>
        <v>-5.4709755315340836E-4</v>
      </c>
      <c r="ES87" s="3665">
        <f t="shared" si="76"/>
        <v>-1.1851541841839897E-2</v>
      </c>
      <c r="ET87" s="3665">
        <f>ET86/EH86-1</f>
        <v>-5.9909894418268772E-2</v>
      </c>
      <c r="EU87" s="3665">
        <f t="shared" si="76"/>
        <v>0.11894467299135258</v>
      </c>
      <c r="EV87" s="3665">
        <f t="shared" si="76"/>
        <v>1.3167411583612232E-3</v>
      </c>
      <c r="EW87" s="3665">
        <f t="shared" si="76"/>
        <v>1.6001132823562081E-3</v>
      </c>
      <c r="EX87" s="3665">
        <f t="shared" si="76"/>
        <v>5.5217922159878086E-2</v>
      </c>
      <c r="EY87" s="3665">
        <f t="shared" si="76"/>
        <v>5.5834482758620796E-2</v>
      </c>
      <c r="EZ87" s="3665">
        <f t="shared" si="76"/>
        <v>5.5739933623895288E-2</v>
      </c>
      <c r="FA87" s="3665">
        <f t="shared" si="76"/>
        <v>-0.20036941402642439</v>
      </c>
      <c r="FB87" s="3666">
        <f t="shared" si="76"/>
        <v>-3.1560672514619914E-2</v>
      </c>
      <c r="FC87" s="3667">
        <f t="shared" si="76"/>
        <v>-0.10218692320599587</v>
      </c>
      <c r="FD87" s="2779">
        <f t="shared" si="76"/>
        <v>9.1018913511268895E-2</v>
      </c>
      <c r="FE87" s="2779">
        <f t="shared" si="76"/>
        <v>5.6888187278607782E-2</v>
      </c>
      <c r="FF87" s="2779">
        <f t="shared" si="76"/>
        <v>-0.59381745015547827</v>
      </c>
      <c r="FG87" s="2779">
        <f t="shared" si="76"/>
        <v>-0.99289077301119844</v>
      </c>
      <c r="FH87" s="2779">
        <f t="shared" si="76"/>
        <v>-0.9879611794339902</v>
      </c>
      <c r="FI87" s="2779">
        <f t="shared" si="76"/>
        <v>-0.97976899042879562</v>
      </c>
      <c r="FJ87" s="2779">
        <f t="shared" si="76"/>
        <v>-0.95248186380301103</v>
      </c>
      <c r="FK87" s="2779">
        <f t="shared" si="76"/>
        <v>-0.92069464039992333</v>
      </c>
      <c r="FL87" s="2779">
        <f t="shared" si="76"/>
        <v>-0.8919062227777147</v>
      </c>
      <c r="FM87" s="2779">
        <f t="shared" si="76"/>
        <v>-0.78638099278744167</v>
      </c>
      <c r="FN87" s="2779">
        <f t="shared" si="76"/>
        <v>-0.78199007416073818</v>
      </c>
      <c r="FO87" s="2779">
        <f t="shared" si="76"/>
        <v>-0.71156242212808374</v>
      </c>
      <c r="FP87" s="2780">
        <f t="shared" si="76"/>
        <v>-0.75368512110726638</v>
      </c>
      <c r="FQ87" s="2780">
        <f t="shared" si="76"/>
        <v>-0.80154465472959435</v>
      </c>
      <c r="FR87" s="2780">
        <f t="shared" si="76"/>
        <v>-0.37246690083761147</v>
      </c>
      <c r="FS87" s="2780">
        <f t="shared" si="76"/>
        <v>33.912928759894456</v>
      </c>
      <c r="FT87" s="2780">
        <f t="shared" si="76"/>
        <v>22.530769230769231</v>
      </c>
      <c r="FU87" s="2780">
        <f t="shared" si="76"/>
        <v>14.83088749126485</v>
      </c>
      <c r="FV87" s="2780">
        <f t="shared" si="76"/>
        <v>7.2128590971272235</v>
      </c>
      <c r="FW87" s="2780">
        <f t="shared" si="76"/>
        <v>5.0355809356468262</v>
      </c>
      <c r="FX87" s="2780">
        <f t="shared" si="76"/>
        <v>3.4279957953749127</v>
      </c>
      <c r="FY87" s="2780">
        <f t="shared" si="76"/>
        <v>2.2853359814630916</v>
      </c>
      <c r="FZ87" s="2780">
        <f t="shared" si="76"/>
        <v>2.0494243919328312</v>
      </c>
      <c r="GA87" s="2780">
        <f t="shared" si="76"/>
        <v>1.3201943844492439</v>
      </c>
      <c r="GB87" s="2781"/>
      <c r="GC87" s="2737">
        <v>0</v>
      </c>
      <c r="GD87" s="2737">
        <v>0</v>
      </c>
      <c r="GE87" s="2737">
        <v>0</v>
      </c>
      <c r="GF87" s="2737">
        <v>0</v>
      </c>
      <c r="GG87" s="2738">
        <f>GG86/GC86-1</f>
        <v>0.29654068747807782</v>
      </c>
      <c r="GH87" s="2738">
        <f t="shared" ref="GH87:IJ87" si="77">GH86/GD86-1</f>
        <v>0.16287282518641266</v>
      </c>
      <c r="GI87" s="2738">
        <f t="shared" si="77"/>
        <v>3.8791429311237691E-2</v>
      </c>
      <c r="GJ87" s="2738">
        <f t="shared" si="77"/>
        <v>5.7017008368004385E-2</v>
      </c>
      <c r="GK87" s="2738">
        <f t="shared" si="77"/>
        <v>-0.12803713034509578</v>
      </c>
      <c r="GL87" s="2738">
        <f t="shared" si="77"/>
        <v>3.9452474462760012E-3</v>
      </c>
      <c r="GM87" s="2738">
        <f t="shared" si="77"/>
        <v>-3.4040100328717182E-3</v>
      </c>
      <c r="GN87" s="2738">
        <f t="shared" si="77"/>
        <v>4.8912464015353541E-2</v>
      </c>
      <c r="GO87" s="2738">
        <f t="shared" si="77"/>
        <v>0.12927933605452724</v>
      </c>
      <c r="GP87" s="2738">
        <f t="shared" si="77"/>
        <v>1.8424554244655278E-2</v>
      </c>
      <c r="GQ87" s="2738">
        <f t="shared" si="77"/>
        <v>-2.1033132459493009E-2</v>
      </c>
      <c r="GR87" s="2738">
        <f t="shared" si="77"/>
        <v>-3.0833608633410448E-3</v>
      </c>
      <c r="GS87" s="2738">
        <f t="shared" si="77"/>
        <v>-3.1071045288688537E-2</v>
      </c>
      <c r="GT87" s="2738">
        <f t="shared" si="77"/>
        <v>6.1050284390324672E-2</v>
      </c>
      <c r="GU87" s="2738">
        <f t="shared" si="77"/>
        <v>2.8471057884231543E-2</v>
      </c>
      <c r="GV87" s="2738">
        <f t="shared" si="77"/>
        <v>5.2689716116204544E-2</v>
      </c>
      <c r="GW87" s="2738">
        <f t="shared" si="77"/>
        <v>1.093428794215634E-2</v>
      </c>
      <c r="GX87" s="2738">
        <f t="shared" si="77"/>
        <v>7.8758127011230084E-2</v>
      </c>
      <c r="GY87" s="2738">
        <f t="shared" si="77"/>
        <v>0.10333343684014418</v>
      </c>
      <c r="GZ87" s="2738">
        <f t="shared" si="77"/>
        <v>0.17710065380579554</v>
      </c>
      <c r="HA87" s="2738">
        <f t="shared" si="77"/>
        <v>0.21253396441405914</v>
      </c>
      <c r="HB87" s="2738">
        <f t="shared" si="77"/>
        <v>0.14748497070238176</v>
      </c>
      <c r="HC87" s="2738">
        <f t="shared" si="77"/>
        <v>0.16947518768425418</v>
      </c>
      <c r="HD87" s="2738">
        <f t="shared" si="77"/>
        <v>0.19032990242129588</v>
      </c>
      <c r="HE87" s="2738">
        <f t="shared" si="77"/>
        <v>0.1353207361679365</v>
      </c>
      <c r="HF87" s="2738">
        <f t="shared" si="77"/>
        <v>6.4645767983500413E-2</v>
      </c>
      <c r="HG87" s="2738">
        <f t="shared" si="77"/>
        <v>0.11147677090979102</v>
      </c>
      <c r="HH87" s="2738">
        <f t="shared" si="77"/>
        <v>0.15604855202290491</v>
      </c>
      <c r="HI87" s="2738">
        <f t="shared" si="77"/>
        <v>8.8374995224694164E-2</v>
      </c>
      <c r="HJ87" s="2738">
        <f t="shared" si="77"/>
        <v>0.10646011249602894</v>
      </c>
      <c r="HK87" s="2738">
        <f t="shared" si="77"/>
        <v>-3.8431767374136006E-2</v>
      </c>
      <c r="HL87" s="2738">
        <f t="shared" si="77"/>
        <v>-6.9809393297620481E-2</v>
      </c>
      <c r="HM87" s="2738">
        <f t="shared" si="77"/>
        <v>-7.1645859902420783E-2</v>
      </c>
      <c r="HN87" s="2738">
        <f t="shared" si="77"/>
        <v>-0.16443168383718965</v>
      </c>
      <c r="HO87" s="2738">
        <f t="shared" si="77"/>
        <v>3.14676063790853E-3</v>
      </c>
      <c r="HP87" s="2738">
        <f t="shared" si="77"/>
        <v>-0.10970932039043002</v>
      </c>
      <c r="HQ87" s="2738">
        <f t="shared" si="77"/>
        <v>-4.7967433565860751E-2</v>
      </c>
      <c r="HR87" s="2738">
        <f t="shared" si="77"/>
        <v>9.9062133645955397E-2</v>
      </c>
      <c r="HS87" s="2738">
        <f t="shared" si="77"/>
        <v>-6.451667209122236E-2</v>
      </c>
      <c r="HT87" s="2738">
        <f t="shared" si="77"/>
        <v>3.5038841786662056E-2</v>
      </c>
      <c r="HU87" s="2738">
        <f t="shared" si="77"/>
        <v>8.372440908398926E-2</v>
      </c>
      <c r="HV87" s="2738">
        <f t="shared" si="77"/>
        <v>5.5540229885057579E-2</v>
      </c>
      <c r="HW87" s="2738">
        <f t="shared" si="77"/>
        <v>6.3471401577637199E-2</v>
      </c>
      <c r="HX87" s="2738">
        <f t="shared" si="77"/>
        <v>4.2340561595256121E-2</v>
      </c>
      <c r="HY87" s="2738">
        <f t="shared" si="77"/>
        <v>-2.5261409166422388E-2</v>
      </c>
      <c r="HZ87" s="2738">
        <f t="shared" si="77"/>
        <v>3.3980892644539296E-2</v>
      </c>
      <c r="IA87" s="2738">
        <f t="shared" si="77"/>
        <v>5.5554302088151264E-2</v>
      </c>
      <c r="IB87" s="2738">
        <f t="shared" si="77"/>
        <v>-0.10968637927861102</v>
      </c>
      <c r="IC87" s="2738">
        <f t="shared" si="77"/>
        <v>-0.15468820492255253</v>
      </c>
      <c r="ID87" s="2738">
        <f t="shared" si="77"/>
        <v>-0.98618256981734032</v>
      </c>
      <c r="IE87" s="2738">
        <f t="shared" si="77"/>
        <v>-0.92563657252785425</v>
      </c>
      <c r="IF87" s="2738">
        <f t="shared" si="77"/>
        <v>-0.75482844380963121</v>
      </c>
      <c r="IG87" s="2738">
        <f t="shared" si="77"/>
        <v>-0.71041102998406291</v>
      </c>
      <c r="IH87" s="2738">
        <f t="shared" si="77"/>
        <v>19.805284552845528</v>
      </c>
      <c r="II87" s="2738">
        <f t="shared" si="77"/>
        <v>4.9480454153492381</v>
      </c>
      <c r="IJ87" s="2738">
        <f t="shared" si="77"/>
        <v>1.7589687244480783</v>
      </c>
      <c r="IK87" s="2970"/>
      <c r="IL87" s="3668"/>
      <c r="IM87" s="3669">
        <f t="shared" ref="IM87:IZ87" si="78">IM86/IL86-1</f>
        <v>0.12838486261915083</v>
      </c>
      <c r="IN87" s="3669">
        <f t="shared" si="78"/>
        <v>-2.0432705053457179E-2</v>
      </c>
      <c r="IO87" s="3669">
        <f t="shared" si="78"/>
        <v>2.6752406006083973E-2</v>
      </c>
      <c r="IP87" s="3669">
        <f t="shared" si="78"/>
        <v>2.7744448263573362E-2</v>
      </c>
      <c r="IQ87" s="3669">
        <f t="shared" si="78"/>
        <v>9.4546737850292883E-2</v>
      </c>
      <c r="IR87" s="3669">
        <f t="shared" si="78"/>
        <v>0.17902065392214572</v>
      </c>
      <c r="IS87" s="3669">
        <f t="shared" si="78"/>
        <v>0.11774554103771639</v>
      </c>
      <c r="IT87" s="3669">
        <f t="shared" si="78"/>
        <v>1.4028150181717214E-2</v>
      </c>
      <c r="IU87" s="3669">
        <f t="shared" si="78"/>
        <v>-0.11958724997439951</v>
      </c>
      <c r="IV87" s="3669">
        <f t="shared" si="78"/>
        <v>4.0318597381242993E-2</v>
      </c>
      <c r="IW87" s="3669">
        <f t="shared" si="78"/>
        <v>6.0589863247418219E-2</v>
      </c>
      <c r="IX87" s="3669">
        <f t="shared" si="78"/>
        <v>-1.1699774149015463E-2</v>
      </c>
      <c r="IY87" s="3670">
        <f t="shared" si="78"/>
        <v>-0.72177121232046049</v>
      </c>
      <c r="IZ87" s="3670">
        <f t="shared" si="78"/>
        <v>0.47568756991235017</v>
      </c>
      <c r="JA87" s="3769"/>
      <c r="JC87" s="2723"/>
      <c r="JD87" s="2723"/>
      <c r="JE87" s="2723"/>
      <c r="JF87" s="2723"/>
      <c r="JG87" s="2723"/>
      <c r="JH87" s="2723"/>
      <c r="JI87" s="3262"/>
      <c r="JJ87" s="2723"/>
      <c r="JK87" s="2723"/>
      <c r="JL87" s="2723"/>
      <c r="JM87" s="2723"/>
      <c r="JN87" s="2723"/>
      <c r="JO87" s="2723"/>
      <c r="JP87" s="2723"/>
      <c r="JQ87" s="2723"/>
    </row>
    <row r="88" spans="1:301" ht="9.75" customHeight="1">
      <c r="A88" s="3671"/>
      <c r="B88" s="3671"/>
      <c r="C88" s="3671"/>
      <c r="D88" s="3671"/>
      <c r="E88" s="3671"/>
      <c r="F88" s="3671"/>
      <c r="G88" s="3671"/>
      <c r="H88" s="3671"/>
      <c r="I88" s="3671"/>
      <c r="J88" s="3671"/>
      <c r="K88" s="3671"/>
      <c r="L88" s="3671"/>
      <c r="M88" s="3671"/>
      <c r="N88" s="3671"/>
      <c r="O88" s="3671"/>
      <c r="P88" s="3671"/>
      <c r="Q88" s="3671"/>
      <c r="R88" s="3671"/>
      <c r="S88" s="3671"/>
      <c r="T88" s="3671"/>
      <c r="U88" s="3671"/>
      <c r="V88" s="3671"/>
      <c r="W88" s="3671"/>
      <c r="X88" s="3671"/>
      <c r="Y88" s="3671"/>
      <c r="Z88" s="3671"/>
      <c r="AA88" s="3671"/>
      <c r="AB88" s="3671"/>
      <c r="AC88" s="3671"/>
      <c r="AD88" s="3671"/>
      <c r="AE88" s="3671"/>
      <c r="AF88" s="3671"/>
      <c r="AG88" s="3671"/>
      <c r="AH88" s="3671"/>
      <c r="AI88" s="3671"/>
      <c r="AJ88" s="3671"/>
      <c r="AK88" s="3671"/>
      <c r="AL88" s="3671"/>
      <c r="AM88" s="3671"/>
      <c r="AN88" s="3671"/>
      <c r="AO88" s="3671"/>
      <c r="AP88" s="3671"/>
      <c r="AQ88" s="3671"/>
      <c r="AR88" s="3671"/>
      <c r="AS88" s="3671"/>
      <c r="AT88" s="3671"/>
      <c r="AU88" s="3671"/>
      <c r="AV88" s="3671"/>
      <c r="AW88" s="3671"/>
      <c r="AX88" s="3671"/>
      <c r="AY88" s="3671"/>
      <c r="AZ88" s="3671"/>
      <c r="BA88" s="3671"/>
      <c r="BB88" s="3671"/>
      <c r="BC88" s="3671"/>
      <c r="BD88" s="3671"/>
      <c r="BE88" s="3671"/>
      <c r="BF88" s="3671"/>
      <c r="BG88" s="3671"/>
      <c r="BH88" s="3671"/>
      <c r="BI88" s="3671"/>
      <c r="BJ88" s="3671"/>
      <c r="BK88" s="3671"/>
      <c r="BL88" s="3671"/>
      <c r="BM88" s="3671"/>
      <c r="BN88" s="3671"/>
      <c r="BO88" s="3671"/>
      <c r="BP88" s="3671"/>
      <c r="BQ88" s="3671"/>
      <c r="BR88" s="3671"/>
      <c r="BS88" s="3671"/>
      <c r="BT88" s="3671"/>
      <c r="BU88" s="3671"/>
      <c r="BV88" s="3671"/>
      <c r="BW88" s="3671"/>
      <c r="BX88" s="3671"/>
      <c r="BY88" s="3671"/>
      <c r="BZ88" s="3671"/>
      <c r="CA88" s="3671"/>
      <c r="CB88" s="3671"/>
      <c r="CC88" s="3671"/>
      <c r="CD88" s="3671"/>
      <c r="CE88" s="3671"/>
      <c r="CF88" s="3671"/>
      <c r="CG88" s="3671"/>
      <c r="CH88" s="3671"/>
      <c r="CI88" s="3671"/>
      <c r="CJ88" s="3671"/>
      <c r="CK88" s="3671"/>
      <c r="CL88" s="3671"/>
      <c r="CM88" s="3671"/>
      <c r="CN88" s="3671"/>
      <c r="CO88" s="3671"/>
      <c r="CP88" s="3671"/>
      <c r="CQ88" s="3671"/>
      <c r="CR88" s="3671"/>
      <c r="CS88" s="3671"/>
      <c r="CT88" s="3671"/>
      <c r="CU88" s="3671"/>
      <c r="CV88" s="3671"/>
      <c r="CW88" s="3671"/>
      <c r="CX88" s="3671"/>
      <c r="CY88" s="3671"/>
      <c r="CZ88" s="3671"/>
      <c r="DA88" s="3671"/>
      <c r="DB88" s="3671"/>
      <c r="DC88" s="3671"/>
      <c r="DD88" s="3671"/>
      <c r="DE88" s="3671"/>
      <c r="DF88" s="3671"/>
      <c r="DG88" s="3671"/>
      <c r="DH88" s="3672"/>
      <c r="DI88" s="3672"/>
      <c r="DJ88" s="3672"/>
      <c r="DK88" s="3672"/>
      <c r="DL88" s="3672"/>
      <c r="DM88" s="3672"/>
      <c r="DN88" s="3672"/>
      <c r="DO88" s="3672"/>
      <c r="DP88" s="3672"/>
      <c r="DQ88" s="3672"/>
      <c r="DR88" s="3672"/>
      <c r="DS88" s="3672"/>
      <c r="DT88" s="3672"/>
      <c r="DU88" s="3672"/>
      <c r="DV88" s="3672"/>
      <c r="DW88" s="3672"/>
      <c r="DX88" s="3672"/>
      <c r="DY88" s="3672"/>
      <c r="DZ88" s="3672"/>
      <c r="EA88" s="3672"/>
      <c r="EB88" s="3672"/>
      <c r="EC88" s="3672"/>
      <c r="ED88" s="3672"/>
      <c r="EE88" s="3672"/>
      <c r="EF88" s="3673"/>
      <c r="EG88" s="3674"/>
      <c r="EH88" s="3674"/>
      <c r="EI88" s="3674"/>
      <c r="EJ88" s="3674"/>
      <c r="EK88" s="3674"/>
      <c r="EL88" s="3674"/>
      <c r="EM88" s="3674"/>
      <c r="EN88" s="3674"/>
      <c r="EO88" s="3674"/>
      <c r="EP88" s="3674"/>
      <c r="EQ88" s="3674"/>
      <c r="ER88" s="3673"/>
      <c r="ES88" s="3674"/>
      <c r="ET88" s="3674"/>
      <c r="EU88" s="3674"/>
      <c r="EV88" s="3674"/>
      <c r="EW88" s="3674"/>
      <c r="EX88" s="3674"/>
      <c r="EY88" s="3674"/>
      <c r="EZ88" s="3674"/>
      <c r="FA88" s="3674"/>
      <c r="FB88" s="3674"/>
      <c r="FC88" s="3675"/>
      <c r="FD88" s="2739"/>
      <c r="FE88" s="2739"/>
      <c r="FF88" s="2739"/>
      <c r="FG88" s="2739"/>
      <c r="FH88" s="2739"/>
      <c r="FI88" s="2739"/>
      <c r="FJ88" s="2739"/>
      <c r="FK88" s="2739"/>
      <c r="FL88" s="2739"/>
      <c r="FM88" s="2739"/>
      <c r="FN88" s="2739"/>
      <c r="FO88" s="2739"/>
      <c r="FP88" s="2740"/>
      <c r="FQ88" s="2740"/>
      <c r="FR88" s="2740"/>
      <c r="FS88" s="2740"/>
      <c r="FT88" s="2740"/>
      <c r="FU88" s="2740"/>
      <c r="FV88" s="2740"/>
      <c r="FW88" s="2740"/>
      <c r="FX88" s="2740"/>
      <c r="FY88" s="2740"/>
      <c r="FZ88" s="2740"/>
      <c r="GA88" s="2740"/>
      <c r="GB88" s="2741"/>
      <c r="GC88" s="2741"/>
      <c r="GD88" s="2741"/>
      <c r="GE88" s="2741"/>
      <c r="GF88" s="2741"/>
      <c r="GG88" s="2741"/>
      <c r="GH88" s="2741"/>
      <c r="GI88" s="2741"/>
      <c r="GJ88" s="2741"/>
      <c r="GK88" s="2741"/>
      <c r="GL88" s="2741"/>
      <c r="GM88" s="2741"/>
      <c r="GN88" s="2741"/>
      <c r="GO88" s="2741"/>
      <c r="GP88" s="2741"/>
      <c r="GQ88" s="2741"/>
      <c r="GR88" s="2741"/>
      <c r="GS88" s="2741"/>
      <c r="GT88" s="2741"/>
      <c r="GU88" s="2741"/>
      <c r="GV88" s="2741"/>
      <c r="GW88" s="2741"/>
      <c r="GX88" s="2741"/>
      <c r="GY88" s="2741"/>
      <c r="GZ88" s="2741"/>
      <c r="HA88" s="2741"/>
      <c r="HB88" s="2741"/>
      <c r="HC88" s="2741"/>
      <c r="HD88" s="2741"/>
      <c r="HE88" s="2741"/>
      <c r="HF88" s="2741"/>
      <c r="HG88" s="2741"/>
      <c r="HH88" s="2741"/>
      <c r="HI88" s="2741"/>
      <c r="HJ88" s="2741"/>
      <c r="HK88" s="2741"/>
      <c r="HL88" s="2741"/>
      <c r="HM88" s="2741"/>
      <c r="HN88" s="2741"/>
      <c r="HO88" s="2741"/>
      <c r="HP88" s="2741"/>
      <c r="HQ88" s="2741"/>
      <c r="HR88" s="2741"/>
      <c r="HS88" s="2741"/>
      <c r="HT88" s="2741"/>
      <c r="HU88" s="2741"/>
      <c r="HV88" s="2741"/>
      <c r="HW88" s="2741"/>
      <c r="HX88" s="2741"/>
      <c r="HY88" s="2741"/>
      <c r="HZ88" s="2741"/>
      <c r="IA88" s="2741"/>
      <c r="IB88" s="2741"/>
      <c r="IC88" s="2741"/>
      <c r="ID88" s="2741"/>
      <c r="IE88" s="2741"/>
      <c r="IF88" s="2741"/>
      <c r="IG88" s="2741"/>
      <c r="IH88" s="2741"/>
      <c r="II88" s="2741"/>
      <c r="IJ88" s="2741"/>
      <c r="IK88" s="2741"/>
      <c r="IL88" s="3676"/>
      <c r="IM88" s="3676"/>
      <c r="IN88" s="3676"/>
      <c r="IO88" s="3676"/>
      <c r="IP88" s="3676"/>
      <c r="IQ88" s="3676"/>
      <c r="IR88" s="3676"/>
      <c r="IS88" s="3676"/>
      <c r="IT88" s="3676"/>
      <c r="IU88" s="3677"/>
      <c r="IV88" s="3677"/>
      <c r="IW88" s="3677"/>
      <c r="IX88" s="3677"/>
      <c r="IY88" s="3678"/>
      <c r="IZ88" s="3679"/>
      <c r="JA88" s="3769"/>
      <c r="JC88" s="2723"/>
      <c r="JD88" s="2723"/>
      <c r="JE88" s="2723"/>
      <c r="JF88" s="2723"/>
      <c r="JG88" s="2723"/>
      <c r="JH88" s="2723"/>
      <c r="JI88" s="3262"/>
      <c r="JJ88" s="2723"/>
      <c r="JK88" s="2723"/>
      <c r="JL88" s="2723"/>
      <c r="JM88" s="2723"/>
      <c r="JN88" s="2723"/>
      <c r="JO88" s="2723"/>
      <c r="JP88" s="2723"/>
      <c r="JQ88" s="2723"/>
    </row>
    <row r="89" spans="1:301" s="3689" customFormat="1" ht="29.4" thickBot="1">
      <c r="A89" s="3680"/>
      <c r="B89" s="3680"/>
      <c r="C89" s="3681" t="s">
        <v>1101</v>
      </c>
      <c r="D89" s="3682"/>
      <c r="E89" s="3682"/>
      <c r="F89" s="3682"/>
      <c r="G89" s="3682"/>
      <c r="H89" s="3682"/>
      <c r="I89" s="3682"/>
      <c r="J89" s="3682"/>
      <c r="K89" s="3682"/>
      <c r="L89" s="3682"/>
      <c r="M89" s="3682"/>
      <c r="N89" s="3682"/>
      <c r="O89" s="3682"/>
      <c r="P89" s="3682"/>
      <c r="Q89" s="3682"/>
      <c r="R89" s="3682"/>
      <c r="S89" s="3682"/>
      <c r="T89" s="3682"/>
      <c r="U89" s="3682"/>
      <c r="V89" s="3682"/>
      <c r="W89" s="3682"/>
      <c r="X89" s="3682"/>
      <c r="Y89" s="3682"/>
      <c r="Z89" s="3682"/>
      <c r="AA89" s="3682"/>
      <c r="AB89" s="3682"/>
      <c r="AC89" s="3682"/>
      <c r="AD89" s="3682"/>
      <c r="AE89" s="3682"/>
      <c r="AF89" s="3682"/>
      <c r="AG89" s="3682"/>
      <c r="AH89" s="3682"/>
      <c r="AI89" s="3682"/>
      <c r="AJ89" s="3682"/>
      <c r="AK89" s="3682"/>
      <c r="AL89" s="3682"/>
      <c r="AM89" s="3682"/>
      <c r="AN89" s="3682"/>
      <c r="AO89" s="3682"/>
      <c r="AP89" s="3682"/>
      <c r="AQ89" s="3682"/>
      <c r="AR89" s="3682"/>
      <c r="AS89" s="3682"/>
      <c r="AT89" s="3682"/>
      <c r="AU89" s="3682"/>
      <c r="AV89" s="3682"/>
      <c r="AW89" s="3682"/>
      <c r="AX89" s="3682"/>
      <c r="AY89" s="3682"/>
      <c r="AZ89" s="3682"/>
      <c r="BA89" s="3682"/>
      <c r="BB89" s="3682"/>
      <c r="BC89" s="3682"/>
      <c r="BD89" s="3682"/>
      <c r="BE89" s="3682"/>
      <c r="BF89" s="3682"/>
      <c r="BG89" s="3682"/>
      <c r="BH89" s="3682"/>
      <c r="BI89" s="3682"/>
      <c r="BJ89" s="3682"/>
      <c r="BK89" s="3682"/>
      <c r="BL89" s="3682"/>
      <c r="BM89" s="3682"/>
      <c r="BN89" s="3682"/>
      <c r="BO89" s="3682"/>
      <c r="BP89" s="3682"/>
      <c r="BQ89" s="3682"/>
      <c r="BR89" s="3682"/>
      <c r="BS89" s="3682"/>
      <c r="BT89" s="3682"/>
      <c r="BU89" s="3682"/>
      <c r="BV89" s="3682"/>
      <c r="BW89" s="3682"/>
      <c r="BX89" s="3682"/>
      <c r="BY89" s="3682"/>
      <c r="BZ89" s="3682"/>
      <c r="CA89" s="3682"/>
      <c r="CB89" s="3682"/>
      <c r="CC89" s="3682"/>
      <c r="CD89" s="3682"/>
      <c r="CE89" s="3682"/>
      <c r="CF89" s="3682"/>
      <c r="CG89" s="3682"/>
      <c r="CH89" s="3682"/>
      <c r="CI89" s="3682"/>
      <c r="CJ89" s="3682"/>
      <c r="CK89" s="3682"/>
      <c r="CL89" s="3682"/>
      <c r="CM89" s="3682"/>
      <c r="CN89" s="3682"/>
      <c r="CO89" s="3682"/>
      <c r="CP89" s="3682"/>
      <c r="CQ89" s="3682"/>
      <c r="CR89" s="3682"/>
      <c r="CS89" s="3682"/>
      <c r="CT89" s="3682"/>
      <c r="CU89" s="3682"/>
      <c r="CV89" s="3682"/>
      <c r="CW89" s="3682"/>
      <c r="CX89" s="3682"/>
      <c r="CY89" s="3682"/>
      <c r="CZ89" s="3682"/>
      <c r="DA89" s="3682"/>
      <c r="DB89" s="3682"/>
      <c r="DC89" s="3682"/>
      <c r="DD89" s="3682"/>
      <c r="DE89" s="3682"/>
      <c r="DF89" s="3682"/>
      <c r="DG89" s="3682"/>
      <c r="DH89" s="3683"/>
      <c r="DI89" s="3683"/>
      <c r="DJ89" s="3683"/>
      <c r="DK89" s="3683"/>
      <c r="DL89" s="3683"/>
      <c r="DM89" s="3683"/>
      <c r="DN89" s="3683"/>
      <c r="DO89" s="3683"/>
      <c r="DP89" s="3684" t="s">
        <v>1115</v>
      </c>
      <c r="DQ89" s="3683"/>
      <c r="DR89" s="3683"/>
      <c r="DS89" s="3683"/>
      <c r="DT89" s="3683"/>
      <c r="DU89" s="3683"/>
      <c r="DV89" s="3683"/>
      <c r="DW89" s="3683"/>
      <c r="DX89" s="3683"/>
      <c r="DY89" s="3683"/>
      <c r="DZ89" s="3683"/>
      <c r="EA89" s="3683"/>
      <c r="EB89" s="3683"/>
      <c r="EC89" s="3683"/>
      <c r="ED89" s="3683"/>
      <c r="EE89" s="3683"/>
      <c r="EF89" s="3685"/>
      <c r="EG89" s="3683"/>
      <c r="EH89" s="3683"/>
      <c r="EI89" s="3683"/>
      <c r="EJ89" s="3683"/>
      <c r="EK89" s="3683"/>
      <c r="EL89" s="3683"/>
      <c r="EM89" s="3683"/>
      <c r="EN89" s="3683"/>
      <c r="EO89" s="3683"/>
      <c r="EP89" s="3683"/>
      <c r="EQ89" s="3683"/>
      <c r="ER89" s="3685">
        <f>ER86-'Llegadas '!N4</f>
        <v>0</v>
      </c>
      <c r="ES89" s="3683">
        <f>ES86-'Llegadas '!N5</f>
        <v>0</v>
      </c>
      <c r="ET89" s="3683">
        <f>ET86-'Llegadas '!N6</f>
        <v>0</v>
      </c>
      <c r="EU89" s="3683">
        <f>EU86-'Llegadas '!N7</f>
        <v>0</v>
      </c>
      <c r="EV89" s="3683">
        <f>EV86-'Llegadas '!N8</f>
        <v>0</v>
      </c>
      <c r="EW89" s="3683">
        <f>EW86-'Llegadas '!N9</f>
        <v>0</v>
      </c>
      <c r="EX89" s="3683">
        <f>EX86-'Llegadas '!N10</f>
        <v>0</v>
      </c>
      <c r="EY89" s="3683">
        <f>EY86-'Llegadas '!N11</f>
        <v>0</v>
      </c>
      <c r="EZ89" s="3683">
        <f>EZ86-'Llegadas '!N12</f>
        <v>0</v>
      </c>
      <c r="FA89" s="3683">
        <f>FA86-'Llegadas '!N13</f>
        <v>0</v>
      </c>
      <c r="FB89" s="3683">
        <f>FB86-'Llegadas '!N14</f>
        <v>0</v>
      </c>
      <c r="FC89" s="3686">
        <f>FC86-'Llegadas '!N15</f>
        <v>0</v>
      </c>
      <c r="FD89" s="3687">
        <f>FD86-'Llegadas '!O4</f>
        <v>0</v>
      </c>
      <c r="FE89" s="3687">
        <f>FE86-'Llegadas '!O5</f>
        <v>0</v>
      </c>
      <c r="FF89" s="3687">
        <f>FF86-'Llegadas '!O6</f>
        <v>0</v>
      </c>
      <c r="FG89" s="3687">
        <f>FG86-'Llegadas '!O7</f>
        <v>0</v>
      </c>
      <c r="FH89" s="3687">
        <f>FH86-'Llegadas '!O8</f>
        <v>0</v>
      </c>
      <c r="FI89" s="3687">
        <f>FI86-'Llegadas '!O9</f>
        <v>0</v>
      </c>
      <c r="FJ89" s="3687">
        <f>FJ86-'Llegadas '!O10</f>
        <v>0</v>
      </c>
      <c r="FK89" s="3687">
        <f>FK86-'Llegadas '!O11</f>
        <v>0</v>
      </c>
      <c r="FL89" s="3687">
        <f>FL86-'Llegadas '!O12</f>
        <v>0</v>
      </c>
      <c r="FM89" s="3687">
        <f>FM86-'Llegadas '!O13</f>
        <v>0</v>
      </c>
      <c r="FN89" s="3687">
        <f>FN86-'Llegadas '!O14</f>
        <v>0</v>
      </c>
      <c r="FO89" s="3687">
        <f>FO86-'Llegadas '!O15</f>
        <v>0</v>
      </c>
      <c r="FP89" s="3688">
        <f>FP86-'Llegadas '!P4</f>
        <v>0</v>
      </c>
      <c r="FQ89" s="3688">
        <f>FQ86-'Llegadas '!P5</f>
        <v>0</v>
      </c>
      <c r="FR89" s="3688">
        <f>FR86-'Llegadas '!P6</f>
        <v>0</v>
      </c>
      <c r="FS89" s="3688">
        <f>FS86-'Llegadas '!P7</f>
        <v>0</v>
      </c>
      <c r="FT89" s="3688">
        <f>FT86-'Llegadas '!P8</f>
        <v>0</v>
      </c>
      <c r="FU89" s="3688">
        <f>FU86-'Llegadas '!P9</f>
        <v>0</v>
      </c>
      <c r="FV89" s="3688">
        <f>FV86-'Llegadas '!P10</f>
        <v>0</v>
      </c>
      <c r="FW89" s="3688">
        <f>FW86-'Llegadas '!P11</f>
        <v>0</v>
      </c>
      <c r="FX89" s="3688">
        <f>FX86-'Llegadas '!P12</f>
        <v>0</v>
      </c>
      <c r="FY89" s="3688">
        <f>FY86-'Llegadas '!P13</f>
        <v>0</v>
      </c>
      <c r="FZ89" s="3688">
        <f>FZ86-'Llegadas '!P14</f>
        <v>0</v>
      </c>
      <c r="GA89" s="3688">
        <f>GA86-'Llegadas '!P15</f>
        <v>0</v>
      </c>
      <c r="GC89" s="3690"/>
      <c r="GD89" s="3682"/>
      <c r="GE89" s="3682"/>
      <c r="GF89" s="3682"/>
      <c r="GG89" s="3682"/>
      <c r="GH89" s="3682"/>
      <c r="GI89" s="3682"/>
      <c r="GJ89" s="3682"/>
      <c r="GK89" s="3682"/>
      <c r="GL89" s="3682"/>
      <c r="GM89" s="3682"/>
      <c r="GN89" s="3682"/>
      <c r="GO89" s="3682"/>
      <c r="GP89" s="3682"/>
      <c r="GQ89" s="3682"/>
      <c r="GR89" s="3682"/>
      <c r="GS89" s="3682"/>
      <c r="GT89" s="3682"/>
      <c r="GU89" s="3682"/>
      <c r="GV89" s="3682"/>
      <c r="GW89" s="3682"/>
      <c r="GX89" s="3690"/>
      <c r="GY89" s="3690"/>
      <c r="GZ89" s="3690"/>
      <c r="HA89" s="3690"/>
      <c r="HB89" s="3690"/>
      <c r="HC89" s="3690"/>
      <c r="HD89" s="3690"/>
      <c r="HE89" s="3690"/>
      <c r="HF89" s="3690"/>
      <c r="HG89" s="3690"/>
      <c r="HH89" s="3690"/>
      <c r="HI89" s="3690"/>
      <c r="HJ89" s="3690"/>
      <c r="HK89" s="3690"/>
      <c r="HL89" s="3690"/>
      <c r="HM89" s="3691"/>
      <c r="HN89" s="3691"/>
      <c r="HO89" s="3691"/>
      <c r="HP89" s="3691"/>
      <c r="HQ89" s="3691"/>
      <c r="HR89" s="3691"/>
      <c r="HS89" s="3691"/>
      <c r="HT89" s="3690"/>
      <c r="HU89" s="3690"/>
      <c r="HV89" s="3690"/>
      <c r="HW89" s="3690"/>
      <c r="HX89" s="3690"/>
      <c r="HY89" s="3690"/>
      <c r="HZ89" s="3690"/>
      <c r="IA89" s="3690"/>
      <c r="IB89" s="3690"/>
      <c r="ID89" s="3690"/>
      <c r="IE89" s="3690"/>
      <c r="IF89" s="3690"/>
      <c r="IG89" s="3690"/>
      <c r="IH89" s="3690"/>
      <c r="II89" s="3690"/>
      <c r="IJ89" s="3690"/>
      <c r="IK89" s="3682"/>
      <c r="IL89" s="3682">
        <f>SUM(IL53:IL85)</f>
        <v>417853</v>
      </c>
      <c r="IM89" s="3682">
        <f>SUM(IM53:IM85)</f>
        <v>471499</v>
      </c>
      <c r="IN89" s="3682">
        <f>SUM(IN53:IN85)</f>
        <v>469070.5</v>
      </c>
      <c r="IO89" s="3682">
        <f t="shared" ref="IO89:IX89" si="79">SUM(IO53:IO85)</f>
        <v>474221</v>
      </c>
      <c r="IP89" s="3682">
        <f t="shared" si="79"/>
        <v>487378</v>
      </c>
      <c r="IQ89" s="3682">
        <f t="shared" si="79"/>
        <v>533458</v>
      </c>
      <c r="IR89" s="3682">
        <f t="shared" si="79"/>
        <v>628958</v>
      </c>
      <c r="IS89" s="3682">
        <f t="shared" si="79"/>
        <v>703015</v>
      </c>
      <c r="IT89" s="3682">
        <f t="shared" si="79"/>
        <v>712877</v>
      </c>
      <c r="IU89" s="3682">
        <f t="shared" si="79"/>
        <v>627626</v>
      </c>
      <c r="IV89" s="3682">
        <f t="shared" si="79"/>
        <v>652931</v>
      </c>
      <c r="IW89" s="3682">
        <f>SUM(IW53:IW85)</f>
        <v>692492</v>
      </c>
      <c r="IX89" s="3682">
        <f t="shared" si="79"/>
        <v>684390</v>
      </c>
      <c r="IY89" s="3692">
        <f>'Llegadas '!O16-SUM(IY53:IY85)</f>
        <v>0</v>
      </c>
      <c r="IZ89" s="3692">
        <f>'Llegadas '!P16-SUM(IZ53:IZ85)</f>
        <v>0</v>
      </c>
      <c r="JA89" s="3770"/>
      <c r="JC89" s="3693"/>
      <c r="JD89" s="3693"/>
      <c r="JE89" s="3693"/>
      <c r="JF89" s="3693"/>
      <c r="JG89" s="3693"/>
      <c r="JI89" s="3693"/>
      <c r="JJ89" s="3693"/>
      <c r="JK89" s="3693"/>
      <c r="JL89" s="3693"/>
      <c r="JM89" s="3693"/>
      <c r="JN89" s="3693"/>
      <c r="JO89" s="3693"/>
      <c r="JP89" s="3693"/>
      <c r="JQ89" s="3693"/>
    </row>
    <row r="90" spans="1:301" ht="15" thickBot="1">
      <c r="A90" s="3558"/>
      <c r="B90" s="3514"/>
      <c r="C90" s="3694" t="s">
        <v>1511</v>
      </c>
      <c r="D90" s="3695">
        <f t="shared" ref="D90:BO90" si="80">D53+D54+D55+D56+D57+D58+D59+D60+D61+D62+D63+D65+D66+D67+D68++D72+D77+D80</f>
        <v>24856</v>
      </c>
      <c r="E90" s="3696">
        <f t="shared" si="80"/>
        <v>25198</v>
      </c>
      <c r="F90" s="3696">
        <f t="shared" si="80"/>
        <v>28215</v>
      </c>
      <c r="G90" s="3696">
        <f t="shared" si="80"/>
        <v>23263</v>
      </c>
      <c r="H90" s="3696">
        <f t="shared" si="80"/>
        <v>25127</v>
      </c>
      <c r="I90" s="3696">
        <f t="shared" si="80"/>
        <v>36816</v>
      </c>
      <c r="J90" s="3696">
        <f t="shared" si="80"/>
        <v>43843</v>
      </c>
      <c r="K90" s="3696">
        <f t="shared" si="80"/>
        <v>36114</v>
      </c>
      <c r="L90" s="3696">
        <f t="shared" si="80"/>
        <v>26217</v>
      </c>
      <c r="M90" s="3696">
        <f t="shared" si="80"/>
        <v>27834</v>
      </c>
      <c r="N90" s="3696">
        <f t="shared" si="80"/>
        <v>30221</v>
      </c>
      <c r="O90" s="3697">
        <f t="shared" si="80"/>
        <v>31560</v>
      </c>
      <c r="P90" s="3698">
        <f t="shared" si="80"/>
        <v>29735</v>
      </c>
      <c r="Q90" s="3699">
        <f t="shared" si="80"/>
        <v>39149</v>
      </c>
      <c r="R90" s="3699">
        <f t="shared" si="80"/>
        <v>30965</v>
      </c>
      <c r="S90" s="3699">
        <f t="shared" si="80"/>
        <v>26018</v>
      </c>
      <c r="T90" s="3699">
        <f t="shared" si="80"/>
        <v>30294</v>
      </c>
      <c r="U90" s="3699">
        <f t="shared" si="80"/>
        <v>39810</v>
      </c>
      <c r="V90" s="3699">
        <f t="shared" si="80"/>
        <v>42775</v>
      </c>
      <c r="W90" s="3699">
        <f t="shared" si="80"/>
        <v>35670</v>
      </c>
      <c r="X90" s="3699">
        <f t="shared" si="80"/>
        <v>27547</v>
      </c>
      <c r="Y90" s="3699">
        <f t="shared" si="80"/>
        <v>29270</v>
      </c>
      <c r="Z90" s="3699">
        <f t="shared" si="80"/>
        <v>30405</v>
      </c>
      <c r="AA90" s="3700">
        <f t="shared" si="80"/>
        <v>29711</v>
      </c>
      <c r="AB90" s="3701">
        <f t="shared" si="80"/>
        <v>29094</v>
      </c>
      <c r="AC90" s="3702">
        <f t="shared" si="80"/>
        <v>26615</v>
      </c>
      <c r="AD90" s="3702">
        <f t="shared" si="80"/>
        <v>27529</v>
      </c>
      <c r="AE90" s="3702">
        <f t="shared" si="80"/>
        <v>25903</v>
      </c>
      <c r="AF90" s="3702">
        <f t="shared" si="80"/>
        <v>32552</v>
      </c>
      <c r="AG90" s="3702">
        <f t="shared" si="80"/>
        <v>39201</v>
      </c>
      <c r="AH90" s="3702">
        <f t="shared" si="80"/>
        <v>40713</v>
      </c>
      <c r="AI90" s="3702">
        <f t="shared" si="80"/>
        <v>35174</v>
      </c>
      <c r="AJ90" s="3702">
        <f t="shared" si="80"/>
        <v>25935</v>
      </c>
      <c r="AK90" s="3702">
        <f t="shared" si="80"/>
        <v>27629</v>
      </c>
      <c r="AL90" s="3702">
        <f t="shared" si="80"/>
        <v>29808</v>
      </c>
      <c r="AM90" s="3702">
        <f t="shared" si="80"/>
        <v>34641</v>
      </c>
      <c r="AN90" s="3703">
        <f t="shared" si="80"/>
        <v>30378</v>
      </c>
      <c r="AO90" s="3703">
        <f t="shared" si="80"/>
        <v>30814</v>
      </c>
      <c r="AP90" s="3703">
        <f t="shared" si="80"/>
        <v>30361</v>
      </c>
      <c r="AQ90" s="3703">
        <f t="shared" si="80"/>
        <v>25110</v>
      </c>
      <c r="AR90" s="3703">
        <f t="shared" si="80"/>
        <v>30963</v>
      </c>
      <c r="AS90" s="3703">
        <f t="shared" si="80"/>
        <v>39150</v>
      </c>
      <c r="AT90" s="3703">
        <f t="shared" si="80"/>
        <v>41484</v>
      </c>
      <c r="AU90" s="3703">
        <f t="shared" si="80"/>
        <v>34369</v>
      </c>
      <c r="AV90" s="3703">
        <f t="shared" si="80"/>
        <v>26340</v>
      </c>
      <c r="AW90" s="3703">
        <f t="shared" si="80"/>
        <v>29814</v>
      </c>
      <c r="AX90" s="3703">
        <f t="shared" si="80"/>
        <v>30034</v>
      </c>
      <c r="AY90" s="3704">
        <f t="shared" si="80"/>
        <v>33688</v>
      </c>
      <c r="AZ90" s="3705">
        <f t="shared" si="80"/>
        <v>30742</v>
      </c>
      <c r="BA90" s="3706">
        <f t="shared" si="80"/>
        <v>29186</v>
      </c>
      <c r="BB90" s="3706">
        <f t="shared" si="80"/>
        <v>31956</v>
      </c>
      <c r="BC90" s="3706">
        <f t="shared" si="80"/>
        <v>28808</v>
      </c>
      <c r="BD90" s="3706">
        <f t="shared" si="80"/>
        <v>31551</v>
      </c>
      <c r="BE90" s="3706">
        <f t="shared" si="80"/>
        <v>41006</v>
      </c>
      <c r="BF90" s="3706">
        <f t="shared" si="80"/>
        <v>43187</v>
      </c>
      <c r="BG90" s="3706">
        <f t="shared" si="80"/>
        <v>34724</v>
      </c>
      <c r="BH90" s="3706">
        <f t="shared" si="80"/>
        <v>26925</v>
      </c>
      <c r="BI90" s="3706">
        <f t="shared" si="80"/>
        <v>30049</v>
      </c>
      <c r="BJ90" s="3706">
        <f t="shared" si="80"/>
        <v>32318</v>
      </c>
      <c r="BK90" s="3707">
        <f t="shared" si="80"/>
        <v>35734</v>
      </c>
      <c r="BL90" s="3708">
        <f t="shared" si="80"/>
        <v>31227</v>
      </c>
      <c r="BM90" s="3709">
        <f t="shared" si="80"/>
        <v>29152</v>
      </c>
      <c r="BN90" s="3709">
        <f t="shared" si="80"/>
        <v>34035</v>
      </c>
      <c r="BO90" s="3709">
        <f t="shared" si="80"/>
        <v>29816</v>
      </c>
      <c r="BP90" s="3709">
        <f t="shared" ref="BP90:EA90" si="81">BP53+BP54+BP55+BP56+BP57+BP58+BP59+BP60+BP61+BP62+BP63+BP65+BP66+BP67+BP68++BP72+BP77+BP80</f>
        <v>33889</v>
      </c>
      <c r="BQ90" s="3709">
        <f t="shared" si="81"/>
        <v>45701</v>
      </c>
      <c r="BR90" s="3709">
        <f t="shared" si="81"/>
        <v>46628</v>
      </c>
      <c r="BS90" s="3709">
        <f t="shared" si="81"/>
        <v>37508</v>
      </c>
      <c r="BT90" s="3710">
        <f t="shared" si="81"/>
        <v>31325</v>
      </c>
      <c r="BU90" s="3710">
        <f t="shared" si="81"/>
        <v>35537</v>
      </c>
      <c r="BV90" s="3710">
        <f t="shared" si="81"/>
        <v>34860</v>
      </c>
      <c r="BW90" s="3711">
        <f t="shared" si="81"/>
        <v>42669</v>
      </c>
      <c r="BX90" s="3712">
        <f t="shared" si="81"/>
        <v>36506</v>
      </c>
      <c r="BY90" s="3713">
        <f t="shared" si="81"/>
        <v>33204</v>
      </c>
      <c r="BZ90" s="3713">
        <f t="shared" si="81"/>
        <v>37435</v>
      </c>
      <c r="CA90" s="3713">
        <f t="shared" si="81"/>
        <v>30708</v>
      </c>
      <c r="CB90" s="3713">
        <f t="shared" si="81"/>
        <v>36767</v>
      </c>
      <c r="CC90" s="3713">
        <f t="shared" si="81"/>
        <v>47823</v>
      </c>
      <c r="CD90" s="3713">
        <f t="shared" si="81"/>
        <v>48484</v>
      </c>
      <c r="CE90" s="3713">
        <f t="shared" si="81"/>
        <v>38026</v>
      </c>
      <c r="CF90" s="3713">
        <f t="shared" si="81"/>
        <v>34372</v>
      </c>
      <c r="CG90" s="3713">
        <f t="shared" si="81"/>
        <v>34186</v>
      </c>
      <c r="CH90" s="3713">
        <f t="shared" si="81"/>
        <v>36293</v>
      </c>
      <c r="CI90" s="3714">
        <f t="shared" si="81"/>
        <v>46527</v>
      </c>
      <c r="CJ90" s="3715">
        <f t="shared" si="81"/>
        <v>41103</v>
      </c>
      <c r="CK90" s="3716">
        <f t="shared" si="81"/>
        <v>40967</v>
      </c>
      <c r="CL90" s="3716">
        <f t="shared" si="81"/>
        <v>39182</v>
      </c>
      <c r="CM90" s="3716">
        <f t="shared" si="81"/>
        <v>36250</v>
      </c>
      <c r="CN90" s="3716">
        <f t="shared" si="81"/>
        <v>39140</v>
      </c>
      <c r="CO90" s="3716">
        <f t="shared" si="81"/>
        <v>44754</v>
      </c>
      <c r="CP90" s="3716">
        <f t="shared" si="81"/>
        <v>53744</v>
      </c>
      <c r="CQ90" s="3716">
        <f t="shared" si="81"/>
        <v>39984</v>
      </c>
      <c r="CR90" s="3716">
        <f t="shared" si="81"/>
        <v>35786</v>
      </c>
      <c r="CS90" s="3716">
        <f t="shared" si="81"/>
        <v>38999</v>
      </c>
      <c r="CT90" s="3716">
        <f t="shared" si="81"/>
        <v>40588</v>
      </c>
      <c r="CU90" s="3717">
        <f t="shared" si="81"/>
        <v>54128</v>
      </c>
      <c r="CV90" s="3718">
        <f t="shared" si="81"/>
        <v>44808</v>
      </c>
      <c r="CW90" s="3719">
        <f t="shared" si="81"/>
        <v>40507</v>
      </c>
      <c r="CX90" s="3720">
        <f t="shared" si="81"/>
        <v>43095</v>
      </c>
      <c r="CY90" s="3720">
        <f t="shared" si="81"/>
        <v>35710</v>
      </c>
      <c r="CZ90" s="3720">
        <f t="shared" si="81"/>
        <v>39850</v>
      </c>
      <c r="DA90" s="3720">
        <f t="shared" si="81"/>
        <v>51411</v>
      </c>
      <c r="DB90" s="3720">
        <f t="shared" si="81"/>
        <v>57118</v>
      </c>
      <c r="DC90" s="3720">
        <f t="shared" si="81"/>
        <v>39877</v>
      </c>
      <c r="DD90" s="3721">
        <f t="shared" si="81"/>
        <v>34563</v>
      </c>
      <c r="DE90" s="3721">
        <f t="shared" si="81"/>
        <v>38736</v>
      </c>
      <c r="DF90" s="3722">
        <f t="shared" si="81"/>
        <v>39053</v>
      </c>
      <c r="DG90" s="3722">
        <f t="shared" si="81"/>
        <v>52398</v>
      </c>
      <c r="DH90" s="3723">
        <f t="shared" si="81"/>
        <v>41488</v>
      </c>
      <c r="DI90" s="3724">
        <f t="shared" si="81"/>
        <v>40077</v>
      </c>
      <c r="DJ90" s="3724">
        <f t="shared" si="81"/>
        <v>44069</v>
      </c>
      <c r="DK90" s="3724">
        <f t="shared" si="81"/>
        <v>33248</v>
      </c>
      <c r="DL90" s="3724">
        <f t="shared" si="81"/>
        <v>38399</v>
      </c>
      <c r="DM90" s="3724">
        <f t="shared" si="81"/>
        <v>53267</v>
      </c>
      <c r="DN90" s="3724">
        <f t="shared" si="81"/>
        <v>56549</v>
      </c>
      <c r="DO90" s="3724">
        <f t="shared" si="81"/>
        <v>39687</v>
      </c>
      <c r="DP90" s="3724">
        <f t="shared" si="81"/>
        <v>32257</v>
      </c>
      <c r="DQ90" s="3724">
        <f t="shared" si="81"/>
        <v>41480</v>
      </c>
      <c r="DR90" s="3724">
        <f t="shared" si="81"/>
        <v>38590</v>
      </c>
      <c r="DS90" s="3725">
        <f t="shared" si="81"/>
        <v>54139</v>
      </c>
      <c r="DT90" s="3726">
        <f t="shared" si="81"/>
        <v>40668</v>
      </c>
      <c r="DU90" s="3727">
        <f t="shared" si="81"/>
        <v>38015</v>
      </c>
      <c r="DV90" s="3727">
        <f t="shared" si="81"/>
        <v>42983</v>
      </c>
      <c r="DW90" s="3727">
        <f t="shared" si="81"/>
        <v>40813</v>
      </c>
      <c r="DX90" s="3727">
        <f t="shared" si="81"/>
        <v>38753</v>
      </c>
      <c r="DY90" s="3727">
        <f t="shared" si="81"/>
        <v>56182</v>
      </c>
      <c r="DZ90" s="3727">
        <f t="shared" si="81"/>
        <v>58517</v>
      </c>
      <c r="EA90" s="3727">
        <f t="shared" si="81"/>
        <v>41677</v>
      </c>
      <c r="EB90" s="3727">
        <f t="shared" ref="EB90:FC90" si="82">EB53+EB54+EB55+EB56+EB57+EB58+EB59+EB60+EB61+EB62+EB63+EB65+EB66+EB67+EB68++EB72+EB77+EB80</f>
        <v>36660</v>
      </c>
      <c r="EC90" s="3727">
        <f t="shared" si="82"/>
        <v>40411</v>
      </c>
      <c r="ED90" s="3727">
        <f t="shared" si="82"/>
        <v>42176</v>
      </c>
      <c r="EE90" s="3728">
        <f t="shared" si="82"/>
        <v>60086</v>
      </c>
      <c r="EF90" s="3729">
        <f t="shared" si="82"/>
        <v>44116</v>
      </c>
      <c r="EG90" s="3729">
        <f t="shared" si="82"/>
        <v>43819</v>
      </c>
      <c r="EH90" s="3729">
        <f t="shared" si="82"/>
        <v>48935</v>
      </c>
      <c r="EI90" s="3729">
        <f t="shared" si="82"/>
        <v>38999</v>
      </c>
      <c r="EJ90" s="3729">
        <f t="shared" si="82"/>
        <v>45343</v>
      </c>
      <c r="EK90" s="3729">
        <f t="shared" si="82"/>
        <v>60840</v>
      </c>
      <c r="EL90" s="3729">
        <f t="shared" si="82"/>
        <v>61312</v>
      </c>
      <c r="EM90" s="3729">
        <f t="shared" si="82"/>
        <v>44995</v>
      </c>
      <c r="EN90" s="3729">
        <f t="shared" si="82"/>
        <v>40536</v>
      </c>
      <c r="EO90" s="3729">
        <f t="shared" si="82"/>
        <v>42991</v>
      </c>
      <c r="EP90" s="3729">
        <f t="shared" si="82"/>
        <v>43868</v>
      </c>
      <c r="EQ90" s="3729">
        <f t="shared" si="82"/>
        <v>60833</v>
      </c>
      <c r="ER90" s="3730">
        <f t="shared" si="82"/>
        <v>44054</v>
      </c>
      <c r="ES90" s="3731">
        <f t="shared" si="82"/>
        <v>43272</v>
      </c>
      <c r="ET90" s="3731">
        <f t="shared" si="82"/>
        <v>45164</v>
      </c>
      <c r="EU90" s="3731">
        <f t="shared" si="82"/>
        <v>43045</v>
      </c>
      <c r="EV90" s="3731">
        <f t="shared" si="82"/>
        <v>44506</v>
      </c>
      <c r="EW90" s="3731">
        <f t="shared" si="82"/>
        <v>57061</v>
      </c>
      <c r="EX90" s="3731">
        <f t="shared" si="82"/>
        <v>61128</v>
      </c>
      <c r="EY90" s="3731">
        <f t="shared" si="82"/>
        <v>47859</v>
      </c>
      <c r="EZ90" s="3731">
        <f t="shared" si="82"/>
        <v>43017</v>
      </c>
      <c r="FA90" s="3731">
        <f t="shared" si="82"/>
        <v>34471</v>
      </c>
      <c r="FB90" s="3731">
        <f t="shared" si="82"/>
        <v>43236</v>
      </c>
      <c r="FC90" s="3732">
        <f t="shared" si="82"/>
        <v>54303</v>
      </c>
      <c r="FD90" s="2971">
        <f>FD54+FD55+FD56+FD57+FD58+FD59+FD60+FD61+FD63+FD65+FD66+FD68</f>
        <v>43014</v>
      </c>
      <c r="FE90" s="2971">
        <f t="shared" ref="FE90:HP90" si="83">FE54+FE55+FE56+FE57+FE58+FE59+FE60+FE61+FE63+FE65+FE66+FE68</f>
        <v>43113</v>
      </c>
      <c r="FF90" s="2971">
        <f t="shared" si="83"/>
        <v>17231</v>
      </c>
      <c r="FG90" s="2971">
        <f t="shared" si="83"/>
        <v>282</v>
      </c>
      <c r="FH90" s="2971">
        <f t="shared" si="83"/>
        <v>437</v>
      </c>
      <c r="FI90" s="2971">
        <f t="shared" si="83"/>
        <v>1100</v>
      </c>
      <c r="FJ90" s="2971">
        <f t="shared" si="83"/>
        <v>3110</v>
      </c>
      <c r="FK90" s="2971">
        <f t="shared" si="83"/>
        <v>3823</v>
      </c>
      <c r="FL90" s="2971">
        <f t="shared" si="83"/>
        <v>4705</v>
      </c>
      <c r="FM90" s="2971">
        <f t="shared" si="83"/>
        <v>7673</v>
      </c>
      <c r="FN90" s="2971">
        <f t="shared" si="83"/>
        <v>9321</v>
      </c>
      <c r="FO90" s="2971">
        <f t="shared" si="83"/>
        <v>15293</v>
      </c>
      <c r="FP90" s="2971">
        <f t="shared" si="83"/>
        <v>11920</v>
      </c>
      <c r="FQ90" s="2971">
        <f t="shared" si="83"/>
        <v>8651</v>
      </c>
      <c r="FR90" s="2971">
        <f t="shared" si="83"/>
        <v>11273</v>
      </c>
      <c r="FS90" s="2971">
        <f t="shared" si="83"/>
        <v>10440</v>
      </c>
      <c r="FT90" s="2971">
        <f t="shared" si="83"/>
        <v>12493</v>
      </c>
      <c r="FU90" s="2971">
        <f t="shared" si="83"/>
        <v>0</v>
      </c>
      <c r="FV90" s="2971">
        <f t="shared" si="83"/>
        <v>0</v>
      </c>
      <c r="FW90" s="2971">
        <f t="shared" si="83"/>
        <v>0</v>
      </c>
      <c r="FX90" s="2971">
        <f t="shared" si="83"/>
        <v>0</v>
      </c>
      <c r="FY90" s="2971">
        <f t="shared" si="83"/>
        <v>0</v>
      </c>
      <c r="FZ90" s="2971">
        <f t="shared" si="83"/>
        <v>0</v>
      </c>
      <c r="GA90" s="2971">
        <f t="shared" si="83"/>
        <v>0</v>
      </c>
      <c r="GB90" s="2972">
        <f t="shared" si="83"/>
        <v>0</v>
      </c>
      <c r="GC90" s="2973">
        <f t="shared" si="83"/>
        <v>60909</v>
      </c>
      <c r="GD90" s="2973">
        <f t="shared" si="83"/>
        <v>66308</v>
      </c>
      <c r="GE90" s="2973">
        <f t="shared" si="83"/>
        <v>83688</v>
      </c>
      <c r="GF90" s="2973">
        <f t="shared" si="83"/>
        <v>70874</v>
      </c>
      <c r="GG90" s="2973">
        <f t="shared" si="83"/>
        <v>83211</v>
      </c>
      <c r="GH90" s="2973">
        <f t="shared" si="83"/>
        <v>82103</v>
      </c>
      <c r="GI90" s="2973">
        <f t="shared" si="83"/>
        <v>89484</v>
      </c>
      <c r="GJ90" s="2973">
        <f t="shared" si="83"/>
        <v>76200</v>
      </c>
      <c r="GK90" s="2973">
        <f t="shared" si="83"/>
        <v>72346</v>
      </c>
      <c r="GL90" s="2973">
        <f t="shared" si="83"/>
        <v>85263</v>
      </c>
      <c r="GM90" s="2973">
        <f t="shared" si="83"/>
        <v>83828</v>
      </c>
      <c r="GN90" s="2973">
        <f t="shared" si="83"/>
        <v>72152</v>
      </c>
      <c r="GO90" s="2973">
        <f t="shared" si="83"/>
        <v>73398</v>
      </c>
      <c r="GP90" s="2973">
        <f t="shared" si="83"/>
        <v>78319</v>
      </c>
      <c r="GQ90" s="2973">
        <f t="shared" si="83"/>
        <v>84048</v>
      </c>
      <c r="GR90" s="2973">
        <f t="shared" si="83"/>
        <v>73698</v>
      </c>
      <c r="GS90" s="2973">
        <f t="shared" si="83"/>
        <v>74804</v>
      </c>
      <c r="GT90" s="2973">
        <f t="shared" si="83"/>
        <v>83993</v>
      </c>
      <c r="GU90" s="2973">
        <f t="shared" si="83"/>
        <v>88278</v>
      </c>
      <c r="GV90" s="2973">
        <f t="shared" si="83"/>
        <v>81305</v>
      </c>
      <c r="GW90" s="2973">
        <f t="shared" si="83"/>
        <v>75380</v>
      </c>
      <c r="GX90" s="2973">
        <f t="shared" si="83"/>
        <v>94656</v>
      </c>
      <c r="GY90" s="2973">
        <f t="shared" si="83"/>
        <v>100609</v>
      </c>
      <c r="GZ90" s="2973">
        <f t="shared" si="83"/>
        <v>93354</v>
      </c>
      <c r="HA90" s="2973">
        <f t="shared" si="83"/>
        <v>88592</v>
      </c>
      <c r="HB90" s="2973">
        <f t="shared" si="83"/>
        <v>94701</v>
      </c>
      <c r="HC90" s="2973">
        <f t="shared" si="83"/>
        <v>99853</v>
      </c>
      <c r="HD90" s="2973">
        <f t="shared" si="83"/>
        <v>92058</v>
      </c>
      <c r="HE90" s="2973">
        <f t="shared" si="83"/>
        <v>97056</v>
      </c>
      <c r="HF90" s="2973">
        <f t="shared" si="83"/>
        <v>100330</v>
      </c>
      <c r="HG90" s="2973">
        <f t="shared" si="83"/>
        <v>106261</v>
      </c>
      <c r="HH90" s="2973">
        <f t="shared" si="83"/>
        <v>104058</v>
      </c>
      <c r="HI90" s="2973">
        <f t="shared" si="83"/>
        <v>101284</v>
      </c>
      <c r="HJ90" s="2973">
        <f t="shared" si="83"/>
        <v>100677</v>
      </c>
      <c r="HK90" s="2973">
        <f t="shared" si="83"/>
        <v>103674</v>
      </c>
      <c r="HL90" s="2973">
        <f t="shared" si="83"/>
        <v>97941</v>
      </c>
      <c r="HM90" s="2973">
        <f t="shared" si="83"/>
        <v>97368</v>
      </c>
      <c r="HN90" s="2973">
        <f t="shared" si="83"/>
        <v>99919</v>
      </c>
      <c r="HO90" s="2973">
        <f t="shared" si="83"/>
        <v>109967</v>
      </c>
      <c r="HP90" s="2973">
        <f t="shared" si="83"/>
        <v>89680</v>
      </c>
      <c r="HQ90" s="2973">
        <f t="shared" ref="HQ90:JA90" si="84">HQ54+HQ55+HQ56+HQ57+HQ58+HQ59+HQ60+HQ61+HQ63+HQ65+HQ66+HQ68</f>
        <v>84105</v>
      </c>
      <c r="HR90" s="2973">
        <f t="shared" si="84"/>
        <v>93867</v>
      </c>
      <c r="HS90" s="2973">
        <f t="shared" si="84"/>
        <v>91292</v>
      </c>
      <c r="HT90" s="2973">
        <f t="shared" si="84"/>
        <v>88964</v>
      </c>
      <c r="HU90" s="2973">
        <f t="shared" si="84"/>
        <v>93929</v>
      </c>
      <c r="HV90" s="2973">
        <f t="shared" si="84"/>
        <v>100939</v>
      </c>
      <c r="HW90" s="2973">
        <f t="shared" si="84"/>
        <v>98038</v>
      </c>
      <c r="HX90" s="2973">
        <f t="shared" si="84"/>
        <v>92271</v>
      </c>
      <c r="HY90" s="2973">
        <f t="shared" si="84"/>
        <v>91275</v>
      </c>
      <c r="HZ90" s="2973">
        <f t="shared" si="84"/>
        <v>117382</v>
      </c>
      <c r="IA90" s="2973">
        <f t="shared" si="84"/>
        <v>140718</v>
      </c>
      <c r="IB90" s="2973">
        <f t="shared" si="84"/>
        <v>122204</v>
      </c>
      <c r="IC90" s="2973">
        <f t="shared" si="84"/>
        <v>103358</v>
      </c>
      <c r="ID90" s="2973">
        <f t="shared" si="84"/>
        <v>1819</v>
      </c>
      <c r="IE90" s="2973">
        <f t="shared" si="84"/>
        <v>131861</v>
      </c>
      <c r="IF90" s="2973">
        <f t="shared" si="84"/>
        <v>32287</v>
      </c>
      <c r="IG90" s="2973">
        <f t="shared" si="84"/>
        <v>31844</v>
      </c>
      <c r="IH90" s="2973">
        <f t="shared" si="84"/>
        <v>22933</v>
      </c>
      <c r="II90" s="2973">
        <f t="shared" si="84"/>
        <v>0</v>
      </c>
      <c r="IJ90" s="2973">
        <f t="shared" si="84"/>
        <v>0</v>
      </c>
      <c r="IK90" s="2973">
        <f t="shared" si="84"/>
        <v>0</v>
      </c>
      <c r="IL90" s="3733">
        <f t="shared" si="84"/>
        <v>281779</v>
      </c>
      <c r="IM90" s="3733">
        <f t="shared" si="84"/>
        <v>330998</v>
      </c>
      <c r="IN90" s="3733">
        <f t="shared" si="84"/>
        <v>313589</v>
      </c>
      <c r="IO90" s="3733">
        <f t="shared" si="84"/>
        <v>309463</v>
      </c>
      <c r="IP90" s="3733">
        <f t="shared" si="84"/>
        <v>328380</v>
      </c>
      <c r="IQ90" s="3733">
        <f t="shared" si="84"/>
        <v>363999</v>
      </c>
      <c r="IR90" s="3733">
        <f t="shared" si="84"/>
        <v>375204</v>
      </c>
      <c r="IS90" s="3733">
        <f t="shared" si="84"/>
        <v>407705</v>
      </c>
      <c r="IT90" s="3733">
        <f t="shared" si="84"/>
        <v>403576</v>
      </c>
      <c r="IU90" s="3734">
        <f t="shared" si="84"/>
        <v>389145</v>
      </c>
      <c r="IV90" s="3735">
        <f t="shared" si="84"/>
        <v>358228</v>
      </c>
      <c r="IW90" s="3735">
        <f t="shared" si="84"/>
        <v>385177</v>
      </c>
      <c r="IX90" s="3735">
        <f t="shared" si="84"/>
        <v>471579</v>
      </c>
      <c r="IY90" s="3736">
        <f t="shared" si="84"/>
        <v>149102</v>
      </c>
      <c r="IZ90" s="3736">
        <f t="shared" si="84"/>
        <v>83546</v>
      </c>
      <c r="JA90" s="3771">
        <f t="shared" si="84"/>
        <v>54777</v>
      </c>
      <c r="JC90" s="2723"/>
      <c r="JD90" s="2723"/>
      <c r="JE90" s="2723"/>
      <c r="JF90" s="2723"/>
      <c r="JG90" s="2723"/>
      <c r="JH90" s="2723"/>
      <c r="JI90" s="3262"/>
      <c r="JJ90" s="2723"/>
      <c r="JK90" s="2723"/>
      <c r="JL90" s="2723"/>
      <c r="JM90" s="2723"/>
      <c r="JN90" s="2723"/>
      <c r="JO90" s="2723"/>
      <c r="JP90" s="2723"/>
      <c r="JQ90" s="2723"/>
      <c r="JS90" s="3737"/>
      <c r="JT90" s="3737"/>
      <c r="JU90" s="3737"/>
      <c r="JV90" s="3737"/>
      <c r="JW90" s="3737"/>
      <c r="JX90" s="3737"/>
      <c r="JY90" s="3737"/>
      <c r="JZ90" s="3737"/>
      <c r="KA90" s="3737"/>
      <c r="KB90" s="3737"/>
      <c r="KC90" s="3737"/>
      <c r="KD90" s="3737"/>
      <c r="KE90" s="3737"/>
      <c r="KF90" s="3737"/>
      <c r="KG90" s="3737"/>
      <c r="KH90" s="3737"/>
      <c r="KI90" s="3737"/>
      <c r="KJ90" s="3737"/>
      <c r="KK90" s="3737"/>
      <c r="KL90" s="3737"/>
      <c r="KM90" s="3737"/>
      <c r="KN90" s="3737"/>
      <c r="KO90" s="3737"/>
    </row>
    <row r="91" spans="1:301" ht="15" thickBot="1">
      <c r="A91" s="3558"/>
      <c r="B91" s="3514"/>
      <c r="C91" s="3694" t="s">
        <v>1550</v>
      </c>
      <c r="D91" s="3738"/>
      <c r="E91" s="3738"/>
      <c r="F91" s="3738"/>
      <c r="G91" s="3738"/>
      <c r="H91" s="3738"/>
      <c r="I91" s="3738"/>
      <c r="J91" s="3738"/>
      <c r="K91" s="3738"/>
      <c r="L91" s="3738"/>
      <c r="M91" s="3738"/>
      <c r="N91" s="3738"/>
      <c r="O91" s="3738"/>
      <c r="P91" s="3739"/>
      <c r="Q91" s="3739"/>
      <c r="R91" s="3739"/>
      <c r="S91" s="3739"/>
      <c r="T91" s="3739"/>
      <c r="U91" s="3739"/>
      <c r="V91" s="3739"/>
      <c r="W91" s="3739"/>
      <c r="X91" s="3739"/>
      <c r="Y91" s="3739"/>
      <c r="Z91" s="3739"/>
      <c r="AA91" s="3739"/>
      <c r="AB91" s="3740"/>
      <c r="AC91" s="3740"/>
      <c r="AD91" s="3740"/>
      <c r="AE91" s="3740"/>
      <c r="AF91" s="3740"/>
      <c r="AG91" s="3740"/>
      <c r="AH91" s="3740"/>
      <c r="AI91" s="3740"/>
      <c r="AJ91" s="3740"/>
      <c r="AK91" s="3740"/>
      <c r="AL91" s="3740"/>
      <c r="AM91" s="3740"/>
      <c r="AN91" s="3741"/>
      <c r="AO91" s="3741"/>
      <c r="AP91" s="3741"/>
      <c r="AQ91" s="3741"/>
      <c r="AR91" s="3741"/>
      <c r="AS91" s="3741"/>
      <c r="AT91" s="3741"/>
      <c r="AU91" s="3741"/>
      <c r="AV91" s="3741"/>
      <c r="AW91" s="3741"/>
      <c r="AX91" s="3741"/>
      <c r="AY91" s="3741"/>
      <c r="AZ91" s="3742"/>
      <c r="BA91" s="3742"/>
      <c r="BB91" s="3742"/>
      <c r="BC91" s="3742"/>
      <c r="BD91" s="3742"/>
      <c r="BE91" s="3742"/>
      <c r="BF91" s="3742"/>
      <c r="BG91" s="3742"/>
      <c r="BH91" s="3742"/>
      <c r="BI91" s="3742"/>
      <c r="BJ91" s="3742"/>
      <c r="BK91" s="3742"/>
      <c r="BL91" s="3743"/>
      <c r="BM91" s="3743"/>
      <c r="BN91" s="3743"/>
      <c r="BO91" s="3743"/>
      <c r="BP91" s="3743"/>
      <c r="BQ91" s="3743"/>
      <c r="BR91" s="3743"/>
      <c r="BS91" s="3743"/>
      <c r="BT91" s="3743"/>
      <c r="BU91" s="3743"/>
      <c r="BV91" s="3743"/>
      <c r="BW91" s="3743"/>
      <c r="BX91" s="3742"/>
      <c r="BY91" s="3742"/>
      <c r="BZ91" s="3742"/>
      <c r="CA91" s="3742"/>
      <c r="CB91" s="3742"/>
      <c r="CC91" s="3742"/>
      <c r="CD91" s="3742"/>
      <c r="CE91" s="3742"/>
      <c r="CF91" s="3742"/>
      <c r="CG91" s="3742"/>
      <c r="CH91" s="3742"/>
      <c r="CI91" s="3742"/>
      <c r="CJ91" s="3744"/>
      <c r="CK91" s="3744"/>
      <c r="CL91" s="3744"/>
      <c r="CM91" s="3744"/>
      <c r="CN91" s="3744"/>
      <c r="CO91" s="3744"/>
      <c r="CP91" s="3744"/>
      <c r="CQ91" s="3744"/>
      <c r="CR91" s="3744"/>
      <c r="CS91" s="3744"/>
      <c r="CT91" s="3744"/>
      <c r="CU91" s="3744"/>
      <c r="CV91" s="3738"/>
      <c r="CW91" s="3738"/>
      <c r="CX91" s="3738"/>
      <c r="CY91" s="3738"/>
      <c r="CZ91" s="3738"/>
      <c r="DA91" s="3738"/>
      <c r="DB91" s="3738"/>
      <c r="DC91" s="3738"/>
      <c r="DD91" s="3738"/>
      <c r="DE91" s="3738"/>
      <c r="DF91" s="3738"/>
      <c r="DG91" s="3738"/>
      <c r="DH91" s="3745"/>
      <c r="DI91" s="3745"/>
      <c r="DJ91" s="3745"/>
      <c r="DK91" s="3745"/>
      <c r="DL91" s="3745"/>
      <c r="DM91" s="3745"/>
      <c r="DN91" s="3745"/>
      <c r="DO91" s="3745"/>
      <c r="DP91" s="3745"/>
      <c r="DQ91" s="3745"/>
      <c r="DR91" s="3745"/>
      <c r="DS91" s="3745"/>
      <c r="DT91" s="3746"/>
      <c r="DU91" s="3746"/>
      <c r="DV91" s="3746"/>
      <c r="DW91" s="3746"/>
      <c r="DX91" s="3746"/>
      <c r="DY91" s="3746"/>
      <c r="DZ91" s="3746"/>
      <c r="EA91" s="3746"/>
      <c r="EB91" s="3746"/>
      <c r="EC91" s="3746"/>
      <c r="ED91" s="3746"/>
      <c r="EE91" s="3746"/>
      <c r="EF91" s="3729"/>
      <c r="EG91" s="3729"/>
      <c r="EH91" s="3729"/>
      <c r="EI91" s="3729"/>
      <c r="EJ91" s="3729"/>
      <c r="EK91" s="3729"/>
      <c r="EL91" s="3729"/>
      <c r="EM91" s="3729"/>
      <c r="EN91" s="3729"/>
      <c r="EO91" s="3729"/>
      <c r="EP91" s="3729"/>
      <c r="EQ91" s="3729"/>
      <c r="ER91" s="3747"/>
      <c r="ES91" s="3748"/>
      <c r="ET91" s="3748"/>
      <c r="EU91" s="3748"/>
      <c r="EV91" s="3748"/>
      <c r="EW91" s="3748"/>
      <c r="EX91" s="3748"/>
      <c r="EY91" s="3748"/>
      <c r="EZ91" s="3748"/>
      <c r="FA91" s="3748"/>
      <c r="FB91" s="3748"/>
      <c r="FC91" s="3749"/>
      <c r="FD91" s="3220">
        <f>FD86-FD90</f>
        <v>14786</v>
      </c>
      <c r="FE91" s="3220">
        <f t="shared" ref="FE91:HP91" si="85">FE86-FE90</f>
        <v>11786</v>
      </c>
      <c r="FF91" s="3220">
        <f t="shared" si="85"/>
        <v>4975</v>
      </c>
      <c r="FG91" s="3220">
        <f t="shared" si="85"/>
        <v>97</v>
      </c>
      <c r="FH91" s="3220">
        <f t="shared" si="85"/>
        <v>213</v>
      </c>
      <c r="FI91" s="3220">
        <f t="shared" si="85"/>
        <v>331</v>
      </c>
      <c r="FJ91" s="3220">
        <f t="shared" si="85"/>
        <v>545</v>
      </c>
      <c r="FK91" s="3220">
        <f t="shared" si="85"/>
        <v>730</v>
      </c>
      <c r="FL91" s="3220">
        <f t="shared" si="85"/>
        <v>1003</v>
      </c>
      <c r="FM91" s="3220">
        <f t="shared" si="85"/>
        <v>1390</v>
      </c>
      <c r="FN91" s="3220">
        <f t="shared" si="85"/>
        <v>2232</v>
      </c>
      <c r="FO91" s="3220">
        <f t="shared" si="85"/>
        <v>3227</v>
      </c>
      <c r="FP91" s="3220">
        <f t="shared" si="85"/>
        <v>2317</v>
      </c>
      <c r="FQ91" s="3220">
        <f t="shared" si="85"/>
        <v>2244</v>
      </c>
      <c r="FR91" s="3220">
        <f t="shared" si="85"/>
        <v>2662</v>
      </c>
      <c r="FS91" s="3220">
        <f t="shared" si="85"/>
        <v>2792</v>
      </c>
      <c r="FT91" s="3220">
        <f t="shared" si="85"/>
        <v>2802</v>
      </c>
      <c r="FU91" s="3220">
        <f t="shared" si="85"/>
        <v>22654</v>
      </c>
      <c r="FV91" s="3220">
        <f t="shared" si="85"/>
        <v>30018</v>
      </c>
      <c r="FW91" s="3220">
        <f t="shared" si="85"/>
        <v>27480</v>
      </c>
      <c r="FX91" s="3220">
        <f t="shared" si="85"/>
        <v>25275</v>
      </c>
      <c r="FY91" s="3220">
        <f t="shared" si="85"/>
        <v>29775</v>
      </c>
      <c r="FZ91" s="3220">
        <f t="shared" si="85"/>
        <v>35230</v>
      </c>
      <c r="GA91" s="3220">
        <f t="shared" si="85"/>
        <v>42970</v>
      </c>
      <c r="GB91" s="2972">
        <f t="shared" si="85"/>
        <v>0</v>
      </c>
      <c r="GC91" s="2973">
        <f t="shared" si="85"/>
        <v>30323</v>
      </c>
      <c r="GD91" s="2973">
        <f t="shared" si="85"/>
        <v>30252</v>
      </c>
      <c r="GE91" s="2973">
        <f t="shared" si="85"/>
        <v>39896</v>
      </c>
      <c r="GF91" s="2973">
        <f t="shared" si="85"/>
        <v>35603</v>
      </c>
      <c r="GG91" s="2973">
        <f t="shared" si="85"/>
        <v>35075</v>
      </c>
      <c r="GH91" s="2973">
        <f t="shared" si="85"/>
        <v>30184</v>
      </c>
      <c r="GI91" s="2973">
        <f t="shared" si="85"/>
        <v>38894</v>
      </c>
      <c r="GJ91" s="2973">
        <f t="shared" si="85"/>
        <v>36348</v>
      </c>
      <c r="GK91" s="2973">
        <f t="shared" si="85"/>
        <v>30795</v>
      </c>
      <c r="GL91" s="2973">
        <f t="shared" si="85"/>
        <v>27467</v>
      </c>
      <c r="GM91" s="2973">
        <f t="shared" si="85"/>
        <v>44113</v>
      </c>
      <c r="GN91" s="2973">
        <f t="shared" si="85"/>
        <v>45901</v>
      </c>
      <c r="GO91" s="2973">
        <f t="shared" si="85"/>
        <v>43077</v>
      </c>
      <c r="GP91" s="2973">
        <f t="shared" si="85"/>
        <v>36488</v>
      </c>
      <c r="GQ91" s="2973">
        <f t="shared" si="85"/>
        <v>41202</v>
      </c>
      <c r="GR91" s="2973">
        <f t="shared" si="85"/>
        <v>43991</v>
      </c>
      <c r="GS91" s="2973">
        <f t="shared" si="85"/>
        <v>38052</v>
      </c>
      <c r="GT91" s="2973">
        <f t="shared" si="85"/>
        <v>37823</v>
      </c>
      <c r="GU91" s="2973">
        <f t="shared" si="85"/>
        <v>40538</v>
      </c>
      <c r="GV91" s="2973">
        <f t="shared" si="85"/>
        <v>42585</v>
      </c>
      <c r="GW91" s="2973">
        <f t="shared" si="85"/>
        <v>38710</v>
      </c>
      <c r="GX91" s="2973">
        <f t="shared" si="85"/>
        <v>36754</v>
      </c>
      <c r="GY91" s="2973">
        <f t="shared" si="85"/>
        <v>41518</v>
      </c>
      <c r="GZ91" s="2973">
        <f t="shared" si="85"/>
        <v>52477</v>
      </c>
      <c r="HA91" s="2973">
        <f t="shared" si="85"/>
        <v>49746</v>
      </c>
      <c r="HB91" s="2973">
        <f t="shared" si="85"/>
        <v>56090</v>
      </c>
      <c r="HC91" s="2973">
        <f t="shared" si="85"/>
        <v>66361</v>
      </c>
      <c r="HD91" s="2973">
        <f t="shared" si="85"/>
        <v>81529</v>
      </c>
      <c r="HE91" s="2973">
        <f t="shared" si="85"/>
        <v>60002</v>
      </c>
      <c r="HF91" s="2973">
        <f t="shared" si="85"/>
        <v>60209</v>
      </c>
      <c r="HG91" s="2973">
        <f t="shared" si="85"/>
        <v>78482</v>
      </c>
      <c r="HH91" s="2973">
        <f t="shared" si="85"/>
        <v>96617</v>
      </c>
      <c r="HI91" s="2973">
        <f t="shared" si="85"/>
        <v>69654</v>
      </c>
      <c r="HJ91" s="2973">
        <f t="shared" si="85"/>
        <v>76953</v>
      </c>
      <c r="HK91" s="2973">
        <f t="shared" si="85"/>
        <v>73969</v>
      </c>
      <c r="HL91" s="2973">
        <f t="shared" si="85"/>
        <v>88725</v>
      </c>
      <c r="HM91" s="2973">
        <f t="shared" si="85"/>
        <v>61323</v>
      </c>
      <c r="HN91" s="2973">
        <f t="shared" si="85"/>
        <v>48503</v>
      </c>
      <c r="HO91" s="2973">
        <f t="shared" si="85"/>
        <v>68235</v>
      </c>
      <c r="HP91" s="2973">
        <f t="shared" si="85"/>
        <v>76507</v>
      </c>
      <c r="HQ91" s="2973">
        <f t="shared" ref="HQ91:JA91" si="86">HQ86-HQ90</f>
        <v>66974</v>
      </c>
      <c r="HR91" s="2973">
        <f t="shared" si="86"/>
        <v>69258</v>
      </c>
      <c r="HS91" s="2973">
        <f t="shared" si="86"/>
        <v>75413</v>
      </c>
      <c r="HT91" s="2973">
        <f t="shared" si="86"/>
        <v>83046</v>
      </c>
      <c r="HU91" s="2973">
        <f t="shared" si="86"/>
        <v>69799</v>
      </c>
      <c r="HV91" s="2973">
        <f t="shared" si="86"/>
        <v>71246</v>
      </c>
      <c r="HW91" s="2973">
        <f t="shared" si="86"/>
        <v>79248</v>
      </c>
      <c r="HX91" s="2973">
        <f t="shared" si="86"/>
        <v>87022</v>
      </c>
      <c r="HY91" s="2973">
        <f t="shared" si="86"/>
        <v>68317</v>
      </c>
      <c r="HZ91" s="2973">
        <f t="shared" si="86"/>
        <v>60654</v>
      </c>
      <c r="IA91" s="2973">
        <f t="shared" si="86"/>
        <v>46417</v>
      </c>
      <c r="IB91" s="2973">
        <f t="shared" si="86"/>
        <v>37423</v>
      </c>
      <c r="IC91" s="2973">
        <f t="shared" si="86"/>
        <v>31547</v>
      </c>
      <c r="ID91" s="2973">
        <f t="shared" si="86"/>
        <v>641</v>
      </c>
      <c r="IE91" s="2973">
        <f t="shared" si="86"/>
        <v>-117945</v>
      </c>
      <c r="IF91" s="2973">
        <f t="shared" si="86"/>
        <v>6849</v>
      </c>
      <c r="IG91" s="2973">
        <f t="shared" si="86"/>
        <v>7223</v>
      </c>
      <c r="IH91" s="2973">
        <f t="shared" si="86"/>
        <v>28248</v>
      </c>
      <c r="II91" s="2973">
        <f t="shared" si="86"/>
        <v>82773</v>
      </c>
      <c r="IJ91" s="2973">
        <f t="shared" si="86"/>
        <v>107975</v>
      </c>
      <c r="IK91" s="2973">
        <f t="shared" si="86"/>
        <v>0</v>
      </c>
      <c r="IL91" s="3733">
        <f t="shared" si="86"/>
        <v>136074</v>
      </c>
      <c r="IM91" s="3733">
        <f t="shared" si="86"/>
        <v>140501</v>
      </c>
      <c r="IN91" s="3733">
        <f t="shared" si="86"/>
        <v>148276</v>
      </c>
      <c r="IO91" s="3733">
        <f t="shared" si="86"/>
        <v>164758</v>
      </c>
      <c r="IP91" s="3733">
        <f t="shared" si="86"/>
        <v>158998</v>
      </c>
      <c r="IQ91" s="3733">
        <f t="shared" si="86"/>
        <v>169459</v>
      </c>
      <c r="IR91" s="3733">
        <f t="shared" si="86"/>
        <v>253754</v>
      </c>
      <c r="IS91" s="3733">
        <f t="shared" si="86"/>
        <v>295310</v>
      </c>
      <c r="IT91" s="3733">
        <f t="shared" si="86"/>
        <v>309301</v>
      </c>
      <c r="IU91" s="3750">
        <f t="shared" si="86"/>
        <v>238481</v>
      </c>
      <c r="IV91" s="3729">
        <f t="shared" si="86"/>
        <v>294703</v>
      </c>
      <c r="IW91" s="3729">
        <f t="shared" si="86"/>
        <v>307315</v>
      </c>
      <c r="IX91" s="3729">
        <f t="shared" si="86"/>
        <v>212811</v>
      </c>
      <c r="IY91" s="3751">
        <f t="shared" si="86"/>
        <v>41315</v>
      </c>
      <c r="IZ91" s="3761">
        <f t="shared" si="86"/>
        <v>197450</v>
      </c>
      <c r="JA91" s="3772">
        <f t="shared" si="86"/>
        <v>12817</v>
      </c>
      <c r="JC91" s="2723"/>
      <c r="JD91" s="2723"/>
      <c r="JE91" s="2723"/>
      <c r="JF91" s="2723"/>
      <c r="JG91" s="2723"/>
      <c r="JH91" s="2723"/>
      <c r="JI91" s="3262"/>
      <c r="JJ91" s="2723"/>
      <c r="JK91" s="2723"/>
      <c r="JL91" s="2723"/>
      <c r="JM91" s="2723"/>
      <c r="JN91" s="2723"/>
      <c r="JO91" s="2723"/>
      <c r="JP91" s="2723"/>
      <c r="JQ91" s="2723"/>
      <c r="JS91" s="3737"/>
      <c r="JT91" s="3737"/>
      <c r="JU91" s="3737"/>
      <c r="JV91" s="3737"/>
      <c r="JW91" s="3737"/>
      <c r="JX91" s="3737"/>
      <c r="JY91" s="3737"/>
      <c r="JZ91" s="3737"/>
      <c r="KA91" s="3737"/>
      <c r="KB91" s="3737"/>
      <c r="KC91" s="3737"/>
      <c r="KD91" s="3737"/>
      <c r="KE91" s="3737"/>
      <c r="KF91" s="3737"/>
      <c r="KG91" s="3737"/>
      <c r="KH91" s="3737"/>
      <c r="KI91" s="3737"/>
      <c r="KJ91" s="3737"/>
      <c r="KK91" s="3737"/>
      <c r="KL91" s="3737"/>
      <c r="KM91" s="3737"/>
      <c r="KN91" s="3737"/>
      <c r="KO91" s="3737"/>
    </row>
    <row r="92" spans="1:301" ht="15" thickBot="1">
      <c r="A92" s="3752"/>
      <c r="B92" s="3752"/>
      <c r="C92" s="3753" t="s">
        <v>503</v>
      </c>
      <c r="D92" s="3754"/>
      <c r="E92" s="2737"/>
      <c r="F92" s="2737"/>
      <c r="G92" s="3755"/>
      <c r="H92" s="2737"/>
      <c r="I92" s="2737"/>
      <c r="J92" s="2737"/>
      <c r="K92" s="2737"/>
      <c r="L92" s="2737"/>
      <c r="M92" s="3755"/>
      <c r="N92" s="2737"/>
      <c r="O92" s="2737"/>
      <c r="P92" s="2738">
        <f>P90/D90-1</f>
        <v>0.19629063405214042</v>
      </c>
      <c r="Q92" s="2738">
        <f t="shared" ref="Q92:CB92" si="87">Q90/E90-1</f>
        <v>0.55365505198825304</v>
      </c>
      <c r="R92" s="2738">
        <f t="shared" si="87"/>
        <v>9.7465886939571256E-2</v>
      </c>
      <c r="S92" s="2738">
        <f t="shared" si="87"/>
        <v>0.11842840562266255</v>
      </c>
      <c r="T92" s="2738">
        <f t="shared" si="87"/>
        <v>0.2056353723086719</v>
      </c>
      <c r="U92" s="2738">
        <f t="shared" si="87"/>
        <v>8.1323337679269914E-2</v>
      </c>
      <c r="V92" s="2738">
        <f t="shared" si="87"/>
        <v>-2.4359646921971567E-2</v>
      </c>
      <c r="W92" s="2738">
        <f t="shared" si="87"/>
        <v>-1.2294401063299598E-2</v>
      </c>
      <c r="X92" s="2738">
        <f t="shared" si="87"/>
        <v>5.0730442079566673E-2</v>
      </c>
      <c r="Y92" s="2738">
        <f t="shared" si="87"/>
        <v>5.1591578644822889E-2</v>
      </c>
      <c r="Z92" s="2738">
        <f t="shared" si="87"/>
        <v>6.0884815194732766E-3</v>
      </c>
      <c r="AA92" s="2738">
        <f t="shared" si="87"/>
        <v>-5.8586818757921377E-2</v>
      </c>
      <c r="AB92" s="2738">
        <f t="shared" si="87"/>
        <v>-2.1557087607196879E-2</v>
      </c>
      <c r="AC92" s="2738">
        <f t="shared" si="87"/>
        <v>-0.32016143451940027</v>
      </c>
      <c r="AD92" s="2738">
        <f t="shared" si="87"/>
        <v>-0.11096399160342318</v>
      </c>
      <c r="AE92" s="2738">
        <f t="shared" si="87"/>
        <v>-4.4200169113690624E-3</v>
      </c>
      <c r="AF92" s="2738">
        <f t="shared" si="87"/>
        <v>7.4536211791113693E-2</v>
      </c>
      <c r="AG92" s="2738">
        <f t="shared" si="87"/>
        <v>-1.5297663903541814E-2</v>
      </c>
      <c r="AH92" s="2738">
        <f t="shared" si="87"/>
        <v>-4.8205727644652252E-2</v>
      </c>
      <c r="AI92" s="2738">
        <f t="shared" si="87"/>
        <v>-1.390524250070091E-2</v>
      </c>
      <c r="AJ92" s="2738">
        <f t="shared" si="87"/>
        <v>-5.8518168947616855E-2</v>
      </c>
      <c r="AK92" s="2738">
        <f t="shared" si="87"/>
        <v>-5.6064229586607395E-2</v>
      </c>
      <c r="AL92" s="2738">
        <f t="shared" si="87"/>
        <v>-1.9634928465712909E-2</v>
      </c>
      <c r="AM92" s="2738">
        <f t="shared" si="87"/>
        <v>0.16593180976742627</v>
      </c>
      <c r="AN92" s="2738">
        <f t="shared" si="87"/>
        <v>4.4132810888843022E-2</v>
      </c>
      <c r="AO92" s="2738">
        <f t="shared" si="87"/>
        <v>0.15776817584069125</v>
      </c>
      <c r="AP92" s="2738">
        <f t="shared" si="87"/>
        <v>0.1028733335755021</v>
      </c>
      <c r="AQ92" s="2738">
        <f t="shared" si="87"/>
        <v>-3.0614214569741005E-2</v>
      </c>
      <c r="AR92" s="2738">
        <f t="shared" si="87"/>
        <v>-4.8814204964364727E-2</v>
      </c>
      <c r="AS92" s="2738">
        <f t="shared" si="87"/>
        <v>-1.3009872197138339E-3</v>
      </c>
      <c r="AT92" s="2738">
        <f t="shared" si="87"/>
        <v>1.8937440129688232E-2</v>
      </c>
      <c r="AU92" s="2738">
        <f t="shared" si="87"/>
        <v>-2.2886222778188414E-2</v>
      </c>
      <c r="AV92" s="2738">
        <f t="shared" si="87"/>
        <v>1.5615962984383946E-2</v>
      </c>
      <c r="AW92" s="2738">
        <f t="shared" si="87"/>
        <v>7.9083571609540604E-2</v>
      </c>
      <c r="AX92" s="2738">
        <f t="shared" si="87"/>
        <v>7.5818572195383016E-3</v>
      </c>
      <c r="AY92" s="2738">
        <f t="shared" si="87"/>
        <v>-2.7510753153777268E-2</v>
      </c>
      <c r="AZ92" s="2738">
        <f t="shared" si="87"/>
        <v>1.1982355652116583E-2</v>
      </c>
      <c r="BA92" s="2738">
        <f t="shared" si="87"/>
        <v>-5.283312779905236E-2</v>
      </c>
      <c r="BB92" s="2738">
        <f t="shared" si="87"/>
        <v>5.2534501498633146E-2</v>
      </c>
      <c r="BC92" s="2738">
        <f t="shared" si="87"/>
        <v>0.14727200318598177</v>
      </c>
      <c r="BD92" s="2738">
        <f t="shared" si="87"/>
        <v>1.8990407906210649E-2</v>
      </c>
      <c r="BE92" s="2738">
        <f t="shared" si="87"/>
        <v>4.7407407407407343E-2</v>
      </c>
      <c r="BF92" s="2738">
        <f t="shared" si="87"/>
        <v>4.1051971844566548E-2</v>
      </c>
      <c r="BG92" s="2738">
        <f t="shared" si="87"/>
        <v>1.0329075620471917E-2</v>
      </c>
      <c r="BH92" s="2738">
        <f t="shared" si="87"/>
        <v>2.2209567198177682E-2</v>
      </c>
      <c r="BI92" s="2738">
        <f t="shared" si="87"/>
        <v>7.882202991883025E-3</v>
      </c>
      <c r="BJ92" s="2738">
        <f t="shared" si="87"/>
        <v>7.6047146567223889E-2</v>
      </c>
      <c r="BK92" s="2738">
        <f t="shared" si="87"/>
        <v>6.0733792448349533E-2</v>
      </c>
      <c r="BL92" s="2738">
        <f t="shared" si="87"/>
        <v>1.5776462169019512E-2</v>
      </c>
      <c r="BM92" s="2738">
        <f t="shared" si="87"/>
        <v>-1.164942095525201E-3</v>
      </c>
      <c r="BN92" s="2738">
        <f t="shared" si="87"/>
        <v>6.5058205031918837E-2</v>
      </c>
      <c r="BO92" s="2738">
        <f t="shared" si="87"/>
        <v>3.4990280477645186E-2</v>
      </c>
      <c r="BP92" s="2738">
        <f t="shared" si="87"/>
        <v>7.4102247155399148E-2</v>
      </c>
      <c r="BQ92" s="2738">
        <f t="shared" si="87"/>
        <v>0.11449543969175235</v>
      </c>
      <c r="BR92" s="2738">
        <f t="shared" si="87"/>
        <v>7.9676754578924314E-2</v>
      </c>
      <c r="BS92" s="2738">
        <f t="shared" si="87"/>
        <v>8.0175095035134092E-2</v>
      </c>
      <c r="BT92" s="2738">
        <f t="shared" si="87"/>
        <v>0.16341689879294341</v>
      </c>
      <c r="BU92" s="2738">
        <f t="shared" si="87"/>
        <v>0.18263502945189525</v>
      </c>
      <c r="BV92" s="2738">
        <f t="shared" si="87"/>
        <v>7.8655857416919384E-2</v>
      </c>
      <c r="BW92" s="2738">
        <f t="shared" si="87"/>
        <v>0.19407287177478039</v>
      </c>
      <c r="BX92" s="2738">
        <f t="shared" si="87"/>
        <v>0.169052422583021</v>
      </c>
      <c r="BY92" s="2738">
        <f t="shared" si="87"/>
        <v>0.13899560922063658</v>
      </c>
      <c r="BZ92" s="2738">
        <f t="shared" si="87"/>
        <v>9.9897164683414141E-2</v>
      </c>
      <c r="CA92" s="2738">
        <f t="shared" si="87"/>
        <v>2.9916823182184027E-2</v>
      </c>
      <c r="CB92" s="2738">
        <f t="shared" si="87"/>
        <v>8.4924311723568069E-2</v>
      </c>
      <c r="CC92" s="2738">
        <f t="shared" ref="CC92:EN92" si="88">CC90/BQ90-1</f>
        <v>4.6432244371020337E-2</v>
      </c>
      <c r="CD92" s="2738">
        <f t="shared" si="88"/>
        <v>3.9804409367761862E-2</v>
      </c>
      <c r="CE92" s="2738">
        <f t="shared" si="88"/>
        <v>1.3810387117414891E-2</v>
      </c>
      <c r="CF92" s="2738">
        <f t="shared" si="88"/>
        <v>9.7270550678371981E-2</v>
      </c>
      <c r="CG92" s="2738">
        <f t="shared" si="88"/>
        <v>-3.8016714973126642E-2</v>
      </c>
      <c r="CH92" s="2738">
        <f t="shared" si="88"/>
        <v>4.1107286288009082E-2</v>
      </c>
      <c r="CI92" s="2738">
        <f t="shared" si="88"/>
        <v>9.0416930324122902E-2</v>
      </c>
      <c r="CJ92" s="2738">
        <f t="shared" si="88"/>
        <v>0.12592450556072965</v>
      </c>
      <c r="CK92" s="2738">
        <f t="shared" si="88"/>
        <v>0.23379713287555726</v>
      </c>
      <c r="CL92" s="2738">
        <f t="shared" si="88"/>
        <v>4.6667557098971635E-2</v>
      </c>
      <c r="CM92" s="2738">
        <f t="shared" si="88"/>
        <v>0.18047414354565583</v>
      </c>
      <c r="CN92" s="2738">
        <f t="shared" si="88"/>
        <v>6.4541572605869346E-2</v>
      </c>
      <c r="CO92" s="2738">
        <f t="shared" si="88"/>
        <v>-6.4174142149175051E-2</v>
      </c>
      <c r="CP92" s="2738">
        <f t="shared" si="88"/>
        <v>0.10848939856447481</v>
      </c>
      <c r="CQ92" s="2738">
        <f t="shared" si="88"/>
        <v>5.1491085047073115E-2</v>
      </c>
      <c r="CR92" s="2738">
        <f t="shared" si="88"/>
        <v>4.1138135691842104E-2</v>
      </c>
      <c r="CS92" s="2738">
        <f t="shared" si="88"/>
        <v>0.14078862692330185</v>
      </c>
      <c r="CT92" s="2738">
        <f t="shared" si="88"/>
        <v>0.11834238007329234</v>
      </c>
      <c r="CU92" s="2738">
        <f t="shared" si="88"/>
        <v>0.16336750703892355</v>
      </c>
      <c r="CV92" s="2738">
        <f t="shared" si="88"/>
        <v>9.0139405882782242E-2</v>
      </c>
      <c r="CW92" s="2738">
        <f t="shared" si="88"/>
        <v>-1.1228549808382393E-2</v>
      </c>
      <c r="CX92" s="2738">
        <f t="shared" si="88"/>
        <v>9.9867285998672894E-2</v>
      </c>
      <c r="CY92" s="2738">
        <f t="shared" si="88"/>
        <v>-1.4896551724137952E-2</v>
      </c>
      <c r="CZ92" s="2738">
        <f t="shared" si="88"/>
        <v>1.8140010219724001E-2</v>
      </c>
      <c r="DA92" s="2738">
        <f t="shared" si="88"/>
        <v>0.14874648076149621</v>
      </c>
      <c r="DB92" s="2738">
        <f t="shared" si="88"/>
        <v>6.2779100922893738E-2</v>
      </c>
      <c r="DC92" s="2738">
        <f t="shared" si="88"/>
        <v>-2.6760704281713066E-3</v>
      </c>
      <c r="DD92" s="2738">
        <f t="shared" si="88"/>
        <v>-3.4175375845302614E-2</v>
      </c>
      <c r="DE92" s="2738">
        <f t="shared" si="88"/>
        <v>-6.7437626605810763E-3</v>
      </c>
      <c r="DF92" s="2738">
        <f t="shared" si="88"/>
        <v>-3.7819059820636602E-2</v>
      </c>
      <c r="DG92" s="2738">
        <f t="shared" si="88"/>
        <v>-3.1961276973100805E-2</v>
      </c>
      <c r="DH92" s="2738">
        <f t="shared" si="88"/>
        <v>-7.4093911801464074E-2</v>
      </c>
      <c r="DI92" s="2738">
        <f t="shared" si="88"/>
        <v>-1.0615449181622938E-2</v>
      </c>
      <c r="DJ92" s="2738">
        <f t="shared" si="88"/>
        <v>2.2601229841048953E-2</v>
      </c>
      <c r="DK92" s="2738">
        <f t="shared" si="88"/>
        <v>-6.894427331279751E-2</v>
      </c>
      <c r="DL92" s="2738">
        <f t="shared" si="88"/>
        <v>-3.641154328732743E-2</v>
      </c>
      <c r="DM92" s="2738">
        <f t="shared" si="88"/>
        <v>3.6101223473575583E-2</v>
      </c>
      <c r="DN92" s="2738">
        <f t="shared" si="88"/>
        <v>-9.961833397527875E-3</v>
      </c>
      <c r="DO92" s="2738">
        <f t="shared" si="88"/>
        <v>-4.7646513027559401E-3</v>
      </c>
      <c r="DP92" s="2738">
        <f t="shared" si="88"/>
        <v>-6.6718745479269703E-2</v>
      </c>
      <c r="DQ92" s="2738">
        <f t="shared" si="88"/>
        <v>7.0838496489054048E-2</v>
      </c>
      <c r="DR92" s="2738">
        <f t="shared" si="88"/>
        <v>-1.1855683302179121E-2</v>
      </c>
      <c r="DS92" s="2738">
        <f t="shared" si="88"/>
        <v>3.3226459025153643E-2</v>
      </c>
      <c r="DT92" s="2738">
        <f t="shared" si="88"/>
        <v>-1.9764751253374513E-2</v>
      </c>
      <c r="DU92" s="2738">
        <f t="shared" si="88"/>
        <v>-5.1450956907952206E-2</v>
      </c>
      <c r="DV92" s="2738">
        <f t="shared" si="88"/>
        <v>-2.4643173205654789E-2</v>
      </c>
      <c r="DW92" s="2738">
        <f t="shared" si="88"/>
        <v>0.22753248315688168</v>
      </c>
      <c r="DX92" s="2738">
        <f t="shared" si="88"/>
        <v>9.218990077866529E-3</v>
      </c>
      <c r="DY92" s="2738">
        <f t="shared" si="88"/>
        <v>5.4724313364747479E-2</v>
      </c>
      <c r="DZ92" s="2738">
        <f t="shared" si="88"/>
        <v>3.4801676422217875E-2</v>
      </c>
      <c r="EA92" s="2738">
        <f t="shared" si="88"/>
        <v>5.0142363998286532E-2</v>
      </c>
      <c r="EB92" s="2738">
        <f t="shared" si="88"/>
        <v>0.13649750441764574</v>
      </c>
      <c r="EC92" s="2738">
        <f t="shared" si="88"/>
        <v>-2.5771456123433012E-2</v>
      </c>
      <c r="ED92" s="2738">
        <f t="shared" si="88"/>
        <v>9.2925628401140159E-2</v>
      </c>
      <c r="EE92" s="2738">
        <f t="shared" si="88"/>
        <v>0.10984687563493978</v>
      </c>
      <c r="EF92" s="3756">
        <f t="shared" si="88"/>
        <v>8.4784105439166035E-2</v>
      </c>
      <c r="EG92" s="2738">
        <f t="shared" si="88"/>
        <v>0.15267657503616983</v>
      </c>
      <c r="EH92" s="2738">
        <f t="shared" si="88"/>
        <v>0.13847334992904181</v>
      </c>
      <c r="EI92" s="2738">
        <f t="shared" si="88"/>
        <v>-4.4446622399725633E-2</v>
      </c>
      <c r="EJ92" s="2738">
        <f t="shared" si="88"/>
        <v>0.17005135086315892</v>
      </c>
      <c r="EK92" s="2738">
        <f t="shared" si="88"/>
        <v>8.2909116798974836E-2</v>
      </c>
      <c r="EL92" s="2738">
        <f t="shared" si="88"/>
        <v>4.776389767076239E-2</v>
      </c>
      <c r="EM92" s="2738">
        <f t="shared" si="88"/>
        <v>7.9612256160472183E-2</v>
      </c>
      <c r="EN92" s="2738">
        <f t="shared" si="88"/>
        <v>0.10572831423895246</v>
      </c>
      <c r="EO92" s="2738">
        <f t="shared" ref="EO92:EQ92" si="89">EO90/EC90-1</f>
        <v>6.3844002870505623E-2</v>
      </c>
      <c r="EP92" s="2738">
        <f t="shared" si="89"/>
        <v>4.0117602427921062E-2</v>
      </c>
      <c r="EQ92" s="2738">
        <f t="shared" si="89"/>
        <v>1.2432180541224191E-2</v>
      </c>
      <c r="ER92" s="3756">
        <f>ER90/EF90-1</f>
        <v>-1.4053858010698583E-3</v>
      </c>
      <c r="ES92" s="2738">
        <f t="shared" ref="ES92:GA92" si="90">ES90/EG90-1</f>
        <v>-1.2483169401401262E-2</v>
      </c>
      <c r="ET92" s="2738">
        <f t="shared" si="90"/>
        <v>-7.7061407990191122E-2</v>
      </c>
      <c r="EU92" s="2738">
        <f t="shared" si="90"/>
        <v>0.10374624990384373</v>
      </c>
      <c r="EV92" s="2738">
        <f t="shared" si="90"/>
        <v>-1.8459299120040629E-2</v>
      </c>
      <c r="EW92" s="2738">
        <f t="shared" si="90"/>
        <v>-6.2113740959894859E-2</v>
      </c>
      <c r="EX92" s="2738">
        <f t="shared" si="90"/>
        <v>-3.0010438413361484E-3</v>
      </c>
      <c r="EY92" s="2738">
        <f t="shared" si="90"/>
        <v>6.365151683520387E-2</v>
      </c>
      <c r="EZ92" s="2738">
        <f t="shared" si="90"/>
        <v>6.1204854943753606E-2</v>
      </c>
      <c r="FA92" s="2738">
        <f t="shared" si="90"/>
        <v>-0.19818101463096927</v>
      </c>
      <c r="FB92" s="2738">
        <f t="shared" si="90"/>
        <v>-1.440685693443966E-2</v>
      </c>
      <c r="FC92" s="2742">
        <f t="shared" si="90"/>
        <v>-0.10734305393454213</v>
      </c>
      <c r="FD92" s="2742">
        <f t="shared" si="90"/>
        <v>-2.3607390929314076E-2</v>
      </c>
      <c r="FE92" s="2742">
        <f t="shared" si="90"/>
        <v>-3.6744315030504682E-3</v>
      </c>
      <c r="FF92" s="2742">
        <f t="shared" si="90"/>
        <v>-0.6184793198122398</v>
      </c>
      <c r="FG92" s="2742">
        <f t="shared" si="90"/>
        <v>-0.99344871645951915</v>
      </c>
      <c r="FH92" s="2742">
        <f t="shared" si="90"/>
        <v>-0.99018109917763897</v>
      </c>
      <c r="FI92" s="2742">
        <f t="shared" si="90"/>
        <v>-0.98072238481624929</v>
      </c>
      <c r="FJ92" s="2742">
        <f t="shared" si="90"/>
        <v>-0.94912315141997117</v>
      </c>
      <c r="FK92" s="2742">
        <f t="shared" si="90"/>
        <v>-0.9201195177500574</v>
      </c>
      <c r="FL92" s="2742">
        <f t="shared" si="90"/>
        <v>-0.89062463677150894</v>
      </c>
      <c r="FM92" s="2742">
        <f t="shared" si="90"/>
        <v>-0.77740709581967449</v>
      </c>
      <c r="FN92" s="2742">
        <f t="shared" si="90"/>
        <v>-0.78441576464057727</v>
      </c>
      <c r="FO92" s="2742">
        <f t="shared" si="90"/>
        <v>-0.71837651695118132</v>
      </c>
      <c r="FP92" s="2742">
        <f t="shared" si="90"/>
        <v>-0.72288092249035196</v>
      </c>
      <c r="FQ92" s="2742">
        <f t="shared" si="90"/>
        <v>-0.79934126597545985</v>
      </c>
      <c r="FR92" s="2742">
        <f t="shared" si="90"/>
        <v>-0.34577215483721202</v>
      </c>
      <c r="FS92" s="2742">
        <f t="shared" si="90"/>
        <v>36.021276595744681</v>
      </c>
      <c r="FT92" s="2742">
        <f t="shared" si="90"/>
        <v>27.588100686498855</v>
      </c>
      <c r="FU92" s="2742">
        <f t="shared" si="90"/>
        <v>-1</v>
      </c>
      <c r="FV92" s="2742">
        <f t="shared" si="90"/>
        <v>-1</v>
      </c>
      <c r="FW92" s="2742">
        <f t="shared" si="90"/>
        <v>-1</v>
      </c>
      <c r="FX92" s="2742">
        <f t="shared" si="90"/>
        <v>-1</v>
      </c>
      <c r="FY92" s="2742">
        <f t="shared" si="90"/>
        <v>-1</v>
      </c>
      <c r="FZ92" s="2742">
        <f t="shared" si="90"/>
        <v>-1</v>
      </c>
      <c r="GA92" s="2742">
        <f t="shared" si="90"/>
        <v>-1</v>
      </c>
      <c r="GB92" s="2743"/>
      <c r="GC92" s="2737">
        <v>0</v>
      </c>
      <c r="GD92" s="2737">
        <v>0</v>
      </c>
      <c r="GE92" s="2737">
        <v>0</v>
      </c>
      <c r="GF92" s="2737">
        <v>0</v>
      </c>
      <c r="GG92" s="2738">
        <f>GG90/GC90-1</f>
        <v>0.36615278530266471</v>
      </c>
      <c r="GH92" s="2738">
        <f t="shared" ref="GH92:IJ92" si="91">GH90/GD90-1</f>
        <v>0.23820655124570189</v>
      </c>
      <c r="GI92" s="2738">
        <f t="shared" si="91"/>
        <v>6.9257241181531315E-2</v>
      </c>
      <c r="GJ92" s="2738">
        <f t="shared" si="91"/>
        <v>7.5147444761125337E-2</v>
      </c>
      <c r="GK92" s="2738">
        <f t="shared" si="91"/>
        <v>-0.13057167922510249</v>
      </c>
      <c r="GL92" s="2738">
        <f t="shared" si="91"/>
        <v>3.8488240380984751E-2</v>
      </c>
      <c r="GM92" s="2738">
        <f t="shared" si="91"/>
        <v>-6.3206830271333447E-2</v>
      </c>
      <c r="GN92" s="2738">
        <f t="shared" si="91"/>
        <v>-5.3123359580052543E-2</v>
      </c>
      <c r="GO92" s="2738">
        <f t="shared" si="91"/>
        <v>1.4541232410914207E-2</v>
      </c>
      <c r="GP92" s="2738">
        <f t="shared" si="91"/>
        <v>-8.1442126127394099E-2</v>
      </c>
      <c r="GQ92" s="2738">
        <f t="shared" si="91"/>
        <v>2.6244214343655869E-3</v>
      </c>
      <c r="GR92" s="2738">
        <f t="shared" si="91"/>
        <v>2.1426987470894776E-2</v>
      </c>
      <c r="GS92" s="2738">
        <f t="shared" si="91"/>
        <v>1.9155835308864111E-2</v>
      </c>
      <c r="GT92" s="2738">
        <f t="shared" si="91"/>
        <v>7.244729886745227E-2</v>
      </c>
      <c r="GU92" s="2738">
        <f t="shared" si="91"/>
        <v>5.0328383780696706E-2</v>
      </c>
      <c r="GV92" s="2738">
        <f t="shared" si="91"/>
        <v>0.10321854053027213</v>
      </c>
      <c r="GW92" s="2738">
        <f t="shared" si="91"/>
        <v>7.7001229880755417E-3</v>
      </c>
      <c r="GX92" s="2738">
        <f t="shared" si="91"/>
        <v>0.12695105544509655</v>
      </c>
      <c r="GY92" s="2738">
        <f t="shared" si="91"/>
        <v>0.13968372640975102</v>
      </c>
      <c r="GZ92" s="2738">
        <f t="shared" si="91"/>
        <v>0.14819506795400028</v>
      </c>
      <c r="HA92" s="2738">
        <f t="shared" si="91"/>
        <v>0.1752719554258424</v>
      </c>
      <c r="HB92" s="2738">
        <f t="shared" si="91"/>
        <v>4.7540567951309676E-4</v>
      </c>
      <c r="HC92" s="2738">
        <f t="shared" si="91"/>
        <v>-7.5142382888210291E-3</v>
      </c>
      <c r="HD92" s="2738">
        <f t="shared" si="91"/>
        <v>-1.3882640272511071E-2</v>
      </c>
      <c r="HE92" s="2738">
        <f t="shared" si="91"/>
        <v>9.5539100595990689E-2</v>
      </c>
      <c r="HF92" s="2738">
        <f t="shared" si="91"/>
        <v>5.9439710245931865E-2</v>
      </c>
      <c r="HG92" s="2738">
        <f t="shared" si="91"/>
        <v>6.4174336274323229E-2</v>
      </c>
      <c r="HH92" s="2738">
        <f t="shared" si="91"/>
        <v>0.13035260379326075</v>
      </c>
      <c r="HI92" s="2738">
        <f t="shared" si="91"/>
        <v>4.3562479393340015E-2</v>
      </c>
      <c r="HJ92" s="2738">
        <f t="shared" si="91"/>
        <v>3.4585866640086671E-3</v>
      </c>
      <c r="HK92" s="2738">
        <f t="shared" si="91"/>
        <v>-2.434571479658576E-2</v>
      </c>
      <c r="HL92" s="2738">
        <f t="shared" si="91"/>
        <v>-5.8784524015452866E-2</v>
      </c>
      <c r="HM92" s="2738">
        <f t="shared" si="91"/>
        <v>-3.8663559890999566E-2</v>
      </c>
      <c r="HN92" s="2738">
        <f t="shared" si="91"/>
        <v>-7.5290284772092653E-3</v>
      </c>
      <c r="HO92" s="2738">
        <f t="shared" si="91"/>
        <v>6.0699886181684981E-2</v>
      </c>
      <c r="HP92" s="2738">
        <f t="shared" si="91"/>
        <v>-8.4346698522579922E-2</v>
      </c>
      <c r="HQ92" s="2738">
        <f t="shared" si="91"/>
        <v>-0.13621518363322649</v>
      </c>
      <c r="HR92" s="2738">
        <f t="shared" si="91"/>
        <v>-6.0569060939360875E-2</v>
      </c>
      <c r="HS92" s="2738">
        <f t="shared" si="91"/>
        <v>-0.16982367437503976</v>
      </c>
      <c r="HT92" s="2738">
        <f t="shared" si="91"/>
        <v>-7.9839429081177693E-3</v>
      </c>
      <c r="HU92" s="2738">
        <f t="shared" si="91"/>
        <v>0.11680637298614838</v>
      </c>
      <c r="HV92" s="2738">
        <f t="shared" si="91"/>
        <v>7.5340641546017162E-2</v>
      </c>
      <c r="HW92" s="2738">
        <f t="shared" si="91"/>
        <v>7.389475529071543E-2</v>
      </c>
      <c r="HX92" s="2738">
        <f t="shared" si="91"/>
        <v>3.7172339373229724E-2</v>
      </c>
      <c r="HY92" s="2738">
        <f t="shared" si="91"/>
        <v>-2.8255384386078886E-2</v>
      </c>
      <c r="HZ92" s="2738">
        <f t="shared" si="91"/>
        <v>0.1629003655673229</v>
      </c>
      <c r="IA92" s="2738">
        <f t="shared" si="91"/>
        <v>0.43534139823333806</v>
      </c>
      <c r="IB92" s="2738">
        <f t="shared" si="91"/>
        <v>0.32440311690563672</v>
      </c>
      <c r="IC92" s="2738">
        <f t="shared" si="91"/>
        <v>0.13238016981648859</v>
      </c>
      <c r="ID92" s="2738">
        <f t="shared" si="91"/>
        <v>-0.98450358658056603</v>
      </c>
      <c r="IE92" s="2738">
        <f t="shared" si="91"/>
        <v>-6.2941485808496456E-2</v>
      </c>
      <c r="IF92" s="2738">
        <f t="shared" si="91"/>
        <v>-0.73579424568753882</v>
      </c>
      <c r="IG92" s="2738">
        <f t="shared" si="91"/>
        <v>-0.69190580313086558</v>
      </c>
      <c r="IH92" s="2738">
        <f t="shared" si="91"/>
        <v>11.607476635514018</v>
      </c>
      <c r="II92" s="2738">
        <f t="shared" si="91"/>
        <v>-1</v>
      </c>
      <c r="IJ92" s="2738">
        <f t="shared" si="91"/>
        <v>-1</v>
      </c>
      <c r="IK92" s="2974"/>
      <c r="IL92" s="3757"/>
      <c r="IM92" s="3757">
        <f t="shared" ref="IM92:IW92" si="92">IM90/IL90-1</f>
        <v>0.17467234960731637</v>
      </c>
      <c r="IN92" s="3757">
        <f t="shared" si="92"/>
        <v>-5.2595483960628187E-2</v>
      </c>
      <c r="IO92" s="3757">
        <f t="shared" si="92"/>
        <v>-1.3157349269266483E-2</v>
      </c>
      <c r="IP92" s="3757">
        <f t="shared" si="92"/>
        <v>6.1128470931904655E-2</v>
      </c>
      <c r="IQ92" s="3757">
        <f t="shared" si="92"/>
        <v>0.10846884706742199</v>
      </c>
      <c r="IR92" s="3757">
        <f t="shared" si="92"/>
        <v>3.0783051601790179E-2</v>
      </c>
      <c r="IS92" s="3758">
        <f t="shared" si="92"/>
        <v>8.6622210850630488E-2</v>
      </c>
      <c r="IT92" s="3758">
        <f t="shared" si="92"/>
        <v>-1.0127420561435341E-2</v>
      </c>
      <c r="IU92" s="3759">
        <f t="shared" si="92"/>
        <v>-3.575782504410574E-2</v>
      </c>
      <c r="IV92" s="3758">
        <f t="shared" si="92"/>
        <v>-7.944853460792245E-2</v>
      </c>
      <c r="IW92" s="3758">
        <f t="shared" si="92"/>
        <v>7.5228625344752498E-2</v>
      </c>
      <c r="IX92" s="3758">
        <f>IX90/IW90-1</f>
        <v>0.2243176513654761</v>
      </c>
      <c r="IY92" s="3760">
        <f>IY90/IX90-1</f>
        <v>-0.68382391921608043</v>
      </c>
      <c r="IZ92" s="3760">
        <f>IZ90/IY90-1</f>
        <v>-0.43967217072876286</v>
      </c>
      <c r="JA92" s="3773"/>
      <c r="JC92" s="2723"/>
      <c r="JD92" s="2723"/>
      <c r="JE92" s="2723"/>
      <c r="JF92" s="2723"/>
      <c r="JG92" s="2723"/>
      <c r="JH92" s="2723"/>
      <c r="JI92" s="3262"/>
      <c r="JJ92" s="2723"/>
      <c r="JK92" s="2723"/>
      <c r="JL92" s="2723"/>
      <c r="JM92" s="2723"/>
      <c r="JN92" s="2723"/>
      <c r="JO92" s="2723"/>
      <c r="JP92" s="2723"/>
      <c r="JQ92" s="2723"/>
      <c r="JS92" s="3480"/>
      <c r="JT92" s="3480"/>
      <c r="JU92" s="3480"/>
      <c r="JV92" s="3480"/>
      <c r="JW92" s="3480"/>
      <c r="JX92" s="3480"/>
      <c r="JY92" s="3480"/>
      <c r="JZ92" s="3480"/>
      <c r="KA92" s="3480"/>
      <c r="KB92" s="3480"/>
      <c r="KC92" s="3480"/>
      <c r="KD92" s="3480"/>
      <c r="KE92" s="3480"/>
      <c r="KF92" s="3480"/>
      <c r="KG92" s="3480"/>
      <c r="KH92" s="3480"/>
      <c r="KI92" s="3480"/>
      <c r="KJ92" s="3480"/>
      <c r="KK92" s="3480"/>
      <c r="KL92" s="3480"/>
      <c r="KM92" s="3480"/>
      <c r="KN92" s="3480"/>
      <c r="KO92" s="3480"/>
    </row>
  </sheetData>
  <mergeCells count="119">
    <mergeCell ref="JL49:JL51"/>
    <mergeCell ref="JM49:JM51"/>
    <mergeCell ref="JN49:JN51"/>
    <mergeCell ref="JO49:JO51"/>
    <mergeCell ref="JP49:JP51"/>
    <mergeCell ref="JQ49:JQ51"/>
    <mergeCell ref="JE49:JE51"/>
    <mergeCell ref="JF49:JF51"/>
    <mergeCell ref="JG49:JG51"/>
    <mergeCell ref="JH49:JH51"/>
    <mergeCell ref="JI49:JI51"/>
    <mergeCell ref="JK49:JK51"/>
    <mergeCell ref="HU49:HX49"/>
    <mergeCell ref="HY49:IB49"/>
    <mergeCell ref="JC49:JC51"/>
    <mergeCell ref="JD49:JD51"/>
    <mergeCell ref="GO49:GR49"/>
    <mergeCell ref="GS49:GV49"/>
    <mergeCell ref="GW49:GZ49"/>
    <mergeCell ref="HA49:HD49"/>
    <mergeCell ref="HE49:HH49"/>
    <mergeCell ref="HI49:HL49"/>
    <mergeCell ref="DH49:DS49"/>
    <mergeCell ref="DT49:EE49"/>
    <mergeCell ref="EF49:EQ49"/>
    <mergeCell ref="GC49:GF49"/>
    <mergeCell ref="GG49:GJ49"/>
    <mergeCell ref="GK49:GN49"/>
    <mergeCell ref="IU37:IU39"/>
    <mergeCell ref="D49:O49"/>
    <mergeCell ref="P49:AA49"/>
    <mergeCell ref="AB49:AM49"/>
    <mergeCell ref="AN49:AY49"/>
    <mergeCell ref="AZ49:BK49"/>
    <mergeCell ref="BL49:BW49"/>
    <mergeCell ref="BX49:CI49"/>
    <mergeCell ref="CJ49:CU49"/>
    <mergeCell ref="CV49:DG49"/>
    <mergeCell ref="GL37:GO37"/>
    <mergeCell ref="GP37:GS37"/>
    <mergeCell ref="GT37:GW37"/>
    <mergeCell ref="GX37:HA38"/>
    <mergeCell ref="IS37:IS39"/>
    <mergeCell ref="IT37:IT39"/>
    <mergeCell ref="HM49:HP49"/>
    <mergeCell ref="HQ49:HT49"/>
    <mergeCell ref="IU23:IU25"/>
    <mergeCell ref="D37:O37"/>
    <mergeCell ref="P37:AA37"/>
    <mergeCell ref="AB37:AM37"/>
    <mergeCell ref="AN37:AY37"/>
    <mergeCell ref="AZ37:BK37"/>
    <mergeCell ref="BL37:BN37"/>
    <mergeCell ref="DH37:DS37"/>
    <mergeCell ref="GD37:GG37"/>
    <mergeCell ref="GH37:GK37"/>
    <mergeCell ref="GL23:GO23"/>
    <mergeCell ref="GP23:GS23"/>
    <mergeCell ref="GT23:GW23"/>
    <mergeCell ref="GX23:HA23"/>
    <mergeCell ref="IS23:IS25"/>
    <mergeCell ref="IT23:IT25"/>
    <mergeCell ref="D23:O23"/>
    <mergeCell ref="P23:AA23"/>
    <mergeCell ref="AB23:AM23"/>
    <mergeCell ref="AN23:AY23"/>
    <mergeCell ref="AZ23:BK23"/>
    <mergeCell ref="BL23:BN23"/>
    <mergeCell ref="DH23:DS23"/>
    <mergeCell ref="GD23:GG23"/>
    <mergeCell ref="GH23:GK23"/>
    <mergeCell ref="IU7:IU9"/>
    <mergeCell ref="D15:O15"/>
    <mergeCell ref="P15:AA15"/>
    <mergeCell ref="AB15:AM15"/>
    <mergeCell ref="AN15:AY15"/>
    <mergeCell ref="AZ15:BK15"/>
    <mergeCell ref="BL15:BN15"/>
    <mergeCell ref="DH15:DS15"/>
    <mergeCell ref="GD15:GG15"/>
    <mergeCell ref="GH15:GK15"/>
    <mergeCell ref="GL7:GO7"/>
    <mergeCell ref="GP7:GS7"/>
    <mergeCell ref="GT7:GW7"/>
    <mergeCell ref="GX7:HA7"/>
    <mergeCell ref="IS7:IS9"/>
    <mergeCell ref="IT7:IT9"/>
    <mergeCell ref="IU15:IU17"/>
    <mergeCell ref="GL15:GO15"/>
    <mergeCell ref="GP15:GS15"/>
    <mergeCell ref="GT15:GW15"/>
    <mergeCell ref="GX15:HA15"/>
    <mergeCell ref="IS15:IS17"/>
    <mergeCell ref="IT15:IT17"/>
    <mergeCell ref="IK5:IP5"/>
    <mergeCell ref="D7:O7"/>
    <mergeCell ref="P7:AA7"/>
    <mergeCell ref="AB7:AM7"/>
    <mergeCell ref="AN7:AY7"/>
    <mergeCell ref="AZ7:BK7"/>
    <mergeCell ref="BL7:BN7"/>
    <mergeCell ref="DH7:DS7"/>
    <mergeCell ref="GD7:GG7"/>
    <mergeCell ref="GH7:GK7"/>
    <mergeCell ref="D5:O5"/>
    <mergeCell ref="P5:AA5"/>
    <mergeCell ref="AB5:AM5"/>
    <mergeCell ref="AN5:AY5"/>
    <mergeCell ref="AZ5:BK5"/>
    <mergeCell ref="GD5:HB5"/>
    <mergeCell ref="FD3:GA3"/>
    <mergeCell ref="IC3:IJ3"/>
    <mergeCell ref="IY3:IZ3"/>
    <mergeCell ref="JH3:JI3"/>
    <mergeCell ref="JO3:JQ3"/>
    <mergeCell ref="FD4:FO4"/>
    <mergeCell ref="FP4:GA4"/>
    <mergeCell ref="IC4:IF4"/>
    <mergeCell ref="IG4:IJ4"/>
  </mergeCells>
  <conditionalFormatting sqref="JL53">
    <cfRule type="cellIs" dxfId="24" priority="15" operator="greaterThan">
      <formula>0</formula>
    </cfRule>
    <cfRule type="top10" dxfId="23" priority="16" rank="10"/>
  </conditionalFormatting>
  <conditionalFormatting sqref="JK53">
    <cfRule type="cellIs" dxfId="22" priority="14" operator="greaterThan">
      <formula>0</formula>
    </cfRule>
  </conditionalFormatting>
  <conditionalFormatting sqref="JM53">
    <cfRule type="cellIs" dxfId="21" priority="12" operator="greaterThan">
      <formula>0</formula>
    </cfRule>
    <cfRule type="top10" dxfId="20" priority="13" rank="10"/>
  </conditionalFormatting>
  <conditionalFormatting sqref="JC4:JF4">
    <cfRule type="top10" dxfId="19" priority="11" rank="10"/>
  </conditionalFormatting>
  <conditionalFormatting sqref="JI53">
    <cfRule type="cellIs" dxfId="18" priority="9" operator="greaterThan">
      <formula>0</formula>
    </cfRule>
    <cfRule type="top10" dxfId="17" priority="10" rank="10"/>
  </conditionalFormatting>
  <conditionalFormatting sqref="JG4">
    <cfRule type="top10" dxfId="16" priority="8" rank="10"/>
  </conditionalFormatting>
  <conditionalFormatting sqref="JN53">
    <cfRule type="cellIs" dxfId="15" priority="6" operator="greaterThan">
      <formula>0</formula>
    </cfRule>
    <cfRule type="top10" dxfId="14" priority="7" rank="10"/>
  </conditionalFormatting>
  <conditionalFormatting sqref="JI54:JI85">
    <cfRule type="top10" dxfId="13" priority="5" rank="10"/>
  </conditionalFormatting>
  <conditionalFormatting sqref="JO53 JQ53">
    <cfRule type="cellIs" dxfId="12" priority="3" operator="greaterThan">
      <formula>0</formula>
    </cfRule>
    <cfRule type="top10" dxfId="11" priority="4" rank="10"/>
  </conditionalFormatting>
  <conditionalFormatting sqref="JP53">
    <cfRule type="cellIs" dxfId="10" priority="1" operator="greaterThan">
      <formula>0</formula>
    </cfRule>
    <cfRule type="top10" dxfId="9" priority="2" rank="10"/>
  </conditionalFormatting>
  <conditionalFormatting sqref="JK87:JK92 JK5:JK53">
    <cfRule type="top10" dxfId="8" priority="17" rank="10"/>
  </conditionalFormatting>
  <conditionalFormatting sqref="JL87:JL92 JL5:JL53">
    <cfRule type="top10" dxfId="7" priority="18" rank="10"/>
  </conditionalFormatting>
  <conditionalFormatting sqref="JM87:JM92 JM5:JM53">
    <cfRule type="top10" dxfId="6" priority="19" rank="10"/>
  </conditionalFormatting>
  <conditionalFormatting sqref="JI87:JI92 JI5:JI53">
    <cfRule type="top10" dxfId="5" priority="20" rank="10"/>
  </conditionalFormatting>
  <conditionalFormatting sqref="JN87:JN92 JN5:JN53">
    <cfRule type="top10" dxfId="4" priority="21" rank="10"/>
  </conditionalFormatting>
  <conditionalFormatting sqref="JO87:JO92 JO5:JO53 JQ5:JQ53 JQ87:JQ92">
    <cfRule type="top10" dxfId="3" priority="22" rank="10"/>
  </conditionalFormatting>
  <conditionalFormatting sqref="JP5:JP53 JP87:JP92">
    <cfRule type="top10" dxfId="2" priority="23" rank="10"/>
  </conditionalFormatting>
  <printOptions horizontalCentered="1" verticalCentered="1"/>
  <pageMargins left="0.39370078740157483" right="0.11811023622047245" top="0.51181102362204722" bottom="0.43307086614173229" header="0" footer="0"/>
  <pageSetup paperSize="9" scale="61" orientation="landscape" verticalDpi="597" r:id="rId1"/>
  <headerFooter alignWithMargins="0"/>
  <rowBreaks count="1" manualBreakCount="1">
    <brk id="88" max="16383" man="1"/>
  </rowBreaks>
  <colBreaks count="4" manualBreakCount="4">
    <brk id="15" min="6" max="86" man="1"/>
    <brk id="27" min="6" max="86" man="1"/>
    <brk id="39" min="6" max="86" man="1"/>
    <brk id="185" min="6" max="86"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A1:Z262"/>
  <sheetViews>
    <sheetView showGridLines="0" topLeftCell="F1" zoomScaleNormal="100" workbookViewId="0">
      <pane ySplit="3" topLeftCell="A221" activePane="bottomLeft" state="frozen"/>
      <selection activeCell="Z285" sqref="Z285"/>
      <selection pane="bottomLeft" activeCell="P225" activeCellId="1" sqref="P223 P225"/>
    </sheetView>
  </sheetViews>
  <sheetFormatPr baseColWidth="10" defaultColWidth="11.44140625" defaultRowHeight="10.199999999999999"/>
  <cols>
    <col min="1" max="2" width="17.88671875" style="56" customWidth="1"/>
    <col min="3" max="3" width="13.5546875" style="56" customWidth="1"/>
    <col min="4" max="12" width="10.5546875" style="56" customWidth="1"/>
    <col min="13" max="13" width="11.5546875" style="56" customWidth="1"/>
    <col min="14" max="14" width="10.5546875" style="56" customWidth="1"/>
    <col min="15" max="15" width="9.6640625" style="56" bestFit="1" customWidth="1"/>
    <col min="16" max="16" width="10.5546875" style="56" bestFit="1" customWidth="1"/>
    <col min="17" max="17" width="22" style="98" customWidth="1"/>
    <col min="18" max="26" width="13.33203125" style="98" customWidth="1"/>
    <col min="27" max="16384" width="11.44140625" style="56"/>
  </cols>
  <sheetData>
    <row r="1" spans="1:17" ht="12">
      <c r="A1" s="5478" t="s">
        <v>214</v>
      </c>
      <c r="B1" s="5478"/>
      <c r="C1" s="5478"/>
      <c r="D1" s="5478"/>
      <c r="E1" s="5478"/>
      <c r="F1" s="5478"/>
      <c r="G1" s="5478"/>
      <c r="H1" s="5478"/>
      <c r="I1" s="5478"/>
      <c r="J1" s="5478"/>
      <c r="K1" s="5478"/>
      <c r="L1" s="5478"/>
      <c r="M1" s="5478"/>
      <c r="N1" s="5478"/>
      <c r="O1" s="5478"/>
      <c r="P1" s="5478"/>
    </row>
    <row r="2" spans="1:17" ht="12">
      <c r="A2" s="5478" t="s">
        <v>215</v>
      </c>
      <c r="B2" s="5478"/>
      <c r="C2" s="5478"/>
      <c r="D2" s="5478"/>
      <c r="E2" s="5478"/>
      <c r="F2" s="5478"/>
      <c r="G2" s="5478"/>
      <c r="H2" s="5478"/>
      <c r="I2" s="5478"/>
      <c r="J2" s="5478"/>
      <c r="K2" s="5478"/>
      <c r="L2" s="5478"/>
      <c r="M2" s="5478"/>
      <c r="N2" s="5478"/>
      <c r="O2" s="5478"/>
      <c r="P2" s="5478"/>
    </row>
    <row r="3" spans="1:17" ht="12">
      <c r="A3" s="5478" t="s">
        <v>1481</v>
      </c>
      <c r="B3" s="5478"/>
      <c r="C3" s="5478"/>
      <c r="D3" s="5478"/>
      <c r="E3" s="5478"/>
      <c r="F3" s="5478"/>
      <c r="G3" s="5478"/>
      <c r="H3" s="5478"/>
      <c r="I3" s="5478"/>
      <c r="J3" s="5478"/>
      <c r="K3" s="5478"/>
      <c r="L3" s="5478"/>
      <c r="M3" s="5478"/>
      <c r="N3" s="5478"/>
      <c r="O3" s="5478"/>
      <c r="P3" s="5478"/>
    </row>
    <row r="4" spans="1:17" ht="0.75" customHeight="1">
      <c r="A4" s="57"/>
      <c r="B4" s="57"/>
      <c r="C4" s="58"/>
      <c r="D4" s="59"/>
      <c r="E4" s="59"/>
      <c r="F4" s="59"/>
      <c r="G4" s="59"/>
      <c r="H4" s="59"/>
      <c r="I4" s="59"/>
      <c r="J4" s="59"/>
      <c r="K4" s="59"/>
      <c r="L4" s="59"/>
      <c r="M4" s="59"/>
      <c r="N4" s="59"/>
      <c r="O4" s="60"/>
      <c r="P4" s="59"/>
    </row>
    <row r="5" spans="1:17" ht="0.75" customHeight="1">
      <c r="A5" s="5469" t="s">
        <v>216</v>
      </c>
      <c r="B5" s="5470"/>
      <c r="C5" s="5470"/>
      <c r="D5" s="5470"/>
      <c r="E5" s="5470"/>
      <c r="F5" s="5470"/>
      <c r="G5" s="5470"/>
      <c r="H5" s="5470"/>
      <c r="I5" s="5470"/>
      <c r="J5" s="5470"/>
      <c r="K5" s="5470"/>
      <c r="L5" s="5470"/>
      <c r="M5" s="5470"/>
      <c r="N5" s="5470"/>
      <c r="O5" s="5470"/>
      <c r="P5" s="5471"/>
      <c r="Q5" s="61"/>
    </row>
    <row r="6" spans="1:17" ht="0.75" customHeight="1">
      <c r="A6" s="62" t="s">
        <v>217</v>
      </c>
      <c r="B6" s="351"/>
      <c r="C6" s="63" t="s">
        <v>218</v>
      </c>
      <c r="D6" s="63" t="s">
        <v>207</v>
      </c>
      <c r="E6" s="63" t="s">
        <v>208</v>
      </c>
      <c r="F6" s="63" t="s">
        <v>219</v>
      </c>
      <c r="G6" s="63" t="s">
        <v>209</v>
      </c>
      <c r="H6" s="63" t="s">
        <v>210</v>
      </c>
      <c r="I6" s="63" t="s">
        <v>220</v>
      </c>
      <c r="J6" s="63" t="s">
        <v>221</v>
      </c>
      <c r="K6" s="63" t="s">
        <v>211</v>
      </c>
      <c r="L6" s="63" t="s">
        <v>212</v>
      </c>
      <c r="M6" s="63" t="s">
        <v>213</v>
      </c>
      <c r="N6" s="63" t="s">
        <v>222</v>
      </c>
      <c r="O6" s="63" t="s">
        <v>223</v>
      </c>
      <c r="P6" s="64" t="s">
        <v>151</v>
      </c>
    </row>
    <row r="7" spans="1:17" ht="0.75" customHeight="1">
      <c r="A7" s="65" t="s">
        <v>224</v>
      </c>
      <c r="B7" s="352"/>
      <c r="C7" s="66">
        <f>42509+457</f>
        <v>42966</v>
      </c>
      <c r="D7" s="66">
        <f>35149+457</f>
        <v>35606</v>
      </c>
      <c r="E7" s="66">
        <f>39152+457</f>
        <v>39609</v>
      </c>
      <c r="F7" s="66">
        <f>37370+457</f>
        <v>37827</v>
      </c>
      <c r="G7" s="66">
        <f>40803+457</f>
        <v>41260</v>
      </c>
      <c r="H7" s="66">
        <f>49461+457</f>
        <v>49918</v>
      </c>
      <c r="I7" s="66">
        <f>56056+457</f>
        <v>56513</v>
      </c>
      <c r="J7" s="66">
        <f>56841+457</f>
        <v>57298</v>
      </c>
      <c r="K7" s="66">
        <f>45964+457</f>
        <v>46421</v>
      </c>
      <c r="L7" s="66">
        <f>40309+457</f>
        <v>40766</v>
      </c>
      <c r="M7" s="67">
        <f>45354+457</f>
        <v>45811</v>
      </c>
      <c r="N7" s="67">
        <f>47845+455</f>
        <v>48300</v>
      </c>
      <c r="O7" s="60">
        <f>AVERAGE(C7:N7)</f>
        <v>45191.25</v>
      </c>
      <c r="P7" s="68">
        <f>SUM(C7:N7)</f>
        <v>542295</v>
      </c>
      <c r="Q7" s="61"/>
    </row>
    <row r="8" spans="1:17" ht="0.75" customHeight="1" thickBot="1">
      <c r="A8" s="65" t="s">
        <v>225</v>
      </c>
      <c r="B8" s="352"/>
      <c r="C8" s="66">
        <f>56641+4079</f>
        <v>60720</v>
      </c>
      <c r="D8" s="66">
        <f>52309+4079</f>
        <v>56388</v>
      </c>
      <c r="E8" s="66">
        <f>51788+4078</f>
        <v>55866</v>
      </c>
      <c r="F8" s="66">
        <f>55102+4078</f>
        <v>59180</v>
      </c>
      <c r="G8" s="66">
        <f>62167+4078</f>
        <v>66245</v>
      </c>
      <c r="H8" s="66">
        <f>59655+4079</f>
        <v>63734</v>
      </c>
      <c r="I8" s="66">
        <f>68466+4079</f>
        <v>72545</v>
      </c>
      <c r="J8" s="66">
        <f>68496+4079</f>
        <v>72575</v>
      </c>
      <c r="K8" s="66">
        <f>60585+4078</f>
        <v>64663</v>
      </c>
      <c r="L8" s="66">
        <f>63823+4078</f>
        <v>67901</v>
      </c>
      <c r="M8" s="67">
        <f>62420+4078</f>
        <v>66498</v>
      </c>
      <c r="N8" s="67">
        <f>62050+4078</f>
        <v>66128</v>
      </c>
      <c r="O8" s="60">
        <f>AVERAGE(C8:N8)</f>
        <v>64370.25</v>
      </c>
      <c r="P8" s="68">
        <f>SUM(C8:N8)</f>
        <v>772443</v>
      </c>
      <c r="Q8" s="61"/>
    </row>
    <row r="9" spans="1:17" ht="0.75" customHeight="1" thickBot="1">
      <c r="A9" s="69" t="s">
        <v>226</v>
      </c>
      <c r="B9" s="353"/>
      <c r="C9" s="70">
        <f t="shared" ref="C9:N9" si="0">SUM(C7:C8)</f>
        <v>103686</v>
      </c>
      <c r="D9" s="70">
        <f t="shared" si="0"/>
        <v>91994</v>
      </c>
      <c r="E9" s="70">
        <f t="shared" si="0"/>
        <v>95475</v>
      </c>
      <c r="F9" s="70">
        <f t="shared" si="0"/>
        <v>97007</v>
      </c>
      <c r="G9" s="70">
        <f t="shared" si="0"/>
        <v>107505</v>
      </c>
      <c r="H9" s="71">
        <f t="shared" si="0"/>
        <v>113652</v>
      </c>
      <c r="I9" s="71">
        <f t="shared" si="0"/>
        <v>129058</v>
      </c>
      <c r="J9" s="71">
        <f t="shared" si="0"/>
        <v>129873</v>
      </c>
      <c r="K9" s="71">
        <f t="shared" si="0"/>
        <v>111084</v>
      </c>
      <c r="L9" s="71">
        <f t="shared" si="0"/>
        <v>108667</v>
      </c>
      <c r="M9" s="71">
        <f t="shared" si="0"/>
        <v>112309</v>
      </c>
      <c r="N9" s="71">
        <f t="shared" si="0"/>
        <v>114428</v>
      </c>
      <c r="O9" s="70">
        <f>AVERAGE(C9:N9)</f>
        <v>109561.5</v>
      </c>
      <c r="P9" s="72">
        <f>+P8+P7</f>
        <v>1314738</v>
      </c>
      <c r="Q9" s="61"/>
    </row>
    <row r="10" spans="1:17" ht="0.75" customHeight="1">
      <c r="A10" s="57"/>
      <c r="B10" s="57"/>
      <c r="C10" s="60"/>
      <c r="D10" s="60"/>
      <c r="E10" s="60"/>
      <c r="F10" s="60"/>
      <c r="G10" s="60"/>
      <c r="H10" s="73"/>
      <c r="I10" s="73"/>
      <c r="J10" s="73"/>
      <c r="K10" s="73"/>
      <c r="L10" s="73"/>
      <c r="M10" s="73"/>
      <c r="N10" s="73"/>
      <c r="O10" s="60"/>
      <c r="P10" s="59"/>
      <c r="Q10" s="61"/>
    </row>
    <row r="11" spans="1:17" ht="0.75" customHeight="1">
      <c r="A11" s="57"/>
      <c r="B11" s="57"/>
      <c r="C11" s="60"/>
      <c r="D11" s="60"/>
      <c r="E11" s="60"/>
      <c r="F11" s="60"/>
      <c r="G11" s="60"/>
      <c r="H11" s="73"/>
      <c r="I11" s="73"/>
      <c r="J11" s="73"/>
      <c r="K11" s="73"/>
      <c r="L11" s="73"/>
      <c r="M11" s="73"/>
      <c r="N11" s="73"/>
      <c r="O11" s="60"/>
      <c r="P11" s="59"/>
      <c r="Q11" s="61"/>
    </row>
    <row r="12" spans="1:17" ht="0.75" customHeight="1">
      <c r="A12" s="57"/>
      <c r="B12" s="57"/>
      <c r="C12" s="60"/>
      <c r="D12" s="60"/>
      <c r="E12" s="60"/>
      <c r="F12" s="60"/>
      <c r="G12" s="60"/>
      <c r="H12" s="73"/>
      <c r="I12" s="73"/>
      <c r="J12" s="73"/>
      <c r="K12" s="73"/>
      <c r="L12" s="73"/>
      <c r="M12" s="73"/>
      <c r="N12" s="73"/>
      <c r="O12" s="60"/>
      <c r="P12" s="59"/>
      <c r="Q12" s="61"/>
    </row>
    <row r="13" spans="1:17" ht="0.75" customHeight="1">
      <c r="A13" s="5469" t="s">
        <v>227</v>
      </c>
      <c r="B13" s="5470"/>
      <c r="C13" s="5470"/>
      <c r="D13" s="5470"/>
      <c r="E13" s="5470"/>
      <c r="F13" s="5470"/>
      <c r="G13" s="5470"/>
      <c r="H13" s="5470"/>
      <c r="I13" s="5470"/>
      <c r="J13" s="5470"/>
      <c r="K13" s="5470"/>
      <c r="L13" s="5470"/>
      <c r="M13" s="5470"/>
      <c r="N13" s="5470"/>
      <c r="O13" s="5470"/>
      <c r="P13" s="5471"/>
      <c r="Q13" s="61"/>
    </row>
    <row r="14" spans="1:17" ht="0.75" customHeight="1">
      <c r="A14" s="62" t="s">
        <v>217</v>
      </c>
      <c r="B14" s="351"/>
      <c r="C14" s="63" t="s">
        <v>218</v>
      </c>
      <c r="D14" s="63" t="s">
        <v>207</v>
      </c>
      <c r="E14" s="63" t="s">
        <v>208</v>
      </c>
      <c r="F14" s="63" t="s">
        <v>219</v>
      </c>
      <c r="G14" s="63" t="s">
        <v>209</v>
      </c>
      <c r="H14" s="63" t="s">
        <v>210</v>
      </c>
      <c r="I14" s="63" t="s">
        <v>220</v>
      </c>
      <c r="J14" s="63" t="s">
        <v>221</v>
      </c>
      <c r="K14" s="63" t="s">
        <v>211</v>
      </c>
      <c r="L14" s="63" t="s">
        <v>212</v>
      </c>
      <c r="M14" s="63" t="s">
        <v>213</v>
      </c>
      <c r="N14" s="63" t="s">
        <v>222</v>
      </c>
      <c r="O14" s="63" t="s">
        <v>223</v>
      </c>
      <c r="P14" s="64" t="s">
        <v>151</v>
      </c>
    </row>
    <row r="15" spans="1:17" ht="0.75" customHeight="1">
      <c r="A15" s="65" t="s">
        <v>224</v>
      </c>
      <c r="B15" s="352"/>
      <c r="C15" s="74">
        <f>43679+351</f>
        <v>44030</v>
      </c>
      <c r="D15" s="74">
        <f>42565+351</f>
        <v>42916</v>
      </c>
      <c r="E15" s="75">
        <f>40495+351</f>
        <v>40846</v>
      </c>
      <c r="F15" s="75">
        <f>41820+351</f>
        <v>42171</v>
      </c>
      <c r="G15" s="76">
        <f>43297+351</f>
        <v>43648</v>
      </c>
      <c r="H15" s="76">
        <f>50112+351</f>
        <v>50463</v>
      </c>
      <c r="I15" s="76">
        <f>59269+351</f>
        <v>59620</v>
      </c>
      <c r="J15" s="76">
        <f>57304+351</f>
        <v>57655</v>
      </c>
      <c r="K15" s="76">
        <f>45078+351</f>
        <v>45429</v>
      </c>
      <c r="L15" s="76">
        <f>48780+351</f>
        <v>49131</v>
      </c>
      <c r="M15" s="76">
        <f>50726+351</f>
        <v>51077</v>
      </c>
      <c r="N15" s="76">
        <f>54427+346</f>
        <v>54773</v>
      </c>
      <c r="O15" s="60">
        <f>AVERAGE(C15:N15)</f>
        <v>48479.916666666664</v>
      </c>
      <c r="P15" s="68">
        <f>SUM(C15:N15)</f>
        <v>581759</v>
      </c>
    </row>
    <row r="16" spans="1:17" ht="0.75" customHeight="1" thickBot="1">
      <c r="A16" s="65" t="s">
        <v>225</v>
      </c>
      <c r="B16" s="352"/>
      <c r="C16" s="74">
        <f>60676+4782</f>
        <v>65458</v>
      </c>
      <c r="D16" s="74">
        <f>58004+4782</f>
        <v>62786</v>
      </c>
      <c r="E16" s="74">
        <f>67974+4782</f>
        <v>72756</v>
      </c>
      <c r="F16" s="74">
        <f>63549+4782</f>
        <v>68331</v>
      </c>
      <c r="G16" s="76">
        <f>65000+4782</f>
        <v>69782</v>
      </c>
      <c r="H16" s="76">
        <f>66302+4782</f>
        <v>71084</v>
      </c>
      <c r="I16" s="76">
        <f>74934+4782</f>
        <v>79716</v>
      </c>
      <c r="J16" s="76">
        <f>74992+4782</f>
        <v>79774</v>
      </c>
      <c r="K16" s="76">
        <f>65943+4782</f>
        <v>70725</v>
      </c>
      <c r="L16" s="76">
        <f>69356+4782</f>
        <v>74138</v>
      </c>
      <c r="M16" s="76">
        <f>67825+4782</f>
        <v>72607</v>
      </c>
      <c r="N16" s="76">
        <f>71685+4781</f>
        <v>76466</v>
      </c>
      <c r="O16" s="60">
        <f>AVERAGE(C16:N16)</f>
        <v>71968.583333333328</v>
      </c>
      <c r="P16" s="68">
        <f>SUM(C16:N16)</f>
        <v>863623</v>
      </c>
    </row>
    <row r="17" spans="1:17" ht="0.75" customHeight="1" thickBot="1">
      <c r="A17" s="69" t="s">
        <v>228</v>
      </c>
      <c r="B17" s="353"/>
      <c r="C17" s="77">
        <f>SUM(C15:C16)</f>
        <v>109488</v>
      </c>
      <c r="D17" s="77">
        <f t="shared" ref="D17:N17" si="1">SUM(D15:D16)</f>
        <v>105702</v>
      </c>
      <c r="E17" s="77">
        <f t="shared" si="1"/>
        <v>113602</v>
      </c>
      <c r="F17" s="77">
        <f t="shared" si="1"/>
        <v>110502</v>
      </c>
      <c r="G17" s="77">
        <f t="shared" si="1"/>
        <v>113430</v>
      </c>
      <c r="H17" s="77">
        <f t="shared" si="1"/>
        <v>121547</v>
      </c>
      <c r="I17" s="77">
        <f t="shared" si="1"/>
        <v>139336</v>
      </c>
      <c r="J17" s="77">
        <f t="shared" si="1"/>
        <v>137429</v>
      </c>
      <c r="K17" s="77">
        <f t="shared" si="1"/>
        <v>116154</v>
      </c>
      <c r="L17" s="77">
        <f t="shared" si="1"/>
        <v>123269</v>
      </c>
      <c r="M17" s="77">
        <f t="shared" si="1"/>
        <v>123684</v>
      </c>
      <c r="N17" s="77">
        <f t="shared" si="1"/>
        <v>131239</v>
      </c>
      <c r="O17" s="70">
        <f>AVERAGE(C17:N17)</f>
        <v>120448.5</v>
      </c>
      <c r="P17" s="78">
        <f>SUM(C17:N17)</f>
        <v>1445382</v>
      </c>
    </row>
    <row r="18" spans="1:17" ht="0.75" customHeight="1">
      <c r="A18" s="57"/>
      <c r="B18" s="57"/>
      <c r="C18" s="79"/>
      <c r="D18" s="79"/>
      <c r="E18" s="79"/>
      <c r="F18" s="79"/>
      <c r="G18" s="79"/>
      <c r="H18" s="79"/>
      <c r="I18" s="79"/>
      <c r="J18" s="79"/>
      <c r="K18" s="79"/>
      <c r="L18" s="79"/>
      <c r="M18" s="79"/>
      <c r="N18" s="79"/>
      <c r="O18" s="60"/>
      <c r="P18" s="60"/>
    </row>
    <row r="19" spans="1:17" ht="0.75" customHeight="1">
      <c r="A19" s="80" t="s">
        <v>229</v>
      </c>
      <c r="B19" s="80"/>
      <c r="C19" s="81"/>
      <c r="D19" s="81"/>
      <c r="E19" s="81"/>
      <c r="F19" s="81"/>
      <c r="G19" s="81"/>
      <c r="H19" s="81"/>
      <c r="I19" s="81"/>
      <c r="J19" s="81"/>
      <c r="K19" s="81"/>
      <c r="L19" s="81"/>
      <c r="M19" s="81"/>
      <c r="N19" s="81"/>
      <c r="O19" s="82"/>
      <c r="P19" s="82"/>
    </row>
    <row r="20" spans="1:17" ht="0.75" customHeight="1">
      <c r="A20" s="83" t="s">
        <v>224</v>
      </c>
      <c r="B20" s="83"/>
      <c r="C20" s="84">
        <f t="shared" ref="C20:N22" si="2">SUM(C15/C7-1)</f>
        <v>2.4763766699250622E-2</v>
      </c>
      <c r="D20" s="84">
        <f t="shared" si="2"/>
        <v>0.20530247711059935</v>
      </c>
      <c r="E20" s="84">
        <f t="shared" si="2"/>
        <v>3.1230275947385699E-2</v>
      </c>
      <c r="F20" s="84">
        <f t="shared" si="2"/>
        <v>0.11483860734396067</v>
      </c>
      <c r="G20" s="84">
        <f t="shared" si="2"/>
        <v>5.7876878332525417E-2</v>
      </c>
      <c r="H20" s="84">
        <f t="shared" si="2"/>
        <v>1.0917905364798308E-2</v>
      </c>
      <c r="I20" s="84">
        <f>SUM(I15/I7-1)</f>
        <v>5.4978500522003815E-2</v>
      </c>
      <c r="J20" s="84">
        <f t="shared" si="2"/>
        <v>6.2305839645362404E-3</v>
      </c>
      <c r="K20" s="84">
        <f t="shared" si="2"/>
        <v>-2.1369638741086994E-2</v>
      </c>
      <c r="L20" s="84">
        <f t="shared" si="2"/>
        <v>0.20519550605897074</v>
      </c>
      <c r="M20" s="84">
        <f t="shared" si="2"/>
        <v>0.11495055772631035</v>
      </c>
      <c r="N20" s="84">
        <f t="shared" si="2"/>
        <v>0.13401656314699784</v>
      </c>
      <c r="O20" s="85"/>
      <c r="P20" s="84">
        <f>SUM(P15/P7-1)</f>
        <v>7.2772199633041046E-2</v>
      </c>
    </row>
    <row r="21" spans="1:17" ht="0.75" customHeight="1">
      <c r="A21" s="83" t="s">
        <v>225</v>
      </c>
      <c r="B21" s="83"/>
      <c r="C21" s="84">
        <f t="shared" si="2"/>
        <v>7.8030303030303116E-2</v>
      </c>
      <c r="D21" s="84">
        <f t="shared" si="2"/>
        <v>0.11346385755834576</v>
      </c>
      <c r="E21" s="84">
        <f t="shared" si="2"/>
        <v>0.30233057673719266</v>
      </c>
      <c r="F21" s="84">
        <f t="shared" si="2"/>
        <v>0.15462994254815809</v>
      </c>
      <c r="G21" s="84">
        <f t="shared" si="2"/>
        <v>5.339270888368941E-2</v>
      </c>
      <c r="H21" s="84">
        <f t="shared" si="2"/>
        <v>0.11532306147425242</v>
      </c>
      <c r="I21" s="84">
        <f>SUM(I16/I8-1)</f>
        <v>9.8848990281894089E-2</v>
      </c>
      <c r="J21" s="84">
        <f t="shared" si="2"/>
        <v>9.9193937306234936E-2</v>
      </c>
      <c r="K21" s="84">
        <f t="shared" si="2"/>
        <v>9.3747583625875652E-2</v>
      </c>
      <c r="L21" s="84">
        <f t="shared" si="2"/>
        <v>9.1854317314914447E-2</v>
      </c>
      <c r="M21" s="84">
        <f t="shared" si="2"/>
        <v>9.1867424584197943E-2</v>
      </c>
      <c r="N21" s="84">
        <f t="shared" si="2"/>
        <v>0.15633317203000252</v>
      </c>
      <c r="O21" s="85"/>
      <c r="P21" s="84">
        <f>SUM(P16/P8-1)</f>
        <v>0.11804107228623995</v>
      </c>
    </row>
    <row r="22" spans="1:17" ht="0.75" customHeight="1">
      <c r="A22" s="86" t="s">
        <v>151</v>
      </c>
      <c r="B22" s="86"/>
      <c r="C22" s="84">
        <f t="shared" si="2"/>
        <v>5.5957409872113839E-2</v>
      </c>
      <c r="D22" s="84">
        <f t="shared" si="2"/>
        <v>0.14900971802508867</v>
      </c>
      <c r="E22" s="84">
        <f t="shared" si="2"/>
        <v>0.18986122021471585</v>
      </c>
      <c r="F22" s="84">
        <f t="shared" si="2"/>
        <v>0.13911367220922211</v>
      </c>
      <c r="G22" s="84">
        <f t="shared" si="2"/>
        <v>5.5113715641132988E-2</v>
      </c>
      <c r="H22" s="84">
        <f t="shared" si="2"/>
        <v>6.9466441417660896E-2</v>
      </c>
      <c r="I22" s="84">
        <f>SUM(I17/I9-1)</f>
        <v>7.9638612096886607E-2</v>
      </c>
      <c r="J22" s="84">
        <f t="shared" si="2"/>
        <v>5.8179914223895679E-2</v>
      </c>
      <c r="K22" s="84">
        <f t="shared" si="2"/>
        <v>4.5641136437290619E-2</v>
      </c>
      <c r="L22" s="84">
        <f t="shared" si="2"/>
        <v>0.13437382093919958</v>
      </c>
      <c r="M22" s="84">
        <f t="shared" si="2"/>
        <v>0.10128306725195668</v>
      </c>
      <c r="N22" s="84">
        <f t="shared" si="2"/>
        <v>0.1469133428881042</v>
      </c>
      <c r="O22" s="85"/>
      <c r="P22" s="84">
        <f>SUM(P17/P9-1)</f>
        <v>9.9368847633520829E-2</v>
      </c>
    </row>
    <row r="23" spans="1:17" ht="0.75" customHeight="1">
      <c r="A23" s="57"/>
      <c r="B23" s="57"/>
      <c r="C23" s="79"/>
      <c r="D23" s="79"/>
      <c r="E23" s="79"/>
      <c r="F23" s="79"/>
      <c r="G23" s="79"/>
      <c r="H23" s="79"/>
      <c r="I23" s="79"/>
      <c r="J23" s="79"/>
      <c r="K23" s="79"/>
      <c r="L23" s="79"/>
      <c r="M23" s="79"/>
      <c r="N23" s="79"/>
      <c r="O23" s="60"/>
      <c r="P23" s="60"/>
    </row>
    <row r="24" spans="1:17" ht="0.75" customHeight="1">
      <c r="A24" s="57"/>
      <c r="B24" s="57"/>
      <c r="C24" s="79"/>
      <c r="D24" s="79"/>
      <c r="E24" s="79"/>
      <c r="F24" s="79"/>
      <c r="G24" s="79"/>
      <c r="H24" s="79"/>
      <c r="I24" s="79"/>
      <c r="J24" s="79"/>
      <c r="K24" s="79"/>
      <c r="L24" s="79"/>
      <c r="M24" s="79"/>
      <c r="N24" s="79"/>
      <c r="O24" s="60"/>
      <c r="P24" s="60"/>
    </row>
    <row r="25" spans="1:17" ht="0.75" customHeight="1">
      <c r="A25" s="5469" t="s">
        <v>230</v>
      </c>
      <c r="B25" s="5470"/>
      <c r="C25" s="5470"/>
      <c r="D25" s="5470"/>
      <c r="E25" s="5470"/>
      <c r="F25" s="5470"/>
      <c r="G25" s="5470"/>
      <c r="H25" s="5470"/>
      <c r="I25" s="5470"/>
      <c r="J25" s="5470"/>
      <c r="K25" s="5470"/>
      <c r="L25" s="5470"/>
      <c r="M25" s="5470"/>
      <c r="N25" s="5470"/>
      <c r="O25" s="5470"/>
      <c r="P25" s="5471"/>
      <c r="Q25" s="61"/>
    </row>
    <row r="26" spans="1:17" ht="0.75" customHeight="1">
      <c r="A26" s="62" t="s">
        <v>217</v>
      </c>
      <c r="B26" s="351"/>
      <c r="C26" s="63" t="s">
        <v>218</v>
      </c>
      <c r="D26" s="63" t="s">
        <v>207</v>
      </c>
      <c r="E26" s="63" t="s">
        <v>208</v>
      </c>
      <c r="F26" s="63" t="s">
        <v>219</v>
      </c>
      <c r="G26" s="63" t="s">
        <v>209</v>
      </c>
      <c r="H26" s="63" t="s">
        <v>210</v>
      </c>
      <c r="I26" s="63" t="s">
        <v>220</v>
      </c>
      <c r="J26" s="63" t="s">
        <v>221</v>
      </c>
      <c r="K26" s="63" t="s">
        <v>211</v>
      </c>
      <c r="L26" s="63" t="s">
        <v>212</v>
      </c>
      <c r="M26" s="63" t="s">
        <v>213</v>
      </c>
      <c r="N26" s="63" t="s">
        <v>222</v>
      </c>
      <c r="O26" s="63" t="s">
        <v>223</v>
      </c>
      <c r="P26" s="64" t="s">
        <v>151</v>
      </c>
    </row>
    <row r="27" spans="1:17" ht="0.75" customHeight="1">
      <c r="A27" s="65" t="s">
        <v>224</v>
      </c>
      <c r="B27" s="352"/>
      <c r="C27" s="74">
        <f>50499+1548</f>
        <v>52047</v>
      </c>
      <c r="D27" s="74">
        <f>42799+1255</f>
        <v>44054</v>
      </c>
      <c r="E27" s="87">
        <f>47701+2270</f>
        <v>49971</v>
      </c>
      <c r="F27" s="87">
        <f>41004+1802</f>
        <v>42806</v>
      </c>
      <c r="G27" s="87">
        <f>45376+3428</f>
        <v>48804</v>
      </c>
      <c r="H27" s="75">
        <f>55764</f>
        <v>55764</v>
      </c>
      <c r="I27" s="87">
        <f>68086+696</f>
        <v>68782</v>
      </c>
      <c r="J27" s="87">
        <f>65539+643</f>
        <v>66182</v>
      </c>
      <c r="K27" s="87">
        <v>50982</v>
      </c>
      <c r="L27" s="87">
        <f>49388+445</f>
        <v>49833</v>
      </c>
      <c r="M27" s="75">
        <f>49964+588</f>
        <v>50552</v>
      </c>
      <c r="N27" s="88">
        <v>57796</v>
      </c>
      <c r="O27" s="60">
        <f>AVERAGE(C27:N27)</f>
        <v>53131.083333333336</v>
      </c>
      <c r="P27" s="68">
        <f>SUM(C27:N27)</f>
        <v>637573</v>
      </c>
    </row>
    <row r="28" spans="1:17" ht="0.75" customHeight="1">
      <c r="A28" s="65" t="s">
        <v>231</v>
      </c>
      <c r="B28" s="352"/>
      <c r="C28" s="74">
        <v>13407</v>
      </c>
      <c r="D28" s="74">
        <v>14945</v>
      </c>
      <c r="E28" s="87">
        <v>16429</v>
      </c>
      <c r="F28" s="87">
        <v>12949</v>
      </c>
      <c r="G28" s="89">
        <v>12728</v>
      </c>
      <c r="H28" s="76">
        <v>13700</v>
      </c>
      <c r="I28" s="89">
        <v>14326</v>
      </c>
      <c r="J28" s="89">
        <v>13223</v>
      </c>
      <c r="K28" s="89">
        <v>15238</v>
      </c>
      <c r="L28" s="89">
        <v>16037</v>
      </c>
      <c r="M28" s="76">
        <v>16387</v>
      </c>
      <c r="N28" s="90">
        <v>21373</v>
      </c>
      <c r="O28" s="60">
        <f>AVERAGE(C28:N28)</f>
        <v>15061.833333333334</v>
      </c>
      <c r="P28" s="68">
        <f>SUM(C28:N28)</f>
        <v>180742</v>
      </c>
    </row>
    <row r="29" spans="1:17" ht="0.75" customHeight="1" thickBot="1">
      <c r="A29" s="65" t="s">
        <v>225</v>
      </c>
      <c r="B29" s="352"/>
      <c r="C29" s="74">
        <f>70556+7112</f>
        <v>77668</v>
      </c>
      <c r="D29" s="74">
        <f>64111+7428</f>
        <v>71539</v>
      </c>
      <c r="E29" s="74">
        <f>72346+9708</f>
        <v>82054</v>
      </c>
      <c r="F29" s="91">
        <f>66408+5730</f>
        <v>72138</v>
      </c>
      <c r="G29" s="91">
        <f>71492+6804</f>
        <v>78296</v>
      </c>
      <c r="H29" s="74">
        <f>77866+4850</f>
        <v>82716</v>
      </c>
      <c r="I29" s="74">
        <f>70979+7601</f>
        <v>78580</v>
      </c>
      <c r="J29" s="74">
        <f>79454+6277</f>
        <v>85731</v>
      </c>
      <c r="K29" s="74">
        <f>78503+4906</f>
        <v>83409</v>
      </c>
      <c r="L29" s="74">
        <f>79676+5539</f>
        <v>85215</v>
      </c>
      <c r="M29" s="74">
        <v>87739</v>
      </c>
      <c r="N29" s="92">
        <f>82554+6666</f>
        <v>89220</v>
      </c>
      <c r="O29" s="60">
        <f>AVERAGE(C29:N29)</f>
        <v>81192.083333333328</v>
      </c>
      <c r="P29" s="68">
        <f>SUM(C29:N29)</f>
        <v>974305</v>
      </c>
    </row>
    <row r="30" spans="1:17" ht="0.75" customHeight="1" thickBot="1">
      <c r="A30" s="69" t="s">
        <v>232</v>
      </c>
      <c r="B30" s="353"/>
      <c r="C30" s="77">
        <f>SUM(C27+C29)</f>
        <v>129715</v>
      </c>
      <c r="D30" s="77">
        <f t="shared" ref="D30:N30" si="3">SUM(D27+D29)</f>
        <v>115593</v>
      </c>
      <c r="E30" s="77">
        <f t="shared" si="3"/>
        <v>132025</v>
      </c>
      <c r="F30" s="77">
        <f t="shared" si="3"/>
        <v>114944</v>
      </c>
      <c r="G30" s="77">
        <f t="shared" si="3"/>
        <v>127100</v>
      </c>
      <c r="H30" s="77">
        <f t="shared" si="3"/>
        <v>138480</v>
      </c>
      <c r="I30" s="77">
        <f t="shared" si="3"/>
        <v>147362</v>
      </c>
      <c r="J30" s="77">
        <f t="shared" si="3"/>
        <v>151913</v>
      </c>
      <c r="K30" s="77">
        <f t="shared" si="3"/>
        <v>134391</v>
      </c>
      <c r="L30" s="77">
        <f t="shared" si="3"/>
        <v>135048</v>
      </c>
      <c r="M30" s="77">
        <f t="shared" si="3"/>
        <v>138291</v>
      </c>
      <c r="N30" s="77">
        <f t="shared" si="3"/>
        <v>147016</v>
      </c>
      <c r="O30" s="77">
        <f>SUM(O27+O29)</f>
        <v>134323.16666666666</v>
      </c>
      <c r="P30" s="93">
        <f>SUM(P27+P29)</f>
        <v>1611878</v>
      </c>
    </row>
    <row r="31" spans="1:17" ht="0.75" customHeight="1"/>
    <row r="32" spans="1:17" ht="0.75" customHeight="1">
      <c r="A32" s="80" t="s">
        <v>233</v>
      </c>
      <c r="B32" s="80"/>
      <c r="C32" s="94"/>
      <c r="D32" s="94"/>
      <c r="E32" s="94"/>
      <c r="F32" s="94"/>
      <c r="G32" s="94"/>
      <c r="H32" s="94"/>
      <c r="I32" s="94"/>
      <c r="J32" s="94"/>
      <c r="K32" s="94"/>
      <c r="L32" s="94"/>
      <c r="M32" s="94"/>
      <c r="N32" s="94"/>
      <c r="O32" s="82"/>
      <c r="P32" s="94"/>
    </row>
    <row r="33" spans="1:17" ht="0.75" customHeight="1">
      <c r="A33" s="83" t="s">
        <v>224</v>
      </c>
      <c r="B33" s="83"/>
      <c r="C33" s="95">
        <f t="shared" ref="C33:N33" si="4">SUM(C27/C15-1)</f>
        <v>0.18208039972745849</v>
      </c>
      <c r="D33" s="95">
        <f t="shared" si="4"/>
        <v>2.651691676763912E-2</v>
      </c>
      <c r="E33" s="95">
        <f t="shared" si="4"/>
        <v>0.22340008813592527</v>
      </c>
      <c r="F33" s="95">
        <f t="shared" si="4"/>
        <v>1.5057741101704991E-2</v>
      </c>
      <c r="G33" s="95">
        <f t="shared" si="4"/>
        <v>0.11812683284457481</v>
      </c>
      <c r="H33" s="95">
        <f t="shared" si="4"/>
        <v>0.10504726235063311</v>
      </c>
      <c r="I33" s="95">
        <f>SUM(I27/I15-1)</f>
        <v>0.15367326400536729</v>
      </c>
      <c r="J33" s="95">
        <f t="shared" si="4"/>
        <v>0.14789697337611662</v>
      </c>
      <c r="K33" s="95">
        <f t="shared" si="4"/>
        <v>0.12223469589909519</v>
      </c>
      <c r="L33" s="95">
        <f t="shared" si="4"/>
        <v>1.4288331196189885E-2</v>
      </c>
      <c r="M33" s="95">
        <f t="shared" si="4"/>
        <v>-1.0278598978013642E-2</v>
      </c>
      <c r="N33" s="95">
        <f t="shared" si="4"/>
        <v>5.5191426432731561E-2</v>
      </c>
      <c r="O33" s="85"/>
      <c r="P33" s="95">
        <f>SUM(P27/P15-1)</f>
        <v>9.5940071404138072E-2</v>
      </c>
    </row>
    <row r="34" spans="1:17" ht="0.75" customHeight="1">
      <c r="A34" s="83" t="s">
        <v>225</v>
      </c>
      <c r="B34" s="83"/>
      <c r="C34" s="95">
        <f t="shared" ref="C34:N35" si="5">SUM(C29/C16-1)</f>
        <v>0.18653182193162032</v>
      </c>
      <c r="D34" s="95">
        <f t="shared" si="5"/>
        <v>0.13941005956741948</v>
      </c>
      <c r="E34" s="95">
        <f t="shared" si="5"/>
        <v>0.12779702017702999</v>
      </c>
      <c r="F34" s="95">
        <f t="shared" si="5"/>
        <v>5.5714097554550701E-2</v>
      </c>
      <c r="G34" s="95">
        <f t="shared" si="5"/>
        <v>0.12200854088446866</v>
      </c>
      <c r="H34" s="95">
        <f t="shared" si="5"/>
        <v>0.16363738675369977</v>
      </c>
      <c r="I34" s="95">
        <f>SUM(I29/I16-1)</f>
        <v>-1.4250589593055363E-2</v>
      </c>
      <c r="J34" s="95">
        <f t="shared" si="5"/>
        <v>7.4673452503321913E-2</v>
      </c>
      <c r="K34" s="95">
        <f t="shared" si="5"/>
        <v>0.17934252386002125</v>
      </c>
      <c r="L34" s="95">
        <f t="shared" si="5"/>
        <v>0.14941055868785247</v>
      </c>
      <c r="M34" s="95">
        <f t="shared" si="5"/>
        <v>0.20840965747104279</v>
      </c>
      <c r="N34" s="95">
        <f t="shared" si="5"/>
        <v>0.16679308450814734</v>
      </c>
      <c r="O34" s="85"/>
      <c r="P34" s="95">
        <f>SUM(P29/P16-1)</f>
        <v>0.12816008837189385</v>
      </c>
    </row>
    <row r="35" spans="1:17" ht="0.75" customHeight="1">
      <c r="A35" s="86" t="s">
        <v>151</v>
      </c>
      <c r="B35" s="86"/>
      <c r="C35" s="95">
        <f t="shared" si="5"/>
        <v>0.18474170685371916</v>
      </c>
      <c r="D35" s="95">
        <f t="shared" si="5"/>
        <v>9.3574388374865203E-2</v>
      </c>
      <c r="E35" s="95">
        <f t="shared" si="5"/>
        <v>0.16217144064365074</v>
      </c>
      <c r="F35" s="95">
        <f t="shared" si="5"/>
        <v>4.0198367450362982E-2</v>
      </c>
      <c r="G35" s="95">
        <f t="shared" si="5"/>
        <v>0.1205148549766375</v>
      </c>
      <c r="H35" s="95">
        <f t="shared" si="5"/>
        <v>0.13931236476424758</v>
      </c>
      <c r="I35" s="95">
        <f>SUM(I30/I17-1)</f>
        <v>5.7601768387207875E-2</v>
      </c>
      <c r="J35" s="95">
        <f t="shared" si="5"/>
        <v>0.10539260272577122</v>
      </c>
      <c r="K35" s="95">
        <f t="shared" si="5"/>
        <v>0.1570070768118188</v>
      </c>
      <c r="L35" s="95">
        <f t="shared" si="5"/>
        <v>9.5555249089389838E-2</v>
      </c>
      <c r="M35" s="95">
        <f t="shared" si="5"/>
        <v>0.1180993499563403</v>
      </c>
      <c r="N35" s="95">
        <f t="shared" si="5"/>
        <v>0.12021578951378786</v>
      </c>
      <c r="O35" s="85"/>
      <c r="P35" s="95">
        <f>SUM(P30/P17-1)</f>
        <v>0.11519169326863077</v>
      </c>
    </row>
    <row r="36" spans="1:17" ht="0.75" customHeight="1"/>
    <row r="37" spans="1:17" ht="0.75" customHeight="1"/>
    <row r="38" spans="1:17" ht="0.75" customHeight="1">
      <c r="A38" s="5469" t="s">
        <v>234</v>
      </c>
      <c r="B38" s="5470"/>
      <c r="C38" s="5470"/>
      <c r="D38" s="5470"/>
      <c r="E38" s="5470"/>
      <c r="F38" s="5470"/>
      <c r="G38" s="5470"/>
      <c r="H38" s="5470"/>
      <c r="I38" s="5470"/>
      <c r="J38" s="5470"/>
      <c r="K38" s="5470"/>
      <c r="L38" s="5470"/>
      <c r="M38" s="5470"/>
      <c r="N38" s="5470"/>
      <c r="O38" s="5470"/>
      <c r="P38" s="5471"/>
      <c r="Q38" s="61"/>
    </row>
    <row r="39" spans="1:17" ht="0.75" customHeight="1">
      <c r="A39" s="62" t="s">
        <v>217</v>
      </c>
      <c r="B39" s="351"/>
      <c r="C39" s="63" t="s">
        <v>218</v>
      </c>
      <c r="D39" s="63" t="s">
        <v>207</v>
      </c>
      <c r="E39" s="63" t="s">
        <v>208</v>
      </c>
      <c r="F39" s="63" t="s">
        <v>219</v>
      </c>
      <c r="G39" s="63" t="s">
        <v>209</v>
      </c>
      <c r="H39" s="63" t="s">
        <v>210</v>
      </c>
      <c r="I39" s="63" t="s">
        <v>220</v>
      </c>
      <c r="J39" s="63" t="s">
        <v>221</v>
      </c>
      <c r="K39" s="63" t="s">
        <v>211</v>
      </c>
      <c r="L39" s="63" t="s">
        <v>212</v>
      </c>
      <c r="M39" s="63" t="s">
        <v>213</v>
      </c>
      <c r="N39" s="63" t="s">
        <v>222</v>
      </c>
      <c r="O39" s="63" t="s">
        <v>223</v>
      </c>
      <c r="P39" s="64" t="s">
        <v>151</v>
      </c>
    </row>
    <row r="40" spans="1:17" ht="0.75" customHeight="1">
      <c r="A40" s="65" t="s">
        <v>224</v>
      </c>
      <c r="B40" s="352"/>
      <c r="C40" s="74">
        <v>52660</v>
      </c>
      <c r="D40" s="74">
        <v>49163</v>
      </c>
      <c r="E40" s="74">
        <f>554+48426</f>
        <v>48980</v>
      </c>
      <c r="F40" s="74">
        <v>47900</v>
      </c>
      <c r="G40" s="74">
        <v>48075</v>
      </c>
      <c r="H40" s="74">
        <v>59405</v>
      </c>
      <c r="I40" s="74">
        <v>73357</v>
      </c>
      <c r="J40" s="74">
        <v>70796</v>
      </c>
      <c r="K40" s="74">
        <v>54319</v>
      </c>
      <c r="L40" s="74">
        <v>53907</v>
      </c>
      <c r="M40" s="74">
        <f>55960+1763</f>
        <v>57723</v>
      </c>
      <c r="N40" s="74">
        <f>61406+2187</f>
        <v>63593</v>
      </c>
      <c r="O40" s="60">
        <f>AVERAGE(C40:N40)</f>
        <v>56656.5</v>
      </c>
      <c r="P40" s="68">
        <f>SUM(C40:N40)</f>
        <v>679878</v>
      </c>
    </row>
    <row r="41" spans="1:17" ht="0.75" customHeight="1">
      <c r="A41" s="65" t="s">
        <v>231</v>
      </c>
      <c r="B41" s="352"/>
      <c r="C41" s="74">
        <v>21094</v>
      </c>
      <c r="D41" s="74">
        <v>17942</v>
      </c>
      <c r="E41" s="74">
        <v>19384</v>
      </c>
      <c r="F41" s="74">
        <v>16318</v>
      </c>
      <c r="G41" s="74">
        <v>14062</v>
      </c>
      <c r="H41" s="74">
        <v>15094</v>
      </c>
      <c r="I41" s="74">
        <v>16180</v>
      </c>
      <c r="J41" s="74">
        <v>14313</v>
      </c>
      <c r="K41" s="74">
        <v>12107</v>
      </c>
      <c r="L41" s="74">
        <v>14211</v>
      </c>
      <c r="M41" s="74">
        <v>15319</v>
      </c>
      <c r="N41" s="74">
        <v>20792</v>
      </c>
      <c r="O41" s="60">
        <f>AVERAGE(C41:N41)</f>
        <v>16401.333333333332</v>
      </c>
      <c r="P41" s="68">
        <f>SUM(C41:N41)</f>
        <v>196816</v>
      </c>
    </row>
    <row r="42" spans="1:17" ht="25.8" customHeight="1" thickBot="1">
      <c r="A42" s="65" t="s">
        <v>225</v>
      </c>
      <c r="B42" s="352"/>
      <c r="C42" s="74">
        <v>90281</v>
      </c>
      <c r="D42" s="74">
        <v>80848</v>
      </c>
      <c r="E42" s="74">
        <v>97554</v>
      </c>
      <c r="F42" s="74">
        <v>90948</v>
      </c>
      <c r="G42" s="74">
        <v>98614</v>
      </c>
      <c r="H42" s="74">
        <v>95134</v>
      </c>
      <c r="I42" s="74">
        <f>106169+6290</f>
        <v>112459</v>
      </c>
      <c r="J42" s="74">
        <v>118122</v>
      </c>
      <c r="K42" s="74">
        <v>105285</v>
      </c>
      <c r="L42" s="74">
        <v>102931</v>
      </c>
      <c r="M42" s="74">
        <f>98691+5804</f>
        <v>104495</v>
      </c>
      <c r="N42" s="74">
        <f>112964+6198</f>
        <v>119162</v>
      </c>
      <c r="O42" s="60">
        <f>AVERAGE(C42:N42)</f>
        <v>101319.41666666667</v>
      </c>
      <c r="P42" s="68">
        <f>SUM(C42:N42)</f>
        <v>1215833</v>
      </c>
    </row>
    <row r="43" spans="1:17" ht="25.8" customHeight="1" thickBot="1">
      <c r="A43" s="69" t="s">
        <v>235</v>
      </c>
      <c r="B43" s="353"/>
      <c r="C43" s="77">
        <f t="shared" ref="C43:L43" si="6">SUM(C40+C42)</f>
        <v>142941</v>
      </c>
      <c r="D43" s="77">
        <f t="shared" si="6"/>
        <v>130011</v>
      </c>
      <c r="E43" s="77">
        <f t="shared" si="6"/>
        <v>146534</v>
      </c>
      <c r="F43" s="77">
        <f t="shared" si="6"/>
        <v>138848</v>
      </c>
      <c r="G43" s="77">
        <f t="shared" si="6"/>
        <v>146689</v>
      </c>
      <c r="H43" s="77">
        <f t="shared" si="6"/>
        <v>154539</v>
      </c>
      <c r="I43" s="77">
        <f t="shared" si="6"/>
        <v>185816</v>
      </c>
      <c r="J43" s="77">
        <f t="shared" si="6"/>
        <v>188918</v>
      </c>
      <c r="K43" s="77">
        <f t="shared" si="6"/>
        <v>159604</v>
      </c>
      <c r="L43" s="77">
        <f t="shared" si="6"/>
        <v>156838</v>
      </c>
      <c r="M43" s="77">
        <f>SUM(M40+M42)</f>
        <v>162218</v>
      </c>
      <c r="N43" s="77">
        <f>SUM(N40+N42)</f>
        <v>182755</v>
      </c>
      <c r="O43" s="77">
        <f>SUM(O40+O42)</f>
        <v>157975.91666666669</v>
      </c>
      <c r="P43" s="93">
        <f>SUM(P40+P42)</f>
        <v>1895711</v>
      </c>
    </row>
    <row r="44" spans="1:17" ht="25.8" customHeight="1"/>
    <row r="45" spans="1:17" ht="25.8" customHeight="1">
      <c r="A45" s="80" t="s">
        <v>236</v>
      </c>
      <c r="B45" s="80"/>
      <c r="C45" s="94"/>
      <c r="D45" s="94"/>
      <c r="E45" s="94"/>
      <c r="F45" s="94"/>
      <c r="G45" s="94"/>
      <c r="H45" s="94"/>
      <c r="I45" s="94"/>
      <c r="J45" s="94"/>
      <c r="K45" s="94"/>
      <c r="L45" s="94"/>
      <c r="M45" s="94"/>
      <c r="N45" s="94"/>
      <c r="O45" s="95"/>
      <c r="P45" s="94"/>
    </row>
    <row r="46" spans="1:17" ht="25.8" customHeight="1">
      <c r="A46" s="83" t="s">
        <v>224</v>
      </c>
      <c r="B46" s="83"/>
      <c r="C46" s="95">
        <f t="shared" ref="C46:N46" si="7">SUM(C40/C27-1)</f>
        <v>1.177781620458429E-2</v>
      </c>
      <c r="D46" s="95">
        <f t="shared" si="7"/>
        <v>0.11597130794025512</v>
      </c>
      <c r="E46" s="95">
        <f t="shared" si="7"/>
        <v>-1.9831502271317358E-2</v>
      </c>
      <c r="F46" s="95">
        <f t="shared" si="7"/>
        <v>0.11900200906414993</v>
      </c>
      <c r="G46" s="95">
        <f t="shared" si="7"/>
        <v>-1.4937300221293359E-2</v>
      </c>
      <c r="H46" s="95">
        <f t="shared" si="7"/>
        <v>6.5293020586758566E-2</v>
      </c>
      <c r="I46" s="95">
        <f>SUM(I40/I27-1)</f>
        <v>6.651449507138496E-2</v>
      </c>
      <c r="J46" s="95">
        <f t="shared" si="7"/>
        <v>6.9716841437248878E-2</v>
      </c>
      <c r="K46" s="95">
        <f t="shared" si="7"/>
        <v>6.5454474128123552E-2</v>
      </c>
      <c r="L46" s="95">
        <f t="shared" si="7"/>
        <v>8.1753055204382585E-2</v>
      </c>
      <c r="M46" s="95">
        <f t="shared" si="7"/>
        <v>0.14185393258426959</v>
      </c>
      <c r="N46" s="95">
        <f t="shared" si="7"/>
        <v>0.1003010588968094</v>
      </c>
      <c r="O46" s="95"/>
      <c r="P46" s="95">
        <f>+(P40-P27)/P27</f>
        <v>6.6353186223381475E-2</v>
      </c>
    </row>
    <row r="47" spans="1:17" ht="25.8" customHeight="1">
      <c r="A47" s="83" t="s">
        <v>225</v>
      </c>
      <c r="B47" s="83"/>
      <c r="C47" s="95">
        <f t="shared" ref="C47:N48" si="8">SUM(C42/C29-1)</f>
        <v>0.16239635371066585</v>
      </c>
      <c r="D47" s="95">
        <f t="shared" si="8"/>
        <v>0.13012482701743111</v>
      </c>
      <c r="E47" s="95">
        <f t="shared" si="8"/>
        <v>0.18889999268774216</v>
      </c>
      <c r="F47" s="95">
        <f t="shared" si="8"/>
        <v>0.26075022872827081</v>
      </c>
      <c r="G47" s="95">
        <f t="shared" si="8"/>
        <v>0.25950240114437517</v>
      </c>
      <c r="H47" s="95">
        <f t="shared" si="8"/>
        <v>0.15012814933023844</v>
      </c>
      <c r="I47" s="95">
        <f>SUM(I42/I29-1)</f>
        <v>0.4311402392466277</v>
      </c>
      <c r="J47" s="95">
        <f t="shared" si="8"/>
        <v>0.37782132484165598</v>
      </c>
      <c r="K47" s="95">
        <f t="shared" si="8"/>
        <v>0.26227385533935177</v>
      </c>
      <c r="L47" s="95">
        <f t="shared" si="8"/>
        <v>0.20789767059789943</v>
      </c>
      <c r="M47" s="95">
        <f t="shared" si="8"/>
        <v>0.19097550690115006</v>
      </c>
      <c r="N47" s="95">
        <f t="shared" si="8"/>
        <v>0.33559739968616897</v>
      </c>
      <c r="O47" s="95"/>
      <c r="P47" s="95">
        <f>+(P42-P29)/P29</f>
        <v>0.24789773222964062</v>
      </c>
    </row>
    <row r="48" spans="1:17" ht="25.8" customHeight="1">
      <c r="A48" s="86" t="s">
        <v>151</v>
      </c>
      <c r="B48" s="86"/>
      <c r="C48" s="95">
        <f t="shared" si="8"/>
        <v>0.10196199360135672</v>
      </c>
      <c r="D48" s="95">
        <f t="shared" si="8"/>
        <v>0.12473073629025988</v>
      </c>
      <c r="E48" s="95">
        <f t="shared" si="8"/>
        <v>0.10989585305813288</v>
      </c>
      <c r="F48" s="95">
        <f t="shared" si="8"/>
        <v>0.2079621380846326</v>
      </c>
      <c r="G48" s="95">
        <f t="shared" si="8"/>
        <v>0.1541227380015735</v>
      </c>
      <c r="H48" s="95">
        <f t="shared" si="8"/>
        <v>0.11596620450606587</v>
      </c>
      <c r="I48" s="95">
        <f>SUM(I43/I30-1)</f>
        <v>0.26094922707346524</v>
      </c>
      <c r="J48" s="95">
        <f t="shared" si="8"/>
        <v>0.24359337252243063</v>
      </c>
      <c r="K48" s="95">
        <f t="shared" si="8"/>
        <v>0.18760928931252829</v>
      </c>
      <c r="L48" s="95">
        <f t="shared" si="8"/>
        <v>0.16135003850482788</v>
      </c>
      <c r="M48" s="95">
        <f t="shared" si="8"/>
        <v>0.17301921310858992</v>
      </c>
      <c r="N48" s="95">
        <f t="shared" si="8"/>
        <v>0.24309598955215761</v>
      </c>
      <c r="O48" s="95"/>
      <c r="P48" s="95">
        <f>+(P43-P30)/P30</f>
        <v>0.17608838882347175</v>
      </c>
    </row>
    <row r="49" spans="1:26" ht="25.8" customHeight="1"/>
    <row r="50" spans="1:26" ht="25.8" customHeight="1"/>
    <row r="51" spans="1:26" ht="25.8" customHeight="1">
      <c r="A51" s="5469" t="s">
        <v>237</v>
      </c>
      <c r="B51" s="5470"/>
      <c r="C51" s="5470"/>
      <c r="D51" s="5470"/>
      <c r="E51" s="5470"/>
      <c r="F51" s="5470"/>
      <c r="G51" s="5470"/>
      <c r="H51" s="5470"/>
      <c r="I51" s="5470"/>
      <c r="J51" s="5470"/>
      <c r="K51" s="5470"/>
      <c r="L51" s="5470"/>
      <c r="M51" s="5470"/>
      <c r="N51" s="5470"/>
      <c r="O51" s="5470"/>
      <c r="P51" s="5471"/>
    </row>
    <row r="52" spans="1:26" ht="25.8" customHeight="1">
      <c r="A52" s="62" t="s">
        <v>217</v>
      </c>
      <c r="B52" s="351"/>
      <c r="C52" s="63" t="s">
        <v>218</v>
      </c>
      <c r="D52" s="63" t="s">
        <v>207</v>
      </c>
      <c r="E52" s="63" t="s">
        <v>208</v>
      </c>
      <c r="F52" s="63" t="s">
        <v>219</v>
      </c>
      <c r="G52" s="63" t="s">
        <v>209</v>
      </c>
      <c r="H52" s="63" t="s">
        <v>210</v>
      </c>
      <c r="I52" s="63" t="s">
        <v>220</v>
      </c>
      <c r="J52" s="63" t="s">
        <v>221</v>
      </c>
      <c r="K52" s="63" t="s">
        <v>211</v>
      </c>
      <c r="L52" s="63" t="s">
        <v>212</v>
      </c>
      <c r="M52" s="63" t="s">
        <v>213</v>
      </c>
      <c r="N52" s="63" t="s">
        <v>222</v>
      </c>
      <c r="O52" s="63" t="s">
        <v>223</v>
      </c>
      <c r="P52" s="64" t="s">
        <v>151</v>
      </c>
      <c r="Q52" s="362"/>
      <c r="R52" s="363">
        <v>2007</v>
      </c>
      <c r="S52" s="363">
        <v>2008</v>
      </c>
      <c r="T52" s="363">
        <v>2009</v>
      </c>
      <c r="U52" s="363">
        <v>2010</v>
      </c>
      <c r="V52" s="363">
        <v>2011</v>
      </c>
      <c r="W52" s="363">
        <v>2012</v>
      </c>
      <c r="X52" s="363">
        <v>2013</v>
      </c>
      <c r="Y52" s="363">
        <v>2014</v>
      </c>
      <c r="Z52" s="364">
        <v>2015</v>
      </c>
    </row>
    <row r="53" spans="1:26" ht="25.8" customHeight="1">
      <c r="A53" s="65" t="s">
        <v>224</v>
      </c>
      <c r="B53" s="352"/>
      <c r="C53" s="74">
        <f>57876+860</f>
        <v>58736</v>
      </c>
      <c r="D53" s="74">
        <f>52375+2054</f>
        <v>54429</v>
      </c>
      <c r="E53" s="74">
        <f>57260+2393</f>
        <v>59653</v>
      </c>
      <c r="F53" s="74">
        <f>52176+2856</f>
        <v>55032</v>
      </c>
      <c r="G53" s="74">
        <f>56376+3543</f>
        <v>59919</v>
      </c>
      <c r="H53" s="74">
        <f>70648+3710</f>
        <v>74358</v>
      </c>
      <c r="I53" s="74">
        <f>75950+6896</f>
        <v>82846</v>
      </c>
      <c r="J53" s="74">
        <f>76368+7019</f>
        <v>83387</v>
      </c>
      <c r="K53" s="74">
        <f>58169+2881</f>
        <v>61050</v>
      </c>
      <c r="L53" s="74">
        <f>58742+1953</f>
        <v>60695</v>
      </c>
      <c r="M53" s="74">
        <f>57253+1818</f>
        <v>59071</v>
      </c>
      <c r="N53" s="74">
        <f>63943+2375</f>
        <v>66318</v>
      </c>
      <c r="O53" s="60">
        <f>AVERAGE(C53:N53)</f>
        <v>64624.5</v>
      </c>
      <c r="P53" s="68">
        <f>SUM(C53:N53)</f>
        <v>775494</v>
      </c>
      <c r="Q53" s="62" t="s">
        <v>224</v>
      </c>
      <c r="R53" s="365">
        <f>P53</f>
        <v>775494</v>
      </c>
      <c r="S53" s="365">
        <f>P65</f>
        <v>791950</v>
      </c>
      <c r="T53" s="365">
        <f>P78</f>
        <v>818875</v>
      </c>
      <c r="U53" s="365">
        <f>P91</f>
        <v>865470</v>
      </c>
      <c r="V53" s="365">
        <f>P103</f>
        <v>861811</v>
      </c>
      <c r="W53" s="365">
        <f>P115</f>
        <v>962752</v>
      </c>
      <c r="X53" s="365">
        <f>P127</f>
        <v>1079183</v>
      </c>
      <c r="Y53" s="365">
        <f>P139</f>
        <v>1190692</v>
      </c>
      <c r="Z53" s="365">
        <f>P151</f>
        <v>1215331</v>
      </c>
    </row>
    <row r="54" spans="1:26" ht="25.8" customHeight="1">
      <c r="A54" s="65" t="s">
        <v>231</v>
      </c>
      <c r="B54" s="352"/>
      <c r="C54" s="74">
        <v>18984</v>
      </c>
      <c r="D54" s="74">
        <v>18535</v>
      </c>
      <c r="E54" s="74">
        <v>19775</v>
      </c>
      <c r="F54" s="74">
        <v>14156</v>
      </c>
      <c r="G54" s="74">
        <v>12937</v>
      </c>
      <c r="H54" s="74">
        <v>13171</v>
      </c>
      <c r="I54" s="74">
        <v>13913</v>
      </c>
      <c r="J54" s="74">
        <v>13187</v>
      </c>
      <c r="K54" s="74">
        <v>13049</v>
      </c>
      <c r="L54" s="74">
        <v>11920</v>
      </c>
      <c r="M54" s="74">
        <v>12286</v>
      </c>
      <c r="N54" s="74">
        <v>16136</v>
      </c>
      <c r="O54" s="60">
        <f>AVERAGE(C54:N54)</f>
        <v>14837.416666666666</v>
      </c>
      <c r="P54" s="68">
        <f>SUM(C54:N54)</f>
        <v>178049</v>
      </c>
      <c r="Q54" s="62" t="s">
        <v>231</v>
      </c>
      <c r="R54" s="365">
        <f>P54</f>
        <v>178049</v>
      </c>
      <c r="S54" s="365">
        <f>P66</f>
        <v>143787</v>
      </c>
      <c r="T54" s="365">
        <f>P79</f>
        <v>115668</v>
      </c>
      <c r="U54" s="365">
        <f>P92</f>
        <v>111164</v>
      </c>
      <c r="V54" s="365">
        <f>P104</f>
        <v>118840</v>
      </c>
      <c r="W54" s="365">
        <f>P116</f>
        <v>102964</v>
      </c>
      <c r="X54" s="365">
        <f>P128</f>
        <v>114788</v>
      </c>
      <c r="Y54" s="365">
        <f>P140</f>
        <v>125958</v>
      </c>
      <c r="Z54" s="365">
        <f>P152</f>
        <v>112957</v>
      </c>
    </row>
    <row r="55" spans="1:26" ht="25.8" customHeight="1" thickBot="1">
      <c r="A55" s="65" t="s">
        <v>225</v>
      </c>
      <c r="B55" s="352"/>
      <c r="C55" s="74">
        <f>106610+6841</f>
        <v>113451</v>
      </c>
      <c r="D55" s="74">
        <f>91599+6158</f>
        <v>97757</v>
      </c>
      <c r="E55" s="74">
        <f>107073+6402</f>
        <v>113475</v>
      </c>
      <c r="F55" s="74">
        <f>104091+6457</f>
        <v>110548</v>
      </c>
      <c r="G55" s="74">
        <f>105246+8255</f>
        <v>113501</v>
      </c>
      <c r="H55" s="74">
        <f>107881+6206</f>
        <v>114087</v>
      </c>
      <c r="I55" s="74">
        <f>118009+7288</f>
        <v>125297</v>
      </c>
      <c r="J55" s="74">
        <f>120093+9556</f>
        <v>129649</v>
      </c>
      <c r="K55" s="74">
        <f>99897+7076</f>
        <v>106973</v>
      </c>
      <c r="L55" s="74">
        <f>108878+7843</f>
        <v>116721</v>
      </c>
      <c r="M55" s="74">
        <f>102483+6936</f>
        <v>109419</v>
      </c>
      <c r="N55" s="74">
        <f>95156+7011</f>
        <v>102167</v>
      </c>
      <c r="O55" s="60">
        <f>AVERAGE(C55:N55)</f>
        <v>112753.75</v>
      </c>
      <c r="P55" s="68">
        <f>SUM(C55:N55)</f>
        <v>1353045</v>
      </c>
      <c r="Q55" s="62" t="s">
        <v>225</v>
      </c>
      <c r="R55" s="365">
        <f>P55</f>
        <v>1353045</v>
      </c>
      <c r="S55" s="365">
        <f>P67</f>
        <v>1459550</v>
      </c>
      <c r="T55" s="365">
        <f>P80</f>
        <v>1533213</v>
      </c>
      <c r="U55" s="365">
        <f>P93</f>
        <v>1642928</v>
      </c>
      <c r="V55" s="365">
        <f>P105</f>
        <v>1824792</v>
      </c>
      <c r="W55" s="365">
        <f>P117</f>
        <v>1664689</v>
      </c>
      <c r="X55" s="365">
        <f>P129</f>
        <v>1647667</v>
      </c>
      <c r="Y55" s="365">
        <f>P141</f>
        <v>1626716</v>
      </c>
      <c r="Z55" s="365">
        <f>P153</f>
        <v>1478683</v>
      </c>
    </row>
    <row r="56" spans="1:26" ht="25.8" customHeight="1" thickBot="1">
      <c r="A56" s="69" t="s">
        <v>238</v>
      </c>
      <c r="B56" s="353"/>
      <c r="C56" s="77">
        <f t="shared" ref="C56:N56" si="9">SUM(C53+C55)</f>
        <v>172187</v>
      </c>
      <c r="D56" s="77">
        <f t="shared" si="9"/>
        <v>152186</v>
      </c>
      <c r="E56" s="77">
        <f t="shared" si="9"/>
        <v>173128</v>
      </c>
      <c r="F56" s="77">
        <f t="shared" si="9"/>
        <v>165580</v>
      </c>
      <c r="G56" s="77">
        <f t="shared" si="9"/>
        <v>173420</v>
      </c>
      <c r="H56" s="77">
        <f t="shared" si="9"/>
        <v>188445</v>
      </c>
      <c r="I56" s="77">
        <f t="shared" si="9"/>
        <v>208143</v>
      </c>
      <c r="J56" s="77">
        <f t="shared" si="9"/>
        <v>213036</v>
      </c>
      <c r="K56" s="77">
        <f t="shared" si="9"/>
        <v>168023</v>
      </c>
      <c r="L56" s="77">
        <f t="shared" si="9"/>
        <v>177416</v>
      </c>
      <c r="M56" s="77">
        <f t="shared" si="9"/>
        <v>168490</v>
      </c>
      <c r="N56" s="77">
        <f t="shared" si="9"/>
        <v>168485</v>
      </c>
      <c r="O56" s="77">
        <f>SUM(O53+O55)</f>
        <v>177378.25</v>
      </c>
      <c r="P56" s="93">
        <f>SUM(P53+P55)</f>
        <v>2128539</v>
      </c>
      <c r="Q56" s="366" t="s">
        <v>32</v>
      </c>
      <c r="R56" s="367">
        <f>SUM(R52:R55)</f>
        <v>2308595</v>
      </c>
      <c r="S56" s="367">
        <f t="shared" ref="S56:Z56" si="10">SUM(S52:S55)</f>
        <v>2397295</v>
      </c>
      <c r="T56" s="367">
        <f t="shared" si="10"/>
        <v>2469765</v>
      </c>
      <c r="U56" s="367">
        <f t="shared" si="10"/>
        <v>2621572</v>
      </c>
      <c r="V56" s="367">
        <f t="shared" si="10"/>
        <v>2807454</v>
      </c>
      <c r="W56" s="367">
        <f t="shared" si="10"/>
        <v>2732417</v>
      </c>
      <c r="X56" s="367">
        <f t="shared" si="10"/>
        <v>2843651</v>
      </c>
      <c r="Y56" s="367">
        <f t="shared" si="10"/>
        <v>2945380</v>
      </c>
      <c r="Z56" s="367">
        <f t="shared" si="10"/>
        <v>2808986</v>
      </c>
    </row>
    <row r="57" spans="1:26" ht="25.8" customHeight="1">
      <c r="Q57" s="368" t="s">
        <v>512</v>
      </c>
      <c r="R57" s="369"/>
      <c r="S57" s="370">
        <f t="shared" ref="S57:Y57" si="11">S56/R56-1</f>
        <v>3.8421637402835884E-2</v>
      </c>
      <c r="T57" s="370">
        <f t="shared" si="11"/>
        <v>3.0229904955376696E-2</v>
      </c>
      <c r="U57" s="370">
        <f t="shared" si="11"/>
        <v>6.1466171882750054E-2</v>
      </c>
      <c r="V57" s="370">
        <f t="shared" si="11"/>
        <v>7.0904785373050894E-2</v>
      </c>
      <c r="W57" s="370">
        <f t="shared" si="11"/>
        <v>-2.6727775415020139E-2</v>
      </c>
      <c r="X57" s="370">
        <f t="shared" si="11"/>
        <v>4.0709013302142383E-2</v>
      </c>
      <c r="Y57" s="370">
        <f t="shared" si="11"/>
        <v>3.5774080574585199E-2</v>
      </c>
      <c r="Z57" s="370">
        <f>Z56/Y56-1</f>
        <v>-4.630777692521848E-2</v>
      </c>
    </row>
    <row r="58" spans="1:26" ht="25.8" customHeight="1">
      <c r="A58" s="80"/>
      <c r="B58" s="80"/>
      <c r="C58" s="94"/>
      <c r="D58" s="94"/>
      <c r="E58" s="94"/>
      <c r="F58" s="94"/>
      <c r="G58" s="94"/>
      <c r="H58" s="94"/>
      <c r="I58" s="94"/>
      <c r="J58" s="94"/>
      <c r="K58" s="94"/>
      <c r="L58" s="94"/>
      <c r="M58" s="94"/>
      <c r="N58" s="94"/>
      <c r="O58" s="95"/>
      <c r="P58" s="94"/>
      <c r="Q58" s="62" t="s">
        <v>513</v>
      </c>
      <c r="R58" s="352"/>
      <c r="S58" s="371">
        <f t="shared" ref="S58:Y58" si="12">S55/R55-1</f>
        <v>7.8715046432306313E-2</v>
      </c>
      <c r="T58" s="371">
        <f t="shared" si="12"/>
        <v>5.0469665307800282E-2</v>
      </c>
      <c r="U58" s="371">
        <f t="shared" si="12"/>
        <v>7.1558876685757333E-2</v>
      </c>
      <c r="V58" s="371">
        <f t="shared" si="12"/>
        <v>0.11069505176124572</v>
      </c>
      <c r="W58" s="371">
        <f t="shared" si="12"/>
        <v>-8.7737670923590194E-2</v>
      </c>
      <c r="X58" s="371">
        <f t="shared" si="12"/>
        <v>-1.0225333380589396E-2</v>
      </c>
      <c r="Y58" s="371">
        <f t="shared" si="12"/>
        <v>-1.2715554781396965E-2</v>
      </c>
      <c r="Z58" s="371">
        <f>Z55/Y55-1</f>
        <v>-9.1001133572178539E-2</v>
      </c>
    </row>
    <row r="59" spans="1:26" ht="25.8" customHeight="1">
      <c r="A59" s="83" t="s">
        <v>224</v>
      </c>
      <c r="B59" s="83"/>
      <c r="C59" s="95">
        <f t="shared" ref="C59:H59" si="13">SUM(C53/C40-1)</f>
        <v>0.11538169388530184</v>
      </c>
      <c r="D59" s="95">
        <f t="shared" si="13"/>
        <v>0.10711307283933036</v>
      </c>
      <c r="E59" s="95">
        <f t="shared" si="13"/>
        <v>0.21790526745610461</v>
      </c>
      <c r="F59" s="95">
        <f t="shared" si="13"/>
        <v>0.14889352818371604</v>
      </c>
      <c r="G59" s="95">
        <f t="shared" si="13"/>
        <v>0.24636505460218405</v>
      </c>
      <c r="H59" s="95">
        <f t="shared" si="13"/>
        <v>0.25171281878629737</v>
      </c>
      <c r="I59" s="95">
        <f t="shared" ref="I59:N59" si="14">SUM(I53/I40-1)</f>
        <v>0.1293537085758687</v>
      </c>
      <c r="J59" s="95">
        <f t="shared" si="14"/>
        <v>0.17784903101870153</v>
      </c>
      <c r="K59" s="95">
        <f t="shared" si="14"/>
        <v>0.12391612511275985</v>
      </c>
      <c r="L59" s="95">
        <f t="shared" si="14"/>
        <v>0.12592056690225761</v>
      </c>
      <c r="M59" s="95">
        <f t="shared" si="14"/>
        <v>2.3352909585433901E-2</v>
      </c>
      <c r="N59" s="95">
        <f t="shared" si="14"/>
        <v>4.2850628213797037E-2</v>
      </c>
      <c r="O59" s="95"/>
      <c r="P59" s="95">
        <f>(P53-(SUM(C40:N40)))/(SUM(C40:N40))</f>
        <v>0.14063699663763204</v>
      </c>
      <c r="Q59" s="255" t="s">
        <v>514</v>
      </c>
      <c r="R59" s="372"/>
      <c r="S59" s="373">
        <f t="shared" ref="S59:Y59" si="15">S53/R53-1</f>
        <v>2.1220022334150768E-2</v>
      </c>
      <c r="T59" s="373">
        <f t="shared" si="15"/>
        <v>3.3998358482227431E-2</v>
      </c>
      <c r="U59" s="373">
        <f t="shared" si="15"/>
        <v>5.6901236452449933E-2</v>
      </c>
      <c r="V59" s="373">
        <f t="shared" si="15"/>
        <v>-4.2277606387280953E-3</v>
      </c>
      <c r="W59" s="373">
        <f t="shared" si="15"/>
        <v>0.11712660896646709</v>
      </c>
      <c r="X59" s="373">
        <f t="shared" si="15"/>
        <v>0.12093560958585381</v>
      </c>
      <c r="Y59" s="373">
        <f t="shared" si="15"/>
        <v>0.10332723921707432</v>
      </c>
      <c r="Z59" s="373">
        <f>Z53/Y53-1</f>
        <v>2.0693008771369925E-2</v>
      </c>
    </row>
    <row r="60" spans="1:26" ht="25.8" customHeight="1">
      <c r="A60" s="83" t="s">
        <v>225</v>
      </c>
      <c r="B60" s="83"/>
      <c r="C60" s="95">
        <f t="shared" ref="C60:E61" si="16">SUM(C55/C42-1)</f>
        <v>0.25664314750611972</v>
      </c>
      <c r="D60" s="95">
        <f t="shared" si="16"/>
        <v>0.2091455570947951</v>
      </c>
      <c r="E60" s="95">
        <f t="shared" si="16"/>
        <v>0.16320191893720404</v>
      </c>
      <c r="F60" s="95">
        <f t="shared" ref="F60:H61" si="17">SUM(F55/F42-1)</f>
        <v>0.2155077626775741</v>
      </c>
      <c r="G60" s="95">
        <f t="shared" si="17"/>
        <v>0.15096233800474579</v>
      </c>
      <c r="H60" s="95">
        <f t="shared" si="17"/>
        <v>0.19922425210755357</v>
      </c>
      <c r="I60" s="95">
        <f>SUM(I55/I42-1)</f>
        <v>0.1141571594981281</v>
      </c>
      <c r="J60" s="95">
        <f t="shared" ref="J60:N61" si="18">SUM(J55/J42-1)</f>
        <v>9.7585547146170848E-2</v>
      </c>
      <c r="K60" s="95">
        <f t="shared" si="18"/>
        <v>1.6032673220306881E-2</v>
      </c>
      <c r="L60" s="95">
        <f t="shared" si="18"/>
        <v>0.13397324421214218</v>
      </c>
      <c r="M60" s="95">
        <f t="shared" si="18"/>
        <v>4.7121871859897579E-2</v>
      </c>
      <c r="N60" s="95">
        <f t="shared" si="18"/>
        <v>-0.14262096977224281</v>
      </c>
      <c r="O60" s="95"/>
      <c r="P60" s="95">
        <f>(P55-(SUM(C42:N42)))/(SUM(C42:N42))</f>
        <v>0.11285431469617949</v>
      </c>
    </row>
    <row r="61" spans="1:26" ht="25.8" customHeight="1">
      <c r="A61" s="86" t="s">
        <v>151</v>
      </c>
      <c r="B61" s="86"/>
      <c r="C61" s="95">
        <f t="shared" si="16"/>
        <v>0.20460189868547163</v>
      </c>
      <c r="D61" s="95">
        <f t="shared" si="16"/>
        <v>0.17056249086615738</v>
      </c>
      <c r="E61" s="95">
        <f t="shared" si="16"/>
        <v>0.18148689041451127</v>
      </c>
      <c r="F61" s="95">
        <f t="shared" si="17"/>
        <v>0.19252707997234375</v>
      </c>
      <c r="G61" s="95">
        <f t="shared" si="17"/>
        <v>0.18222906966439201</v>
      </c>
      <c r="H61" s="95">
        <f t="shared" si="17"/>
        <v>0.21940092792110732</v>
      </c>
      <c r="I61" s="95">
        <f>SUM(I56/I43-1)</f>
        <v>0.12015649890213975</v>
      </c>
      <c r="J61" s="95">
        <f t="shared" si="18"/>
        <v>0.12766385415894721</v>
      </c>
      <c r="K61" s="95">
        <f t="shared" si="18"/>
        <v>5.2749304528708629E-2</v>
      </c>
      <c r="L61" s="95">
        <f t="shared" si="18"/>
        <v>0.13120544765936826</v>
      </c>
      <c r="M61" s="95">
        <f t="shared" si="18"/>
        <v>3.866402002243885E-2</v>
      </c>
      <c r="N61" s="95">
        <f t="shared" si="18"/>
        <v>-7.80826789964707E-2</v>
      </c>
      <c r="O61" s="95"/>
      <c r="P61" s="95">
        <f>(P56-(SUM(C43:N43)))/(SUM(C43:N43))</f>
        <v>0.12281829878077408</v>
      </c>
    </row>
    <row r="62" spans="1:26" s="98" customFormat="1" ht="25.8" customHeight="1">
      <c r="A62" s="96"/>
      <c r="B62" s="96"/>
      <c r="C62" s="97"/>
      <c r="D62" s="97"/>
      <c r="E62" s="97"/>
      <c r="F62" s="97"/>
      <c r="G62" s="97"/>
      <c r="H62" s="97"/>
      <c r="I62" s="97"/>
      <c r="J62" s="97"/>
      <c r="K62" s="97"/>
      <c r="L62" s="97"/>
      <c r="M62" s="97"/>
      <c r="N62" s="97"/>
      <c r="O62" s="97"/>
      <c r="P62" s="97"/>
    </row>
    <row r="63" spans="1:26" ht="25.8" customHeight="1">
      <c r="A63" s="5469" t="s">
        <v>239</v>
      </c>
      <c r="B63" s="5470"/>
      <c r="C63" s="5470"/>
      <c r="D63" s="5470"/>
      <c r="E63" s="5470"/>
      <c r="F63" s="5470"/>
      <c r="G63" s="5470"/>
      <c r="H63" s="5470"/>
      <c r="I63" s="5470"/>
      <c r="J63" s="5470"/>
      <c r="K63" s="5470"/>
      <c r="L63" s="5470"/>
      <c r="M63" s="5470"/>
      <c r="N63" s="5470"/>
      <c r="O63" s="5470"/>
      <c r="P63" s="5471"/>
    </row>
    <row r="64" spans="1:26" ht="25.8" customHeight="1">
      <c r="A64" s="62" t="s">
        <v>217</v>
      </c>
      <c r="B64" s="351"/>
      <c r="C64" s="63" t="s">
        <v>218</v>
      </c>
      <c r="D64" s="63" t="s">
        <v>207</v>
      </c>
      <c r="E64" s="63" t="s">
        <v>208</v>
      </c>
      <c r="F64" s="63" t="s">
        <v>219</v>
      </c>
      <c r="G64" s="63" t="s">
        <v>209</v>
      </c>
      <c r="H64" s="63" t="s">
        <v>210</v>
      </c>
      <c r="I64" s="63" t="s">
        <v>220</v>
      </c>
      <c r="J64" s="63" t="s">
        <v>221</v>
      </c>
      <c r="K64" s="63" t="s">
        <v>211</v>
      </c>
      <c r="L64" s="63" t="s">
        <v>212</v>
      </c>
      <c r="M64" s="63" t="s">
        <v>213</v>
      </c>
      <c r="N64" s="63" t="s">
        <v>222</v>
      </c>
      <c r="O64" s="63" t="s">
        <v>223</v>
      </c>
      <c r="P64" s="64" t="s">
        <v>151</v>
      </c>
    </row>
    <row r="65" spans="1:16" ht="25.8" customHeight="1">
      <c r="A65" s="65" t="s">
        <v>224</v>
      </c>
      <c r="B65" s="352"/>
      <c r="C65" s="99">
        <f>60963+1506</f>
        <v>62469</v>
      </c>
      <c r="D65" s="99">
        <f>52111+2212</f>
        <v>54323</v>
      </c>
      <c r="E65" s="99">
        <f>58265+2821</f>
        <v>61086</v>
      </c>
      <c r="F65" s="99">
        <f>50081+2253</f>
        <v>52334</v>
      </c>
      <c r="G65" s="99">
        <f>57759+4862</f>
        <v>62621</v>
      </c>
      <c r="H65" s="99">
        <f>70940+4657</f>
        <v>75597</v>
      </c>
      <c r="I65" s="99">
        <f>74627+6868</f>
        <v>81495</v>
      </c>
      <c r="J65" s="99">
        <f>75332+9062</f>
        <v>84394</v>
      </c>
      <c r="K65" s="99">
        <f>56720+3932</f>
        <v>60652</v>
      </c>
      <c r="L65" s="99">
        <f>60295+2923</f>
        <v>63218</v>
      </c>
      <c r="M65" s="99">
        <f>62249+2515</f>
        <v>64764</v>
      </c>
      <c r="N65" s="99">
        <f>65696+3301</f>
        <v>68997</v>
      </c>
      <c r="O65" s="60">
        <f>AVERAGE(C65:N65)</f>
        <v>65995.833333333328</v>
      </c>
      <c r="P65" s="68">
        <f>SUM(C65:N65)</f>
        <v>791950</v>
      </c>
    </row>
    <row r="66" spans="1:16" ht="25.8" customHeight="1">
      <c r="A66" s="65" t="s">
        <v>231</v>
      </c>
      <c r="B66" s="352"/>
      <c r="C66" s="99">
        <v>12366</v>
      </c>
      <c r="D66" s="99">
        <v>13067</v>
      </c>
      <c r="E66" s="99">
        <v>13789</v>
      </c>
      <c r="F66" s="99">
        <v>11616</v>
      </c>
      <c r="G66" s="99">
        <v>10699</v>
      </c>
      <c r="H66" s="99">
        <v>12242</v>
      </c>
      <c r="I66" s="99">
        <v>12596</v>
      </c>
      <c r="J66" s="99">
        <v>14710</v>
      </c>
      <c r="K66" s="99">
        <v>13090</v>
      </c>
      <c r="L66" s="99">
        <v>9802</v>
      </c>
      <c r="M66" s="99">
        <v>10529</v>
      </c>
      <c r="N66" s="99">
        <v>9281</v>
      </c>
      <c r="O66" s="60">
        <f>AVERAGE(C66:N66)</f>
        <v>11982.25</v>
      </c>
      <c r="P66" s="68">
        <f>SUM(C66:N66)</f>
        <v>143787</v>
      </c>
    </row>
    <row r="67" spans="1:16" ht="25.8" customHeight="1" thickBot="1">
      <c r="A67" s="100" t="s">
        <v>240</v>
      </c>
      <c r="B67" s="354"/>
      <c r="C67" s="101">
        <f>111635+8007</f>
        <v>119642</v>
      </c>
      <c r="D67" s="101">
        <f>98500+5029</f>
        <v>103529</v>
      </c>
      <c r="E67" s="101">
        <f>118503+5143</f>
        <v>123646</v>
      </c>
      <c r="F67" s="101">
        <f>114125+4322</f>
        <v>118447</v>
      </c>
      <c r="G67" s="101">
        <f>118757+4892</f>
        <v>123649</v>
      </c>
      <c r="H67" s="101">
        <f>108111+2200</f>
        <v>110311</v>
      </c>
      <c r="I67" s="101">
        <v>135864</v>
      </c>
      <c r="J67" s="101">
        <v>140220</v>
      </c>
      <c r="K67" s="101">
        <v>114928</v>
      </c>
      <c r="L67" s="101">
        <v>126769</v>
      </c>
      <c r="M67" s="101">
        <v>121935</v>
      </c>
      <c r="N67" s="101">
        <v>120610</v>
      </c>
      <c r="O67" s="60">
        <f>AVERAGE(C67:N67)</f>
        <v>121629.16666666667</v>
      </c>
      <c r="P67" s="68">
        <f>SUM(C67:N67)</f>
        <v>1459550</v>
      </c>
    </row>
    <row r="68" spans="1:16" ht="25.8" customHeight="1" thickBot="1">
      <c r="A68" s="69" t="s">
        <v>241</v>
      </c>
      <c r="B68" s="353"/>
      <c r="C68" s="77">
        <f>SUM(C65+C67)</f>
        <v>182111</v>
      </c>
      <c r="D68" s="77">
        <f>SUM(D65+D67)</f>
        <v>157852</v>
      </c>
      <c r="E68" s="77">
        <f t="shared" ref="E68:N68" si="19">SUM(E65+E67)</f>
        <v>184732</v>
      </c>
      <c r="F68" s="77">
        <f t="shared" si="19"/>
        <v>170781</v>
      </c>
      <c r="G68" s="77">
        <f t="shared" si="19"/>
        <v>186270</v>
      </c>
      <c r="H68" s="77">
        <f t="shared" si="19"/>
        <v>185908</v>
      </c>
      <c r="I68" s="77">
        <f t="shared" si="19"/>
        <v>217359</v>
      </c>
      <c r="J68" s="77">
        <f t="shared" si="19"/>
        <v>224614</v>
      </c>
      <c r="K68" s="77">
        <f t="shared" si="19"/>
        <v>175580</v>
      </c>
      <c r="L68" s="77">
        <f t="shared" si="19"/>
        <v>189987</v>
      </c>
      <c r="M68" s="77">
        <f t="shared" si="19"/>
        <v>186699</v>
      </c>
      <c r="N68" s="77">
        <f t="shared" si="19"/>
        <v>189607</v>
      </c>
      <c r="O68" s="77">
        <f>SUM(O65+O67)</f>
        <v>187625</v>
      </c>
      <c r="P68" s="93">
        <f>SUM(P65+P67)</f>
        <v>2251500</v>
      </c>
    </row>
    <row r="69" spans="1:16" s="98" customFormat="1" ht="25.8" customHeight="1">
      <c r="A69" s="96"/>
      <c r="B69" s="96"/>
      <c r="C69" s="97"/>
      <c r="D69" s="97"/>
      <c r="E69" s="97"/>
      <c r="F69" s="97"/>
      <c r="G69" s="97"/>
      <c r="H69" s="97"/>
      <c r="I69" s="97"/>
      <c r="J69" s="97"/>
      <c r="K69" s="97"/>
      <c r="L69" s="97"/>
      <c r="M69" s="97"/>
      <c r="N69" s="97"/>
      <c r="O69" s="97"/>
      <c r="P69" s="97"/>
    </row>
    <row r="70" spans="1:16" ht="25.8" customHeight="1">
      <c r="A70" s="102" t="s">
        <v>242</v>
      </c>
      <c r="B70" s="102"/>
      <c r="C70" s="103"/>
      <c r="D70" s="103"/>
      <c r="E70" s="103"/>
      <c r="F70" s="103"/>
      <c r="G70" s="103"/>
      <c r="H70" s="103"/>
      <c r="I70" s="103"/>
      <c r="J70" s="103"/>
      <c r="K70" s="103"/>
      <c r="L70" s="103"/>
      <c r="M70" s="103"/>
      <c r="N70" s="103"/>
      <c r="O70" s="104"/>
      <c r="P70" s="103"/>
    </row>
    <row r="71" spans="1:16" ht="25.8" customHeight="1">
      <c r="A71" s="105" t="s">
        <v>224</v>
      </c>
      <c r="B71" s="105"/>
      <c r="C71" s="104">
        <f t="shared" ref="C71:H71" si="20">SUM(C65/C53-1)</f>
        <v>6.3555570689185492E-2</v>
      </c>
      <c r="D71" s="104">
        <f t="shared" si="20"/>
        <v>-1.9474912271032485E-3</v>
      </c>
      <c r="E71" s="104">
        <f t="shared" si="20"/>
        <v>2.4022262082376455E-2</v>
      </c>
      <c r="F71" s="104">
        <f t="shared" si="20"/>
        <v>-4.9026021224015115E-2</v>
      </c>
      <c r="G71" s="104">
        <f t="shared" si="20"/>
        <v>4.5094210517532041E-2</v>
      </c>
      <c r="H71" s="104">
        <f t="shared" si="20"/>
        <v>1.6662632131041688E-2</v>
      </c>
      <c r="I71" s="104">
        <f t="shared" ref="I71:N71" si="21">SUM(I65/I53-1)</f>
        <v>-1.6307365473287816E-2</v>
      </c>
      <c r="J71" s="104">
        <f t="shared" si="21"/>
        <v>1.2076222912444479E-2</v>
      </c>
      <c r="K71" s="104">
        <f t="shared" si="21"/>
        <v>-6.5192465192465132E-3</v>
      </c>
      <c r="L71" s="104">
        <f t="shared" si="21"/>
        <v>4.1568498228849116E-2</v>
      </c>
      <c r="M71" s="104">
        <f t="shared" si="21"/>
        <v>9.637554806927251E-2</v>
      </c>
      <c r="N71" s="104">
        <f t="shared" si="21"/>
        <v>4.039627250520228E-2</v>
      </c>
      <c r="O71" s="104"/>
      <c r="P71" s="104">
        <f>(P65-(SUM(C53:N53)))/(SUM(C53:N53))</f>
        <v>2.1220022334150875E-2</v>
      </c>
    </row>
    <row r="72" spans="1:16" ht="25.8" customHeight="1">
      <c r="A72" s="105" t="s">
        <v>225</v>
      </c>
      <c r="B72" s="105"/>
      <c r="C72" s="104">
        <f t="shared" ref="C72:H73" si="22">SUM(C67/C55-1)</f>
        <v>5.456981428105534E-2</v>
      </c>
      <c r="D72" s="104">
        <f t="shared" si="22"/>
        <v>5.9044365109403918E-2</v>
      </c>
      <c r="E72" s="104">
        <f t="shared" si="22"/>
        <v>8.9632077550121148E-2</v>
      </c>
      <c r="F72" s="104">
        <f t="shared" si="22"/>
        <v>7.1453124434634807E-2</v>
      </c>
      <c r="G72" s="104">
        <f t="shared" si="22"/>
        <v>8.9408903886309288E-2</v>
      </c>
      <c r="H72" s="104">
        <f t="shared" si="22"/>
        <v>-3.309754836221479E-2</v>
      </c>
      <c r="I72" s="104">
        <f>SUM(I67/I55-1)</f>
        <v>8.4335618570277049E-2</v>
      </c>
      <c r="J72" s="104">
        <f t="shared" ref="J72:N73" si="23">SUM(J67/J55-1)</f>
        <v>8.1535530547863777E-2</v>
      </c>
      <c r="K72" s="104">
        <f t="shared" si="23"/>
        <v>7.4364559281314024E-2</v>
      </c>
      <c r="L72" s="104">
        <f t="shared" si="23"/>
        <v>8.6085622981297183E-2</v>
      </c>
      <c r="M72" s="104">
        <f t="shared" si="23"/>
        <v>0.11438598415266088</v>
      </c>
      <c r="N72" s="104">
        <f t="shared" si="23"/>
        <v>0.18051817122945768</v>
      </c>
      <c r="O72" s="104"/>
      <c r="P72" s="104">
        <f>(P67-(SUM(C55:N55)))/(SUM(C55:N55))</f>
        <v>7.8715046432306396E-2</v>
      </c>
    </row>
    <row r="73" spans="1:16" ht="25.8" customHeight="1">
      <c r="A73" s="106" t="s">
        <v>151</v>
      </c>
      <c r="B73" s="106"/>
      <c r="C73" s="104">
        <f t="shared" si="22"/>
        <v>5.7635013096226873E-2</v>
      </c>
      <c r="D73" s="104">
        <f t="shared" si="22"/>
        <v>3.7230757099864675E-2</v>
      </c>
      <c r="E73" s="104">
        <f t="shared" si="22"/>
        <v>6.7025553347812128E-2</v>
      </c>
      <c r="F73" s="104">
        <f t="shared" si="22"/>
        <v>3.1410798405604456E-2</v>
      </c>
      <c r="G73" s="104">
        <f t="shared" si="22"/>
        <v>7.4097566601314835E-2</v>
      </c>
      <c r="H73" s="104">
        <f t="shared" si="22"/>
        <v>-1.3462814083684882E-2</v>
      </c>
      <c r="I73" s="104">
        <f>SUM(I68/I56-1)</f>
        <v>4.4277251697150577E-2</v>
      </c>
      <c r="J73" s="104">
        <f t="shared" si="23"/>
        <v>5.4347621998160012E-2</v>
      </c>
      <c r="K73" s="104">
        <f t="shared" si="23"/>
        <v>4.4975985430566023E-2</v>
      </c>
      <c r="L73" s="104">
        <f t="shared" si="23"/>
        <v>7.0856067096541464E-2</v>
      </c>
      <c r="M73" s="104">
        <f t="shared" si="23"/>
        <v>0.10807169564959351</v>
      </c>
      <c r="N73" s="104">
        <f t="shared" si="23"/>
        <v>0.12536427575155051</v>
      </c>
      <c r="O73" s="104"/>
      <c r="P73" s="104">
        <f>(P68-(SUM(C56:N56)))/(SUM(C56:N56))</f>
        <v>5.7767792838186192E-2</v>
      </c>
    </row>
    <row r="74" spans="1:16" ht="25.8" customHeight="1">
      <c r="A74" s="96"/>
      <c r="B74" s="96"/>
      <c r="C74" s="107"/>
      <c r="D74" s="107"/>
      <c r="E74" s="107"/>
      <c r="F74" s="107"/>
      <c r="G74" s="107"/>
      <c r="H74" s="107"/>
      <c r="I74" s="107"/>
      <c r="J74" s="107"/>
      <c r="K74" s="107"/>
      <c r="L74" s="107"/>
      <c r="M74" s="107"/>
      <c r="N74" s="107"/>
      <c r="O74" s="97"/>
      <c r="P74" s="97"/>
    </row>
    <row r="75" spans="1:16" ht="25.8" customHeight="1">
      <c r="G75" s="108"/>
      <c r="I75" s="109"/>
      <c r="J75" s="108"/>
    </row>
    <row r="76" spans="1:16" ht="25.8" customHeight="1">
      <c r="A76" s="5469" t="s">
        <v>243</v>
      </c>
      <c r="B76" s="5470"/>
      <c r="C76" s="5470"/>
      <c r="D76" s="5470"/>
      <c r="E76" s="5470"/>
      <c r="F76" s="5470"/>
      <c r="G76" s="5470"/>
      <c r="H76" s="5470"/>
      <c r="I76" s="5470"/>
      <c r="J76" s="5470"/>
      <c r="K76" s="5470"/>
      <c r="L76" s="5470"/>
      <c r="M76" s="5470"/>
      <c r="N76" s="5470"/>
      <c r="O76" s="5470"/>
      <c r="P76" s="5471"/>
    </row>
    <row r="77" spans="1:16" ht="25.8" customHeight="1">
      <c r="A77" s="62" t="s">
        <v>217</v>
      </c>
      <c r="B77" s="351"/>
      <c r="C77" s="63" t="s">
        <v>218</v>
      </c>
      <c r="D77" s="63" t="s">
        <v>207</v>
      </c>
      <c r="E77" s="63" t="s">
        <v>208</v>
      </c>
      <c r="F77" s="63" t="s">
        <v>219</v>
      </c>
      <c r="G77" s="63" t="s">
        <v>209</v>
      </c>
      <c r="H77" s="63" t="s">
        <v>210</v>
      </c>
      <c r="I77" s="63" t="s">
        <v>220</v>
      </c>
      <c r="J77" s="63" t="s">
        <v>221</v>
      </c>
      <c r="K77" s="63" t="s">
        <v>211</v>
      </c>
      <c r="L77" s="63" t="s">
        <v>212</v>
      </c>
      <c r="M77" s="63" t="s">
        <v>213</v>
      </c>
      <c r="N77" s="63" t="s">
        <v>222</v>
      </c>
      <c r="O77" s="63" t="s">
        <v>223</v>
      </c>
      <c r="P77" s="64" t="s">
        <v>151</v>
      </c>
    </row>
    <row r="78" spans="1:16" ht="25.8" customHeight="1">
      <c r="A78" s="65" t="s">
        <v>224</v>
      </c>
      <c r="B78" s="352"/>
      <c r="C78" s="99">
        <v>61667</v>
      </c>
      <c r="D78" s="99">
        <v>57923</v>
      </c>
      <c r="E78" s="99">
        <v>56039</v>
      </c>
      <c r="F78" s="99">
        <v>61932</v>
      </c>
      <c r="G78" s="99">
        <v>61906</v>
      </c>
      <c r="H78" s="99">
        <v>76440</v>
      </c>
      <c r="I78" s="99">
        <v>82609</v>
      </c>
      <c r="J78" s="99">
        <v>84240</v>
      </c>
      <c r="K78" s="99">
        <v>64530</v>
      </c>
      <c r="L78" s="99">
        <v>65378</v>
      </c>
      <c r="M78" s="99">
        <v>70283</v>
      </c>
      <c r="N78" s="99">
        <v>75928</v>
      </c>
      <c r="O78" s="60">
        <f>AVERAGE(C78:N78)</f>
        <v>68239.583333333328</v>
      </c>
      <c r="P78" s="68">
        <f>SUM(C78:N78)</f>
        <v>818875</v>
      </c>
    </row>
    <row r="79" spans="1:16" ht="25.8" customHeight="1">
      <c r="A79" s="65" t="s">
        <v>231</v>
      </c>
      <c r="B79" s="352"/>
      <c r="C79" s="99">
        <v>9299</v>
      </c>
      <c r="D79" s="99">
        <v>8798</v>
      </c>
      <c r="E79" s="99">
        <v>9808</v>
      </c>
      <c r="F79" s="99">
        <v>9281</v>
      </c>
      <c r="G79" s="99">
        <v>8655</v>
      </c>
      <c r="H79" s="99">
        <v>11318</v>
      </c>
      <c r="I79" s="99">
        <v>11743</v>
      </c>
      <c r="J79" s="99">
        <v>11783</v>
      </c>
      <c r="K79" s="99">
        <v>9136</v>
      </c>
      <c r="L79" s="99">
        <v>8645</v>
      </c>
      <c r="M79" s="99">
        <v>9335</v>
      </c>
      <c r="N79" s="99">
        <v>7867</v>
      </c>
      <c r="O79" s="60">
        <f>AVERAGE(C79:N79)</f>
        <v>9639</v>
      </c>
      <c r="P79" s="68">
        <f>SUM(C79:N79)</f>
        <v>115668</v>
      </c>
    </row>
    <row r="80" spans="1:16" ht="25.8" customHeight="1" thickBot="1">
      <c r="A80" s="100" t="s">
        <v>240</v>
      </c>
      <c r="B80" s="354"/>
      <c r="C80" s="101">
        <v>120475</v>
      </c>
      <c r="D80" s="101">
        <v>113239</v>
      </c>
      <c r="E80" s="101">
        <v>124746</v>
      </c>
      <c r="F80" s="101">
        <v>128488</v>
      </c>
      <c r="G80" s="101">
        <v>124971</v>
      </c>
      <c r="H80" s="101">
        <v>122153</v>
      </c>
      <c r="I80" s="101">
        <v>140710</v>
      </c>
      <c r="J80" s="101">
        <v>144489</v>
      </c>
      <c r="K80" s="101">
        <v>126553</v>
      </c>
      <c r="L80" s="101">
        <v>132533</v>
      </c>
      <c r="M80" s="101">
        <v>125655</v>
      </c>
      <c r="N80" s="101">
        <v>129201</v>
      </c>
      <c r="O80" s="60">
        <f>AVERAGE(C80:N80)</f>
        <v>127767.75</v>
      </c>
      <c r="P80" s="68">
        <f>SUM(C80:N80)</f>
        <v>1533213</v>
      </c>
    </row>
    <row r="81" spans="1:16" ht="25.8" customHeight="1" thickBot="1">
      <c r="A81" s="69" t="s">
        <v>244</v>
      </c>
      <c r="B81" s="353"/>
      <c r="C81" s="77">
        <f t="shared" ref="C81:N81" si="24">SUM(C78+C80)</f>
        <v>182142</v>
      </c>
      <c r="D81" s="77">
        <f t="shared" si="24"/>
        <v>171162</v>
      </c>
      <c r="E81" s="77">
        <f t="shared" si="24"/>
        <v>180785</v>
      </c>
      <c r="F81" s="77">
        <f t="shared" si="24"/>
        <v>190420</v>
      </c>
      <c r="G81" s="77">
        <f t="shared" si="24"/>
        <v>186877</v>
      </c>
      <c r="H81" s="77">
        <f t="shared" si="24"/>
        <v>198593</v>
      </c>
      <c r="I81" s="77">
        <f t="shared" si="24"/>
        <v>223319</v>
      </c>
      <c r="J81" s="77">
        <f t="shared" si="24"/>
        <v>228729</v>
      </c>
      <c r="K81" s="77">
        <f t="shared" si="24"/>
        <v>191083</v>
      </c>
      <c r="L81" s="77">
        <f t="shared" si="24"/>
        <v>197911</v>
      </c>
      <c r="M81" s="77">
        <f t="shared" si="24"/>
        <v>195938</v>
      </c>
      <c r="N81" s="77">
        <f t="shared" si="24"/>
        <v>205129</v>
      </c>
      <c r="O81" s="77">
        <f>SUM(O78+O80)</f>
        <v>196007.33333333331</v>
      </c>
      <c r="P81" s="93">
        <f>SUM(P78+P80)</f>
        <v>2352088</v>
      </c>
    </row>
    <row r="82" spans="1:16" ht="25.8" customHeight="1">
      <c r="A82" s="96"/>
      <c r="B82" s="96"/>
      <c r="C82" s="97"/>
      <c r="D82" s="97"/>
      <c r="E82" s="97"/>
      <c r="F82" s="97"/>
      <c r="G82" s="97"/>
      <c r="H82" s="97"/>
      <c r="I82" s="97"/>
      <c r="J82" s="97"/>
      <c r="K82" s="97"/>
      <c r="L82" s="97"/>
      <c r="M82" s="97"/>
      <c r="N82" s="97"/>
      <c r="O82" s="97"/>
      <c r="P82" s="97"/>
    </row>
    <row r="83" spans="1:16" ht="25.8" customHeight="1">
      <c r="A83" s="102" t="s">
        <v>245</v>
      </c>
      <c r="B83" s="102"/>
      <c r="C83" s="103"/>
      <c r="D83" s="103"/>
      <c r="E83" s="103"/>
      <c r="F83" s="103"/>
      <c r="G83" s="103"/>
      <c r="H83" s="103"/>
      <c r="I83" s="103"/>
      <c r="J83" s="103"/>
      <c r="K83" s="103"/>
      <c r="L83" s="103"/>
      <c r="M83" s="103"/>
      <c r="N83" s="103"/>
      <c r="O83" s="104"/>
      <c r="P83" s="103"/>
    </row>
    <row r="84" spans="1:16" ht="25.8" customHeight="1">
      <c r="A84" s="105" t="s">
        <v>224</v>
      </c>
      <c r="B84" s="105"/>
      <c r="C84" s="104">
        <f t="shared" ref="C84:N84" si="25">SUM(C78/C65-1)</f>
        <v>-1.2838367830443898E-2</v>
      </c>
      <c r="D84" s="104">
        <f t="shared" si="25"/>
        <v>6.6270272260368523E-2</v>
      </c>
      <c r="E84" s="104">
        <f>SUM(E78/E65-1)</f>
        <v>-8.2621222538715955E-2</v>
      </c>
      <c r="F84" s="104">
        <f>SUM(F78/F65-1)</f>
        <v>0.18339893759315173</v>
      </c>
      <c r="G84" s="104">
        <f t="shared" si="25"/>
        <v>-1.1417894955366381E-2</v>
      </c>
      <c r="H84" s="104">
        <f t="shared" si="25"/>
        <v>1.1151236160165112E-2</v>
      </c>
      <c r="I84" s="104">
        <f t="shared" si="25"/>
        <v>1.3669550279158171E-2</v>
      </c>
      <c r="J84" s="104">
        <f t="shared" si="25"/>
        <v>-1.8247742730526095E-3</v>
      </c>
      <c r="K84" s="104">
        <f t="shared" si="25"/>
        <v>6.3938534590780138E-2</v>
      </c>
      <c r="L84" s="104">
        <f t="shared" si="25"/>
        <v>3.4167483944446131E-2</v>
      </c>
      <c r="M84" s="104">
        <f t="shared" si="25"/>
        <v>8.5217095917484942E-2</v>
      </c>
      <c r="N84" s="104">
        <f t="shared" si="25"/>
        <v>0.10045364291201064</v>
      </c>
      <c r="O84" s="104"/>
      <c r="P84" s="104">
        <f>(P78-(SUM(C65:N65)))/(SUM(C65:N65))</f>
        <v>3.399835848222741E-2</v>
      </c>
    </row>
    <row r="85" spans="1:16" ht="25.8" customHeight="1">
      <c r="A85" s="105" t="s">
        <v>225</v>
      </c>
      <c r="B85" s="105"/>
      <c r="C85" s="104">
        <f t="shared" ref="C85:H86" si="26">SUM(C80/C67-1)</f>
        <v>6.9624379398538494E-3</v>
      </c>
      <c r="D85" s="104">
        <f t="shared" si="26"/>
        <v>9.3790145756261545E-2</v>
      </c>
      <c r="E85" s="104">
        <f t="shared" si="26"/>
        <v>8.8963654303415574E-3</v>
      </c>
      <c r="F85" s="104">
        <f t="shared" si="26"/>
        <v>8.4772092159362433E-2</v>
      </c>
      <c r="G85" s="104">
        <f t="shared" si="26"/>
        <v>1.0691554319080643E-2</v>
      </c>
      <c r="H85" s="104">
        <f t="shared" si="26"/>
        <v>0.10735103480160646</v>
      </c>
      <c r="I85" s="104">
        <f>SUM(I80/I67-1)</f>
        <v>3.5668020962138502E-2</v>
      </c>
      <c r="J85" s="104">
        <f t="shared" ref="J85:M86" si="27">SUM(J80/J67-1)</f>
        <v>3.0445014976465457E-2</v>
      </c>
      <c r="K85" s="104">
        <f t="shared" si="27"/>
        <v>0.10115028539607396</v>
      </c>
      <c r="L85" s="104">
        <f t="shared" si="27"/>
        <v>4.546852937232293E-2</v>
      </c>
      <c r="M85" s="104">
        <f t="shared" si="27"/>
        <v>3.0508057571656977E-2</v>
      </c>
      <c r="N85" s="104">
        <f>SUM(N80/N67-1)</f>
        <v>7.1229582953320714E-2</v>
      </c>
      <c r="O85" s="104"/>
      <c r="P85" s="104">
        <f>(P80-(SUM(C67:N67)))/(SUM(C67:N67))</f>
        <v>5.0469665307800352E-2</v>
      </c>
    </row>
    <row r="86" spans="1:16" ht="25.8" customHeight="1">
      <c r="A86" s="106" t="s">
        <v>151</v>
      </c>
      <c r="B86" s="106"/>
      <c r="C86" s="104">
        <f t="shared" si="26"/>
        <v>1.7022585126658107E-4</v>
      </c>
      <c r="D86" s="104">
        <f t="shared" si="26"/>
        <v>8.4319489141727599E-2</v>
      </c>
      <c r="E86" s="104">
        <f t="shared" si="26"/>
        <v>-2.136608708832255E-2</v>
      </c>
      <c r="F86" s="104">
        <f t="shared" si="26"/>
        <v>0.11499522780637195</v>
      </c>
      <c r="G86" s="104">
        <f t="shared" si="26"/>
        <v>3.2587104740431361E-3</v>
      </c>
      <c r="H86" s="104">
        <f t="shared" si="26"/>
        <v>6.8232674225961132E-2</v>
      </c>
      <c r="I86" s="104">
        <f>SUM(I81/I68-1)</f>
        <v>2.7420074623089041E-2</v>
      </c>
      <c r="J86" s="104">
        <f t="shared" si="27"/>
        <v>1.8320318412921699E-2</v>
      </c>
      <c r="K86" s="104">
        <f t="shared" si="27"/>
        <v>8.8295933477616995E-2</v>
      </c>
      <c r="L86" s="104">
        <f t="shared" si="27"/>
        <v>4.1708116871154388E-2</v>
      </c>
      <c r="M86" s="104">
        <f t="shared" si="27"/>
        <v>4.9486071162673673E-2</v>
      </c>
      <c r="N86" s="104">
        <f>SUM(N81/N68-1)</f>
        <v>8.1864066200087571E-2</v>
      </c>
      <c r="O86" s="104"/>
      <c r="P86" s="104">
        <f>(P81-(SUM(C68:N68)))/(SUM(C68:N68))</f>
        <v>4.4675993781923162E-2</v>
      </c>
    </row>
    <row r="87" spans="1:16" ht="25.8" customHeight="1"/>
    <row r="88" spans="1:16" ht="25.8" customHeight="1"/>
    <row r="89" spans="1:16" ht="25.8" customHeight="1">
      <c r="A89" s="5469" t="s">
        <v>246</v>
      </c>
      <c r="B89" s="5470"/>
      <c r="C89" s="5470"/>
      <c r="D89" s="5470"/>
      <c r="E89" s="5470"/>
      <c r="F89" s="5470"/>
      <c r="G89" s="5470"/>
      <c r="H89" s="5470"/>
      <c r="I89" s="5470"/>
      <c r="J89" s="5470"/>
      <c r="K89" s="5470"/>
      <c r="L89" s="5470"/>
      <c r="M89" s="5470"/>
      <c r="N89" s="5470"/>
      <c r="O89" s="5470"/>
      <c r="P89" s="5471"/>
    </row>
    <row r="90" spans="1:16" ht="25.8" customHeight="1">
      <c r="A90" s="62" t="s">
        <v>217</v>
      </c>
      <c r="B90" s="351"/>
      <c r="C90" s="63" t="s">
        <v>218</v>
      </c>
      <c r="D90" s="63" t="s">
        <v>207</v>
      </c>
      <c r="E90" s="63" t="s">
        <v>208</v>
      </c>
      <c r="F90" s="63" t="s">
        <v>219</v>
      </c>
      <c r="G90" s="63" t="s">
        <v>209</v>
      </c>
      <c r="H90" s="63" t="s">
        <v>210</v>
      </c>
      <c r="I90" s="63" t="s">
        <v>220</v>
      </c>
      <c r="J90" s="63" t="s">
        <v>221</v>
      </c>
      <c r="K90" s="63" t="s">
        <v>211</v>
      </c>
      <c r="L90" s="63" t="s">
        <v>212</v>
      </c>
      <c r="M90" s="63" t="s">
        <v>213</v>
      </c>
      <c r="N90" s="63" t="s">
        <v>222</v>
      </c>
      <c r="O90" s="63" t="s">
        <v>223</v>
      </c>
      <c r="P90" s="64" t="s">
        <v>151</v>
      </c>
    </row>
    <row r="91" spans="1:16" ht="25.8" customHeight="1">
      <c r="A91" s="65" t="s">
        <v>247</v>
      </c>
      <c r="B91" s="352"/>
      <c r="C91" s="99">
        <f>64036+1043</f>
        <v>65079</v>
      </c>
      <c r="D91" s="99">
        <f>60316+1792</f>
        <v>62108</v>
      </c>
      <c r="E91" s="99">
        <f>64490+1599</f>
        <v>66089</v>
      </c>
      <c r="F91" s="99">
        <f>59558+3213</f>
        <v>62771</v>
      </c>
      <c r="G91" s="99">
        <f>68412+3062</f>
        <v>71474</v>
      </c>
      <c r="H91" s="99">
        <f>75604+2929</f>
        <v>78533</v>
      </c>
      <c r="I91" s="99">
        <f>80728+4007</f>
        <v>84735</v>
      </c>
      <c r="J91" s="99">
        <f>84554+7582</f>
        <v>92136</v>
      </c>
      <c r="K91" s="99">
        <f>66201+1597</f>
        <v>67798</v>
      </c>
      <c r="L91" s="99">
        <f>67121+658</f>
        <v>67779</v>
      </c>
      <c r="M91" s="99">
        <f>72844+35</f>
        <v>72879</v>
      </c>
      <c r="N91" s="99">
        <f>73397+692</f>
        <v>74089</v>
      </c>
      <c r="O91" s="60">
        <f>AVERAGE(C91:N91)</f>
        <v>72122.5</v>
      </c>
      <c r="P91" s="68">
        <f>SUM(C91:N91)</f>
        <v>865470</v>
      </c>
    </row>
    <row r="92" spans="1:16" ht="25.8" customHeight="1">
      <c r="A92" s="65" t="s">
        <v>231</v>
      </c>
      <c r="B92" s="352"/>
      <c r="C92" s="99">
        <v>11769</v>
      </c>
      <c r="D92" s="99">
        <v>9165</v>
      </c>
      <c r="E92" s="99">
        <v>10662</v>
      </c>
      <c r="F92" s="99">
        <v>8060</v>
      </c>
      <c r="G92" s="99">
        <v>8046</v>
      </c>
      <c r="H92" s="99">
        <v>9586</v>
      </c>
      <c r="I92" s="99">
        <v>9665</v>
      </c>
      <c r="J92" s="99">
        <v>8940</v>
      </c>
      <c r="K92" s="99">
        <v>9228</v>
      </c>
      <c r="L92" s="99">
        <v>8821</v>
      </c>
      <c r="M92" s="99">
        <v>7199</v>
      </c>
      <c r="N92" s="99">
        <v>10023</v>
      </c>
      <c r="O92" s="60">
        <f>AVERAGE(C92:N92)</f>
        <v>9263.6666666666661</v>
      </c>
      <c r="P92" s="68">
        <f>SUM(C92:N92)</f>
        <v>111164</v>
      </c>
    </row>
    <row r="93" spans="1:16" ht="25.8" customHeight="1" thickBot="1">
      <c r="A93" s="100" t="s">
        <v>240</v>
      </c>
      <c r="B93" s="354"/>
      <c r="C93" s="101">
        <v>129890</v>
      </c>
      <c r="D93" s="101">
        <v>124766</v>
      </c>
      <c r="E93" s="101">
        <v>135618</v>
      </c>
      <c r="F93" s="101">
        <v>134178</v>
      </c>
      <c r="G93" s="101">
        <v>135212</v>
      </c>
      <c r="H93" s="101">
        <v>134654</v>
      </c>
      <c r="I93" s="101">
        <v>149272</v>
      </c>
      <c r="J93" s="101">
        <v>155081</v>
      </c>
      <c r="K93" s="101">
        <v>138378</v>
      </c>
      <c r="L93" s="101">
        <v>143352</v>
      </c>
      <c r="M93" s="101">
        <v>119713</v>
      </c>
      <c r="N93" s="101">
        <v>142814</v>
      </c>
      <c r="O93" s="60">
        <f>AVERAGE(C93:N93)</f>
        <v>136910.66666666666</v>
      </c>
      <c r="P93" s="68">
        <f>SUM(C93:N93)</f>
        <v>1642928</v>
      </c>
    </row>
    <row r="94" spans="1:16" ht="25.8" customHeight="1" thickBot="1">
      <c r="A94" s="69" t="s">
        <v>248</v>
      </c>
      <c r="B94" s="353"/>
      <c r="C94" s="77">
        <f t="shared" ref="C94:K94" si="28">SUM(C91+C93)</f>
        <v>194969</v>
      </c>
      <c r="D94" s="77">
        <f t="shared" si="28"/>
        <v>186874</v>
      </c>
      <c r="E94" s="77">
        <f t="shared" si="28"/>
        <v>201707</v>
      </c>
      <c r="F94" s="77">
        <f t="shared" si="28"/>
        <v>196949</v>
      </c>
      <c r="G94" s="77">
        <f t="shared" si="28"/>
        <v>206686</v>
      </c>
      <c r="H94" s="77">
        <f t="shared" si="28"/>
        <v>213187</v>
      </c>
      <c r="I94" s="77">
        <f t="shared" si="28"/>
        <v>234007</v>
      </c>
      <c r="J94" s="77">
        <f t="shared" si="28"/>
        <v>247217</v>
      </c>
      <c r="K94" s="77">
        <f t="shared" si="28"/>
        <v>206176</v>
      </c>
      <c r="L94" s="77">
        <f>SUM(L91+L93)</f>
        <v>211131</v>
      </c>
      <c r="M94" s="77">
        <f>SUM(M91+M93)</f>
        <v>192592</v>
      </c>
      <c r="N94" s="77">
        <f>SUM(N91+N93)</f>
        <v>216903</v>
      </c>
      <c r="O94" s="77">
        <f>SUM(O91+O93)</f>
        <v>209033.16666666666</v>
      </c>
      <c r="P94" s="93">
        <f>SUM(P91+P93)</f>
        <v>2508398</v>
      </c>
    </row>
    <row r="95" spans="1:16" ht="25.8" customHeight="1">
      <c r="A95" s="96"/>
      <c r="B95" s="96"/>
      <c r="C95" s="97"/>
      <c r="D95" s="97"/>
      <c r="E95" s="97"/>
      <c r="F95" s="97"/>
      <c r="G95" s="97"/>
      <c r="H95" s="97"/>
      <c r="I95" s="97"/>
      <c r="J95" s="97"/>
      <c r="K95" s="97"/>
      <c r="L95" s="97"/>
      <c r="M95" s="97"/>
      <c r="N95" s="97"/>
      <c r="O95" s="97"/>
      <c r="P95" s="97"/>
    </row>
    <row r="96" spans="1:16" ht="25.8" customHeight="1">
      <c r="A96" s="102" t="s">
        <v>249</v>
      </c>
      <c r="B96" s="102"/>
      <c r="C96" s="103"/>
      <c r="D96" s="103"/>
      <c r="E96" s="103"/>
      <c r="F96" s="103"/>
      <c r="G96" s="103"/>
      <c r="H96" s="103"/>
      <c r="I96" s="103"/>
      <c r="J96" s="103"/>
      <c r="K96" s="103"/>
      <c r="L96" s="103"/>
      <c r="M96" s="103"/>
      <c r="N96" s="103"/>
      <c r="O96" s="104"/>
      <c r="P96" s="103"/>
    </row>
    <row r="97" spans="1:26" ht="25.8" customHeight="1">
      <c r="A97" s="105" t="s">
        <v>224</v>
      </c>
      <c r="B97" s="105"/>
      <c r="C97" s="104">
        <f t="shared" ref="C97:H97" si="29">SUM(C91/C78-1)</f>
        <v>5.5329430651726241E-2</v>
      </c>
      <c r="D97" s="104">
        <f t="shared" si="29"/>
        <v>7.2251091966921699E-2</v>
      </c>
      <c r="E97" s="104">
        <f t="shared" si="29"/>
        <v>0.17933938864005428</v>
      </c>
      <c r="F97" s="104">
        <f t="shared" si="29"/>
        <v>1.354711619195248E-2</v>
      </c>
      <c r="G97" s="104">
        <f t="shared" si="29"/>
        <v>0.15455690886182283</v>
      </c>
      <c r="H97" s="104">
        <f t="shared" si="29"/>
        <v>2.7380952380952284E-2</v>
      </c>
      <c r="I97" s="104">
        <f t="shared" ref="I97:N97" si="30">SUM(I91/I78-1)</f>
        <v>2.573569465796699E-2</v>
      </c>
      <c r="J97" s="104">
        <f t="shared" si="30"/>
        <v>9.3732193732193769E-2</v>
      </c>
      <c r="K97" s="104">
        <f t="shared" si="30"/>
        <v>5.0643111730977797E-2</v>
      </c>
      <c r="L97" s="104">
        <f t="shared" si="30"/>
        <v>3.6724892165560297E-2</v>
      </c>
      <c r="M97" s="104">
        <f t="shared" si="30"/>
        <v>3.6936385754734458E-2</v>
      </c>
      <c r="N97" s="104">
        <f t="shared" si="30"/>
        <v>-2.4220313981666797E-2</v>
      </c>
      <c r="O97" s="104"/>
      <c r="P97" s="104">
        <f>(P91-(SUM(C78:N78)))/(SUM(C78:N78))</f>
        <v>5.6901236452450009E-2</v>
      </c>
    </row>
    <row r="98" spans="1:26" ht="25.8" customHeight="1">
      <c r="A98" s="105" t="s">
        <v>225</v>
      </c>
      <c r="B98" s="105"/>
      <c r="C98" s="104">
        <f t="shared" ref="C98:M99" si="31">SUM(C93/C80-1)</f>
        <v>7.814899356713001E-2</v>
      </c>
      <c r="D98" s="104">
        <f t="shared" si="31"/>
        <v>0.10179355169155513</v>
      </c>
      <c r="E98" s="104">
        <f t="shared" si="31"/>
        <v>8.71530950892212E-2</v>
      </c>
      <c r="F98" s="104">
        <f t="shared" si="31"/>
        <v>4.4284291140028742E-2</v>
      </c>
      <c r="G98" s="104">
        <f t="shared" si="31"/>
        <v>8.1947011706716033E-2</v>
      </c>
      <c r="H98" s="104">
        <f t="shared" si="31"/>
        <v>0.10233887010552345</v>
      </c>
      <c r="I98" s="104">
        <f>SUM(I93/I80-1)</f>
        <v>6.0848553763058755E-2</v>
      </c>
      <c r="J98" s="104">
        <f t="shared" si="31"/>
        <v>7.3306618496909781E-2</v>
      </c>
      <c r="K98" s="104">
        <f t="shared" si="31"/>
        <v>9.3439112466713548E-2</v>
      </c>
      <c r="L98" s="104">
        <f t="shared" si="31"/>
        <v>8.1632499075701803E-2</v>
      </c>
      <c r="M98" s="104">
        <f t="shared" si="31"/>
        <v>-4.728820978074888E-2</v>
      </c>
      <c r="N98" s="104">
        <f>SUM(N93/N80-1)</f>
        <v>0.10536296158698466</v>
      </c>
      <c r="O98" s="104"/>
      <c r="P98" s="110">
        <f>(P93-(SUM(C80:N80)))/(SUM(C80:N80))</f>
        <v>7.1558876685757292E-2</v>
      </c>
    </row>
    <row r="99" spans="1:26" ht="25.8" customHeight="1">
      <c r="A99" s="106" t="s">
        <v>151</v>
      </c>
      <c r="B99" s="106"/>
      <c r="C99" s="104">
        <f t="shared" si="31"/>
        <v>7.042307650075208E-2</v>
      </c>
      <c r="D99" s="104">
        <f t="shared" si="31"/>
        <v>9.1796076231873913E-2</v>
      </c>
      <c r="E99" s="104">
        <f t="shared" si="31"/>
        <v>0.11572862792820193</v>
      </c>
      <c r="F99" s="104">
        <f t="shared" si="31"/>
        <v>3.4287364772607853E-2</v>
      </c>
      <c r="G99" s="104">
        <f t="shared" si="31"/>
        <v>0.10600020334230531</v>
      </c>
      <c r="H99" s="104">
        <f t="shared" si="31"/>
        <v>7.3486980910706823E-2</v>
      </c>
      <c r="I99" s="104">
        <f>SUM(I94/I81-1)</f>
        <v>4.7859788016245908E-2</v>
      </c>
      <c r="J99" s="104">
        <f t="shared" si="31"/>
        <v>8.0829278316260744E-2</v>
      </c>
      <c r="K99" s="104">
        <f t="shared" si="31"/>
        <v>7.8986618380494367E-2</v>
      </c>
      <c r="L99" s="104">
        <f t="shared" si="31"/>
        <v>6.6797701997362458E-2</v>
      </c>
      <c r="M99" s="104">
        <f t="shared" si="31"/>
        <v>-1.7076830425951095E-2</v>
      </c>
      <c r="N99" s="104">
        <f>SUM(N94/N81-1)</f>
        <v>5.7398027582643119E-2</v>
      </c>
      <c r="O99" s="104"/>
      <c r="P99" s="104">
        <f>(P94-(SUM(C81:N81)))/(SUM(C81:N81))</f>
        <v>6.645584689008234E-2</v>
      </c>
    </row>
    <row r="100" spans="1:26" ht="25.8" customHeight="1"/>
    <row r="101" spans="1:26" ht="25.8" customHeight="1">
      <c r="A101" s="5469" t="s">
        <v>250</v>
      </c>
      <c r="B101" s="5470"/>
      <c r="C101" s="5470"/>
      <c r="D101" s="5470"/>
      <c r="E101" s="5470"/>
      <c r="F101" s="5470"/>
      <c r="G101" s="5470"/>
      <c r="H101" s="5470"/>
      <c r="I101" s="5470"/>
      <c r="J101" s="5470"/>
      <c r="K101" s="5470"/>
      <c r="L101" s="5470"/>
      <c r="M101" s="5470"/>
      <c r="N101" s="5470"/>
      <c r="O101" s="5470"/>
      <c r="P101" s="5471"/>
    </row>
    <row r="102" spans="1:26" ht="25.8" customHeight="1">
      <c r="A102" s="62" t="s">
        <v>217</v>
      </c>
      <c r="B102" s="351"/>
      <c r="C102" s="63" t="s">
        <v>218</v>
      </c>
      <c r="D102" s="63" t="s">
        <v>207</v>
      </c>
      <c r="E102" s="63" t="s">
        <v>208</v>
      </c>
      <c r="F102" s="63" t="s">
        <v>219</v>
      </c>
      <c r="G102" s="63" t="s">
        <v>209</v>
      </c>
      <c r="H102" s="63" t="s">
        <v>210</v>
      </c>
      <c r="I102" s="63" t="s">
        <v>220</v>
      </c>
      <c r="J102" s="63" t="s">
        <v>221</v>
      </c>
      <c r="K102" s="63" t="s">
        <v>211</v>
      </c>
      <c r="L102" s="63" t="s">
        <v>212</v>
      </c>
      <c r="M102" s="63" t="s">
        <v>213</v>
      </c>
      <c r="N102" s="63" t="s">
        <v>222</v>
      </c>
      <c r="O102" s="63" t="s">
        <v>223</v>
      </c>
      <c r="P102" s="64" t="s">
        <v>151</v>
      </c>
    </row>
    <row r="103" spans="1:26" ht="25.8" customHeight="1">
      <c r="A103" s="65" t="s">
        <v>224</v>
      </c>
      <c r="B103" s="352"/>
      <c r="C103" s="99">
        <f>58730+293</f>
        <v>59023</v>
      </c>
      <c r="D103" s="99">
        <f>57940+343</f>
        <v>58283</v>
      </c>
      <c r="E103" s="99">
        <f>65875+84</f>
        <v>65959</v>
      </c>
      <c r="F103" s="99">
        <f>61145+2116</f>
        <v>63261</v>
      </c>
      <c r="G103" s="99">
        <f>67843+2791</f>
        <v>70634</v>
      </c>
      <c r="H103" s="99">
        <f>64590+2325</f>
        <v>66915</v>
      </c>
      <c r="I103" s="99">
        <f>83881+5829</f>
        <v>89710</v>
      </c>
      <c r="J103" s="99">
        <f>82454+12225</f>
        <v>94679</v>
      </c>
      <c r="K103" s="99">
        <f>65904+3538</f>
        <v>69442</v>
      </c>
      <c r="L103" s="99">
        <f>70951+448</f>
        <v>71399</v>
      </c>
      <c r="M103" s="99">
        <f>75584+1810</f>
        <v>77394</v>
      </c>
      <c r="N103" s="99">
        <f>74129+983</f>
        <v>75112</v>
      </c>
      <c r="O103" s="60">
        <f>AVERAGE(C103:N103)</f>
        <v>71817.583333333328</v>
      </c>
      <c r="P103" s="68">
        <f>SUM(C103:N103)</f>
        <v>861811</v>
      </c>
      <c r="R103" s="374"/>
    </row>
    <row r="104" spans="1:26" s="112" customFormat="1" ht="25.8" customHeight="1">
      <c r="A104" s="65" t="s">
        <v>231</v>
      </c>
      <c r="B104" s="352"/>
      <c r="C104" s="99">
        <v>11491</v>
      </c>
      <c r="D104" s="99">
        <v>10214</v>
      </c>
      <c r="E104" s="99">
        <v>10397</v>
      </c>
      <c r="F104" s="99">
        <v>9553</v>
      </c>
      <c r="G104" s="99">
        <v>8801</v>
      </c>
      <c r="H104" s="99">
        <v>9225</v>
      </c>
      <c r="I104" s="99">
        <v>10506</v>
      </c>
      <c r="J104" s="99">
        <v>10215</v>
      </c>
      <c r="K104" s="99">
        <v>9537</v>
      </c>
      <c r="L104" s="99">
        <v>8836</v>
      </c>
      <c r="M104" s="99">
        <v>8817</v>
      </c>
      <c r="N104" s="99">
        <v>11248</v>
      </c>
      <c r="O104" s="60">
        <f>AVERAGE(C104:N104)</f>
        <v>9903.3333333333339</v>
      </c>
      <c r="P104" s="68">
        <f>SUM(C104:N104)</f>
        <v>118840</v>
      </c>
      <c r="Q104" s="375"/>
      <c r="R104" s="375"/>
      <c r="S104" s="375"/>
      <c r="T104" s="375"/>
      <c r="U104" s="375"/>
      <c r="V104" s="375"/>
      <c r="W104" s="375"/>
      <c r="X104" s="375"/>
      <c r="Y104" s="375"/>
      <c r="Z104" s="375"/>
    </row>
    <row r="105" spans="1:26" ht="25.8" customHeight="1" thickBot="1">
      <c r="A105" s="100" t="s">
        <v>240</v>
      </c>
      <c r="B105" s="354"/>
      <c r="C105" s="101">
        <v>146098</v>
      </c>
      <c r="D105" s="101">
        <v>137332</v>
      </c>
      <c r="E105" s="101">
        <v>146888</v>
      </c>
      <c r="F105" s="101">
        <v>144977</v>
      </c>
      <c r="G105" s="101">
        <v>154928</v>
      </c>
      <c r="H105" s="101">
        <v>155364</v>
      </c>
      <c r="I105" s="101">
        <v>171808</v>
      </c>
      <c r="J105" s="101">
        <v>174975</v>
      </c>
      <c r="K105" s="101">
        <v>148989</v>
      </c>
      <c r="L105" s="101">
        <v>149114</v>
      </c>
      <c r="M105" s="101">
        <v>146963</v>
      </c>
      <c r="N105" s="101">
        <v>147356</v>
      </c>
      <c r="O105" s="60">
        <f>AVERAGE(C105:N105)</f>
        <v>152066</v>
      </c>
      <c r="P105" s="68">
        <f>SUM(C105:N105)</f>
        <v>1824792</v>
      </c>
    </row>
    <row r="106" spans="1:26" ht="25.8" customHeight="1" thickBot="1">
      <c r="A106" s="69" t="s">
        <v>251</v>
      </c>
      <c r="B106" s="353"/>
      <c r="C106" s="77">
        <f t="shared" ref="C106:N106" si="32">SUM(C103+C105)</f>
        <v>205121</v>
      </c>
      <c r="D106" s="77">
        <f t="shared" si="32"/>
        <v>195615</v>
      </c>
      <c r="E106" s="77">
        <f t="shared" si="32"/>
        <v>212847</v>
      </c>
      <c r="F106" s="77">
        <f t="shared" si="32"/>
        <v>208238</v>
      </c>
      <c r="G106" s="77">
        <f t="shared" si="32"/>
        <v>225562</v>
      </c>
      <c r="H106" s="77">
        <f t="shared" si="32"/>
        <v>222279</v>
      </c>
      <c r="I106" s="77">
        <f t="shared" si="32"/>
        <v>261518</v>
      </c>
      <c r="J106" s="77">
        <f t="shared" si="32"/>
        <v>269654</v>
      </c>
      <c r="K106" s="77">
        <f t="shared" si="32"/>
        <v>218431</v>
      </c>
      <c r="L106" s="77">
        <f t="shared" si="32"/>
        <v>220513</v>
      </c>
      <c r="M106" s="77">
        <f t="shared" si="32"/>
        <v>224357</v>
      </c>
      <c r="N106" s="77">
        <f t="shared" si="32"/>
        <v>222468</v>
      </c>
      <c r="O106" s="77">
        <f>SUM(O103+O105)</f>
        <v>223883.58333333331</v>
      </c>
      <c r="P106" s="93">
        <f>SUM(P103+P105)</f>
        <v>2686603</v>
      </c>
    </row>
    <row r="107" spans="1:26" ht="25.8" customHeight="1">
      <c r="A107" s="96"/>
      <c r="B107" s="96"/>
      <c r="C107" s="97"/>
      <c r="D107" s="97"/>
      <c r="E107" s="97"/>
      <c r="F107" s="97"/>
      <c r="G107" s="97"/>
      <c r="H107" s="97"/>
      <c r="I107" s="97"/>
      <c r="J107" s="97"/>
      <c r="K107" s="97"/>
      <c r="L107" s="97"/>
      <c r="M107" s="97"/>
      <c r="N107" s="97"/>
      <c r="O107" s="97"/>
      <c r="P107" s="97"/>
    </row>
    <row r="108" spans="1:26" ht="25.8" customHeight="1">
      <c r="A108" s="102" t="s">
        <v>252</v>
      </c>
      <c r="B108" s="102"/>
      <c r="C108" s="103"/>
      <c r="D108" s="103"/>
      <c r="E108" s="103"/>
      <c r="F108" s="103"/>
      <c r="G108" s="103"/>
      <c r="H108" s="103"/>
      <c r="I108" s="103"/>
      <c r="J108" s="103"/>
      <c r="K108" s="103"/>
      <c r="L108" s="103"/>
      <c r="M108" s="103"/>
      <c r="N108" s="103"/>
      <c r="O108" s="104"/>
      <c r="P108" s="103"/>
    </row>
    <row r="109" spans="1:26" ht="25.8" customHeight="1">
      <c r="A109" s="105" t="s">
        <v>224</v>
      </c>
      <c r="B109" s="105"/>
      <c r="C109" s="104">
        <f t="shared" ref="C109:H109" si="33">SUM(C103/C91-1)</f>
        <v>-9.3056131778300188E-2</v>
      </c>
      <c r="D109" s="104">
        <f t="shared" si="33"/>
        <v>-6.1586269079667688E-2</v>
      </c>
      <c r="E109" s="104">
        <f t="shared" si="33"/>
        <v>-1.967044440073229E-3</v>
      </c>
      <c r="F109" s="104">
        <f t="shared" si="33"/>
        <v>7.8061525226618134E-3</v>
      </c>
      <c r="G109" s="104">
        <f t="shared" si="33"/>
        <v>-1.1752525393849522E-2</v>
      </c>
      <c r="H109" s="104">
        <f t="shared" si="33"/>
        <v>-0.14793780958323255</v>
      </c>
      <c r="I109" s="104">
        <f t="shared" ref="I109:N109" si="34">SUM(I103/I91-1)</f>
        <v>5.8712456481973208E-2</v>
      </c>
      <c r="J109" s="104">
        <f t="shared" si="34"/>
        <v>2.7600503603368853E-2</v>
      </c>
      <c r="K109" s="104">
        <f t="shared" si="34"/>
        <v>2.4248502905690472E-2</v>
      </c>
      <c r="L109" s="104">
        <f t="shared" si="34"/>
        <v>5.3408872954749942E-2</v>
      </c>
      <c r="M109" s="104">
        <f t="shared" si="34"/>
        <v>6.1952002634503733E-2</v>
      </c>
      <c r="N109" s="104">
        <f t="shared" si="34"/>
        <v>1.3807717744874326E-2</v>
      </c>
      <c r="O109" s="104"/>
      <c r="P109" s="104">
        <f>(P103-(SUM(C91:N91)))/(SUM(C91:N91))</f>
        <v>-4.2277606387280901E-3</v>
      </c>
    </row>
    <row r="110" spans="1:26" ht="25.8" customHeight="1">
      <c r="A110" s="105" t="s">
        <v>225</v>
      </c>
      <c r="B110" s="105"/>
      <c r="C110" s="104">
        <f t="shared" ref="C110:M111" si="35">SUM(C105/C93-1)</f>
        <v>0.12478250827623372</v>
      </c>
      <c r="D110" s="104">
        <f t="shared" si="35"/>
        <v>0.10071654136543606</v>
      </c>
      <c r="E110" s="104">
        <f t="shared" si="35"/>
        <v>8.310106328068545E-2</v>
      </c>
      <c r="F110" s="104">
        <f t="shared" si="35"/>
        <v>8.0482642460015796E-2</v>
      </c>
      <c r="G110" s="104">
        <f t="shared" si="35"/>
        <v>0.14581546016625735</v>
      </c>
      <c r="H110" s="104">
        <f t="shared" si="35"/>
        <v>0.15380159519954839</v>
      </c>
      <c r="I110" s="104">
        <f>SUM(I105/I93-1)</f>
        <v>0.15097272093895708</v>
      </c>
      <c r="J110" s="104">
        <f t="shared" si="35"/>
        <v>0.1282813497462616</v>
      </c>
      <c r="K110" s="104">
        <f t="shared" si="35"/>
        <v>7.6681264362832291E-2</v>
      </c>
      <c r="L110" s="104">
        <f t="shared" si="35"/>
        <v>4.0194765332886906E-2</v>
      </c>
      <c r="M110" s="104">
        <f t="shared" si="35"/>
        <v>0.22762774301871969</v>
      </c>
      <c r="N110" s="104">
        <f>SUM(N105/N93-1)</f>
        <v>3.1803604688615872E-2</v>
      </c>
      <c r="O110" s="104"/>
      <c r="P110" s="110">
        <f>(P105-(SUM(C93:N93)))/(SUM(C93:N93))</f>
        <v>0.11069505176124578</v>
      </c>
    </row>
    <row r="111" spans="1:26" ht="25.8" customHeight="1">
      <c r="A111" s="106" t="s">
        <v>151</v>
      </c>
      <c r="B111" s="106"/>
      <c r="C111" s="104">
        <f t="shared" si="35"/>
        <v>5.2069816227195087E-2</v>
      </c>
      <c r="D111" s="104">
        <f t="shared" si="35"/>
        <v>4.6774832239904862E-2</v>
      </c>
      <c r="E111" s="104">
        <f t="shared" si="35"/>
        <v>5.5228623696748302E-2</v>
      </c>
      <c r="F111" s="104">
        <f t="shared" si="35"/>
        <v>5.7319407562363756E-2</v>
      </c>
      <c r="G111" s="104">
        <f t="shared" si="35"/>
        <v>9.132694038299638E-2</v>
      </c>
      <c r="H111" s="104">
        <f t="shared" si="35"/>
        <v>4.2648003865151329E-2</v>
      </c>
      <c r="I111" s="104">
        <f>SUM(I106/I94-1)</f>
        <v>0.11756485917087955</v>
      </c>
      <c r="J111" s="104">
        <f t="shared" si="35"/>
        <v>9.075832163645714E-2</v>
      </c>
      <c r="K111" s="104">
        <f t="shared" si="35"/>
        <v>5.9439507993170881E-2</v>
      </c>
      <c r="L111" s="104">
        <f t="shared" si="35"/>
        <v>4.4436866211025272E-2</v>
      </c>
      <c r="M111" s="104">
        <f t="shared" si="35"/>
        <v>0.16493416133588101</v>
      </c>
      <c r="N111" s="104">
        <f>SUM(N106/N94-1)</f>
        <v>2.5656629922131025E-2</v>
      </c>
      <c r="O111" s="104"/>
      <c r="P111" s="104">
        <f>(P106-(SUM(C94:N94)))/(SUM(C94:N94))</f>
        <v>7.1043351174733829E-2</v>
      </c>
    </row>
    <row r="112" spans="1:26" ht="25.8" customHeight="1"/>
    <row r="113" spans="1:19" ht="25.8" customHeight="1">
      <c r="A113" s="5469" t="s">
        <v>253</v>
      </c>
      <c r="B113" s="5470"/>
      <c r="C113" s="5470"/>
      <c r="D113" s="5470"/>
      <c r="E113" s="5470"/>
      <c r="F113" s="5470"/>
      <c r="G113" s="5470"/>
      <c r="H113" s="5470"/>
      <c r="I113" s="5470"/>
      <c r="J113" s="5470"/>
      <c r="K113" s="5470"/>
      <c r="L113" s="5470"/>
      <c r="M113" s="5470"/>
      <c r="N113" s="5470"/>
      <c r="O113" s="5470"/>
      <c r="P113" s="5471"/>
    </row>
    <row r="114" spans="1:19" ht="25.8" customHeight="1">
      <c r="A114" s="62" t="s">
        <v>217</v>
      </c>
      <c r="B114" s="351"/>
      <c r="C114" s="63" t="s">
        <v>218</v>
      </c>
      <c r="D114" s="63" t="s">
        <v>207</v>
      </c>
      <c r="E114" s="63" t="s">
        <v>208</v>
      </c>
      <c r="F114" s="63" t="s">
        <v>219</v>
      </c>
      <c r="G114" s="63" t="s">
        <v>209</v>
      </c>
      <c r="H114" s="63" t="s">
        <v>210</v>
      </c>
      <c r="I114" s="63" t="s">
        <v>220</v>
      </c>
      <c r="J114" s="63" t="s">
        <v>221</v>
      </c>
      <c r="K114" s="63" t="s">
        <v>211</v>
      </c>
      <c r="L114" s="63" t="s">
        <v>212</v>
      </c>
      <c r="M114" s="63" t="s">
        <v>213</v>
      </c>
      <c r="N114" s="63" t="s">
        <v>222</v>
      </c>
      <c r="O114" s="63" t="s">
        <v>223</v>
      </c>
      <c r="P114" s="64" t="s">
        <v>151</v>
      </c>
    </row>
    <row r="115" spans="1:19" ht="25.8" customHeight="1">
      <c r="A115" s="65" t="s">
        <v>224</v>
      </c>
      <c r="B115" s="352"/>
      <c r="C115" s="99">
        <f>68317+671</f>
        <v>68988</v>
      </c>
      <c r="D115" s="99">
        <f>65373+1579</f>
        <v>66952</v>
      </c>
      <c r="E115" s="99">
        <f>68447+393</f>
        <v>68840</v>
      </c>
      <c r="F115" s="99">
        <f>65085+802</f>
        <v>65887</v>
      </c>
      <c r="G115" s="99">
        <f>73096+3418</f>
        <v>76514</v>
      </c>
      <c r="H115" s="99">
        <f>84050+2973</f>
        <v>87023</v>
      </c>
      <c r="I115" s="99">
        <f>86619+7843</f>
        <v>94462</v>
      </c>
      <c r="J115" s="99">
        <f>91363+10058</f>
        <v>101421</v>
      </c>
      <c r="K115" s="99">
        <f>76968+1625</f>
        <v>78593</v>
      </c>
      <c r="L115" s="99">
        <f>80157+251</f>
        <v>80408</v>
      </c>
      <c r="M115" s="99">
        <f>83638+212</f>
        <v>83850</v>
      </c>
      <c r="N115" s="99">
        <f>89579+235</f>
        <v>89814</v>
      </c>
      <c r="O115" s="60">
        <f>AVERAGE(C115:N115)</f>
        <v>80229.333333333328</v>
      </c>
      <c r="P115" s="68">
        <f>SUM(C115:N115)</f>
        <v>962752</v>
      </c>
    </row>
    <row r="116" spans="1:19" ht="25.8" customHeight="1">
      <c r="A116" s="65" t="s">
        <v>231</v>
      </c>
      <c r="B116" s="352"/>
      <c r="C116" s="99">
        <v>10532</v>
      </c>
      <c r="D116" s="99">
        <v>8621</v>
      </c>
      <c r="E116" s="99">
        <v>9608</v>
      </c>
      <c r="F116" s="99">
        <v>8403</v>
      </c>
      <c r="G116" s="99">
        <v>8010</v>
      </c>
      <c r="H116" s="99">
        <v>7854</v>
      </c>
      <c r="I116" s="99">
        <v>8169</v>
      </c>
      <c r="J116" s="99">
        <v>7990</v>
      </c>
      <c r="K116" s="99">
        <v>7532</v>
      </c>
      <c r="L116" s="99">
        <v>7667</v>
      </c>
      <c r="M116" s="99">
        <v>7822</v>
      </c>
      <c r="N116" s="99">
        <v>10756</v>
      </c>
      <c r="O116" s="60">
        <f>AVERAGE(C116:N116)</f>
        <v>8580.3333333333339</v>
      </c>
      <c r="P116" s="68">
        <f>SUM(C116:N116)</f>
        <v>102964</v>
      </c>
      <c r="R116" s="374"/>
    </row>
    <row r="117" spans="1:19" ht="25.8" customHeight="1" thickBot="1">
      <c r="A117" s="100" t="s">
        <v>240</v>
      </c>
      <c r="B117" s="354"/>
      <c r="C117" s="101">
        <v>134226</v>
      </c>
      <c r="D117" s="101">
        <v>125740</v>
      </c>
      <c r="E117" s="101">
        <v>143027</v>
      </c>
      <c r="F117" s="101">
        <v>131782</v>
      </c>
      <c r="G117" s="101">
        <v>139770</v>
      </c>
      <c r="H117" s="101">
        <v>136606</v>
      </c>
      <c r="I117" s="101">
        <v>147934</v>
      </c>
      <c r="J117" s="101">
        <v>153470</v>
      </c>
      <c r="K117" s="101">
        <v>135789</v>
      </c>
      <c r="L117" s="101">
        <v>142987</v>
      </c>
      <c r="M117" s="101">
        <v>142581</v>
      </c>
      <c r="N117" s="101">
        <v>130777</v>
      </c>
      <c r="O117" s="60">
        <f>AVERAGE(C117:N117)</f>
        <v>138724.08333333334</v>
      </c>
      <c r="P117" s="68">
        <f>SUM(C117:N117)</f>
        <v>1664689</v>
      </c>
      <c r="R117" s="376"/>
      <c r="S117" s="374"/>
    </row>
    <row r="118" spans="1:19" ht="25.8" customHeight="1" thickBot="1">
      <c r="A118" s="69" t="s">
        <v>254</v>
      </c>
      <c r="B118" s="353"/>
      <c r="C118" s="77">
        <f t="shared" ref="C118:P118" si="36">SUM(C115+C117)</f>
        <v>203214</v>
      </c>
      <c r="D118" s="77">
        <f t="shared" si="36"/>
        <v>192692</v>
      </c>
      <c r="E118" s="77">
        <f t="shared" si="36"/>
        <v>211867</v>
      </c>
      <c r="F118" s="77">
        <f t="shared" si="36"/>
        <v>197669</v>
      </c>
      <c r="G118" s="77">
        <f t="shared" si="36"/>
        <v>216284</v>
      </c>
      <c r="H118" s="77">
        <f t="shared" si="36"/>
        <v>223629</v>
      </c>
      <c r="I118" s="77">
        <f t="shared" si="36"/>
        <v>242396</v>
      </c>
      <c r="J118" s="77">
        <f t="shared" si="36"/>
        <v>254891</v>
      </c>
      <c r="K118" s="77">
        <f t="shared" si="36"/>
        <v>214382</v>
      </c>
      <c r="L118" s="77">
        <f t="shared" si="36"/>
        <v>223395</v>
      </c>
      <c r="M118" s="77">
        <f t="shared" si="36"/>
        <v>226431</v>
      </c>
      <c r="N118" s="77">
        <f t="shared" si="36"/>
        <v>220591</v>
      </c>
      <c r="O118" s="77">
        <f t="shared" si="36"/>
        <v>218953.41666666669</v>
      </c>
      <c r="P118" s="77">
        <f t="shared" si="36"/>
        <v>2627441</v>
      </c>
      <c r="S118" s="375"/>
    </row>
    <row r="119" spans="1:19" ht="25.8" customHeight="1">
      <c r="A119" s="96"/>
      <c r="B119" s="96"/>
      <c r="C119" s="97"/>
      <c r="D119" s="97"/>
      <c r="E119" s="97"/>
      <c r="F119" s="97"/>
      <c r="G119" s="97"/>
      <c r="H119" s="97"/>
      <c r="I119" s="97"/>
      <c r="J119" s="97"/>
      <c r="K119" s="97"/>
      <c r="L119" s="97"/>
      <c r="M119" s="97"/>
      <c r="N119" s="97"/>
      <c r="O119" s="97"/>
      <c r="P119" s="97"/>
    </row>
    <row r="120" spans="1:19" ht="25.8" customHeight="1">
      <c r="A120" s="102" t="s">
        <v>255</v>
      </c>
      <c r="B120" s="102"/>
      <c r="C120" s="103"/>
      <c r="D120" s="103"/>
      <c r="E120" s="103"/>
      <c r="F120" s="103"/>
      <c r="G120" s="103"/>
      <c r="H120" s="103"/>
      <c r="I120" s="103"/>
      <c r="J120" s="103"/>
      <c r="K120" s="103"/>
      <c r="L120" s="103"/>
      <c r="M120" s="103"/>
      <c r="N120" s="103"/>
      <c r="O120" s="104"/>
      <c r="P120" s="103"/>
    </row>
    <row r="121" spans="1:19" ht="25.8" customHeight="1">
      <c r="A121" s="105" t="s">
        <v>224</v>
      </c>
      <c r="B121" s="105"/>
      <c r="C121" s="104">
        <f t="shared" ref="C121:H121" si="37">SUM(C115/C103-1)</f>
        <v>0.16883248902970038</v>
      </c>
      <c r="D121" s="104">
        <f t="shared" si="37"/>
        <v>0.14873976974417924</v>
      </c>
      <c r="E121" s="104">
        <f t="shared" si="37"/>
        <v>4.3678648857623736E-2</v>
      </c>
      <c r="F121" s="104">
        <f t="shared" si="37"/>
        <v>4.1510567332163628E-2</v>
      </c>
      <c r="G121" s="104">
        <f t="shared" si="37"/>
        <v>8.3246028824645268E-2</v>
      </c>
      <c r="H121" s="104">
        <f t="shared" si="37"/>
        <v>0.30050063513412528</v>
      </c>
      <c r="I121" s="104">
        <f t="shared" ref="I121:N121" si="38">SUM(I115/I103-1)</f>
        <v>5.2970683312897116E-2</v>
      </c>
      <c r="J121" s="104">
        <f t="shared" si="38"/>
        <v>7.1209032626031066E-2</v>
      </c>
      <c r="K121" s="104">
        <f t="shared" si="38"/>
        <v>0.13177903862215956</v>
      </c>
      <c r="L121" s="104">
        <f t="shared" si="38"/>
        <v>0.12617823779044524</v>
      </c>
      <c r="M121" s="104">
        <f t="shared" si="38"/>
        <v>8.3417319172028881E-2</v>
      </c>
      <c r="N121" s="104">
        <f t="shared" si="38"/>
        <v>0.19573437000745564</v>
      </c>
      <c r="O121" s="104"/>
      <c r="P121" s="104">
        <f>(P115-(SUM(C103:N103)))/(SUM(C103:N103))</f>
        <v>0.11712660896646712</v>
      </c>
    </row>
    <row r="122" spans="1:19" ht="25.8" customHeight="1">
      <c r="A122" s="105" t="s">
        <v>225</v>
      </c>
      <c r="B122" s="105"/>
      <c r="C122" s="104">
        <f t="shared" ref="C122:N123" si="39">SUM(C117/C105-1)</f>
        <v>-8.1260523758025394E-2</v>
      </c>
      <c r="D122" s="104">
        <f t="shared" si="39"/>
        <v>-8.4408586491131032E-2</v>
      </c>
      <c r="E122" s="104">
        <f t="shared" si="39"/>
        <v>-2.6285333042862624E-2</v>
      </c>
      <c r="F122" s="104">
        <f t="shared" si="39"/>
        <v>-9.1014436772729468E-2</v>
      </c>
      <c r="G122" s="104">
        <f t="shared" si="39"/>
        <v>-9.7838996178870152E-2</v>
      </c>
      <c r="H122" s="104">
        <f t="shared" si="39"/>
        <v>-0.1207358203959733</v>
      </c>
      <c r="I122" s="104">
        <f>SUM(I117/I105-1)</f>
        <v>-0.13895744086422057</v>
      </c>
      <c r="J122" s="104">
        <f t="shared" si="39"/>
        <v>-0.12290327189598516</v>
      </c>
      <c r="K122" s="104">
        <f t="shared" si="39"/>
        <v>-8.8597144755653057E-2</v>
      </c>
      <c r="L122" s="104">
        <f t="shared" si="39"/>
        <v>-4.1089367866196325E-2</v>
      </c>
      <c r="M122" s="104">
        <f t="shared" si="39"/>
        <v>-2.9817028775950383E-2</v>
      </c>
      <c r="N122" s="104">
        <f t="shared" si="39"/>
        <v>-0.11250984011509546</v>
      </c>
      <c r="O122" s="104"/>
      <c r="P122" s="110">
        <f>(P117-(SUM(C105:N105)))/(SUM(C105:N105))</f>
        <v>-8.7737670923590194E-2</v>
      </c>
    </row>
    <row r="123" spans="1:19" ht="25.8" customHeight="1">
      <c r="A123" s="106" t="s">
        <v>151</v>
      </c>
      <c r="B123" s="106"/>
      <c r="C123" s="104">
        <f t="shared" si="39"/>
        <v>-9.2969515554234272E-3</v>
      </c>
      <c r="D123" s="104">
        <f t="shared" si="39"/>
        <v>-1.4942616874983994E-2</v>
      </c>
      <c r="E123" s="104">
        <f t="shared" si="39"/>
        <v>-4.6042462426061359E-3</v>
      </c>
      <c r="F123" s="104">
        <f t="shared" si="39"/>
        <v>-5.0754425224982969E-2</v>
      </c>
      <c r="G123" s="104">
        <f t="shared" si="39"/>
        <v>-4.1132814924499717E-2</v>
      </c>
      <c r="H123" s="104">
        <f t="shared" si="39"/>
        <v>6.0734482339761531E-3</v>
      </c>
      <c r="I123" s="104">
        <f>SUM(I118/I106-1)</f>
        <v>-7.3119249917787732E-2</v>
      </c>
      <c r="J123" s="104">
        <f t="shared" si="39"/>
        <v>-5.4747936244224027E-2</v>
      </c>
      <c r="K123" s="104">
        <f t="shared" si="39"/>
        <v>-1.8536746157825634E-2</v>
      </c>
      <c r="L123" s="104">
        <f t="shared" si="39"/>
        <v>1.3069524245736153E-2</v>
      </c>
      <c r="M123" s="104">
        <f t="shared" si="39"/>
        <v>9.2441956346358545E-3</v>
      </c>
      <c r="N123" s="104">
        <f t="shared" si="39"/>
        <v>-8.437168491648217E-3</v>
      </c>
      <c r="O123" s="104"/>
      <c r="P123" s="104">
        <f>(P118-(SUM(C106:N106)))/(SUM(C106:N106))</f>
        <v>-2.2021117373873252E-2</v>
      </c>
    </row>
    <row r="124" spans="1:19" ht="25.8" customHeight="1"/>
    <row r="125" spans="1:19" ht="25.8" customHeight="1">
      <c r="A125" s="5469" t="s">
        <v>256</v>
      </c>
      <c r="B125" s="5470"/>
      <c r="C125" s="5470"/>
      <c r="D125" s="5470"/>
      <c r="E125" s="5470"/>
      <c r="F125" s="5470"/>
      <c r="G125" s="5470"/>
      <c r="H125" s="5470"/>
      <c r="I125" s="5470"/>
      <c r="J125" s="5470"/>
      <c r="K125" s="5470"/>
      <c r="L125" s="5470"/>
      <c r="M125" s="5470"/>
      <c r="N125" s="5470"/>
      <c r="O125" s="5470"/>
      <c r="P125" s="5471"/>
    </row>
    <row r="126" spans="1:19" ht="25.8" customHeight="1">
      <c r="A126" s="62" t="s">
        <v>217</v>
      </c>
      <c r="B126" s="351"/>
      <c r="C126" s="63" t="s">
        <v>218</v>
      </c>
      <c r="D126" s="63" t="s">
        <v>207</v>
      </c>
      <c r="E126" s="63" t="s">
        <v>208</v>
      </c>
      <c r="F126" s="63" t="s">
        <v>219</v>
      </c>
      <c r="G126" s="63" t="s">
        <v>209</v>
      </c>
      <c r="H126" s="63" t="s">
        <v>210</v>
      </c>
      <c r="I126" s="63" t="s">
        <v>220</v>
      </c>
      <c r="J126" s="63" t="s">
        <v>221</v>
      </c>
      <c r="K126" s="63" t="s">
        <v>211</v>
      </c>
      <c r="L126" s="63" t="s">
        <v>212</v>
      </c>
      <c r="M126" s="63" t="s">
        <v>213</v>
      </c>
      <c r="N126" s="63" t="s">
        <v>222</v>
      </c>
      <c r="O126" s="63" t="s">
        <v>223</v>
      </c>
      <c r="P126" s="64" t="s">
        <v>151</v>
      </c>
    </row>
    <row r="127" spans="1:19" ht="25.8" customHeight="1">
      <c r="A127" s="65" t="s">
        <v>224</v>
      </c>
      <c r="B127" s="352"/>
      <c r="C127" s="120">
        <v>77456</v>
      </c>
      <c r="D127" s="120">
        <v>78911</v>
      </c>
      <c r="E127" s="120">
        <v>84693</v>
      </c>
      <c r="F127" s="120">
        <v>78076</v>
      </c>
      <c r="G127" s="120">
        <v>83219</v>
      </c>
      <c r="H127" s="120">
        <v>95627</v>
      </c>
      <c r="I127" s="120">
        <v>99216</v>
      </c>
      <c r="J127" s="120">
        <v>109120</v>
      </c>
      <c r="K127" s="120">
        <v>89693</v>
      </c>
      <c r="L127" s="120">
        <v>92433</v>
      </c>
      <c r="M127" s="120">
        <v>92226</v>
      </c>
      <c r="N127" s="120">
        <v>98513</v>
      </c>
      <c r="O127" s="60">
        <f>AVERAGE(C127:N127)</f>
        <v>89931.916666666672</v>
      </c>
      <c r="P127" s="68">
        <f>SUM(C127:N127)</f>
        <v>1079183</v>
      </c>
    </row>
    <row r="128" spans="1:19" ht="25.8" customHeight="1">
      <c r="A128" s="65" t="s">
        <v>231</v>
      </c>
      <c r="B128" s="352"/>
      <c r="C128" s="120">
        <v>10020</v>
      </c>
      <c r="D128" s="120">
        <v>8145</v>
      </c>
      <c r="E128" s="120">
        <v>9633</v>
      </c>
      <c r="F128" s="120">
        <v>9248</v>
      </c>
      <c r="G128" s="120">
        <v>9083</v>
      </c>
      <c r="H128" s="120">
        <v>9655</v>
      </c>
      <c r="I128" s="120">
        <v>8834</v>
      </c>
      <c r="J128" s="120">
        <v>8938</v>
      </c>
      <c r="K128" s="120">
        <v>9744</v>
      </c>
      <c r="L128" s="120">
        <v>11174</v>
      </c>
      <c r="M128" s="120">
        <v>10107</v>
      </c>
      <c r="N128" s="120">
        <v>10207</v>
      </c>
      <c r="O128" s="60">
        <f>AVERAGE(C128:N128)</f>
        <v>9565.6666666666661</v>
      </c>
      <c r="P128" s="68">
        <f>SUM(C128:N128)</f>
        <v>114788</v>
      </c>
    </row>
    <row r="129" spans="1:16" ht="25.8" customHeight="1" thickBot="1">
      <c r="A129" s="100" t="s">
        <v>240</v>
      </c>
      <c r="B129" s="354"/>
      <c r="C129" s="122">
        <v>149505</v>
      </c>
      <c r="D129" s="122">
        <v>127669</v>
      </c>
      <c r="E129" s="122">
        <v>129382</v>
      </c>
      <c r="F129" s="122">
        <v>131573</v>
      </c>
      <c r="G129" s="122">
        <v>136238</v>
      </c>
      <c r="H129" s="122">
        <v>136834</v>
      </c>
      <c r="I129" s="122">
        <v>149917</v>
      </c>
      <c r="J129" s="122">
        <v>155729</v>
      </c>
      <c r="K129" s="122">
        <v>127961</v>
      </c>
      <c r="L129" s="122">
        <v>142034</v>
      </c>
      <c r="M129" s="122">
        <v>135083</v>
      </c>
      <c r="N129" s="122">
        <v>125742</v>
      </c>
      <c r="O129" s="60">
        <f>AVERAGE(C129:N129)</f>
        <v>137305.58333333334</v>
      </c>
      <c r="P129" s="68">
        <f>SUM(C129:N129)</f>
        <v>1647667</v>
      </c>
    </row>
    <row r="130" spans="1:16" ht="25.8" customHeight="1" thickBot="1">
      <c r="A130" s="69" t="s">
        <v>257</v>
      </c>
      <c r="B130" s="353"/>
      <c r="C130" s="77">
        <f t="shared" ref="C130:N130" si="40">SUM(C127+C129)</f>
        <v>226961</v>
      </c>
      <c r="D130" s="77">
        <f t="shared" si="40"/>
        <v>206580</v>
      </c>
      <c r="E130" s="77">
        <f t="shared" si="40"/>
        <v>214075</v>
      </c>
      <c r="F130" s="77">
        <f t="shared" si="40"/>
        <v>209649</v>
      </c>
      <c r="G130" s="77">
        <f t="shared" si="40"/>
        <v>219457</v>
      </c>
      <c r="H130" s="77">
        <f t="shared" si="40"/>
        <v>232461</v>
      </c>
      <c r="I130" s="77">
        <f t="shared" si="40"/>
        <v>249133</v>
      </c>
      <c r="J130" s="77">
        <f t="shared" si="40"/>
        <v>264849</v>
      </c>
      <c r="K130" s="77">
        <f t="shared" si="40"/>
        <v>217654</v>
      </c>
      <c r="L130" s="77">
        <f t="shared" si="40"/>
        <v>234467</v>
      </c>
      <c r="M130" s="77">
        <f t="shared" si="40"/>
        <v>227309</v>
      </c>
      <c r="N130" s="77">
        <f t="shared" si="40"/>
        <v>224255</v>
      </c>
      <c r="O130" s="77">
        <f>SUM(O127+O129)</f>
        <v>227237.5</v>
      </c>
      <c r="P130" s="93">
        <f>SUM(P127+P129)</f>
        <v>2726850</v>
      </c>
    </row>
    <row r="131" spans="1:16" ht="25.8" customHeight="1">
      <c r="A131" s="96"/>
      <c r="B131" s="96"/>
      <c r="C131" s="97"/>
      <c r="D131" s="97"/>
      <c r="E131" s="97"/>
      <c r="F131" s="97"/>
      <c r="G131" s="97"/>
      <c r="H131" s="97"/>
      <c r="I131" s="97"/>
      <c r="J131" s="97"/>
      <c r="K131" s="97"/>
      <c r="L131" s="97"/>
      <c r="M131" s="97"/>
      <c r="N131" s="97"/>
      <c r="O131" s="97"/>
      <c r="P131" s="97"/>
    </row>
    <row r="132" spans="1:16" ht="25.8" customHeight="1">
      <c r="A132" s="102" t="s">
        <v>258</v>
      </c>
      <c r="B132" s="102"/>
      <c r="C132" s="103"/>
      <c r="D132" s="103"/>
      <c r="E132" s="103"/>
      <c r="F132" s="103"/>
      <c r="G132" s="103"/>
      <c r="H132" s="103"/>
      <c r="I132" s="103"/>
      <c r="J132" s="103"/>
      <c r="K132" s="103"/>
      <c r="L132" s="103"/>
      <c r="M132" s="103"/>
      <c r="N132" s="103"/>
      <c r="O132" s="104"/>
      <c r="P132" s="103"/>
    </row>
    <row r="133" spans="1:16" ht="25.8" customHeight="1">
      <c r="A133" s="105" t="s">
        <v>224</v>
      </c>
      <c r="B133" s="105"/>
      <c r="C133" s="104">
        <f t="shared" ref="C133:H133" si="41">SUM(C127/C115-1)</f>
        <v>0.12274598480895227</v>
      </c>
      <c r="D133" s="104">
        <f t="shared" si="41"/>
        <v>0.17862050424184495</v>
      </c>
      <c r="E133" s="104">
        <f t="shared" si="41"/>
        <v>0.23028762347472398</v>
      </c>
      <c r="F133" s="104">
        <f t="shared" si="41"/>
        <v>0.18499855813741717</v>
      </c>
      <c r="G133" s="104">
        <f t="shared" si="41"/>
        <v>8.7631021773793005E-2</v>
      </c>
      <c r="H133" s="104">
        <f t="shared" si="41"/>
        <v>9.8870413568826532E-2</v>
      </c>
      <c r="I133" s="104">
        <f t="shared" ref="I133:N133" si="42">SUM(I127/I115-1)</f>
        <v>5.0327115665558697E-2</v>
      </c>
      <c r="J133" s="104">
        <f t="shared" si="42"/>
        <v>7.5911300421017236E-2</v>
      </c>
      <c r="K133" s="104">
        <f t="shared" si="42"/>
        <v>0.1412339521331416</v>
      </c>
      <c r="L133" s="104">
        <f t="shared" si="42"/>
        <v>0.14954979604019503</v>
      </c>
      <c r="M133" s="104">
        <f t="shared" si="42"/>
        <v>9.9892665474060838E-2</v>
      </c>
      <c r="N133" s="104">
        <f t="shared" si="42"/>
        <v>9.6855724051929437E-2</v>
      </c>
      <c r="O133" s="104"/>
      <c r="P133" s="104">
        <f>(P127-(SUM(C115:N115)))/(SUM(C115:N115))</f>
        <v>0.12093560958585388</v>
      </c>
    </row>
    <row r="134" spans="1:16" ht="25.8" customHeight="1">
      <c r="A134" s="105" t="s">
        <v>225</v>
      </c>
      <c r="B134" s="105"/>
      <c r="C134" s="104">
        <f t="shared" ref="C134:N135" si="43">SUM(C129/C117-1)</f>
        <v>0.11383040543560852</v>
      </c>
      <c r="D134" s="104">
        <f t="shared" si="43"/>
        <v>1.5341180213138239E-2</v>
      </c>
      <c r="E134" s="104">
        <f t="shared" si="43"/>
        <v>-9.5401567536199439E-2</v>
      </c>
      <c r="F134" s="104">
        <f t="shared" si="43"/>
        <v>-1.5859525580125267E-3</v>
      </c>
      <c r="G134" s="104">
        <f t="shared" si="43"/>
        <v>-2.5270086570794881E-2</v>
      </c>
      <c r="H134" s="104">
        <f t="shared" si="43"/>
        <v>1.6690335709999005E-3</v>
      </c>
      <c r="I134" s="104">
        <f>SUM(I129/I117-1)</f>
        <v>1.3404626387442997E-2</v>
      </c>
      <c r="J134" s="104">
        <f t="shared" si="43"/>
        <v>1.4719489150974097E-2</v>
      </c>
      <c r="K134" s="104">
        <f t="shared" si="43"/>
        <v>-5.7648263114096099E-2</v>
      </c>
      <c r="L134" s="104">
        <f t="shared" si="43"/>
        <v>-6.6649415681145907E-3</v>
      </c>
      <c r="M134" s="104">
        <f t="shared" si="43"/>
        <v>-5.2587651931182977E-2</v>
      </c>
      <c r="N134" s="104">
        <f t="shared" si="43"/>
        <v>-3.8500653784686922E-2</v>
      </c>
      <c r="O134" s="104"/>
      <c r="P134" s="110">
        <f>(P129-(SUM(C117:N117)))/(SUM(C117:N117))</f>
        <v>-1.0225333380589407E-2</v>
      </c>
    </row>
    <row r="135" spans="1:16" ht="25.8" customHeight="1">
      <c r="A135" s="106" t="s">
        <v>151</v>
      </c>
      <c r="B135" s="106"/>
      <c r="C135" s="104">
        <f t="shared" si="43"/>
        <v>0.11685710630173118</v>
      </c>
      <c r="D135" s="104">
        <f t="shared" si="43"/>
        <v>7.207356818134647E-2</v>
      </c>
      <c r="E135" s="104">
        <f t="shared" si="43"/>
        <v>1.0421632439219009E-2</v>
      </c>
      <c r="F135" s="104">
        <f t="shared" si="43"/>
        <v>6.0606367209830481E-2</v>
      </c>
      <c r="G135" s="104">
        <f t="shared" si="43"/>
        <v>1.4670525790164701E-2</v>
      </c>
      <c r="H135" s="104">
        <f t="shared" si="43"/>
        <v>3.9493983338475758E-2</v>
      </c>
      <c r="I135" s="104">
        <f>SUM(I130/I118-1)</f>
        <v>2.7793362926781029E-2</v>
      </c>
      <c r="J135" s="104">
        <f t="shared" si="43"/>
        <v>3.9067679910236075E-2</v>
      </c>
      <c r="K135" s="104">
        <f t="shared" si="43"/>
        <v>1.5262475394389519E-2</v>
      </c>
      <c r="L135" s="104">
        <f t="shared" si="43"/>
        <v>4.9562434253228593E-2</v>
      </c>
      <c r="M135" s="104">
        <f t="shared" si="43"/>
        <v>3.8775609346777262E-3</v>
      </c>
      <c r="N135" s="104">
        <f t="shared" si="43"/>
        <v>1.6609925155604666E-2</v>
      </c>
      <c r="O135" s="104"/>
      <c r="P135" s="104">
        <f>(P130-(SUM(C118:N118)))/(SUM(C118:N118))</f>
        <v>3.7834912372913414E-2</v>
      </c>
    </row>
    <row r="136" spans="1:16" ht="25.8" customHeight="1"/>
    <row r="137" spans="1:16" ht="25.8" customHeight="1">
      <c r="A137" s="5469" t="s">
        <v>259</v>
      </c>
      <c r="B137" s="5470"/>
      <c r="C137" s="5470"/>
      <c r="D137" s="5470"/>
      <c r="E137" s="5470"/>
      <c r="F137" s="5470"/>
      <c r="G137" s="5470"/>
      <c r="H137" s="5470"/>
      <c r="I137" s="5470"/>
      <c r="J137" s="5470"/>
      <c r="K137" s="5470"/>
      <c r="L137" s="5470"/>
      <c r="M137" s="5470"/>
      <c r="N137" s="5470"/>
      <c r="O137" s="5470"/>
      <c r="P137" s="5471"/>
    </row>
    <row r="138" spans="1:16" ht="25.8" customHeight="1">
      <c r="A138" s="116" t="s">
        <v>217</v>
      </c>
      <c r="B138" s="355"/>
      <c r="C138" s="117" t="s">
        <v>218</v>
      </c>
      <c r="D138" s="117" t="s">
        <v>207</v>
      </c>
      <c r="E138" s="117" t="s">
        <v>208</v>
      </c>
      <c r="F138" s="117" t="s">
        <v>219</v>
      </c>
      <c r="G138" s="117" t="s">
        <v>209</v>
      </c>
      <c r="H138" s="117" t="s">
        <v>210</v>
      </c>
      <c r="I138" s="117" t="s">
        <v>220</v>
      </c>
      <c r="J138" s="117" t="s">
        <v>221</v>
      </c>
      <c r="K138" s="117" t="s">
        <v>211</v>
      </c>
      <c r="L138" s="117" t="s">
        <v>212</v>
      </c>
      <c r="M138" s="117" t="s">
        <v>213</v>
      </c>
      <c r="N138" s="117" t="s">
        <v>222</v>
      </c>
      <c r="O138" s="117" t="s">
        <v>223</v>
      </c>
      <c r="P138" s="118" t="s">
        <v>151</v>
      </c>
    </row>
    <row r="139" spans="1:16" ht="25.8" customHeight="1">
      <c r="A139" s="119" t="s">
        <v>224</v>
      </c>
      <c r="B139" s="356"/>
      <c r="C139" s="120">
        <v>85525</v>
      </c>
      <c r="D139" s="120">
        <v>88166</v>
      </c>
      <c r="E139" s="120">
        <v>88731</v>
      </c>
      <c r="F139" s="120">
        <v>88078</v>
      </c>
      <c r="G139" s="120">
        <v>93892</v>
      </c>
      <c r="H139" s="120">
        <v>100089</v>
      </c>
      <c r="I139" s="120">
        <v>107114</v>
      </c>
      <c r="J139" s="120">
        <v>117359</v>
      </c>
      <c r="K139" s="120">
        <v>97547</v>
      </c>
      <c r="L139" s="120">
        <v>100798</v>
      </c>
      <c r="M139" s="120">
        <v>104521</v>
      </c>
      <c r="N139" s="120">
        <v>118872</v>
      </c>
      <c r="O139" s="60">
        <f>AVERAGE(C139:N139)</f>
        <v>99224.333333333328</v>
      </c>
      <c r="P139" s="68">
        <f>SUM(C139:N139)</f>
        <v>1190692</v>
      </c>
    </row>
    <row r="140" spans="1:16" ht="25.8" customHeight="1">
      <c r="A140" s="119" t="s">
        <v>231</v>
      </c>
      <c r="B140" s="356"/>
      <c r="C140" s="120">
        <v>12497</v>
      </c>
      <c r="D140" s="120">
        <v>9631</v>
      </c>
      <c r="E140" s="120">
        <v>10278</v>
      </c>
      <c r="F140" s="120">
        <v>11547</v>
      </c>
      <c r="G140" s="120">
        <v>9880</v>
      </c>
      <c r="H140" s="120">
        <v>8636</v>
      </c>
      <c r="I140" s="120">
        <v>8261</v>
      </c>
      <c r="J140" s="120">
        <v>7498</v>
      </c>
      <c r="K140" s="120">
        <v>8308</v>
      </c>
      <c r="L140" s="120">
        <v>10756</v>
      </c>
      <c r="M140" s="120">
        <v>12609</v>
      </c>
      <c r="N140" s="120">
        <v>16057</v>
      </c>
      <c r="O140" s="60">
        <f>AVERAGE(C140:N140)</f>
        <v>10496.5</v>
      </c>
      <c r="P140" s="68">
        <f>SUM(C140:N140)</f>
        <v>125958</v>
      </c>
    </row>
    <row r="141" spans="1:16" ht="25.8" customHeight="1" thickBot="1">
      <c r="A141" s="121" t="s">
        <v>240</v>
      </c>
      <c r="B141" s="357"/>
      <c r="C141" s="122">
        <v>138579</v>
      </c>
      <c r="D141" s="122">
        <v>129738</v>
      </c>
      <c r="E141" s="122">
        <v>139637</v>
      </c>
      <c r="F141" s="122">
        <v>137090</v>
      </c>
      <c r="G141" s="122">
        <v>134579</v>
      </c>
      <c r="H141" s="122">
        <v>127939</v>
      </c>
      <c r="I141" s="122">
        <v>141322</v>
      </c>
      <c r="J141" s="122">
        <v>148226</v>
      </c>
      <c r="K141" s="122">
        <v>135744</v>
      </c>
      <c r="L141" s="122">
        <v>137316</v>
      </c>
      <c r="M141" s="122">
        <v>133258</v>
      </c>
      <c r="N141" s="122">
        <v>123288</v>
      </c>
      <c r="O141" s="60">
        <f>AVERAGE(C141:N141)</f>
        <v>135559.66666666666</v>
      </c>
      <c r="P141" s="68">
        <f>SUM(C141:N141)</f>
        <v>1626716</v>
      </c>
    </row>
    <row r="142" spans="1:16" ht="25.8" customHeight="1" thickBot="1">
      <c r="A142" s="123" t="s">
        <v>260</v>
      </c>
      <c r="B142" s="358"/>
      <c r="C142" s="124">
        <f t="shared" ref="C142:N142" si="44">SUM(C139+C141)</f>
        <v>224104</v>
      </c>
      <c r="D142" s="124">
        <f t="shared" si="44"/>
        <v>217904</v>
      </c>
      <c r="E142" s="124">
        <f t="shared" si="44"/>
        <v>228368</v>
      </c>
      <c r="F142" s="124">
        <f t="shared" si="44"/>
        <v>225168</v>
      </c>
      <c r="G142" s="124">
        <f t="shared" si="44"/>
        <v>228471</v>
      </c>
      <c r="H142" s="124">
        <f t="shared" si="44"/>
        <v>228028</v>
      </c>
      <c r="I142" s="124">
        <f t="shared" si="44"/>
        <v>248436</v>
      </c>
      <c r="J142" s="124">
        <f t="shared" si="44"/>
        <v>265585</v>
      </c>
      <c r="K142" s="124">
        <f t="shared" si="44"/>
        <v>233291</v>
      </c>
      <c r="L142" s="124">
        <f t="shared" si="44"/>
        <v>238114</v>
      </c>
      <c r="M142" s="124">
        <f t="shared" si="44"/>
        <v>237779</v>
      </c>
      <c r="N142" s="124">
        <f t="shared" si="44"/>
        <v>242160</v>
      </c>
      <c r="O142" s="124">
        <f>SUM(O139+O141)</f>
        <v>234784</v>
      </c>
      <c r="P142" s="125">
        <f>SUM(P139+P141)</f>
        <v>2817408</v>
      </c>
    </row>
    <row r="143" spans="1:16" ht="25.8" customHeight="1">
      <c r="A143" s="96"/>
      <c r="B143" s="96"/>
      <c r="C143" s="97"/>
      <c r="D143" s="97"/>
      <c r="E143" s="97"/>
      <c r="F143" s="97"/>
      <c r="G143" s="97"/>
      <c r="H143" s="97"/>
      <c r="I143" s="97"/>
      <c r="J143" s="97"/>
      <c r="K143" s="97"/>
      <c r="L143" s="97"/>
      <c r="M143" s="97"/>
      <c r="N143" s="97"/>
      <c r="O143" s="97"/>
      <c r="P143" s="97"/>
    </row>
    <row r="144" spans="1:16" ht="25.8" customHeight="1">
      <c r="A144" s="126" t="s">
        <v>261</v>
      </c>
      <c r="B144" s="126"/>
      <c r="C144" s="127"/>
      <c r="D144" s="127"/>
      <c r="E144" s="127"/>
      <c r="F144" s="127"/>
      <c r="G144" s="127"/>
      <c r="H144" s="127"/>
      <c r="I144" s="127"/>
      <c r="J144" s="127"/>
      <c r="K144" s="127"/>
      <c r="L144" s="127"/>
      <c r="M144" s="127"/>
      <c r="N144" s="127"/>
      <c r="O144" s="128"/>
      <c r="P144" s="127"/>
    </row>
    <row r="145" spans="1:26" ht="25.8" customHeight="1">
      <c r="A145" s="129" t="s">
        <v>224</v>
      </c>
      <c r="B145" s="129"/>
      <c r="C145" s="128">
        <f t="shared" ref="C145:H145" si="45">SUM(C139/C127-1)</f>
        <v>0.10417527370378021</v>
      </c>
      <c r="D145" s="128">
        <f t="shared" si="45"/>
        <v>0.11728402884262024</v>
      </c>
      <c r="E145" s="128">
        <f t="shared" si="45"/>
        <v>4.7678084375332164E-2</v>
      </c>
      <c r="F145" s="128">
        <f t="shared" si="45"/>
        <v>0.12810594805061726</v>
      </c>
      <c r="G145" s="128">
        <f t="shared" si="45"/>
        <v>0.1282519616914406</v>
      </c>
      <c r="H145" s="128">
        <f t="shared" si="45"/>
        <v>4.6660462003409009E-2</v>
      </c>
      <c r="I145" s="128">
        <f t="shared" ref="I145:N145" si="46">SUM(I139/I127-1)</f>
        <v>7.9604096113530032E-2</v>
      </c>
      <c r="J145" s="128">
        <f t="shared" si="46"/>
        <v>7.5504032258064457E-2</v>
      </c>
      <c r="K145" s="128">
        <f t="shared" si="46"/>
        <v>8.7565361845405976E-2</v>
      </c>
      <c r="L145" s="128">
        <f t="shared" si="46"/>
        <v>9.0497982322330861E-2</v>
      </c>
      <c r="M145" s="128">
        <f t="shared" si="46"/>
        <v>0.13331381606054693</v>
      </c>
      <c r="N145" s="128">
        <f t="shared" si="46"/>
        <v>0.20666307999959388</v>
      </c>
      <c r="O145" s="128"/>
      <c r="P145" s="248">
        <f>(P139-(SUM(C127:N127)))/(SUM(C127:N127))</f>
        <v>0.1033272392170744</v>
      </c>
    </row>
    <row r="146" spans="1:26" ht="25.8" customHeight="1">
      <c r="A146" s="129" t="s">
        <v>225</v>
      </c>
      <c r="B146" s="129"/>
      <c r="C146" s="128">
        <f t="shared" ref="C146:H147" si="47">SUM(C141/C129-1)</f>
        <v>-7.3081167853917939E-2</v>
      </c>
      <c r="D146" s="128">
        <f t="shared" si="47"/>
        <v>1.6205970125872327E-2</v>
      </c>
      <c r="E146" s="128">
        <f t="shared" si="47"/>
        <v>7.9261411942928683E-2</v>
      </c>
      <c r="F146" s="128">
        <f t="shared" si="47"/>
        <v>4.1931095285506981E-2</v>
      </c>
      <c r="G146" s="128">
        <f t="shared" si="47"/>
        <v>-1.2177219278028173E-2</v>
      </c>
      <c r="H146" s="128">
        <f t="shared" si="47"/>
        <v>-6.5005773418887136E-2</v>
      </c>
      <c r="I146" s="128">
        <f>SUM(I141/I129-1)</f>
        <v>-5.7331723553699754E-2</v>
      </c>
      <c r="J146" s="128">
        <f t="shared" ref="J146:N147" si="48">SUM(J141/J129-1)</f>
        <v>-4.8179850894823684E-2</v>
      </c>
      <c r="K146" s="128">
        <f t="shared" si="48"/>
        <v>6.082321957471426E-2</v>
      </c>
      <c r="L146" s="128">
        <f t="shared" si="48"/>
        <v>-3.3217398651027241E-2</v>
      </c>
      <c r="M146" s="128">
        <f t="shared" si="48"/>
        <v>-1.3510212239882136E-2</v>
      </c>
      <c r="N146" s="128">
        <f t="shared" si="48"/>
        <v>-1.9516152121009656E-2</v>
      </c>
      <c r="O146" s="128"/>
      <c r="P146" s="249">
        <f>(P141-(SUM(C129:N129)))/(SUM(C129:N129))</f>
        <v>-1.2715554781396968E-2</v>
      </c>
    </row>
    <row r="147" spans="1:26" ht="25.8" customHeight="1">
      <c r="A147" s="130" t="s">
        <v>151</v>
      </c>
      <c r="B147" s="130"/>
      <c r="C147" s="128">
        <f t="shared" si="47"/>
        <v>-1.2588065791038994E-2</v>
      </c>
      <c r="D147" s="128">
        <f t="shared" si="47"/>
        <v>5.4816535966695668E-2</v>
      </c>
      <c r="E147" s="128">
        <f t="shared" si="47"/>
        <v>6.676632021487805E-2</v>
      </c>
      <c r="F147" s="128">
        <f t="shared" si="47"/>
        <v>7.4023725369546156E-2</v>
      </c>
      <c r="G147" s="128">
        <f t="shared" si="47"/>
        <v>4.107410563344982E-2</v>
      </c>
      <c r="H147" s="128">
        <f t="shared" si="47"/>
        <v>-1.9069865482812198E-2</v>
      </c>
      <c r="I147" s="128">
        <f>SUM(I142/I130-1)</f>
        <v>-2.7977024320342547E-3</v>
      </c>
      <c r="J147" s="128">
        <f t="shared" si="48"/>
        <v>2.7789419631563117E-3</v>
      </c>
      <c r="K147" s="128">
        <f t="shared" si="48"/>
        <v>7.1843384454225445E-2</v>
      </c>
      <c r="L147" s="128">
        <f t="shared" si="48"/>
        <v>1.5554427701979456E-2</v>
      </c>
      <c r="M147" s="128">
        <f t="shared" si="48"/>
        <v>4.6060648720464226E-2</v>
      </c>
      <c r="N147" s="128">
        <f t="shared" si="48"/>
        <v>7.9842143987870928E-2</v>
      </c>
      <c r="O147" s="128"/>
      <c r="P147" s="104">
        <f>(P142-(SUM(C130:N130)))/(SUM(C130:N130))</f>
        <v>3.3209747510864182E-2</v>
      </c>
    </row>
    <row r="148" spans="1:26" ht="25.8" customHeight="1" thickBot="1">
      <c r="A148" s="131"/>
      <c r="B148" s="131"/>
      <c r="C148" s="131"/>
      <c r="D148" s="131"/>
      <c r="E148" s="131"/>
      <c r="F148" s="131"/>
      <c r="G148" s="131"/>
      <c r="H148" s="131"/>
      <c r="I148" s="131"/>
      <c r="J148" s="131"/>
      <c r="K148" s="131"/>
      <c r="L148" s="131"/>
      <c r="M148" s="131"/>
      <c r="N148" s="131"/>
      <c r="O148" s="131"/>
      <c r="P148" s="131"/>
    </row>
    <row r="149" spans="1:26" ht="25.8" customHeight="1">
      <c r="A149" s="5474" t="s">
        <v>263</v>
      </c>
      <c r="B149" s="5475"/>
      <c r="C149" s="5475"/>
      <c r="D149" s="5475"/>
      <c r="E149" s="5475"/>
      <c r="F149" s="5475"/>
      <c r="G149" s="5475"/>
      <c r="H149" s="5475"/>
      <c r="I149" s="5475"/>
      <c r="J149" s="5475"/>
      <c r="K149" s="5475"/>
      <c r="L149" s="5475"/>
      <c r="M149" s="5475"/>
      <c r="N149" s="5475"/>
      <c r="O149" s="5475"/>
      <c r="P149" s="5476"/>
    </row>
    <row r="150" spans="1:26" ht="25.8" customHeight="1">
      <c r="A150" s="137" t="s">
        <v>217</v>
      </c>
      <c r="B150" s="355"/>
      <c r="C150" s="117" t="s">
        <v>218</v>
      </c>
      <c r="D150" s="117" t="s">
        <v>207</v>
      </c>
      <c r="E150" s="117" t="s">
        <v>208</v>
      </c>
      <c r="F150" s="117" t="s">
        <v>219</v>
      </c>
      <c r="G150" s="117" t="s">
        <v>209</v>
      </c>
      <c r="H150" s="117" t="s">
        <v>210</v>
      </c>
      <c r="I150" s="117" t="s">
        <v>220</v>
      </c>
      <c r="J150" s="117" t="s">
        <v>221</v>
      </c>
      <c r="K150" s="117" t="s">
        <v>211</v>
      </c>
      <c r="L150" s="117" t="s">
        <v>212</v>
      </c>
      <c r="M150" s="117" t="s">
        <v>213</v>
      </c>
      <c r="N150" s="117" t="s">
        <v>222</v>
      </c>
      <c r="O150" s="117" t="s">
        <v>223</v>
      </c>
      <c r="P150" s="138" t="s">
        <v>151</v>
      </c>
    </row>
    <row r="151" spans="1:26" ht="25.8" customHeight="1">
      <c r="A151" s="139" t="s">
        <v>224</v>
      </c>
      <c r="B151" s="356"/>
      <c r="C151" s="120">
        <v>101497</v>
      </c>
      <c r="D151" s="120">
        <v>93167</v>
      </c>
      <c r="E151" s="120">
        <v>95353</v>
      </c>
      <c r="F151" s="120">
        <v>88814</v>
      </c>
      <c r="G151" s="120">
        <v>96056</v>
      </c>
      <c r="H151" s="120">
        <v>100515</v>
      </c>
      <c r="I151" s="120">
        <v>109542</v>
      </c>
      <c r="J151" s="120">
        <v>113575</v>
      </c>
      <c r="K151" s="120">
        <v>100469</v>
      </c>
      <c r="L151" s="120">
        <v>102647</v>
      </c>
      <c r="M151" s="120">
        <v>106274</v>
      </c>
      <c r="N151" s="120">
        <v>107422</v>
      </c>
      <c r="O151" s="60">
        <f>AVERAGE(C151:N151)</f>
        <v>101277.58333333333</v>
      </c>
      <c r="P151" s="140">
        <f>SUM(C151:N151)</f>
        <v>1215331</v>
      </c>
    </row>
    <row r="152" spans="1:26" ht="25.8" customHeight="1">
      <c r="A152" s="139" t="s">
        <v>231</v>
      </c>
      <c r="B152" s="356"/>
      <c r="C152" s="120">
        <v>14008</v>
      </c>
      <c r="D152" s="120">
        <v>12761</v>
      </c>
      <c r="E152" s="120">
        <v>11133</v>
      </c>
      <c r="F152" s="120">
        <v>8523</v>
      </c>
      <c r="G152" s="120">
        <v>7596</v>
      </c>
      <c r="H152" s="120">
        <v>9107</v>
      </c>
      <c r="I152" s="120">
        <v>11397</v>
      </c>
      <c r="J152" s="120">
        <v>10833</v>
      </c>
      <c r="K152" s="120">
        <v>8729</v>
      </c>
      <c r="L152" s="120">
        <v>5813</v>
      </c>
      <c r="M152" s="120">
        <v>5846</v>
      </c>
      <c r="N152" s="120">
        <v>7211</v>
      </c>
      <c r="O152" s="60">
        <f>AVERAGE(C152:N152)</f>
        <v>9413.0833333333339</v>
      </c>
      <c r="P152" s="140">
        <f>SUM(C152:N152)</f>
        <v>112957</v>
      </c>
    </row>
    <row r="153" spans="1:26" ht="25.8" customHeight="1" thickBot="1">
      <c r="A153" s="141" t="s">
        <v>240</v>
      </c>
      <c r="B153" s="357"/>
      <c r="C153" s="122">
        <v>125659</v>
      </c>
      <c r="D153" s="122">
        <v>116344</v>
      </c>
      <c r="E153" s="122">
        <v>134086</v>
      </c>
      <c r="F153" s="122">
        <v>128202</v>
      </c>
      <c r="G153" s="122">
        <v>122503</v>
      </c>
      <c r="H153" s="122">
        <v>121181</v>
      </c>
      <c r="I153" s="122">
        <v>129387</v>
      </c>
      <c r="J153" s="122">
        <v>131167</v>
      </c>
      <c r="K153" s="122">
        <v>119256</v>
      </c>
      <c r="L153" s="122">
        <v>123219</v>
      </c>
      <c r="M153" s="122">
        <v>116177</v>
      </c>
      <c r="N153" s="122">
        <v>111502</v>
      </c>
      <c r="O153" s="60">
        <f>AVERAGE(C153:N153)</f>
        <v>123223.58333333333</v>
      </c>
      <c r="P153" s="140">
        <f>SUM(C153:N153)</f>
        <v>1478683</v>
      </c>
    </row>
    <row r="154" spans="1:26" ht="25.8" customHeight="1" thickBot="1">
      <c r="A154" s="123" t="s">
        <v>264</v>
      </c>
      <c r="B154" s="358"/>
      <c r="C154" s="124">
        <f t="shared" ref="C154:N154" si="49">SUM(C151+C153)</f>
        <v>227156</v>
      </c>
      <c r="D154" s="124">
        <f t="shared" si="49"/>
        <v>209511</v>
      </c>
      <c r="E154" s="124">
        <f t="shared" si="49"/>
        <v>229439</v>
      </c>
      <c r="F154" s="124">
        <f t="shared" si="49"/>
        <v>217016</v>
      </c>
      <c r="G154" s="124">
        <f t="shared" si="49"/>
        <v>218559</v>
      </c>
      <c r="H154" s="124">
        <f t="shared" si="49"/>
        <v>221696</v>
      </c>
      <c r="I154" s="124">
        <f t="shared" si="49"/>
        <v>238929</v>
      </c>
      <c r="J154" s="124">
        <f t="shared" si="49"/>
        <v>244742</v>
      </c>
      <c r="K154" s="124">
        <f t="shared" si="49"/>
        <v>219725</v>
      </c>
      <c r="L154" s="124">
        <f t="shared" si="49"/>
        <v>225866</v>
      </c>
      <c r="M154" s="124">
        <f t="shared" si="49"/>
        <v>222451</v>
      </c>
      <c r="N154" s="124">
        <f t="shared" si="49"/>
        <v>218924</v>
      </c>
      <c r="O154" s="124">
        <f>SUM(O151+O153)</f>
        <v>224501.16666666666</v>
      </c>
      <c r="P154" s="664">
        <f>SUM(P151+P153)</f>
        <v>2694014</v>
      </c>
    </row>
    <row r="155" spans="1:26" s="131" customFormat="1" ht="25.8" customHeight="1">
      <c r="A155" s="142"/>
      <c r="B155" s="359"/>
      <c r="C155" s="143"/>
      <c r="D155" s="143"/>
      <c r="E155" s="143"/>
      <c r="F155" s="143"/>
      <c r="G155" s="143"/>
      <c r="H155" s="143"/>
      <c r="I155" s="143"/>
      <c r="J155" s="143"/>
      <c r="K155" s="143"/>
      <c r="L155" s="143"/>
      <c r="M155" s="143"/>
      <c r="N155" s="143"/>
      <c r="O155" s="143"/>
      <c r="P155" s="144"/>
      <c r="Q155" s="377"/>
      <c r="R155" s="377"/>
      <c r="S155" s="377"/>
      <c r="T155" s="377"/>
      <c r="U155" s="377"/>
      <c r="V155" s="377"/>
      <c r="W155" s="377"/>
      <c r="X155" s="377"/>
      <c r="Y155" s="377"/>
      <c r="Z155" s="377"/>
    </row>
    <row r="156" spans="1:26" s="540" customFormat="1" ht="25.8" customHeight="1">
      <c r="A156" s="535" t="s">
        <v>265</v>
      </c>
      <c r="B156" s="536"/>
      <c r="C156" s="537"/>
      <c r="D156" s="537"/>
      <c r="E156" s="537"/>
      <c r="F156" s="537"/>
      <c r="G156" s="537"/>
      <c r="H156" s="537"/>
      <c r="I156" s="537"/>
      <c r="J156" s="537"/>
      <c r="K156" s="537"/>
      <c r="L156" s="537"/>
      <c r="M156" s="537"/>
      <c r="N156" s="537"/>
      <c r="O156" s="538"/>
      <c r="P156" s="539"/>
    </row>
    <row r="157" spans="1:26" s="540" customFormat="1" ht="25.8" customHeight="1">
      <c r="A157" s="541" t="s">
        <v>224</v>
      </c>
      <c r="B157" s="537"/>
      <c r="C157" s="538">
        <f t="shared" ref="C157:H157" si="50">SUM(C151/C139-1)</f>
        <v>0.18675241157556277</v>
      </c>
      <c r="D157" s="538">
        <f t="shared" si="50"/>
        <v>5.6722546106208638E-2</v>
      </c>
      <c r="E157" s="538">
        <f t="shared" si="50"/>
        <v>7.463006164700059E-2</v>
      </c>
      <c r="F157" s="538">
        <f t="shared" si="50"/>
        <v>8.3562297054882162E-3</v>
      </c>
      <c r="G157" s="538">
        <f t="shared" si="50"/>
        <v>2.3047756997401248E-2</v>
      </c>
      <c r="H157" s="538">
        <f t="shared" si="50"/>
        <v>4.2562119713454027E-3</v>
      </c>
      <c r="I157" s="538">
        <f t="shared" ref="I157:N157" si="51">SUM(I151/I139-1)</f>
        <v>2.2667438430083786E-2</v>
      </c>
      <c r="J157" s="538">
        <f t="shared" si="51"/>
        <v>-3.2242946855375432E-2</v>
      </c>
      <c r="K157" s="538">
        <f t="shared" si="51"/>
        <v>2.9954791023814265E-2</v>
      </c>
      <c r="L157" s="538">
        <f t="shared" si="51"/>
        <v>1.8343617928927136E-2</v>
      </c>
      <c r="M157" s="538">
        <f t="shared" si="51"/>
        <v>1.677174921786051E-2</v>
      </c>
      <c r="N157" s="538">
        <f t="shared" si="51"/>
        <v>-9.6322094353590404E-2</v>
      </c>
      <c r="O157" s="538"/>
      <c r="P157" s="542">
        <f>(P151-(SUM(C139:N139)))/(SUM(C139:N139))</f>
        <v>2.0693008771369925E-2</v>
      </c>
    </row>
    <row r="158" spans="1:26" s="540" customFormat="1" ht="25.8" customHeight="1">
      <c r="A158" s="541" t="s">
        <v>225</v>
      </c>
      <c r="B158" s="537"/>
      <c r="C158" s="538">
        <f t="shared" ref="C158:H158" si="52">SUM(C153/C141-1)</f>
        <v>-9.3232019281420664E-2</v>
      </c>
      <c r="D158" s="538">
        <f t="shared" si="52"/>
        <v>-0.10323883519092325</v>
      </c>
      <c r="E158" s="538">
        <f t="shared" si="52"/>
        <v>-3.9753074041980252E-2</v>
      </c>
      <c r="F158" s="538">
        <f t="shared" si="52"/>
        <v>-6.4833321175869818E-2</v>
      </c>
      <c r="G158" s="538">
        <f t="shared" si="52"/>
        <v>-8.9731681763127957E-2</v>
      </c>
      <c r="H158" s="538">
        <f t="shared" si="52"/>
        <v>-5.282204800725343E-2</v>
      </c>
      <c r="I158" s="538">
        <f t="shared" ref="I158:N159" si="53">SUM(I153/I141-1)</f>
        <v>-8.445252685356841E-2</v>
      </c>
      <c r="J158" s="538">
        <f t="shared" si="53"/>
        <v>-0.11508777137614179</v>
      </c>
      <c r="K158" s="538">
        <f t="shared" si="53"/>
        <v>-0.12146393210749651</v>
      </c>
      <c r="L158" s="538">
        <f t="shared" si="53"/>
        <v>-0.10266101546797168</v>
      </c>
      <c r="M158" s="538">
        <f t="shared" si="53"/>
        <v>-0.12817992165573544</v>
      </c>
      <c r="N158" s="538">
        <f t="shared" si="53"/>
        <v>-9.5597300629420512E-2</v>
      </c>
      <c r="O158" s="538"/>
      <c r="P158" s="543">
        <f>(P153-(SUM(C141:N141)))/(SUM(C141:N141))</f>
        <v>-9.1001133572178552E-2</v>
      </c>
    </row>
    <row r="159" spans="1:26" s="540" customFormat="1" ht="25.8" customHeight="1" thickBot="1">
      <c r="A159" s="544" t="s">
        <v>151</v>
      </c>
      <c r="B159" s="545"/>
      <c r="C159" s="546">
        <f t="shared" ref="C159:H159" si="54">SUM(C154/C142-1)</f>
        <v>1.3618677042801508E-2</v>
      </c>
      <c r="D159" s="546">
        <f t="shared" si="54"/>
        <v>-3.8516961597767851E-2</v>
      </c>
      <c r="E159" s="546">
        <f t="shared" si="54"/>
        <v>4.6897989210397117E-3</v>
      </c>
      <c r="F159" s="546">
        <f t="shared" si="54"/>
        <v>-3.6204078732324341E-2</v>
      </c>
      <c r="G159" s="546">
        <f t="shared" si="54"/>
        <v>-4.3384061872185131E-2</v>
      </c>
      <c r="H159" s="546">
        <f t="shared" si="54"/>
        <v>-2.7768519655480883E-2</v>
      </c>
      <c r="I159" s="546">
        <f t="shared" si="53"/>
        <v>-3.8267400859778755E-2</v>
      </c>
      <c r="J159" s="546">
        <f t="shared" si="53"/>
        <v>-7.8479582807764015E-2</v>
      </c>
      <c r="K159" s="546">
        <f t="shared" si="53"/>
        <v>-5.8150550171245374E-2</v>
      </c>
      <c r="L159" s="546">
        <f t="shared" si="53"/>
        <v>-5.1437546721318395E-2</v>
      </c>
      <c r="M159" s="546">
        <f t="shared" si="53"/>
        <v>-6.4463220048868952E-2</v>
      </c>
      <c r="N159" s="546">
        <f t="shared" si="53"/>
        <v>-9.5953088866864933E-2</v>
      </c>
      <c r="O159" s="546"/>
      <c r="P159" s="547">
        <f>(P154-(SUM(C142:N142)))/(SUM(C142:N142))</f>
        <v>-4.3796993548680205E-2</v>
      </c>
    </row>
    <row r="160" spans="1:26" ht="25.8" customHeight="1" thickBot="1">
      <c r="A160" s="131"/>
      <c r="B160" s="131"/>
      <c r="C160" s="131"/>
      <c r="D160" s="131"/>
      <c r="E160" s="131"/>
      <c r="F160" s="131"/>
      <c r="G160" s="131"/>
      <c r="H160" s="131"/>
      <c r="I160" s="131"/>
      <c r="J160" s="131"/>
      <c r="K160" s="131"/>
      <c r="L160" s="131"/>
      <c r="M160" s="131"/>
      <c r="N160" s="131"/>
      <c r="O160" s="131"/>
      <c r="P160" s="131"/>
    </row>
    <row r="161" spans="1:26" s="131" customFormat="1" ht="25.8" customHeight="1">
      <c r="A161" s="5474" t="s">
        <v>504</v>
      </c>
      <c r="B161" s="5475"/>
      <c r="C161" s="5475"/>
      <c r="D161" s="5475"/>
      <c r="E161" s="5475"/>
      <c r="F161" s="5475"/>
      <c r="G161" s="5475"/>
      <c r="H161" s="5475"/>
      <c r="I161" s="5475"/>
      <c r="J161" s="5475"/>
      <c r="K161" s="5475"/>
      <c r="L161" s="5475"/>
      <c r="M161" s="5475"/>
      <c r="N161" s="5475"/>
      <c r="O161" s="5475"/>
      <c r="P161" s="5476"/>
      <c r="Q161" s="377"/>
      <c r="R161" s="377"/>
      <c r="S161" s="377"/>
      <c r="T161" s="377"/>
      <c r="U161" s="377"/>
      <c r="V161" s="377"/>
      <c r="W161" s="377"/>
      <c r="X161" s="377"/>
      <c r="Y161" s="377"/>
      <c r="Z161" s="377"/>
    </row>
    <row r="162" spans="1:26" s="131" customFormat="1" ht="25.8" customHeight="1">
      <c r="A162" s="137" t="s">
        <v>217</v>
      </c>
      <c r="B162" s="355"/>
      <c r="C162" s="117" t="s">
        <v>218</v>
      </c>
      <c r="D162" s="117" t="s">
        <v>207</v>
      </c>
      <c r="E162" s="117" t="s">
        <v>208</v>
      </c>
      <c r="F162" s="117" t="s">
        <v>219</v>
      </c>
      <c r="G162" s="117" t="s">
        <v>209</v>
      </c>
      <c r="H162" s="117" t="s">
        <v>210</v>
      </c>
      <c r="I162" s="117" t="s">
        <v>220</v>
      </c>
      <c r="J162" s="117" t="s">
        <v>221</v>
      </c>
      <c r="K162" s="117" t="s">
        <v>211</v>
      </c>
      <c r="L162" s="117" t="s">
        <v>212</v>
      </c>
      <c r="M162" s="117" t="s">
        <v>213</v>
      </c>
      <c r="N162" s="117" t="s">
        <v>222</v>
      </c>
      <c r="O162" s="117" t="s">
        <v>223</v>
      </c>
      <c r="P162" s="138" t="s">
        <v>151</v>
      </c>
      <c r="Q162" s="377"/>
      <c r="R162" s="377"/>
      <c r="S162" s="377"/>
      <c r="T162" s="377"/>
      <c r="U162" s="377"/>
      <c r="V162" s="377"/>
      <c r="W162" s="377"/>
      <c r="X162" s="377"/>
      <c r="Y162" s="377"/>
      <c r="Z162" s="377"/>
    </row>
    <row r="163" spans="1:26" s="131" customFormat="1" ht="25.8" customHeight="1">
      <c r="A163" s="139" t="s">
        <v>224</v>
      </c>
      <c r="B163" s="356" t="s">
        <v>734</v>
      </c>
      <c r="C163" s="120">
        <v>91476</v>
      </c>
      <c r="D163" s="120">
        <v>89410</v>
      </c>
      <c r="E163" s="120">
        <v>91540</v>
      </c>
      <c r="F163" s="120">
        <v>79098</v>
      </c>
      <c r="G163" s="120">
        <v>82023</v>
      </c>
      <c r="H163" s="120">
        <v>92423</v>
      </c>
      <c r="I163" s="120">
        <v>101264</v>
      </c>
      <c r="J163" s="120">
        <v>106882</v>
      </c>
      <c r="K163" s="120">
        <v>86018</v>
      </c>
      <c r="L163" s="120">
        <v>92148</v>
      </c>
      <c r="M163" s="120">
        <v>89116</v>
      </c>
      <c r="N163" s="120">
        <v>93710</v>
      </c>
      <c r="O163" s="60">
        <f>AVERAGE(C163:N163)</f>
        <v>91259</v>
      </c>
      <c r="P163" s="140">
        <f>SUM(C163:N163)</f>
        <v>1095108</v>
      </c>
      <c r="Q163" s="377"/>
      <c r="R163" s="377"/>
      <c r="S163" s="377"/>
      <c r="T163" s="377"/>
      <c r="U163" s="377"/>
      <c r="V163" s="377"/>
      <c r="W163" s="377"/>
      <c r="X163" s="377"/>
      <c r="Y163" s="377"/>
      <c r="Z163" s="377"/>
    </row>
    <row r="164" spans="1:26" s="131" customFormat="1" ht="25.8" customHeight="1">
      <c r="A164" s="139" t="s">
        <v>231</v>
      </c>
      <c r="B164" s="356" t="s">
        <v>734</v>
      </c>
      <c r="C164" s="120">
        <v>5041</v>
      </c>
      <c r="D164" s="120">
        <v>4729</v>
      </c>
      <c r="E164" s="120">
        <v>5310</v>
      </c>
      <c r="F164" s="120">
        <v>5347</v>
      </c>
      <c r="G164" s="120">
        <v>5310</v>
      </c>
      <c r="H164" s="120">
        <v>6639</v>
      </c>
      <c r="I164" s="120">
        <v>5258</v>
      </c>
      <c r="J164" s="120">
        <v>5275</v>
      </c>
      <c r="K164" s="120">
        <v>6015</v>
      </c>
      <c r="L164" s="120">
        <v>5583</v>
      </c>
      <c r="M164" s="120">
        <v>5789</v>
      </c>
      <c r="N164" s="120">
        <v>6617</v>
      </c>
      <c r="O164" s="60">
        <f>AVERAGE(C164:N164)</f>
        <v>5576.083333333333</v>
      </c>
      <c r="P164" s="140">
        <f>SUM(C164:N164)</f>
        <v>66913</v>
      </c>
      <c r="Q164" s="377"/>
      <c r="R164" s="377"/>
      <c r="S164" s="377"/>
      <c r="T164" s="377"/>
      <c r="U164" s="377"/>
      <c r="V164" s="377"/>
      <c r="W164" s="377"/>
      <c r="X164" s="377"/>
      <c r="Y164" s="377"/>
      <c r="Z164" s="377"/>
    </row>
    <row r="165" spans="1:26" s="131" customFormat="1" ht="25.8" customHeight="1" thickBot="1">
      <c r="A165" s="141" t="s">
        <v>240</v>
      </c>
      <c r="B165" s="357" t="s">
        <v>734</v>
      </c>
      <c r="C165" s="122">
        <v>111070</v>
      </c>
      <c r="D165" s="122">
        <v>107374</v>
      </c>
      <c r="E165" s="122">
        <v>117081</v>
      </c>
      <c r="F165" s="122">
        <v>99773</v>
      </c>
      <c r="G165" s="122">
        <v>103633</v>
      </c>
      <c r="H165" s="122">
        <v>105930</v>
      </c>
      <c r="I165" s="122">
        <v>115522</v>
      </c>
      <c r="J165" s="122">
        <v>116655</v>
      </c>
      <c r="K165" s="122">
        <v>105556</v>
      </c>
      <c r="L165" s="122">
        <v>112366</v>
      </c>
      <c r="M165" s="122">
        <v>109793</v>
      </c>
      <c r="N165" s="122">
        <v>108669</v>
      </c>
      <c r="O165" s="60">
        <f>AVERAGE(C165:N165)</f>
        <v>109451.83333333333</v>
      </c>
      <c r="P165" s="140">
        <f>SUM(C165:N165)</f>
        <v>1313422</v>
      </c>
      <c r="Q165" s="377"/>
      <c r="R165" s="377"/>
      <c r="S165" s="377"/>
      <c r="T165" s="377"/>
      <c r="U165" s="377"/>
      <c r="V165" s="377"/>
      <c r="W165" s="377"/>
      <c r="X165" s="377"/>
      <c r="Y165" s="377"/>
      <c r="Z165" s="377"/>
    </row>
    <row r="166" spans="1:26" s="131" customFormat="1" ht="25.8" customHeight="1" thickBot="1">
      <c r="A166" s="123" t="s">
        <v>568</v>
      </c>
      <c r="B166" s="358"/>
      <c r="C166" s="124">
        <f>SUM(C163+C165)</f>
        <v>202546</v>
      </c>
      <c r="D166" s="124">
        <f t="shared" ref="D166:N166" si="55">SUM(D163+D165)</f>
        <v>196784</v>
      </c>
      <c r="E166" s="124">
        <f t="shared" si="55"/>
        <v>208621</v>
      </c>
      <c r="F166" s="124">
        <f t="shared" si="55"/>
        <v>178871</v>
      </c>
      <c r="G166" s="124">
        <f t="shared" si="55"/>
        <v>185656</v>
      </c>
      <c r="H166" s="124">
        <f t="shared" si="55"/>
        <v>198353</v>
      </c>
      <c r="I166" s="124">
        <f t="shared" si="55"/>
        <v>216786</v>
      </c>
      <c r="J166" s="124">
        <f t="shared" si="55"/>
        <v>223537</v>
      </c>
      <c r="K166" s="124">
        <f t="shared" si="55"/>
        <v>191574</v>
      </c>
      <c r="L166" s="124">
        <f t="shared" si="55"/>
        <v>204514</v>
      </c>
      <c r="M166" s="124">
        <f t="shared" si="55"/>
        <v>198909</v>
      </c>
      <c r="N166" s="124">
        <f t="shared" si="55"/>
        <v>202379</v>
      </c>
      <c r="O166" s="124">
        <f>SUM(O163+O165)</f>
        <v>200710.83333333331</v>
      </c>
      <c r="P166" s="664">
        <f>SUM(P163+P165)</f>
        <v>2408530</v>
      </c>
      <c r="Q166" s="377"/>
      <c r="R166" s="377"/>
      <c r="S166" s="377"/>
      <c r="T166" s="377"/>
      <c r="U166" s="377"/>
      <c r="V166" s="377"/>
      <c r="W166" s="377"/>
      <c r="X166" s="377"/>
      <c r="Y166" s="377"/>
      <c r="Z166" s="377"/>
    </row>
    <row r="167" spans="1:26" s="131" customFormat="1">
      <c r="A167" s="142"/>
      <c r="B167" s="359"/>
      <c r="C167" s="143"/>
      <c r="D167" s="143"/>
      <c r="E167" s="143"/>
      <c r="F167" s="143"/>
      <c r="G167" s="143"/>
      <c r="H167" s="143"/>
      <c r="I167" s="143"/>
      <c r="J167" s="143"/>
      <c r="K167" s="143"/>
      <c r="L167" s="143"/>
      <c r="M167" s="143"/>
      <c r="N167" s="143"/>
      <c r="O167" s="143"/>
      <c r="P167" s="144"/>
      <c r="Q167" s="377"/>
      <c r="R167" s="377"/>
      <c r="S167" s="377"/>
      <c r="T167" s="377"/>
      <c r="U167" s="377"/>
      <c r="V167" s="377"/>
      <c r="W167" s="377"/>
      <c r="X167" s="377"/>
      <c r="Y167" s="377"/>
      <c r="Z167" s="377"/>
    </row>
    <row r="168" spans="1:26" s="540" customFormat="1">
      <c r="A168" s="535" t="s">
        <v>505</v>
      </c>
      <c r="B168" s="536"/>
      <c r="C168" s="537"/>
      <c r="D168" s="537"/>
      <c r="E168" s="537"/>
      <c r="F168" s="537"/>
      <c r="G168" s="537"/>
      <c r="H168" s="537"/>
      <c r="I168" s="537"/>
      <c r="J168" s="537"/>
      <c r="K168" s="537"/>
      <c r="L168" s="537"/>
      <c r="M168" s="537"/>
      <c r="N168" s="537"/>
      <c r="O168" s="538"/>
      <c r="P168" s="539"/>
    </row>
    <row r="169" spans="1:26" s="540" customFormat="1">
      <c r="A169" s="541" t="s">
        <v>224</v>
      </c>
      <c r="B169" s="537"/>
      <c r="C169" s="538">
        <f t="shared" ref="C169:N169" si="56">SUM(C163/C151-1)</f>
        <v>-9.8731982226075599E-2</v>
      </c>
      <c r="D169" s="538">
        <f t="shared" si="56"/>
        <v>-4.0325437118292951E-2</v>
      </c>
      <c r="E169" s="538">
        <f t="shared" si="56"/>
        <v>-3.998825417134233E-2</v>
      </c>
      <c r="F169" s="538">
        <f t="shared" si="56"/>
        <v>-0.10939716711329295</v>
      </c>
      <c r="G169" s="538">
        <f t="shared" si="56"/>
        <v>-0.1460918630798701</v>
      </c>
      <c r="H169" s="538">
        <f t="shared" si="56"/>
        <v>-8.0505397204397311E-2</v>
      </c>
      <c r="I169" s="538">
        <f t="shared" si="56"/>
        <v>-7.556918807398072E-2</v>
      </c>
      <c r="J169" s="538">
        <f t="shared" si="56"/>
        <v>-5.893022232005285E-2</v>
      </c>
      <c r="K169" s="538">
        <f t="shared" si="56"/>
        <v>-0.14383541191810412</v>
      </c>
      <c r="L169" s="538">
        <f t="shared" si="56"/>
        <v>-0.10228258010463043</v>
      </c>
      <c r="M169" s="538">
        <f t="shared" si="56"/>
        <v>-0.16145058998438</v>
      </c>
      <c r="N169" s="538">
        <f t="shared" si="56"/>
        <v>-0.12764610601180393</v>
      </c>
      <c r="O169" s="538"/>
      <c r="P169" s="542">
        <f>(P163-(SUM(C151:N151)))/(SUM(C151:N151))</f>
        <v>-9.8922022066416468E-2</v>
      </c>
      <c r="Q169" s="1868"/>
    </row>
    <row r="170" spans="1:26" s="540" customFormat="1">
      <c r="A170" s="541" t="s">
        <v>225</v>
      </c>
      <c r="B170" s="537"/>
      <c r="C170" s="538">
        <f t="shared" ref="C170:N170" si="57">SUM(C165/C153-1)</f>
        <v>-0.11609992121535262</v>
      </c>
      <c r="D170" s="538">
        <f t="shared" si="57"/>
        <v>-7.709894794746619E-2</v>
      </c>
      <c r="E170" s="538">
        <f t="shared" si="57"/>
        <v>-0.12682159211252475</v>
      </c>
      <c r="F170" s="538">
        <f t="shared" si="57"/>
        <v>-0.22175161073930205</v>
      </c>
      <c r="G170" s="538">
        <f t="shared" si="57"/>
        <v>-0.15403704399075946</v>
      </c>
      <c r="H170" s="538">
        <f t="shared" si="57"/>
        <v>-0.12585306277386721</v>
      </c>
      <c r="I170" s="538">
        <f t="shared" si="57"/>
        <v>-0.10715914272685823</v>
      </c>
      <c r="J170" s="538">
        <f t="shared" si="57"/>
        <v>-0.11063758414845193</v>
      </c>
      <c r="K170" s="538">
        <f t="shared" si="57"/>
        <v>-0.1148789159455289</v>
      </c>
      <c r="L170" s="538">
        <f t="shared" si="57"/>
        <v>-8.8078948863405837E-2</v>
      </c>
      <c r="M170" s="538">
        <f t="shared" si="57"/>
        <v>-5.4950635667989411E-2</v>
      </c>
      <c r="N170" s="538">
        <f t="shared" si="57"/>
        <v>-2.540761600688779E-2</v>
      </c>
      <c r="O170" s="538"/>
      <c r="P170" s="543">
        <f>(P165-(SUM(C153:N153)))/(SUM(C153:N153))</f>
        <v>-0.11176229117397035</v>
      </c>
    </row>
    <row r="171" spans="1:26" s="540" customFormat="1" ht="10.8" thickBot="1">
      <c r="A171" s="544" t="s">
        <v>151</v>
      </c>
      <c r="B171" s="545"/>
      <c r="C171" s="546">
        <f t="shared" ref="C171:N171" si="58">SUM(C166/C154-1)</f>
        <v>-0.1083396432407685</v>
      </c>
      <c r="D171" s="546">
        <f t="shared" si="58"/>
        <v>-6.0746213802616578E-2</v>
      </c>
      <c r="E171" s="546">
        <f t="shared" si="58"/>
        <v>-9.0734356408457173E-2</v>
      </c>
      <c r="F171" s="546">
        <f t="shared" si="58"/>
        <v>-0.17577045010506143</v>
      </c>
      <c r="G171" s="546">
        <f t="shared" si="58"/>
        <v>-0.15054516171834609</v>
      </c>
      <c r="H171" s="546">
        <f t="shared" si="58"/>
        <v>-0.10529283342956119</v>
      </c>
      <c r="I171" s="546">
        <f t="shared" si="58"/>
        <v>-9.2676066948758851E-2</v>
      </c>
      <c r="J171" s="546">
        <f t="shared" si="58"/>
        <v>-8.6642260012584682E-2</v>
      </c>
      <c r="K171" s="546">
        <f t="shared" si="58"/>
        <v>-0.12811923995903973</v>
      </c>
      <c r="L171" s="546">
        <f t="shared" si="58"/>
        <v>-9.4533927195770917E-2</v>
      </c>
      <c r="M171" s="546">
        <f t="shared" si="58"/>
        <v>-0.10583004796561934</v>
      </c>
      <c r="N171" s="546">
        <f t="shared" si="58"/>
        <v>-7.5574171858727279E-2</v>
      </c>
      <c r="O171" s="546"/>
      <c r="P171" s="547">
        <f>(P166-(SUM(C154:N154)))/(SUM(C154:N154))</f>
        <v>-0.10596975368353691</v>
      </c>
    </row>
    <row r="172" spans="1:26" s="131" customFormat="1" ht="16.2" customHeight="1">
      <c r="C172" s="112"/>
      <c r="Q172" s="1868"/>
      <c r="R172" s="377"/>
      <c r="S172" s="377"/>
      <c r="T172" s="377"/>
      <c r="U172" s="377"/>
      <c r="V172" s="377"/>
      <c r="W172" s="377"/>
      <c r="X172" s="377"/>
      <c r="Y172" s="377"/>
      <c r="Z172" s="377"/>
    </row>
    <row r="173" spans="1:26" s="131" customFormat="1" ht="15.6" customHeight="1">
      <c r="A173" s="5472" t="s">
        <v>576</v>
      </c>
      <c r="B173" s="5473"/>
      <c r="C173" s="5473"/>
      <c r="D173" s="5473"/>
      <c r="E173" s="5473"/>
      <c r="F173" s="5473"/>
      <c r="G173" s="5473"/>
      <c r="H173" s="5473"/>
      <c r="I173" s="5473"/>
      <c r="J173" s="5473"/>
      <c r="K173" s="5473"/>
      <c r="L173" s="5473"/>
      <c r="M173" s="5473"/>
      <c r="N173" s="5473"/>
      <c r="O173" s="5473"/>
      <c r="P173" s="5473"/>
    </row>
    <row r="174" spans="1:26" s="131" customFormat="1" ht="15.6" customHeight="1">
      <c r="A174" s="116" t="s">
        <v>217</v>
      </c>
      <c r="B174" s="355"/>
      <c r="C174" s="117" t="s">
        <v>218</v>
      </c>
      <c r="D174" s="117" t="s">
        <v>207</v>
      </c>
      <c r="E174" s="117" t="s">
        <v>208</v>
      </c>
      <c r="F174" s="117" t="s">
        <v>219</v>
      </c>
      <c r="G174" s="117" t="s">
        <v>209</v>
      </c>
      <c r="H174" s="117" t="s">
        <v>210</v>
      </c>
      <c r="I174" s="117" t="s">
        <v>220</v>
      </c>
      <c r="J174" s="117" t="s">
        <v>221</v>
      </c>
      <c r="K174" s="117" t="s">
        <v>211</v>
      </c>
      <c r="L174" s="117" t="s">
        <v>212</v>
      </c>
      <c r="M174" s="117" t="s">
        <v>213</v>
      </c>
      <c r="N174" s="117" t="s">
        <v>222</v>
      </c>
      <c r="O174" s="117" t="s">
        <v>223</v>
      </c>
      <c r="P174" s="118" t="s">
        <v>151</v>
      </c>
    </row>
    <row r="175" spans="1:26" s="131" customFormat="1" ht="15.6" customHeight="1">
      <c r="A175" s="119" t="s">
        <v>224</v>
      </c>
      <c r="B175" s="356" t="s">
        <v>850</v>
      </c>
      <c r="C175" s="120">
        <v>83463</v>
      </c>
      <c r="D175" s="120">
        <v>74071</v>
      </c>
      <c r="E175" s="120">
        <v>90026</v>
      </c>
      <c r="F175" s="120">
        <v>92096</v>
      </c>
      <c r="G175" s="120">
        <v>93596</v>
      </c>
      <c r="H175" s="120">
        <v>98801</v>
      </c>
      <c r="I175" s="120">
        <v>106597</v>
      </c>
      <c r="J175" s="120">
        <v>116007</v>
      </c>
      <c r="K175" s="120">
        <v>94361</v>
      </c>
      <c r="L175" s="120">
        <v>95563</v>
      </c>
      <c r="M175" s="120">
        <v>95832</v>
      </c>
      <c r="N175" s="120">
        <v>103702</v>
      </c>
      <c r="O175" s="60">
        <f>AVERAGEIF(C175:N175, "&lt;&gt;0")</f>
        <v>95342.916666666672</v>
      </c>
      <c r="P175" s="68">
        <f>SUM(C175:N175)</f>
        <v>1144115</v>
      </c>
      <c r="Q175" s="1027"/>
    </row>
    <row r="176" spans="1:26" s="131" customFormat="1" ht="15.6" customHeight="1">
      <c r="A176" s="119" t="s">
        <v>231</v>
      </c>
      <c r="B176" s="356" t="s">
        <v>850</v>
      </c>
      <c r="C176" s="120">
        <v>4624</v>
      </c>
      <c r="D176" s="120">
        <v>5197</v>
      </c>
      <c r="E176" s="120">
        <v>6725</v>
      </c>
      <c r="F176" s="120">
        <v>5704</v>
      </c>
      <c r="G176" s="120">
        <v>5599</v>
      </c>
      <c r="H176" s="120">
        <v>4889</v>
      </c>
      <c r="I176" s="120">
        <v>4647</v>
      </c>
      <c r="J176" s="120">
        <v>4047</v>
      </c>
      <c r="K176" s="120">
        <v>4286</v>
      </c>
      <c r="L176" s="120">
        <v>5410</v>
      </c>
      <c r="M176" s="120">
        <v>4756</v>
      </c>
      <c r="N176" s="120">
        <v>5233</v>
      </c>
      <c r="O176" s="60">
        <f>AVERAGEIF(C176:N176, "&lt;&gt;0")</f>
        <v>5093.083333333333</v>
      </c>
      <c r="P176" s="68">
        <f>SUM(C176:N176)</f>
        <v>61117</v>
      </c>
      <c r="Q176" s="1027"/>
    </row>
    <row r="177" spans="1:26" s="131" customFormat="1" ht="15.6" customHeight="1" thickBot="1">
      <c r="A177" s="121" t="s">
        <v>240</v>
      </c>
      <c r="B177" s="357" t="s">
        <v>850</v>
      </c>
      <c r="C177" s="122">
        <v>114740</v>
      </c>
      <c r="D177" s="122">
        <v>99942</v>
      </c>
      <c r="E177" s="122">
        <v>118558</v>
      </c>
      <c r="F177" s="122">
        <v>106528</v>
      </c>
      <c r="G177" s="122">
        <v>109519</v>
      </c>
      <c r="H177" s="122">
        <v>104030</v>
      </c>
      <c r="I177" s="122">
        <v>117847</v>
      </c>
      <c r="J177" s="122">
        <v>120681</v>
      </c>
      <c r="K177" s="122">
        <v>104295</v>
      </c>
      <c r="L177" s="122">
        <v>100926</v>
      </c>
      <c r="M177" s="122">
        <v>102365</v>
      </c>
      <c r="N177" s="122">
        <v>103932</v>
      </c>
      <c r="O177" s="60">
        <f>AVERAGEIF(C177:N177, "&lt;&gt;0")</f>
        <v>108613.58333333333</v>
      </c>
      <c r="P177" s="68">
        <f>SUM(C177:N177)</f>
        <v>1303363</v>
      </c>
      <c r="Q177" s="1027"/>
    </row>
    <row r="178" spans="1:26" s="131" customFormat="1" ht="15.6" customHeight="1" thickBot="1">
      <c r="A178" s="123" t="s">
        <v>573</v>
      </c>
      <c r="B178" s="358"/>
      <c r="C178" s="124">
        <f t="shared" ref="C178:N178" si="59">SUM(C175+C177)</f>
        <v>198203</v>
      </c>
      <c r="D178" s="124">
        <f t="shared" si="59"/>
        <v>174013</v>
      </c>
      <c r="E178" s="124">
        <f t="shared" si="59"/>
        <v>208584</v>
      </c>
      <c r="F178" s="124">
        <f t="shared" si="59"/>
        <v>198624</v>
      </c>
      <c r="G178" s="124">
        <f t="shared" si="59"/>
        <v>203115</v>
      </c>
      <c r="H178" s="124">
        <f t="shared" si="59"/>
        <v>202831</v>
      </c>
      <c r="I178" s="124">
        <f t="shared" si="59"/>
        <v>224444</v>
      </c>
      <c r="J178" s="124">
        <f t="shared" si="59"/>
        <v>236688</v>
      </c>
      <c r="K178" s="124">
        <f t="shared" si="59"/>
        <v>198656</v>
      </c>
      <c r="L178" s="124">
        <f t="shared" si="59"/>
        <v>196489</v>
      </c>
      <c r="M178" s="124">
        <f t="shared" si="59"/>
        <v>198197</v>
      </c>
      <c r="N178" s="124">
        <f t="shared" si="59"/>
        <v>207634</v>
      </c>
      <c r="O178" s="124">
        <f>SUM(O175+O177)</f>
        <v>203956.5</v>
      </c>
      <c r="P178" s="665">
        <f>SUM(P175+P177)</f>
        <v>2447478</v>
      </c>
      <c r="Q178" s="1027"/>
    </row>
    <row r="179" spans="1:26" s="131" customFormat="1" ht="15.6" customHeight="1">
      <c r="C179" s="531"/>
      <c r="D179" s="531"/>
      <c r="E179" s="531"/>
      <c r="F179" s="531"/>
      <c r="G179" s="531"/>
      <c r="H179" s="531"/>
      <c r="I179" s="531"/>
      <c r="J179" s="531"/>
      <c r="K179" s="531"/>
      <c r="L179" s="531"/>
      <c r="M179" s="531"/>
      <c r="N179" s="531"/>
    </row>
    <row r="180" spans="1:26" s="131" customFormat="1" ht="15.6" customHeight="1">
      <c r="A180" s="145" t="s">
        <v>574</v>
      </c>
      <c r="B180" s="126"/>
      <c r="C180" s="129"/>
      <c r="D180" s="129"/>
      <c r="E180" s="129"/>
      <c r="F180" s="129"/>
      <c r="G180" s="129"/>
      <c r="H180" s="129"/>
      <c r="I180" s="129"/>
      <c r="J180" s="129"/>
      <c r="K180" s="129"/>
      <c r="L180" s="129"/>
      <c r="M180" s="129"/>
      <c r="N180" s="129"/>
      <c r="O180" s="146"/>
      <c r="P180" s="147"/>
      <c r="Q180" s="377"/>
      <c r="R180" s="377"/>
      <c r="S180" s="377"/>
      <c r="T180" s="377"/>
      <c r="U180" s="377"/>
      <c r="V180" s="377"/>
      <c r="W180" s="377"/>
      <c r="X180" s="377"/>
      <c r="Y180" s="377"/>
      <c r="Z180" s="377"/>
    </row>
    <row r="181" spans="1:26" s="131" customFormat="1" ht="15.6" customHeight="1">
      <c r="A181" s="148" t="s">
        <v>224</v>
      </c>
      <c r="B181" s="129"/>
      <c r="C181" s="146">
        <f>SUM(C175/C163-1)</f>
        <v>-8.7596746687655824E-2</v>
      </c>
      <c r="D181" s="146">
        <f t="shared" ref="D181:O181" si="60">SUM(D175/D163-1)</f>
        <v>-0.17155799127614357</v>
      </c>
      <c r="E181" s="146">
        <f t="shared" si="60"/>
        <v>-1.6539217828271835E-2</v>
      </c>
      <c r="F181" s="146">
        <f t="shared" si="60"/>
        <v>0.16432779589875857</v>
      </c>
      <c r="G181" s="146">
        <f t="shared" si="60"/>
        <v>0.1410945710349536</v>
      </c>
      <c r="H181" s="146">
        <f t="shared" si="60"/>
        <v>6.9008796511690784E-2</v>
      </c>
      <c r="I181" s="146">
        <f t="shared" si="60"/>
        <v>5.2664322957813203E-2</v>
      </c>
      <c r="J181" s="146">
        <f t="shared" si="60"/>
        <v>8.5374525177298377E-2</v>
      </c>
      <c r="K181" s="146">
        <f t="shared" si="60"/>
        <v>9.6991327396591442E-2</v>
      </c>
      <c r="L181" s="146">
        <f t="shared" si="60"/>
        <v>3.7059947041715446E-2</v>
      </c>
      <c r="M181" s="146">
        <f t="shared" si="60"/>
        <v>7.5362448942950744E-2</v>
      </c>
      <c r="N181" s="146">
        <f t="shared" si="60"/>
        <v>0.10662682744637708</v>
      </c>
      <c r="O181" s="128">
        <f t="shared" si="60"/>
        <v>4.4750837360333362E-2</v>
      </c>
      <c r="P181" s="467">
        <f>SUM(P175/P163-1)</f>
        <v>4.4750837360333362E-2</v>
      </c>
      <c r="Q181" s="1869"/>
      <c r="R181" s="377"/>
      <c r="S181" s="377"/>
      <c r="T181" s="377"/>
      <c r="U181" s="377"/>
      <c r="V181" s="377"/>
      <c r="W181" s="377"/>
      <c r="X181" s="377"/>
      <c r="Y181" s="377"/>
      <c r="Z181" s="377"/>
    </row>
    <row r="182" spans="1:26" s="131" customFormat="1" ht="15.6" customHeight="1">
      <c r="A182" s="148" t="s">
        <v>225</v>
      </c>
      <c r="B182" s="129"/>
      <c r="C182" s="146">
        <f>SUM(C177/C165-1)</f>
        <v>3.3042225623480581E-2</v>
      </c>
      <c r="D182" s="146">
        <f t="shared" ref="D182:O183" si="61">SUM(D177/D165-1)</f>
        <v>-6.9216011324901738E-2</v>
      </c>
      <c r="E182" s="146">
        <f t="shared" si="61"/>
        <v>1.2615198025298646E-2</v>
      </c>
      <c r="F182" s="146">
        <f t="shared" si="61"/>
        <v>6.7703687370330723E-2</v>
      </c>
      <c r="G182" s="146">
        <f t="shared" si="61"/>
        <v>5.6796580239884875E-2</v>
      </c>
      <c r="H182" s="146">
        <f t="shared" si="61"/>
        <v>-1.7936373076560042E-2</v>
      </c>
      <c r="I182" s="146">
        <f t="shared" si="61"/>
        <v>2.0126036599089403E-2</v>
      </c>
      <c r="J182" s="146">
        <f t="shared" si="61"/>
        <v>3.4512022630834416E-2</v>
      </c>
      <c r="K182" s="146">
        <f t="shared" si="61"/>
        <v>-1.194626548940847E-2</v>
      </c>
      <c r="L182" s="146">
        <f t="shared" si="61"/>
        <v>-0.10181015609704003</v>
      </c>
      <c r="M182" s="146">
        <f t="shared" si="61"/>
        <v>-6.7654586357964508E-2</v>
      </c>
      <c r="N182" s="146">
        <f t="shared" si="61"/>
        <v>-4.3591088534908784E-2</v>
      </c>
      <c r="O182" s="128">
        <f t="shared" si="61"/>
        <v>-7.6586200017968453E-3</v>
      </c>
      <c r="P182" s="468">
        <f>SUM(P177/P165-1)</f>
        <v>-7.6586200017968453E-3</v>
      </c>
      <c r="Q182" s="377"/>
      <c r="R182" s="377"/>
      <c r="S182" s="377"/>
      <c r="T182" s="377"/>
      <c r="U182" s="377"/>
      <c r="V182" s="377"/>
      <c r="W182" s="377"/>
      <c r="X182" s="377"/>
      <c r="Y182" s="377"/>
      <c r="Z182" s="377"/>
    </row>
    <row r="183" spans="1:26" s="131" customFormat="1" ht="15.6" customHeight="1" thickBot="1">
      <c r="A183" s="149" t="s">
        <v>151</v>
      </c>
      <c r="B183" s="360"/>
      <c r="C183" s="150">
        <f>SUM(C178/C166-1)</f>
        <v>-2.1442042795216887E-2</v>
      </c>
      <c r="D183" s="150">
        <f t="shared" ref="D183:N183" si="62">SUM(D178/D166-1)</f>
        <v>-0.11571570859419467</v>
      </c>
      <c r="E183" s="150">
        <f t="shared" si="62"/>
        <v>-1.7735510806682342E-4</v>
      </c>
      <c r="F183" s="150">
        <f t="shared" si="62"/>
        <v>0.11043154004841482</v>
      </c>
      <c r="G183" s="150">
        <f t="shared" si="62"/>
        <v>9.4039513939759622E-2</v>
      </c>
      <c r="H183" s="150">
        <f t="shared" si="62"/>
        <v>2.257591264059533E-2</v>
      </c>
      <c r="I183" s="150">
        <f t="shared" si="62"/>
        <v>3.532515937376024E-2</v>
      </c>
      <c r="J183" s="150">
        <f t="shared" si="62"/>
        <v>5.8831423880610467E-2</v>
      </c>
      <c r="K183" s="150">
        <f t="shared" si="62"/>
        <v>3.6967438170106615E-2</v>
      </c>
      <c r="L183" s="150">
        <f t="shared" si="62"/>
        <v>-3.9239367476065157E-2</v>
      </c>
      <c r="M183" s="150">
        <f t="shared" si="62"/>
        <v>-3.5795263160540713E-3</v>
      </c>
      <c r="N183" s="150">
        <f t="shared" si="62"/>
        <v>2.5966132849752244E-2</v>
      </c>
      <c r="O183" s="150">
        <f t="shared" si="61"/>
        <v>1.6170859403868754E-2</v>
      </c>
      <c r="P183" s="735">
        <f>SUM(P178/P166-1)</f>
        <v>1.6170859403868754E-2</v>
      </c>
      <c r="Q183" s="377"/>
      <c r="R183" s="377"/>
      <c r="S183" s="377"/>
      <c r="T183" s="377"/>
      <c r="U183" s="377"/>
      <c r="V183" s="377"/>
      <c r="W183" s="377"/>
      <c r="X183" s="377"/>
      <c r="Y183" s="377"/>
      <c r="Z183" s="377"/>
    </row>
    <row r="184" spans="1:26" s="131" customFormat="1" ht="15.6" customHeight="1" thickBot="1">
      <c r="B184" s="531"/>
      <c r="C184" s="531"/>
      <c r="D184" s="531"/>
      <c r="E184" s="531"/>
      <c r="F184" s="531"/>
      <c r="G184" s="531"/>
      <c r="H184" s="531"/>
      <c r="I184" s="531"/>
      <c r="J184" s="531"/>
      <c r="K184" s="531"/>
      <c r="L184" s="531"/>
      <c r="M184" s="531"/>
      <c r="N184" s="531"/>
      <c r="Q184" s="1868"/>
    </row>
    <row r="185" spans="1:26" s="131" customFormat="1">
      <c r="A185" s="5474" t="s">
        <v>824</v>
      </c>
      <c r="B185" s="5475"/>
      <c r="C185" s="5475"/>
      <c r="D185" s="5475"/>
      <c r="E185" s="5475"/>
      <c r="F185" s="5475"/>
      <c r="G185" s="5475"/>
      <c r="H185" s="5475"/>
      <c r="I185" s="5475"/>
      <c r="J185" s="5475"/>
      <c r="K185" s="5475"/>
      <c r="L185" s="5475"/>
      <c r="M185" s="5475"/>
      <c r="N185" s="5475"/>
      <c r="O185" s="5477"/>
      <c r="P185" s="2259"/>
    </row>
    <row r="186" spans="1:26" s="131" customFormat="1">
      <c r="A186" s="137" t="s">
        <v>217</v>
      </c>
      <c r="B186" s="355"/>
      <c r="C186" s="117" t="s">
        <v>218</v>
      </c>
      <c r="D186" s="117" t="s">
        <v>207</v>
      </c>
      <c r="E186" s="117" t="s">
        <v>208</v>
      </c>
      <c r="F186" s="117" t="s">
        <v>219</v>
      </c>
      <c r="G186" s="117" t="s">
        <v>209</v>
      </c>
      <c r="H186" s="117" t="s">
        <v>210</v>
      </c>
      <c r="I186" s="117" t="s">
        <v>220</v>
      </c>
      <c r="J186" s="117" t="s">
        <v>221</v>
      </c>
      <c r="K186" s="117" t="s">
        <v>211</v>
      </c>
      <c r="L186" s="117" t="s">
        <v>212</v>
      </c>
      <c r="M186" s="117" t="s">
        <v>213</v>
      </c>
      <c r="N186" s="117" t="s">
        <v>222</v>
      </c>
      <c r="O186" s="117" t="s">
        <v>223</v>
      </c>
      <c r="P186" s="138" t="s">
        <v>151</v>
      </c>
    </row>
    <row r="187" spans="1:26" s="131" customFormat="1">
      <c r="A187" s="139" t="s">
        <v>224</v>
      </c>
      <c r="B187" s="356" t="s">
        <v>1142</v>
      </c>
      <c r="C187" s="120">
        <v>90295</v>
      </c>
      <c r="D187" s="120">
        <v>85295</v>
      </c>
      <c r="E187" s="120">
        <v>96143</v>
      </c>
      <c r="F187" s="120">
        <v>90323</v>
      </c>
      <c r="G187" s="120">
        <v>97512</v>
      </c>
      <c r="H187" s="120">
        <v>106342</v>
      </c>
      <c r="I187" s="120">
        <v>114980</v>
      </c>
      <c r="J187" s="120">
        <v>120495</v>
      </c>
      <c r="K187" s="120">
        <v>104128</v>
      </c>
      <c r="L187" s="120">
        <v>101002</v>
      </c>
      <c r="M187" s="120">
        <v>102203</v>
      </c>
      <c r="N187" s="120">
        <v>108479</v>
      </c>
      <c r="O187" s="60">
        <f>AVERAGEIF(C187:N187, "&lt;&gt;0")</f>
        <v>101433.08333333333</v>
      </c>
      <c r="P187" s="140">
        <f>SUM(C187:N187)</f>
        <v>1217197</v>
      </c>
      <c r="Q187" s="1027"/>
      <c r="S187" s="1027"/>
    </row>
    <row r="188" spans="1:26" s="131" customFormat="1">
      <c r="A188" s="139" t="s">
        <v>231</v>
      </c>
      <c r="B188" s="356" t="s">
        <v>1142</v>
      </c>
      <c r="C188" s="120">
        <v>6833</v>
      </c>
      <c r="D188" s="120">
        <v>5621</v>
      </c>
      <c r="E188" s="120">
        <v>6993</v>
      </c>
      <c r="F188" s="120">
        <v>6802</v>
      </c>
      <c r="G188" s="120">
        <v>6570</v>
      </c>
      <c r="H188" s="120">
        <v>7751</v>
      </c>
      <c r="I188" s="120">
        <v>10119</v>
      </c>
      <c r="J188" s="120">
        <v>8318</v>
      </c>
      <c r="K188" s="120">
        <v>6192</v>
      </c>
      <c r="L188" s="120">
        <v>6621</v>
      </c>
      <c r="M188" s="120">
        <v>5537</v>
      </c>
      <c r="N188" s="120">
        <v>9289</v>
      </c>
      <c r="O188" s="60">
        <f>AVERAGEIF(C188:N188, "&lt;&gt;0")</f>
        <v>7220.5</v>
      </c>
      <c r="P188" s="140">
        <f>SUM(C188:N188)</f>
        <v>86646</v>
      </c>
      <c r="Q188" s="1027"/>
      <c r="S188" s="1027"/>
    </row>
    <row r="189" spans="1:26" s="131" customFormat="1" ht="10.8" thickBot="1">
      <c r="A189" s="141" t="s">
        <v>854</v>
      </c>
      <c r="B189" s="357" t="s">
        <v>1142</v>
      </c>
      <c r="C189" s="122">
        <v>109076</v>
      </c>
      <c r="D189" s="122">
        <v>102625</v>
      </c>
      <c r="E189" s="122">
        <v>117488</v>
      </c>
      <c r="F189" s="122">
        <v>115321</v>
      </c>
      <c r="G189" s="122">
        <v>119411</v>
      </c>
      <c r="H189" s="122">
        <v>117791</v>
      </c>
      <c r="I189" s="122">
        <v>122909</v>
      </c>
      <c r="J189" s="122">
        <v>131271</v>
      </c>
      <c r="K189" s="122">
        <v>123118</v>
      </c>
      <c r="L189" s="122">
        <v>117449</v>
      </c>
      <c r="M189" s="122">
        <v>115572</v>
      </c>
      <c r="N189" s="122">
        <v>107076</v>
      </c>
      <c r="O189" s="60">
        <f>AVERAGEIF(C189:N189, "&lt;&gt;0")</f>
        <v>116592.25</v>
      </c>
      <c r="P189" s="140">
        <f>SUM(C189:N189)</f>
        <v>1399107</v>
      </c>
      <c r="Q189" s="1027"/>
      <c r="S189" s="1027"/>
    </row>
    <row r="190" spans="1:26" s="131" customFormat="1" ht="10.8" thickBot="1">
      <c r="A190" s="123" t="s">
        <v>825</v>
      </c>
      <c r="B190" s="358"/>
      <c r="C190" s="124">
        <f t="shared" ref="C190:N190" si="63">SUM(C187+C189)</f>
        <v>199371</v>
      </c>
      <c r="D190" s="124">
        <f t="shared" si="63"/>
        <v>187920</v>
      </c>
      <c r="E190" s="124">
        <f t="shared" si="63"/>
        <v>213631</v>
      </c>
      <c r="F190" s="124">
        <f t="shared" si="63"/>
        <v>205644</v>
      </c>
      <c r="G190" s="124">
        <f t="shared" si="63"/>
        <v>216923</v>
      </c>
      <c r="H190" s="124">
        <f t="shared" si="63"/>
        <v>224133</v>
      </c>
      <c r="I190" s="124">
        <f t="shared" si="63"/>
        <v>237889</v>
      </c>
      <c r="J190" s="124">
        <f t="shared" si="63"/>
        <v>251766</v>
      </c>
      <c r="K190" s="124">
        <f>SUM(K187+K189)</f>
        <v>227246</v>
      </c>
      <c r="L190" s="124">
        <f t="shared" si="63"/>
        <v>218451</v>
      </c>
      <c r="M190" s="124">
        <f t="shared" si="63"/>
        <v>217775</v>
      </c>
      <c r="N190" s="124">
        <f t="shared" si="63"/>
        <v>215555</v>
      </c>
      <c r="O190" s="124">
        <f>SUM(O187+O189)</f>
        <v>218025.33333333331</v>
      </c>
      <c r="P190" s="665">
        <f>SUM(P187+P189)</f>
        <v>2616304</v>
      </c>
      <c r="Q190" s="1027"/>
      <c r="S190" s="1027"/>
    </row>
    <row r="191" spans="1:26" s="131" customFormat="1">
      <c r="A191" s="736"/>
      <c r="B191" s="737"/>
      <c r="C191" s="2263"/>
      <c r="D191" s="2263"/>
      <c r="E191" s="2263"/>
      <c r="F191" s="2263"/>
      <c r="G191" s="2263"/>
      <c r="H191" s="2263"/>
      <c r="I191" s="2263"/>
      <c r="J191" s="2263"/>
      <c r="K191" s="2263"/>
      <c r="L191" s="2263"/>
      <c r="M191" s="2263"/>
      <c r="N191" s="2263"/>
      <c r="O191" s="2264"/>
      <c r="P191" s="2265"/>
    </row>
    <row r="192" spans="1:26" s="131" customFormat="1">
      <c r="A192" s="145" t="s">
        <v>826</v>
      </c>
      <c r="B192" s="126"/>
      <c r="C192" s="129"/>
      <c r="D192" s="129"/>
      <c r="E192" s="129"/>
      <c r="F192" s="129"/>
      <c r="G192" s="129"/>
      <c r="H192" s="129"/>
      <c r="I192" s="129"/>
      <c r="J192" s="129"/>
      <c r="K192" s="129"/>
      <c r="L192" s="129"/>
      <c r="M192" s="129"/>
      <c r="N192" s="129"/>
      <c r="O192" s="146"/>
      <c r="P192" s="147"/>
    </row>
    <row r="193" spans="1:16" s="131" customFormat="1">
      <c r="A193" s="148" t="s">
        <v>224</v>
      </c>
      <c r="B193" s="129"/>
      <c r="C193" s="744">
        <f>SUM(C187/C175-1)</f>
        <v>8.1856631082036335E-2</v>
      </c>
      <c r="D193" s="744">
        <f>IF(D187="","",SUM(D187/D175-1))</f>
        <v>0.15153028850697314</v>
      </c>
      <c r="E193" s="744">
        <f t="shared" ref="E193:N193" si="64">IF(E187="","",SUM(E187/E175-1))</f>
        <v>6.7947037522493536E-2</v>
      </c>
      <c r="F193" s="744">
        <f t="shared" si="64"/>
        <v>-1.9251650451702518E-2</v>
      </c>
      <c r="G193" s="744">
        <f t="shared" si="64"/>
        <v>4.1839394845933686E-2</v>
      </c>
      <c r="H193" s="744">
        <f t="shared" si="64"/>
        <v>7.6325138409530258E-2</v>
      </c>
      <c r="I193" s="744">
        <f t="shared" si="64"/>
        <v>7.8641988048444134E-2</v>
      </c>
      <c r="J193" s="744">
        <f t="shared" si="64"/>
        <v>3.8687320592722951E-2</v>
      </c>
      <c r="K193" s="744">
        <f t="shared" si="64"/>
        <v>0.10350674537149884</v>
      </c>
      <c r="L193" s="744">
        <f t="shared" si="64"/>
        <v>5.6915333340309626E-2</v>
      </c>
      <c r="M193" s="744">
        <f t="shared" si="64"/>
        <v>6.648092495199931E-2</v>
      </c>
      <c r="N193" s="744">
        <f t="shared" si="64"/>
        <v>4.6064685348402135E-2</v>
      </c>
      <c r="O193" s="744">
        <f>SUM(O187/O175-1)</f>
        <v>6.3876445986635888E-2</v>
      </c>
      <c r="P193" s="1833">
        <f>SUM(P187/P175-1)</f>
        <v>6.3876445986635888E-2</v>
      </c>
    </row>
    <row r="194" spans="1:16" s="131" customFormat="1">
      <c r="A194" s="148" t="s">
        <v>225</v>
      </c>
      <c r="B194" s="129"/>
      <c r="C194" s="744">
        <f>SUM(C189/C177-1)</f>
        <v>-4.9363778978560258E-2</v>
      </c>
      <c r="D194" s="744">
        <f>IF(D189="","",SUM(D189/D177-1))</f>
        <v>2.6845570430849897E-2</v>
      </c>
      <c r="E194" s="744">
        <f t="shared" ref="E194:N194" si="65">IF(E189="","",SUM(E189/E177-1))</f>
        <v>-9.0251185073971785E-3</v>
      </c>
      <c r="F194" s="744">
        <f t="shared" si="65"/>
        <v>8.2541679182937866E-2</v>
      </c>
      <c r="G194" s="744">
        <f t="shared" si="65"/>
        <v>9.0322227193454951E-2</v>
      </c>
      <c r="H194" s="744">
        <f t="shared" si="65"/>
        <v>0.13227915024512149</v>
      </c>
      <c r="I194" s="744">
        <f t="shared" si="65"/>
        <v>4.2953999677548094E-2</v>
      </c>
      <c r="J194" s="744">
        <f t="shared" si="65"/>
        <v>8.7752007358242068E-2</v>
      </c>
      <c r="K194" s="744">
        <f t="shared" si="65"/>
        <v>0.18047845054892364</v>
      </c>
      <c r="L194" s="744">
        <f t="shared" si="65"/>
        <v>0.16371400828329663</v>
      </c>
      <c r="M194" s="744">
        <f t="shared" si="65"/>
        <v>0.12901870756606271</v>
      </c>
      <c r="N194" s="744">
        <f t="shared" si="65"/>
        <v>3.0250548435515556E-2</v>
      </c>
      <c r="O194" s="744">
        <f>SUM(O189/O177-1)</f>
        <v>7.3459197476067661E-2</v>
      </c>
      <c r="P194" s="1834">
        <f>SUM(P189/P177-1)</f>
        <v>7.3459197476067661E-2</v>
      </c>
    </row>
    <row r="195" spans="1:16" s="131" customFormat="1" ht="10.8" thickBot="1">
      <c r="A195" s="149" t="s">
        <v>151</v>
      </c>
      <c r="B195" s="360"/>
      <c r="C195" s="745">
        <f>SUM(C190/C178-1)</f>
        <v>5.892948139029075E-3</v>
      </c>
      <c r="D195" s="745">
        <f>IF(D190="","",SUM(D190/D178-1))</f>
        <v>7.9919316372914606E-2</v>
      </c>
      <c r="E195" s="745">
        <f>SUM(E190/E178-1)</f>
        <v>2.4196486787097848E-2</v>
      </c>
      <c r="F195" s="745">
        <f t="shared" ref="F195:N195" si="66">IF(F190="","",SUM(F190/F178-1))</f>
        <v>3.5343160947317598E-2</v>
      </c>
      <c r="G195" s="745">
        <f t="shared" si="66"/>
        <v>6.7981192920266942E-2</v>
      </c>
      <c r="H195" s="745">
        <f t="shared" si="66"/>
        <v>0.10502339385991299</v>
      </c>
      <c r="I195" s="745">
        <f t="shared" si="66"/>
        <v>5.9903583967493068E-2</v>
      </c>
      <c r="J195" s="745">
        <f t="shared" si="66"/>
        <v>6.3704116812005607E-2</v>
      </c>
      <c r="K195" s="745">
        <f t="shared" si="66"/>
        <v>0.14391712306701021</v>
      </c>
      <c r="L195" s="745">
        <f t="shared" si="66"/>
        <v>0.11177216027360304</v>
      </c>
      <c r="M195" s="745">
        <f t="shared" si="66"/>
        <v>9.8780506263969725E-2</v>
      </c>
      <c r="N195" s="745">
        <f t="shared" si="66"/>
        <v>3.8148858086825888E-2</v>
      </c>
      <c r="O195" s="745">
        <f>SUM(O190/O178-1)</f>
        <v>6.8979578161683097E-2</v>
      </c>
      <c r="P195" s="735">
        <f>SUM(P190/P178-1)</f>
        <v>6.8979578161683097E-2</v>
      </c>
    </row>
    <row r="196" spans="1:16" s="734" customFormat="1" ht="10.8" thickBot="1">
      <c r="A196" s="732"/>
      <c r="B196" s="733"/>
      <c r="C196" s="733"/>
      <c r="D196" s="733"/>
      <c r="E196" s="733"/>
      <c r="F196" s="733"/>
      <c r="G196" s="733"/>
      <c r="H196" s="733"/>
      <c r="I196" s="733"/>
      <c r="J196" s="733"/>
      <c r="K196" s="733"/>
      <c r="L196" s="733"/>
      <c r="M196" s="733"/>
      <c r="N196" s="733"/>
      <c r="O196" s="733"/>
    </row>
    <row r="197" spans="1:16" s="131" customFormat="1">
      <c r="A197" s="5474" t="s">
        <v>1097</v>
      </c>
      <c r="B197" s="5475"/>
      <c r="C197" s="5475"/>
      <c r="D197" s="5475"/>
      <c r="E197" s="5475"/>
      <c r="F197" s="5475"/>
      <c r="G197" s="5475"/>
      <c r="H197" s="5475"/>
      <c r="I197" s="5475"/>
      <c r="J197" s="5475"/>
      <c r="K197" s="5475"/>
      <c r="L197" s="5475"/>
      <c r="M197" s="5475"/>
      <c r="N197" s="5475"/>
      <c r="O197" s="5477"/>
      <c r="P197" s="2259"/>
    </row>
    <row r="198" spans="1:16" s="131" customFormat="1">
      <c r="A198" s="137" t="s">
        <v>217</v>
      </c>
      <c r="B198" s="355"/>
      <c r="C198" s="117" t="s">
        <v>218</v>
      </c>
      <c r="D198" s="117" t="s">
        <v>207</v>
      </c>
      <c r="E198" s="117" t="s">
        <v>208</v>
      </c>
      <c r="F198" s="117" t="s">
        <v>219</v>
      </c>
      <c r="G198" s="117" t="s">
        <v>209</v>
      </c>
      <c r="H198" s="117" t="s">
        <v>210</v>
      </c>
      <c r="I198" s="117" t="s">
        <v>220</v>
      </c>
      <c r="J198" s="117" t="s">
        <v>221</v>
      </c>
      <c r="K198" s="117" t="s">
        <v>211</v>
      </c>
      <c r="L198" s="117" t="s">
        <v>212</v>
      </c>
      <c r="M198" s="117" t="s">
        <v>213</v>
      </c>
      <c r="N198" s="117" t="s">
        <v>222</v>
      </c>
      <c r="O198" s="117" t="s">
        <v>223</v>
      </c>
      <c r="P198" s="138" t="s">
        <v>151</v>
      </c>
    </row>
    <row r="199" spans="1:16" s="131" customFormat="1">
      <c r="A199" s="139" t="s">
        <v>224</v>
      </c>
      <c r="B199" s="356" t="s">
        <v>1417</v>
      </c>
      <c r="C199" s="120">
        <v>93519</v>
      </c>
      <c r="D199" s="120">
        <v>84870</v>
      </c>
      <c r="E199" s="120">
        <v>94191</v>
      </c>
      <c r="F199" s="120">
        <v>91052</v>
      </c>
      <c r="G199" s="120">
        <v>93508</v>
      </c>
      <c r="H199" s="120">
        <v>103723</v>
      </c>
      <c r="I199" s="120">
        <v>113445</v>
      </c>
      <c r="J199" s="120">
        <v>121794</v>
      </c>
      <c r="K199" s="120">
        <v>102191</v>
      </c>
      <c r="L199" s="120">
        <v>80751</v>
      </c>
      <c r="M199" s="120">
        <v>93804</v>
      </c>
      <c r="N199" s="120">
        <v>108066</v>
      </c>
      <c r="O199" s="60">
        <f>AVERAGEIF(C199:N199, "&lt;&gt;0")</f>
        <v>98409.5</v>
      </c>
      <c r="P199" s="140">
        <f>SUM(C199:N199)</f>
        <v>1180914</v>
      </c>
    </row>
    <row r="200" spans="1:16" s="131" customFormat="1">
      <c r="A200" s="139" t="s">
        <v>231</v>
      </c>
      <c r="B200" s="356" t="s">
        <v>1417</v>
      </c>
      <c r="C200" s="120">
        <v>6785</v>
      </c>
      <c r="D200" s="120">
        <v>5102</v>
      </c>
      <c r="E200" s="120">
        <v>5624</v>
      </c>
      <c r="F200" s="120">
        <v>5750</v>
      </c>
      <c r="G200" s="120">
        <v>5513</v>
      </c>
      <c r="H200" s="120">
        <v>8033</v>
      </c>
      <c r="I200" s="120">
        <v>8129</v>
      </c>
      <c r="J200" s="120">
        <v>7358</v>
      </c>
      <c r="K200" s="120">
        <v>6580</v>
      </c>
      <c r="L200" s="120">
        <v>5849</v>
      </c>
      <c r="M200" s="120">
        <v>6262</v>
      </c>
      <c r="N200" s="120">
        <v>9383</v>
      </c>
      <c r="O200" s="60">
        <f>AVERAGEIF(C200:N200, "&lt;&gt;0")</f>
        <v>6697.333333333333</v>
      </c>
      <c r="P200" s="140">
        <f>SUM(C200:N200)</f>
        <v>80368</v>
      </c>
    </row>
    <row r="201" spans="1:16" s="131" customFormat="1" ht="10.8" thickBot="1">
      <c r="A201" s="141" t="s">
        <v>240</v>
      </c>
      <c r="B201" s="357" t="s">
        <v>1417</v>
      </c>
      <c r="C201" s="122">
        <v>117380</v>
      </c>
      <c r="D201" s="122">
        <v>104892</v>
      </c>
      <c r="E201" s="122">
        <v>115676</v>
      </c>
      <c r="F201" s="122">
        <v>110792</v>
      </c>
      <c r="G201" s="122">
        <v>110262</v>
      </c>
      <c r="H201" s="122">
        <v>109741</v>
      </c>
      <c r="I201" s="122">
        <v>117354</v>
      </c>
      <c r="J201" s="122">
        <v>120253</v>
      </c>
      <c r="K201" s="122">
        <v>104782</v>
      </c>
      <c r="L201" s="122">
        <v>97917</v>
      </c>
      <c r="M201" s="122">
        <v>108502</v>
      </c>
      <c r="N201" s="122">
        <v>104324</v>
      </c>
      <c r="O201" s="60">
        <f>AVERAGEIF(C201:N201, "&lt;&gt;0")</f>
        <v>110156.25</v>
      </c>
      <c r="P201" s="140">
        <f>SUM(C201:N201)</f>
        <v>1321875</v>
      </c>
    </row>
    <row r="202" spans="1:16" s="131" customFormat="1" ht="10.8" thickBot="1">
      <c r="A202" s="123" t="s">
        <v>1098</v>
      </c>
      <c r="B202" s="358"/>
      <c r="C202" s="124">
        <f>SUM(C199+C201)</f>
        <v>210899</v>
      </c>
      <c r="D202" s="124">
        <f t="shared" ref="D202:J202" si="67">SUM(D199+D201)</f>
        <v>189762</v>
      </c>
      <c r="E202" s="124">
        <f t="shared" si="67"/>
        <v>209867</v>
      </c>
      <c r="F202" s="124">
        <f t="shared" si="67"/>
        <v>201844</v>
      </c>
      <c r="G202" s="124">
        <f t="shared" si="67"/>
        <v>203770</v>
      </c>
      <c r="H202" s="124">
        <f t="shared" si="67"/>
        <v>213464</v>
      </c>
      <c r="I202" s="124">
        <f t="shared" si="67"/>
        <v>230799</v>
      </c>
      <c r="J202" s="124">
        <f t="shared" si="67"/>
        <v>242047</v>
      </c>
      <c r="K202" s="124">
        <f>SUM(K199+K201)</f>
        <v>206973</v>
      </c>
      <c r="L202" s="124">
        <f t="shared" ref="L202" si="68">SUM(L199+L201)</f>
        <v>178668</v>
      </c>
      <c r="M202" s="124">
        <f t="shared" ref="M202:N202" si="69">IF(M199="","",SUM(M199+M201))</f>
        <v>202306</v>
      </c>
      <c r="N202" s="124">
        <f t="shared" si="69"/>
        <v>212390</v>
      </c>
      <c r="O202" s="124">
        <f>SUM(O199+O201)</f>
        <v>208565.75</v>
      </c>
      <c r="P202" s="665">
        <f>SUM(P199+P201)</f>
        <v>2502789</v>
      </c>
    </row>
    <row r="203" spans="1:16" s="131" customFormat="1">
      <c r="A203" s="2260"/>
      <c r="B203" s="2168"/>
      <c r="C203" s="2169"/>
      <c r="D203" s="2169"/>
      <c r="E203" s="2169"/>
      <c r="F203" s="2169"/>
      <c r="G203" s="2169"/>
      <c r="H203" s="2169"/>
      <c r="I203" s="2169"/>
      <c r="J203" s="2169"/>
      <c r="K203" s="2169"/>
      <c r="L203" s="2169"/>
      <c r="M203" s="2169"/>
      <c r="N203" s="2169"/>
      <c r="O203" s="2169"/>
      <c r="P203" s="2261"/>
    </row>
    <row r="204" spans="1:16" s="131" customFormat="1">
      <c r="A204" s="145" t="s">
        <v>1099</v>
      </c>
      <c r="B204" s="126"/>
      <c r="C204" s="129"/>
      <c r="D204" s="129"/>
      <c r="E204" s="129"/>
      <c r="F204" s="129"/>
      <c r="G204" s="129"/>
      <c r="H204" s="129"/>
      <c r="I204" s="129"/>
      <c r="J204" s="129"/>
      <c r="K204" s="129"/>
      <c r="L204" s="129"/>
      <c r="M204" s="129"/>
      <c r="N204" s="129"/>
      <c r="O204" s="146"/>
      <c r="P204" s="2262"/>
    </row>
    <row r="205" spans="1:16" s="131" customFormat="1">
      <c r="A205" s="148" t="s">
        <v>224</v>
      </c>
      <c r="B205" s="129"/>
      <c r="C205" s="744">
        <f t="shared" ref="C205:K205" si="70">SUM(C199/C187-1)</f>
        <v>3.5705188548646127E-2</v>
      </c>
      <c r="D205" s="744">
        <f t="shared" si="70"/>
        <v>-4.982707075444015E-3</v>
      </c>
      <c r="E205" s="744">
        <f t="shared" si="70"/>
        <v>-2.0303090188573236E-2</v>
      </c>
      <c r="F205" s="744">
        <f t="shared" si="70"/>
        <v>8.0710339559137978E-3</v>
      </c>
      <c r="G205" s="744">
        <f t="shared" si="70"/>
        <v>-4.1061612929690683E-2</v>
      </c>
      <c r="H205" s="744">
        <f t="shared" si="70"/>
        <v>-2.4628086739011845E-2</v>
      </c>
      <c r="I205" s="744">
        <f t="shared" si="70"/>
        <v>-1.3350147851800331E-2</v>
      </c>
      <c r="J205" s="744">
        <f t="shared" si="70"/>
        <v>1.0780530312461067E-2</v>
      </c>
      <c r="K205" s="744">
        <f t="shared" si="70"/>
        <v>-1.8602105101413691E-2</v>
      </c>
      <c r="L205" s="744">
        <f t="shared" ref="L205:N205" si="71">SUM(L199/L187-1)</f>
        <v>-0.20050098017861029</v>
      </c>
      <c r="M205" s="744">
        <f t="shared" si="71"/>
        <v>-8.2179583769556697E-2</v>
      </c>
      <c r="N205" s="744">
        <f t="shared" si="71"/>
        <v>-3.8071884880944706E-3</v>
      </c>
      <c r="O205" s="744">
        <f>SUM(O199/O187-1)</f>
        <v>-2.9808650530686487E-2</v>
      </c>
      <c r="P205" s="1833">
        <f>SUM(P199/P187-1)</f>
        <v>-2.9808650530686487E-2</v>
      </c>
    </row>
    <row r="206" spans="1:16" s="131" customFormat="1">
      <c r="A206" s="148" t="s">
        <v>225</v>
      </c>
      <c r="B206" s="129"/>
      <c r="C206" s="744">
        <f t="shared" ref="C206:K206" si="72">SUM(C201/C189-1)</f>
        <v>7.6130404488613523E-2</v>
      </c>
      <c r="D206" s="744">
        <f t="shared" si="72"/>
        <v>2.2090133982947568E-2</v>
      </c>
      <c r="E206" s="744">
        <f t="shared" si="72"/>
        <v>-1.542285169549229E-2</v>
      </c>
      <c r="F206" s="744">
        <f t="shared" si="72"/>
        <v>-3.9272985839526209E-2</v>
      </c>
      <c r="G206" s="744">
        <f t="shared" si="72"/>
        <v>-7.6617732034737207E-2</v>
      </c>
      <c r="H206" s="744">
        <f t="shared" si="72"/>
        <v>-6.8341384316289E-2</v>
      </c>
      <c r="I206" s="744">
        <f t="shared" si="72"/>
        <v>-4.5196039346182992E-2</v>
      </c>
      <c r="J206" s="744">
        <f t="shared" si="72"/>
        <v>-8.3933237348690848E-2</v>
      </c>
      <c r="K206" s="744">
        <f t="shared" si="72"/>
        <v>-0.14893029451420592</v>
      </c>
      <c r="L206" s="744">
        <f t="shared" ref="L206:N206" si="73">SUM(L201/L189-1)</f>
        <v>-0.16630196936542674</v>
      </c>
      <c r="M206" s="744">
        <f t="shared" si="73"/>
        <v>-6.117398677880459E-2</v>
      </c>
      <c r="N206" s="744">
        <f t="shared" si="73"/>
        <v>-2.5701370988830408E-2</v>
      </c>
      <c r="O206" s="744">
        <f>SUM(O201/O189-1)</f>
        <v>-5.5200924589756228E-2</v>
      </c>
      <c r="P206" s="1834">
        <f>SUM(P201/P189-1)</f>
        <v>-5.5200924589756228E-2</v>
      </c>
    </row>
    <row r="207" spans="1:16" s="131" customFormat="1" ht="10.8" thickBot="1">
      <c r="A207" s="149" t="s">
        <v>151</v>
      </c>
      <c r="B207" s="360"/>
      <c r="C207" s="745">
        <f t="shared" ref="C207:K207" si="74">SUM(C202/C190-1)</f>
        <v>5.782184971736104E-2</v>
      </c>
      <c r="D207" s="745">
        <f t="shared" si="74"/>
        <v>9.8020434227330533E-3</v>
      </c>
      <c r="E207" s="745">
        <f t="shared" si="74"/>
        <v>-1.7619165757778554E-2</v>
      </c>
      <c r="F207" s="745">
        <f t="shared" si="74"/>
        <v>-1.8478535721927258E-2</v>
      </c>
      <c r="G207" s="745">
        <f t="shared" si="74"/>
        <v>-6.0634418664687439E-2</v>
      </c>
      <c r="H207" s="745">
        <f t="shared" si="74"/>
        <v>-4.7601201072577481E-2</v>
      </c>
      <c r="I207" s="745">
        <f t="shared" si="74"/>
        <v>-2.9803816065475885E-2</v>
      </c>
      <c r="J207" s="745">
        <f t="shared" si="74"/>
        <v>-3.8603306244687552E-2</v>
      </c>
      <c r="K207" s="745">
        <f t="shared" si="74"/>
        <v>-8.9211691294896256E-2</v>
      </c>
      <c r="L207" s="745">
        <f t="shared" ref="L207:N207" si="75">SUM(L202/L190-1)</f>
        <v>-0.18211406677012232</v>
      </c>
      <c r="M207" s="745">
        <f t="shared" si="75"/>
        <v>-7.1032028469750874E-2</v>
      </c>
      <c r="N207" s="745">
        <f t="shared" si="75"/>
        <v>-1.4683027533576087E-2</v>
      </c>
      <c r="O207" s="745">
        <f>SUM(O202/O190-1)</f>
        <v>-4.3387542120487455E-2</v>
      </c>
      <c r="P207" s="735">
        <f>SUM(P202/P190-1)</f>
        <v>-4.3387542120487566E-2</v>
      </c>
    </row>
    <row r="208" spans="1:16" s="131" customFormat="1" ht="10.8" thickBot="1">
      <c r="A208" s="2168"/>
      <c r="B208" s="2168"/>
      <c r="C208" s="2169"/>
      <c r="D208" s="2169"/>
      <c r="E208" s="2169"/>
      <c r="F208" s="2169"/>
      <c r="G208" s="2169"/>
      <c r="H208" s="2169"/>
      <c r="I208" s="2169"/>
      <c r="J208" s="2169"/>
      <c r="K208" s="2169"/>
      <c r="L208" s="2169"/>
      <c r="M208" s="2169"/>
      <c r="N208" s="2169"/>
      <c r="O208" s="2169"/>
      <c r="P208" s="2170"/>
    </row>
    <row r="209" spans="1:16" s="131" customFormat="1">
      <c r="A209" s="5474" t="s">
        <v>1388</v>
      </c>
      <c r="B209" s="5475"/>
      <c r="C209" s="5475"/>
      <c r="D209" s="5475"/>
      <c r="E209" s="5475"/>
      <c r="F209" s="5475"/>
      <c r="G209" s="5475"/>
      <c r="H209" s="5475"/>
      <c r="I209" s="5475"/>
      <c r="J209" s="5475"/>
      <c r="K209" s="5475"/>
      <c r="L209" s="5475"/>
      <c r="M209" s="5475"/>
      <c r="N209" s="5475"/>
      <c r="O209" s="5477"/>
      <c r="P209" s="2259"/>
    </row>
    <row r="210" spans="1:16" s="131" customFormat="1">
      <c r="A210" s="137" t="s">
        <v>217</v>
      </c>
      <c r="B210" s="355"/>
      <c r="C210" s="117" t="s">
        <v>218</v>
      </c>
      <c r="D210" s="117" t="s">
        <v>207</v>
      </c>
      <c r="E210" s="117" t="s">
        <v>208</v>
      </c>
      <c r="F210" s="117" t="s">
        <v>219</v>
      </c>
      <c r="G210" s="117" t="s">
        <v>209</v>
      </c>
      <c r="H210" s="117" t="s">
        <v>210</v>
      </c>
      <c r="I210" s="117" t="s">
        <v>220</v>
      </c>
      <c r="J210" s="117" t="s">
        <v>221</v>
      </c>
      <c r="K210" s="117" t="s">
        <v>211</v>
      </c>
      <c r="L210" s="117" t="s">
        <v>212</v>
      </c>
      <c r="M210" s="117" t="s">
        <v>213</v>
      </c>
      <c r="N210" s="117" t="s">
        <v>222</v>
      </c>
      <c r="O210" s="117" t="s">
        <v>223</v>
      </c>
      <c r="P210" s="138" t="s">
        <v>151</v>
      </c>
    </row>
    <row r="211" spans="1:16" s="131" customFormat="1">
      <c r="A211" s="139" t="s">
        <v>224</v>
      </c>
      <c r="B211" s="356" t="s">
        <v>1588</v>
      </c>
      <c r="C211" s="120">
        <v>92943</v>
      </c>
      <c r="D211" s="120">
        <v>89117</v>
      </c>
      <c r="E211" s="120">
        <v>44707</v>
      </c>
      <c r="F211" s="120">
        <v>2152</v>
      </c>
      <c r="G211" s="120">
        <v>3459</v>
      </c>
      <c r="H211" s="120">
        <v>3682</v>
      </c>
      <c r="I211" s="120">
        <v>8215</v>
      </c>
      <c r="J211" s="120">
        <v>8865</v>
      </c>
      <c r="K211" s="120">
        <v>11114</v>
      </c>
      <c r="L211" s="120">
        <v>16888</v>
      </c>
      <c r="M211" s="120">
        <v>24698</v>
      </c>
      <c r="N211" s="120">
        <v>38699</v>
      </c>
      <c r="O211" s="60">
        <f>AVERAGEIF(C211:N211, "&lt;&gt;0")</f>
        <v>28711.583333333332</v>
      </c>
      <c r="P211" s="140">
        <f>SUM(C211:N211)</f>
        <v>344539</v>
      </c>
    </row>
    <row r="212" spans="1:16" s="131" customFormat="1">
      <c r="A212" s="139" t="s">
        <v>231</v>
      </c>
      <c r="B212" s="356" t="str">
        <f>B211</f>
        <v>ajustado el 21JULIO2021</v>
      </c>
      <c r="C212" s="120">
        <v>5885</v>
      </c>
      <c r="D212" s="120">
        <v>6229</v>
      </c>
      <c r="E212" s="120">
        <v>2929</v>
      </c>
      <c r="F212" s="120">
        <v>368</v>
      </c>
      <c r="G212" s="120">
        <v>0</v>
      </c>
      <c r="H212" s="120">
        <v>0</v>
      </c>
      <c r="I212" s="120">
        <v>549</v>
      </c>
      <c r="J212" s="120">
        <v>2026</v>
      </c>
      <c r="K212" s="120">
        <v>2306</v>
      </c>
      <c r="L212" s="120">
        <v>2282</v>
      </c>
      <c r="M212" s="120">
        <v>2790</v>
      </c>
      <c r="N212" s="120">
        <v>4894</v>
      </c>
      <c r="O212" s="60">
        <f>AVERAGEIF(C212:N212, "&lt;&gt;0")</f>
        <v>3025.8</v>
      </c>
      <c r="P212" s="140">
        <f>SUM(C212:N212)</f>
        <v>30258</v>
      </c>
    </row>
    <row r="213" spans="1:16" s="131" customFormat="1" ht="10.8" thickBot="1">
      <c r="A213" s="141" t="s">
        <v>240</v>
      </c>
      <c r="B213" s="357" t="str">
        <f>B212</f>
        <v>ajustado el 21JULIO2021</v>
      </c>
      <c r="C213" s="122">
        <v>109314</v>
      </c>
      <c r="D213" s="122">
        <v>106949</v>
      </c>
      <c r="E213" s="122">
        <v>50067</v>
      </c>
      <c r="F213" s="122">
        <v>1133</v>
      </c>
      <c r="G213" s="122">
        <v>2062</v>
      </c>
      <c r="H213" s="122">
        <v>5984</v>
      </c>
      <c r="I213" s="122">
        <v>10005</v>
      </c>
      <c r="J213" s="122">
        <v>11008</v>
      </c>
      <c r="K213" s="122">
        <v>17066</v>
      </c>
      <c r="L213" s="122">
        <v>26468</v>
      </c>
      <c r="M213" s="122">
        <v>27481</v>
      </c>
      <c r="N213" s="122">
        <v>36220</v>
      </c>
      <c r="O213" s="60">
        <f>AVERAGEIF(C213:N213, "&lt;&gt;0")</f>
        <v>33646.416666666664</v>
      </c>
      <c r="P213" s="140">
        <f>SUM(C213:N213)</f>
        <v>403757</v>
      </c>
    </row>
    <row r="214" spans="1:16" s="131" customFormat="1" ht="10.8" thickBot="1">
      <c r="A214" s="123" t="s">
        <v>1389</v>
      </c>
      <c r="B214" s="358"/>
      <c r="C214" s="124">
        <f>SUM(C211+C213)</f>
        <v>202257</v>
      </c>
      <c r="D214" s="124">
        <f t="shared" ref="D214:H214" si="76">SUM(D211+D213)</f>
        <v>196066</v>
      </c>
      <c r="E214" s="124">
        <f t="shared" si="76"/>
        <v>94774</v>
      </c>
      <c r="F214" s="124">
        <f t="shared" si="76"/>
        <v>3285</v>
      </c>
      <c r="G214" s="124">
        <f t="shared" si="76"/>
        <v>5521</v>
      </c>
      <c r="H214" s="124">
        <f t="shared" si="76"/>
        <v>9666</v>
      </c>
      <c r="I214" s="124">
        <f t="shared" ref="I214:J214" si="77">SUM(I211+I213)</f>
        <v>18220</v>
      </c>
      <c r="J214" s="124">
        <f t="shared" si="77"/>
        <v>19873</v>
      </c>
      <c r="K214" s="124">
        <f>SUM(K211+K213)</f>
        <v>28180</v>
      </c>
      <c r="L214" s="124">
        <f t="shared" ref="L214:N214" si="78">SUM(L211+L213)</f>
        <v>43356</v>
      </c>
      <c r="M214" s="124">
        <f t="shared" si="78"/>
        <v>52179</v>
      </c>
      <c r="N214" s="124">
        <f t="shared" si="78"/>
        <v>74919</v>
      </c>
      <c r="O214" s="124">
        <f>SUM(O211+O213)</f>
        <v>62358</v>
      </c>
      <c r="P214" s="125">
        <f>SUM(P211+P213)</f>
        <v>748296</v>
      </c>
    </row>
    <row r="215" spans="1:16" s="131" customFormat="1" ht="11.4" customHeight="1">
      <c r="A215" s="142"/>
      <c r="B215" s="359"/>
      <c r="C215" s="143"/>
      <c r="D215" s="143"/>
      <c r="E215" s="143"/>
      <c r="F215" s="143"/>
      <c r="G215" s="143"/>
      <c r="H215" s="143"/>
      <c r="I215" s="143"/>
      <c r="J215" s="143"/>
      <c r="K215" s="143"/>
      <c r="L215" s="143"/>
      <c r="M215" s="143"/>
      <c r="N215" s="143"/>
      <c r="O215" s="143"/>
      <c r="P215" s="2261"/>
    </row>
    <row r="216" spans="1:16" s="131" customFormat="1">
      <c r="A216" s="145" t="s">
        <v>1390</v>
      </c>
      <c r="B216" s="126"/>
      <c r="C216" s="129"/>
      <c r="D216" s="129"/>
      <c r="E216" s="129"/>
      <c r="F216" s="129"/>
      <c r="G216" s="129"/>
      <c r="H216" s="129"/>
      <c r="I216" s="129"/>
      <c r="J216" s="129"/>
      <c r="K216" s="129"/>
      <c r="L216" s="129"/>
      <c r="M216" s="129"/>
      <c r="N216" s="129"/>
      <c r="O216" s="146"/>
      <c r="P216" s="2262"/>
    </row>
    <row r="217" spans="1:16" s="131" customFormat="1">
      <c r="A217" s="148" t="s">
        <v>224</v>
      </c>
      <c r="B217" s="129"/>
      <c r="C217" s="2256">
        <f t="shared" ref="C217:K217" si="79">SUM(C211/C199-1)</f>
        <v>-6.1591762101819159E-3</v>
      </c>
      <c r="D217" s="2256">
        <f t="shared" si="79"/>
        <v>5.004123954283024E-2</v>
      </c>
      <c r="E217" s="2256">
        <f t="shared" si="79"/>
        <v>-0.52535804907050565</v>
      </c>
      <c r="F217" s="2256">
        <f t="shared" si="79"/>
        <v>-0.97636515397794665</v>
      </c>
      <c r="G217" s="2256">
        <f t="shared" si="79"/>
        <v>-0.9630085126406297</v>
      </c>
      <c r="H217" s="2256">
        <f t="shared" si="79"/>
        <v>-0.96450160523702555</v>
      </c>
      <c r="I217" s="2256">
        <f t="shared" si="79"/>
        <v>-0.92758605491647939</v>
      </c>
      <c r="J217" s="2256">
        <f t="shared" si="79"/>
        <v>-0.92721316321001035</v>
      </c>
      <c r="K217" s="2256">
        <f t="shared" si="79"/>
        <v>-0.89124286874577996</v>
      </c>
      <c r="L217" s="2256">
        <f t="shared" ref="L217:N217" si="80">SUM(L211/L199-1)</f>
        <v>-0.79086327104308307</v>
      </c>
      <c r="M217" s="2256">
        <f t="shared" si="80"/>
        <v>-0.73670632382414403</v>
      </c>
      <c r="N217" s="2256">
        <f t="shared" si="80"/>
        <v>-0.64189476801214074</v>
      </c>
      <c r="O217" s="2257">
        <f>SUM(O211/O199-1)</f>
        <v>-0.70824378405201394</v>
      </c>
      <c r="P217" s="1833">
        <f>SUM(P211/P199-1)</f>
        <v>-0.70824378405201394</v>
      </c>
    </row>
    <row r="218" spans="1:16" s="131" customFormat="1">
      <c r="A218" s="148" t="s">
        <v>225</v>
      </c>
      <c r="B218" s="129"/>
      <c r="C218" s="2256">
        <f t="shared" ref="C218:K218" si="81">SUM(C213/C201-1)</f>
        <v>-6.8716987561765253E-2</v>
      </c>
      <c r="D218" s="2256">
        <f t="shared" si="81"/>
        <v>1.9610647141822035E-2</v>
      </c>
      <c r="E218" s="2256">
        <f t="shared" si="81"/>
        <v>-0.56717901725509179</v>
      </c>
      <c r="F218" s="2256">
        <f t="shared" si="81"/>
        <v>-0.98977362986497219</v>
      </c>
      <c r="G218" s="2256">
        <f t="shared" si="81"/>
        <v>-0.9812990876276505</v>
      </c>
      <c r="H218" s="2256">
        <f t="shared" si="81"/>
        <v>-0.94547161042819006</v>
      </c>
      <c r="I218" s="2256">
        <f t="shared" si="81"/>
        <v>-0.91474513011912673</v>
      </c>
      <c r="J218" s="2256">
        <f t="shared" si="81"/>
        <v>-0.90845966420796154</v>
      </c>
      <c r="K218" s="2256">
        <f t="shared" si="81"/>
        <v>-0.83712851443950298</v>
      </c>
      <c r="L218" s="2256">
        <f t="shared" ref="L218:N218" si="82">SUM(L213/L201-1)</f>
        <v>-0.72968943084449078</v>
      </c>
      <c r="M218" s="2256">
        <f t="shared" si="82"/>
        <v>-0.74672356269930507</v>
      </c>
      <c r="N218" s="2256">
        <f t="shared" si="82"/>
        <v>-0.65281239216287723</v>
      </c>
      <c r="O218" s="2257">
        <f>SUM(O213/O201-1)</f>
        <v>-0.6945573522458629</v>
      </c>
      <c r="P218" s="1834">
        <f>SUM(P213/P201-1)</f>
        <v>-0.6945573522458629</v>
      </c>
    </row>
    <row r="219" spans="1:16" s="131" customFormat="1" ht="10.8" thickBot="1">
      <c r="A219" s="149" t="s">
        <v>151</v>
      </c>
      <c r="B219" s="360"/>
      <c r="C219" s="2258">
        <f t="shared" ref="C219:K219" si="83">SUM(C214/C202-1)</f>
        <v>-4.0976960535611839E-2</v>
      </c>
      <c r="D219" s="2258">
        <f t="shared" si="83"/>
        <v>3.3220560491563189E-2</v>
      </c>
      <c r="E219" s="2258">
        <f t="shared" si="83"/>
        <v>-0.54840923060795643</v>
      </c>
      <c r="F219" s="2258">
        <f t="shared" si="83"/>
        <v>-0.98372505499296481</v>
      </c>
      <c r="G219" s="2258">
        <f t="shared" si="83"/>
        <v>-0.97290572704519807</v>
      </c>
      <c r="H219" s="2258">
        <f t="shared" si="83"/>
        <v>-0.95471836000449728</v>
      </c>
      <c r="I219" s="2258">
        <f t="shared" si="83"/>
        <v>-0.92105685033297369</v>
      </c>
      <c r="J219" s="2258">
        <f t="shared" si="83"/>
        <v>-0.91789611108586344</v>
      </c>
      <c r="K219" s="2258">
        <f t="shared" si="83"/>
        <v>-0.86384697520932685</v>
      </c>
      <c r="L219" s="2258">
        <f t="shared" ref="L219:N219" si="84">SUM(L214/L202-1)</f>
        <v>-0.75733763180871783</v>
      </c>
      <c r="M219" s="2258">
        <f t="shared" si="84"/>
        <v>-0.74207883107767447</v>
      </c>
      <c r="N219" s="2258">
        <f t="shared" si="84"/>
        <v>-0.64725740383257213</v>
      </c>
      <c r="O219" s="2171">
        <f>SUM(O214/O202-1)</f>
        <v>-0.70101514750144744</v>
      </c>
      <c r="P219" s="735">
        <f>SUM(P214/P202-1)</f>
        <v>-0.70101514750144744</v>
      </c>
    </row>
    <row r="220" spans="1:16" s="131" customFormat="1" ht="10.8" thickBot="1">
      <c r="A220" s="2168"/>
      <c r="B220" s="2168"/>
      <c r="C220" s="2169"/>
      <c r="D220" s="2169"/>
      <c r="E220" s="2169"/>
      <c r="F220" s="2169"/>
      <c r="G220" s="2169"/>
      <c r="H220" s="2169"/>
      <c r="I220" s="2169"/>
      <c r="J220" s="2169"/>
      <c r="K220" s="2169"/>
      <c r="L220" s="2169"/>
      <c r="M220" s="2169"/>
      <c r="N220" s="2169"/>
      <c r="O220" s="2169"/>
      <c r="P220" s="2170"/>
    </row>
    <row r="221" spans="1:16" s="131" customFormat="1">
      <c r="A221" s="5474" t="s">
        <v>1477</v>
      </c>
      <c r="B221" s="5475"/>
      <c r="C221" s="5475"/>
      <c r="D221" s="5475"/>
      <c r="E221" s="5475"/>
      <c r="F221" s="5475"/>
      <c r="G221" s="5475"/>
      <c r="H221" s="5475"/>
      <c r="I221" s="5475"/>
      <c r="J221" s="5475"/>
      <c r="K221" s="5475"/>
      <c r="L221" s="5475"/>
      <c r="M221" s="5475"/>
      <c r="N221" s="5475"/>
      <c r="O221" s="5477"/>
      <c r="P221" s="2259"/>
    </row>
    <row r="222" spans="1:16" s="131" customFormat="1">
      <c r="A222" s="137" t="s">
        <v>217</v>
      </c>
      <c r="B222" s="355"/>
      <c r="C222" s="117" t="s">
        <v>218</v>
      </c>
      <c r="D222" s="117" t="s">
        <v>207</v>
      </c>
      <c r="E222" s="117" t="s">
        <v>208</v>
      </c>
      <c r="F222" s="117" t="s">
        <v>219</v>
      </c>
      <c r="G222" s="117" t="s">
        <v>209</v>
      </c>
      <c r="H222" s="117" t="s">
        <v>210</v>
      </c>
      <c r="I222" s="117" t="s">
        <v>220</v>
      </c>
      <c r="J222" s="117" t="s">
        <v>221</v>
      </c>
      <c r="K222" s="117" t="s">
        <v>211</v>
      </c>
      <c r="L222" s="117" t="s">
        <v>212</v>
      </c>
      <c r="M222" s="117" t="s">
        <v>213</v>
      </c>
      <c r="N222" s="117" t="s">
        <v>222</v>
      </c>
      <c r="O222" s="117" t="s">
        <v>223</v>
      </c>
      <c r="P222" s="138" t="s">
        <v>151</v>
      </c>
    </row>
    <row r="223" spans="1:16" s="131" customFormat="1">
      <c r="A223" s="139" t="s">
        <v>224</v>
      </c>
      <c r="B223" s="356" t="s">
        <v>2029</v>
      </c>
      <c r="C223" s="120">
        <v>27719</v>
      </c>
      <c r="D223" s="120">
        <v>21271</v>
      </c>
      <c r="E223" s="120">
        <v>26766</v>
      </c>
      <c r="F223" s="120">
        <v>27661</v>
      </c>
      <c r="G223" s="120">
        <v>38236</v>
      </c>
      <c r="H223" s="120">
        <v>53121</v>
      </c>
      <c r="I223" s="120">
        <v>70304</v>
      </c>
      <c r="J223" s="120">
        <v>62082</v>
      </c>
      <c r="K223" s="120">
        <v>56619</v>
      </c>
      <c r="L223" s="120">
        <v>59186</v>
      </c>
      <c r="M223" s="120">
        <v>69540</v>
      </c>
      <c r="N223" s="120">
        <v>64544</v>
      </c>
      <c r="O223" s="60">
        <f>AVERAGEIF(C223:N223, "&lt;&gt;0")</f>
        <v>48087.416666666664</v>
      </c>
      <c r="P223" s="140">
        <f>SUM(C223:N223)</f>
        <v>577049</v>
      </c>
    </row>
    <row r="224" spans="1:16" s="131" customFormat="1">
      <c r="A224" s="139" t="s">
        <v>231</v>
      </c>
      <c r="B224" s="356" t="s">
        <v>1617</v>
      </c>
      <c r="C224" s="120">
        <v>2565</v>
      </c>
      <c r="D224" s="120">
        <v>2439</v>
      </c>
      <c r="E224" s="120">
        <v>1363</v>
      </c>
      <c r="F224" s="120">
        <v>2052</v>
      </c>
      <c r="G224" s="120">
        <v>1555</v>
      </c>
      <c r="H224" s="120">
        <v>3705</v>
      </c>
      <c r="I224" s="120">
        <v>5633</v>
      </c>
      <c r="J224" s="120">
        <v>5372</v>
      </c>
      <c r="K224" s="120"/>
      <c r="L224" s="120"/>
      <c r="M224" s="120"/>
      <c r="N224" s="120"/>
      <c r="O224" s="60">
        <f>AVERAGEIF(C224:N224, "&lt;&gt;0")</f>
        <v>3085.5</v>
      </c>
      <c r="P224" s="140">
        <f>SUM(C224:N224)</f>
        <v>24684</v>
      </c>
    </row>
    <row r="225" spans="1:26" s="131" customFormat="1" ht="10.8" thickBot="1">
      <c r="A225" s="141" t="s">
        <v>240</v>
      </c>
      <c r="B225" s="357" t="str">
        <f>B223</f>
        <v>ajustado el 25ene2022</v>
      </c>
      <c r="C225" s="122">
        <v>25394</v>
      </c>
      <c r="D225" s="122">
        <v>25977</v>
      </c>
      <c r="E225" s="122">
        <v>34073</v>
      </c>
      <c r="F225" s="122">
        <v>28775</v>
      </c>
      <c r="G225" s="122">
        <v>31366</v>
      </c>
      <c r="H225" s="122">
        <v>40399</v>
      </c>
      <c r="I225" s="122">
        <v>52584</v>
      </c>
      <c r="J225" s="122">
        <v>60152</v>
      </c>
      <c r="K225" s="122">
        <v>60130</v>
      </c>
      <c r="L225" s="122">
        <v>68918</v>
      </c>
      <c r="M225" s="122">
        <v>68353</v>
      </c>
      <c r="N225" s="122">
        <v>80496</v>
      </c>
      <c r="O225" s="60">
        <f>AVERAGEIF(C225:N225, "&lt;&gt;0")</f>
        <v>48051.416666666664</v>
      </c>
      <c r="P225" s="140">
        <f>SUM(C225:N225)</f>
        <v>576617</v>
      </c>
    </row>
    <row r="226" spans="1:26" s="131" customFormat="1" ht="10.8" thickBot="1">
      <c r="A226" s="123" t="s">
        <v>1480</v>
      </c>
      <c r="B226" s="358"/>
      <c r="C226" s="124">
        <f>SUM(C223+C225)</f>
        <v>53113</v>
      </c>
      <c r="D226" s="124">
        <f t="shared" ref="D226:N226" si="85">SUM(D223+D225)</f>
        <v>47248</v>
      </c>
      <c r="E226" s="124">
        <f t="shared" si="85"/>
        <v>60839</v>
      </c>
      <c r="F226" s="124">
        <f t="shared" si="85"/>
        <v>56436</v>
      </c>
      <c r="G226" s="124">
        <f t="shared" si="85"/>
        <v>69602</v>
      </c>
      <c r="H226" s="124">
        <f t="shared" si="85"/>
        <v>93520</v>
      </c>
      <c r="I226" s="124">
        <f t="shared" si="85"/>
        <v>122888</v>
      </c>
      <c r="J226" s="124">
        <f t="shared" si="85"/>
        <v>122234</v>
      </c>
      <c r="K226" s="124">
        <f t="shared" si="85"/>
        <v>116749</v>
      </c>
      <c r="L226" s="124">
        <f t="shared" si="85"/>
        <v>128104</v>
      </c>
      <c r="M226" s="124">
        <f t="shared" si="85"/>
        <v>137893</v>
      </c>
      <c r="N226" s="124">
        <f t="shared" si="85"/>
        <v>145040</v>
      </c>
      <c r="O226" s="124">
        <f>SUM(O223+O225)</f>
        <v>96138.833333333328</v>
      </c>
      <c r="P226" s="125">
        <f>SUM(P223+P225)</f>
        <v>1153666</v>
      </c>
    </row>
    <row r="227" spans="1:26" s="131" customFormat="1" ht="11.4" customHeight="1">
      <c r="A227" s="142"/>
      <c r="B227" s="359"/>
      <c r="C227" s="143"/>
      <c r="D227" s="143"/>
      <c r="E227" s="143"/>
      <c r="F227" s="143"/>
      <c r="G227" s="143"/>
      <c r="H227" s="143"/>
      <c r="I227" s="143"/>
      <c r="J227" s="143"/>
      <c r="K227" s="143"/>
      <c r="L227" s="143"/>
      <c r="M227" s="143"/>
      <c r="N227" s="143"/>
      <c r="O227" s="143"/>
      <c r="P227" s="2261"/>
    </row>
    <row r="228" spans="1:26" s="131" customFormat="1">
      <c r="A228" s="145" t="s">
        <v>1390</v>
      </c>
      <c r="B228" s="126"/>
      <c r="C228" s="129"/>
      <c r="D228" s="129"/>
      <c r="E228" s="129"/>
      <c r="F228" s="129"/>
      <c r="G228" s="129"/>
      <c r="H228" s="129"/>
      <c r="I228" s="129"/>
      <c r="J228" s="129"/>
      <c r="K228" s="129"/>
      <c r="L228" s="129"/>
      <c r="M228" s="129"/>
      <c r="N228" s="129"/>
      <c r="O228" s="146"/>
      <c r="P228" s="2262"/>
    </row>
    <row r="229" spans="1:26" s="131" customFormat="1">
      <c r="A229" s="148" t="s">
        <v>224</v>
      </c>
      <c r="B229" s="129"/>
      <c r="C229" s="2256">
        <f t="shared" ref="C229:K229" si="86">SUM(C223/C211-1)</f>
        <v>-0.70176344641339317</v>
      </c>
      <c r="D229" s="2256">
        <f t="shared" si="86"/>
        <v>-0.76131377851588367</v>
      </c>
      <c r="E229" s="2256">
        <f t="shared" si="86"/>
        <v>-0.40130180956002415</v>
      </c>
      <c r="F229" s="3042">
        <f t="shared" si="86"/>
        <v>11.853624535315985</v>
      </c>
      <c r="G229" s="3042">
        <f t="shared" si="86"/>
        <v>10.054061867591789</v>
      </c>
      <c r="H229" s="3042">
        <f t="shared" si="86"/>
        <v>13.427213470939707</v>
      </c>
      <c r="I229" s="3042">
        <f t="shared" si="86"/>
        <v>7.5580036518563602</v>
      </c>
      <c r="J229" s="3042">
        <f t="shared" si="86"/>
        <v>6.0030456852791882</v>
      </c>
      <c r="K229" s="2256">
        <f t="shared" si="86"/>
        <v>4.0943854597804572</v>
      </c>
      <c r="L229" s="3042">
        <f t="shared" ref="L229:N229" si="87">SUM(L223/L211-1)</f>
        <v>2.5046186641402177</v>
      </c>
      <c r="M229" s="3042">
        <f t="shared" si="87"/>
        <v>1.8156126002105433</v>
      </c>
      <c r="N229" s="3042">
        <f t="shared" si="87"/>
        <v>0.66784671438538457</v>
      </c>
      <c r="O229" s="2257">
        <f>SUM(O223/O211-1)</f>
        <v>0.67484377675676765</v>
      </c>
      <c r="P229" s="1833">
        <f>SUM(P223/P211-1)</f>
        <v>0.67484377675676765</v>
      </c>
    </row>
    <row r="230" spans="1:26" s="131" customFormat="1">
      <c r="A230" s="148" t="s">
        <v>225</v>
      </c>
      <c r="B230" s="129"/>
      <c r="C230" s="2256">
        <f t="shared" ref="C230:N230" si="88">SUM(C225/C213-1)</f>
        <v>-0.76769672686023749</v>
      </c>
      <c r="D230" s="2256">
        <f t="shared" si="88"/>
        <v>-0.75710852836398657</v>
      </c>
      <c r="E230" s="2256">
        <f t="shared" si="88"/>
        <v>-0.31945193440789343</v>
      </c>
      <c r="F230" s="3042">
        <f t="shared" si="88"/>
        <v>24.397175639894087</v>
      </c>
      <c r="G230" s="3042">
        <f t="shared" si="88"/>
        <v>14.211445198836081</v>
      </c>
      <c r="H230" s="3042">
        <f t="shared" si="88"/>
        <v>5.7511697860962565</v>
      </c>
      <c r="I230" s="3042">
        <f t="shared" si="88"/>
        <v>4.2557721139430287</v>
      </c>
      <c r="J230" s="3042">
        <f t="shared" si="88"/>
        <v>4.464389534883721</v>
      </c>
      <c r="K230" s="2256">
        <f t="shared" si="88"/>
        <v>2.5233798195242003</v>
      </c>
      <c r="L230" s="3042">
        <f t="shared" si="88"/>
        <v>1.603823484962974</v>
      </c>
      <c r="M230" s="3042">
        <f t="shared" si="88"/>
        <v>1.4872821221935153</v>
      </c>
      <c r="N230" s="3042">
        <f t="shared" si="88"/>
        <v>1.2224185532854777</v>
      </c>
      <c r="O230" s="2257">
        <f>SUM(O225/O213-1)</f>
        <v>0.42812880024371092</v>
      </c>
      <c r="P230" s="1834">
        <f>SUM(P225/P213-1)</f>
        <v>0.42812880024371092</v>
      </c>
    </row>
    <row r="231" spans="1:26" s="131" customFormat="1" ht="10.8" thickBot="1">
      <c r="A231" s="149" t="s">
        <v>151</v>
      </c>
      <c r="B231" s="360"/>
      <c r="C231" s="2258">
        <f t="shared" ref="C231:N231" si="89">SUM(C226/C214-1)</f>
        <v>-0.73739845839698992</v>
      </c>
      <c r="D231" s="2258">
        <f t="shared" si="89"/>
        <v>-0.75901992186304612</v>
      </c>
      <c r="E231" s="2258">
        <f t="shared" si="89"/>
        <v>-0.35806233777196272</v>
      </c>
      <c r="F231" s="3043">
        <f t="shared" si="89"/>
        <v>16.179908675799087</v>
      </c>
      <c r="G231" s="3043">
        <f t="shared" si="89"/>
        <v>11.60677413512045</v>
      </c>
      <c r="H231" s="3043">
        <f t="shared" si="89"/>
        <v>8.6751500103455417</v>
      </c>
      <c r="I231" s="3043">
        <f t="shared" si="89"/>
        <v>5.7446761800219539</v>
      </c>
      <c r="J231" s="3043">
        <f t="shared" si="89"/>
        <v>5.1507573089115883</v>
      </c>
      <c r="K231" s="2258">
        <f t="shared" si="89"/>
        <v>3.142973740241306</v>
      </c>
      <c r="L231" s="3043">
        <f t="shared" si="89"/>
        <v>1.9547006181382045</v>
      </c>
      <c r="M231" s="3043">
        <f t="shared" si="89"/>
        <v>1.6426915042450028</v>
      </c>
      <c r="N231" s="3043">
        <f t="shared" si="89"/>
        <v>0.93595750076749562</v>
      </c>
      <c r="O231" s="2171">
        <f>SUM(O226/O214-1)</f>
        <v>0.54172413055796098</v>
      </c>
      <c r="P231" s="735">
        <f>SUM(P226/P214-1)</f>
        <v>0.54172413055796098</v>
      </c>
    </row>
    <row r="232" spans="1:26" s="131" customFormat="1" ht="4.8" customHeight="1">
      <c r="A232" s="359"/>
      <c r="B232" s="359"/>
      <c r="C232" s="1832"/>
      <c r="D232" s="1832"/>
      <c r="E232" s="1832"/>
      <c r="F232" s="1832"/>
      <c r="G232" s="1832"/>
      <c r="H232" s="1832"/>
      <c r="I232" s="1832"/>
      <c r="J232" s="1832"/>
      <c r="K232" s="1832"/>
      <c r="L232" s="1832"/>
      <c r="M232" s="1832"/>
      <c r="N232" s="1832"/>
      <c r="O232" s="1832"/>
      <c r="P232" s="1832"/>
    </row>
    <row r="233" spans="1:26" s="131" customFormat="1">
      <c r="A233" s="359" t="s">
        <v>1130</v>
      </c>
      <c r="B233" s="359"/>
      <c r="C233" s="1832"/>
      <c r="D233" s="1832"/>
      <c r="E233" s="1832"/>
      <c r="F233" s="1832"/>
      <c r="G233" s="1832"/>
      <c r="H233" s="1832"/>
      <c r="I233" s="1832"/>
      <c r="J233" s="1832"/>
      <c r="K233" s="1832"/>
      <c r="L233" s="1832"/>
      <c r="M233" s="1832"/>
      <c r="N233" s="1832"/>
      <c r="O233" s="1832"/>
      <c r="P233" s="1832"/>
    </row>
    <row r="234" spans="1:26" s="131" customFormat="1" ht="11.25" customHeight="1">
      <c r="A234" s="532" t="s">
        <v>575</v>
      </c>
      <c r="B234" s="533"/>
      <c r="C234" s="533"/>
      <c r="D234" s="533"/>
      <c r="E234" s="533"/>
      <c r="F234" s="533"/>
      <c r="G234" s="533"/>
      <c r="H234" s="533"/>
      <c r="I234" s="533"/>
      <c r="J234" s="533"/>
      <c r="K234" s="533"/>
      <c r="L234" s="533"/>
      <c r="M234" s="533"/>
      <c r="N234" s="533"/>
    </row>
    <row r="235" spans="1:26" s="131" customFormat="1" ht="11.25" customHeight="1">
      <c r="A235" s="532" t="s">
        <v>225</v>
      </c>
      <c r="B235" s="534" t="s">
        <v>1482</v>
      </c>
      <c r="C235" s="534"/>
      <c r="D235" s="534"/>
      <c r="E235" s="534"/>
      <c r="F235" s="534"/>
      <c r="G235" s="534"/>
      <c r="H235" s="534"/>
      <c r="I235" s="534"/>
      <c r="J235" s="534"/>
      <c r="K235" s="534"/>
      <c r="L235" s="534"/>
      <c r="M235" s="534"/>
      <c r="N235" s="534"/>
    </row>
    <row r="236" spans="1:26" s="131" customFormat="1">
      <c r="A236" s="532" t="s">
        <v>224</v>
      </c>
      <c r="B236" s="534" t="s">
        <v>1483</v>
      </c>
      <c r="C236" s="534"/>
      <c r="D236" s="534"/>
      <c r="E236" s="534"/>
      <c r="F236" s="534"/>
      <c r="G236" s="534"/>
      <c r="H236" s="534"/>
      <c r="I236" s="534"/>
      <c r="J236" s="534"/>
      <c r="K236" s="534"/>
      <c r="L236" s="534"/>
      <c r="M236" s="534"/>
      <c r="N236" s="534"/>
    </row>
    <row r="237" spans="1:26" s="131" customFormat="1" ht="3" customHeight="1">
      <c r="A237" s="532"/>
      <c r="B237" s="534"/>
      <c r="C237" s="534"/>
      <c r="D237" s="534"/>
      <c r="E237" s="534"/>
      <c r="F237" s="534"/>
      <c r="G237" s="534"/>
      <c r="H237" s="534"/>
      <c r="I237" s="534"/>
      <c r="J237" s="534"/>
      <c r="K237" s="534"/>
      <c r="L237" s="534"/>
      <c r="M237" s="534"/>
      <c r="N237" s="534"/>
    </row>
    <row r="238" spans="1:26">
      <c r="A238" s="152"/>
      <c r="B238" s="152"/>
      <c r="C238" s="2526" t="s">
        <v>532</v>
      </c>
      <c r="D238" s="2526" t="s">
        <v>314</v>
      </c>
      <c r="E238" s="2526" t="s">
        <v>313</v>
      </c>
      <c r="F238" s="2526" t="s">
        <v>312</v>
      </c>
      <c r="G238" s="2526" t="s">
        <v>304</v>
      </c>
      <c r="H238" s="2526" t="s">
        <v>305</v>
      </c>
      <c r="I238" s="2526" t="s">
        <v>306</v>
      </c>
      <c r="J238" s="2526" t="s">
        <v>307</v>
      </c>
      <c r="K238" s="155" t="s">
        <v>311</v>
      </c>
      <c r="L238" s="2526" t="s">
        <v>308</v>
      </c>
      <c r="M238" s="2526" t="s">
        <v>309</v>
      </c>
      <c r="N238" s="2526" t="s">
        <v>310</v>
      </c>
      <c r="O238" s="152"/>
      <c r="P238" s="152"/>
    </row>
    <row r="239" spans="1:26">
      <c r="A239" s="333" t="s">
        <v>294</v>
      </c>
      <c r="B239" s="334">
        <v>2020</v>
      </c>
      <c r="C239" s="335">
        <f>SUM(C211)</f>
        <v>92943</v>
      </c>
      <c r="D239" s="335">
        <f>SUM(C211:D211)</f>
        <v>182060</v>
      </c>
      <c r="E239" s="335">
        <f>SUM(C211:E211)</f>
        <v>226767</v>
      </c>
      <c r="F239" s="335">
        <f>SUM(C211:F211)</f>
        <v>228919</v>
      </c>
      <c r="G239" s="335">
        <f>SUM(C211:G211)</f>
        <v>232378</v>
      </c>
      <c r="H239" s="335">
        <f>SUM(C211:H211)</f>
        <v>236060</v>
      </c>
      <c r="I239" s="335">
        <f>SUM(C211:I211)</f>
        <v>244275</v>
      </c>
      <c r="J239" s="335">
        <f>SUM(C211:J211)</f>
        <v>253140</v>
      </c>
      <c r="K239" s="335">
        <f>SUM(C211:K211)</f>
        <v>264254</v>
      </c>
      <c r="L239" s="335">
        <f>SUM(C211:L211)</f>
        <v>281142</v>
      </c>
      <c r="M239" s="335">
        <f>SUM(C211:M211)</f>
        <v>305840</v>
      </c>
      <c r="N239" s="335">
        <f>SUM(C211:N211)</f>
        <v>344539</v>
      </c>
      <c r="O239" s="333"/>
      <c r="P239" s="152"/>
    </row>
    <row r="240" spans="1:26" s="3875" customFormat="1">
      <c r="A240" s="3872" t="s">
        <v>294</v>
      </c>
      <c r="B240" s="155">
        <v>2021</v>
      </c>
      <c r="C240" s="3873">
        <f>SUM(C223)</f>
        <v>27719</v>
      </c>
      <c r="D240" s="3873">
        <f>SUM(C223:D223)</f>
        <v>48990</v>
      </c>
      <c r="E240" s="3873">
        <f>SUM(C223:E223)</f>
        <v>75756</v>
      </c>
      <c r="F240" s="3873">
        <f>SUM(C223:F223)</f>
        <v>103417</v>
      </c>
      <c r="G240" s="3873">
        <f>SUM(C223:G223)</f>
        <v>141653</v>
      </c>
      <c r="H240" s="3873">
        <f>SUM(C223:H223)</f>
        <v>194774</v>
      </c>
      <c r="I240" s="3873">
        <f>SUM(C223:I223)</f>
        <v>265078</v>
      </c>
      <c r="J240" s="3873">
        <f>SUM(C223:J223)</f>
        <v>327160</v>
      </c>
      <c r="K240" s="3874">
        <f>SUM(C223:K223)</f>
        <v>383779</v>
      </c>
      <c r="L240" s="3873">
        <f>SUM(C223:L223)</f>
        <v>442965</v>
      </c>
      <c r="M240" s="3873">
        <f>SUM(C223:M223)</f>
        <v>512505</v>
      </c>
      <c r="N240" s="3873">
        <f>SUM(C223:N223)</f>
        <v>577049</v>
      </c>
      <c r="O240" s="3872"/>
      <c r="P240" s="3872"/>
      <c r="Q240" s="362"/>
      <c r="R240" s="362"/>
      <c r="S240" s="362"/>
      <c r="T240" s="362"/>
      <c r="U240" s="362"/>
      <c r="V240" s="362"/>
      <c r="W240" s="362"/>
      <c r="X240" s="362"/>
      <c r="Y240" s="362"/>
      <c r="Z240" s="362"/>
    </row>
    <row r="241" spans="1:26" s="151" customFormat="1" ht="28.8">
      <c r="A241" s="153"/>
      <c r="B241" s="154" t="s">
        <v>1478</v>
      </c>
      <c r="C241" s="658">
        <f>C240/C239-1</f>
        <v>-0.70176344641339317</v>
      </c>
      <c r="D241" s="658">
        <f>D240/D239-1</f>
        <v>-0.73091288586180381</v>
      </c>
      <c r="E241" s="658">
        <f>E240/E239-1</f>
        <v>-0.66593022794321932</v>
      </c>
      <c r="F241" s="658">
        <f>F240/F239-1</f>
        <v>-0.5482375862204536</v>
      </c>
      <c r="G241" s="658">
        <f>G240/G239-1</f>
        <v>-0.39041991926946618</v>
      </c>
      <c r="H241" s="658">
        <f t="shared" ref="H241:N241" si="90">H240/H239-1</f>
        <v>-0.17489621282724732</v>
      </c>
      <c r="I241" s="658">
        <f t="shared" si="90"/>
        <v>8.516221471701968E-2</v>
      </c>
      <c r="J241" s="658">
        <f t="shared" si="90"/>
        <v>0.29240736351426078</v>
      </c>
      <c r="K241" s="666">
        <f t="shared" si="90"/>
        <v>0.4523110340808465</v>
      </c>
      <c r="L241" s="658">
        <f t="shared" si="90"/>
        <v>0.57559169387711551</v>
      </c>
      <c r="M241" s="658">
        <f t="shared" si="90"/>
        <v>0.67572913941930413</v>
      </c>
      <c r="N241" s="658">
        <f t="shared" si="90"/>
        <v>0.67484377675676765</v>
      </c>
      <c r="O241" s="153"/>
      <c r="P241" s="153"/>
      <c r="Q241" s="378"/>
      <c r="R241" s="378"/>
      <c r="S241" s="378"/>
      <c r="T241" s="378"/>
      <c r="U241" s="378"/>
      <c r="V241" s="378"/>
      <c r="W241" s="378"/>
      <c r="X241" s="378"/>
      <c r="Y241" s="378"/>
      <c r="Z241" s="378"/>
    </row>
    <row r="242" spans="1:26" s="151" customFormat="1">
      <c r="A242" s="152"/>
      <c r="B242" s="152"/>
      <c r="C242" s="155" t="s">
        <v>532</v>
      </c>
      <c r="D242" s="155" t="s">
        <v>314</v>
      </c>
      <c r="E242" s="155" t="s">
        <v>313</v>
      </c>
      <c r="F242" s="155" t="s">
        <v>312</v>
      </c>
      <c r="G242" s="155" t="s">
        <v>304</v>
      </c>
      <c r="H242" s="155" t="s">
        <v>305</v>
      </c>
      <c r="I242" s="155" t="s">
        <v>306</v>
      </c>
      <c r="J242" s="155" t="s">
        <v>307</v>
      </c>
      <c r="K242" s="155" t="s">
        <v>311</v>
      </c>
      <c r="L242" s="155" t="s">
        <v>308</v>
      </c>
      <c r="M242" s="155" t="s">
        <v>309</v>
      </c>
      <c r="N242" s="155" t="s">
        <v>310</v>
      </c>
      <c r="O242" s="153"/>
      <c r="P242" s="153"/>
      <c r="Q242" s="378"/>
      <c r="R242" s="378"/>
      <c r="S242" s="378"/>
      <c r="T242" s="378"/>
      <c r="U242" s="378"/>
      <c r="V242" s="378"/>
      <c r="W242" s="378"/>
      <c r="X242" s="378"/>
      <c r="Y242" s="378"/>
      <c r="Z242" s="378"/>
    </row>
    <row r="243" spans="1:26" s="151" customFormat="1">
      <c r="A243" s="333" t="s">
        <v>854</v>
      </c>
      <c r="B243" s="334">
        <v>2020</v>
      </c>
      <c r="C243" s="335">
        <f>SUM(C213)</f>
        <v>109314</v>
      </c>
      <c r="D243" s="335">
        <f>SUM(C213:D213)</f>
        <v>216263</v>
      </c>
      <c r="E243" s="335">
        <f>SUM(C213:E213)</f>
        <v>266330</v>
      </c>
      <c r="F243" s="335">
        <f>SUM(C213:F213)</f>
        <v>267463</v>
      </c>
      <c r="G243" s="335">
        <f>SUM(C213:G213)</f>
        <v>269525</v>
      </c>
      <c r="H243" s="335">
        <f>SUM(C213:H213)</f>
        <v>275509</v>
      </c>
      <c r="I243" s="335">
        <f>SUM(C213:I213)</f>
        <v>285514</v>
      </c>
      <c r="J243" s="335">
        <f>SUM(C213:J213)</f>
        <v>296522</v>
      </c>
      <c r="K243" s="335">
        <f>SUM(C213:K213)</f>
        <v>313588</v>
      </c>
      <c r="L243" s="335">
        <f>SUM(C213:L213)</f>
        <v>340056</v>
      </c>
      <c r="M243" s="335">
        <f>SUM(C213:M213)</f>
        <v>367537</v>
      </c>
      <c r="N243" s="335">
        <f>SUM(C213:N213)</f>
        <v>403757</v>
      </c>
      <c r="O243" s="153"/>
      <c r="P243" s="153"/>
      <c r="Q243" s="378"/>
      <c r="R243" s="378"/>
      <c r="S243" s="378"/>
      <c r="T243" s="378"/>
      <c r="U243" s="378"/>
      <c r="V243" s="378"/>
      <c r="W243" s="378"/>
      <c r="X243" s="378"/>
      <c r="Y243" s="378"/>
      <c r="Z243" s="378"/>
    </row>
    <row r="244" spans="1:26" s="151" customFormat="1">
      <c r="A244" s="3872" t="s">
        <v>854</v>
      </c>
      <c r="B244" s="155">
        <v>2021</v>
      </c>
      <c r="C244" s="3873">
        <f>SUM(C225)</f>
        <v>25394</v>
      </c>
      <c r="D244" s="3873">
        <f>SUM(C225:D225)</f>
        <v>51371</v>
      </c>
      <c r="E244" s="3873">
        <f>SUM(C225:E225)</f>
        <v>85444</v>
      </c>
      <c r="F244" s="3873">
        <f>SUM(C225:F225)</f>
        <v>114219</v>
      </c>
      <c r="G244" s="3873">
        <f>SUM(C225:G225)</f>
        <v>145585</v>
      </c>
      <c r="H244" s="3873">
        <f>SUM(C225:H225)</f>
        <v>185984</v>
      </c>
      <c r="I244" s="3873">
        <f>SUM(C225:I225)</f>
        <v>238568</v>
      </c>
      <c r="J244" s="3873">
        <f>SUM(C225:J225)</f>
        <v>298720</v>
      </c>
      <c r="K244" s="3874">
        <f>SUM(C225:K225)</f>
        <v>358850</v>
      </c>
      <c r="L244" s="3873">
        <f>SUM(C225:L225)</f>
        <v>427768</v>
      </c>
      <c r="M244" s="3873">
        <f>SUM(C225:M225)</f>
        <v>496121</v>
      </c>
      <c r="N244" s="3873">
        <f>SUM(C225:N225)</f>
        <v>576617</v>
      </c>
      <c r="O244" s="153"/>
      <c r="P244" s="153"/>
      <c r="Q244" s="378"/>
      <c r="R244" s="378"/>
      <c r="S244" s="378"/>
      <c r="T244" s="378"/>
      <c r="U244" s="378"/>
      <c r="V244" s="378"/>
      <c r="W244" s="378"/>
      <c r="X244" s="378"/>
      <c r="Y244" s="378"/>
      <c r="Z244" s="378"/>
    </row>
    <row r="245" spans="1:26" s="151" customFormat="1" ht="28.8">
      <c r="A245" s="153"/>
      <c r="B245" s="154" t="s">
        <v>1479</v>
      </c>
      <c r="C245" s="658">
        <f>C244/C243-1</f>
        <v>-0.76769672686023749</v>
      </c>
      <c r="D245" s="658">
        <f>D244/D243-1</f>
        <v>-0.76246052260442143</v>
      </c>
      <c r="E245" s="658">
        <f>E244/E243-1</f>
        <v>-0.67917996470544062</v>
      </c>
      <c r="F245" s="658">
        <f>F244/F243-1</f>
        <v>-0.57295401606951235</v>
      </c>
      <c r="G245" s="658">
        <f>G244/G243-1</f>
        <v>-0.45984602541508213</v>
      </c>
      <c r="H245" s="658">
        <f t="shared" ref="H245:N245" si="91">H244/H243-1</f>
        <v>-0.32494401271827777</v>
      </c>
      <c r="I245" s="658">
        <f t="shared" si="91"/>
        <v>-0.16442626281022998</v>
      </c>
      <c r="J245" s="658">
        <f t="shared" si="91"/>
        <v>7.4126034493224857E-3</v>
      </c>
      <c r="K245" s="666">
        <f t="shared" si="91"/>
        <v>0.14433588019949739</v>
      </c>
      <c r="L245" s="658">
        <f t="shared" si="91"/>
        <v>0.25793398734326112</v>
      </c>
      <c r="M245" s="658">
        <f t="shared" si="91"/>
        <v>0.34985321205756148</v>
      </c>
      <c r="N245" s="658">
        <f t="shared" si="91"/>
        <v>0.42812880024371092</v>
      </c>
      <c r="O245" s="153"/>
      <c r="P245" s="153"/>
      <c r="Q245" s="378"/>
      <c r="R245" s="378"/>
      <c r="S245" s="378"/>
      <c r="T245" s="378"/>
      <c r="U245" s="378"/>
      <c r="V245" s="378"/>
      <c r="W245" s="378"/>
      <c r="X245" s="378"/>
      <c r="Y245" s="378"/>
      <c r="Z245" s="378"/>
    </row>
    <row r="246" spans="1:26" s="151" customFormat="1">
      <c r="A246" s="153"/>
      <c r="B246" s="154"/>
      <c r="C246" s="228"/>
      <c r="D246" s="228"/>
      <c r="E246" s="228"/>
      <c r="F246" s="228"/>
      <c r="G246" s="228"/>
      <c r="H246" s="228"/>
      <c r="I246" s="228"/>
      <c r="J246" s="228"/>
      <c r="K246" s="228"/>
      <c r="L246" s="228"/>
      <c r="M246" s="228"/>
      <c r="N246" s="228"/>
      <c r="O246" s="153"/>
      <c r="P246" s="153"/>
      <c r="Q246" s="378"/>
      <c r="R246" s="378"/>
      <c r="S246" s="378"/>
      <c r="T246" s="378"/>
      <c r="U246" s="378"/>
      <c r="V246" s="378"/>
      <c r="W246" s="378"/>
      <c r="X246" s="378"/>
      <c r="Y246" s="378"/>
      <c r="Z246" s="378"/>
    </row>
    <row r="247" spans="1:26">
      <c r="A247" s="152"/>
      <c r="B247" s="379"/>
      <c r="C247" s="380" t="s">
        <v>532</v>
      </c>
      <c r="D247" s="380" t="s">
        <v>314</v>
      </c>
      <c r="E247" s="380" t="s">
        <v>313</v>
      </c>
      <c r="F247" s="380" t="s">
        <v>312</v>
      </c>
      <c r="G247" s="380" t="s">
        <v>304</v>
      </c>
      <c r="H247" s="380" t="s">
        <v>305</v>
      </c>
      <c r="I247" s="380" t="s">
        <v>306</v>
      </c>
      <c r="J247" s="380" t="s">
        <v>307</v>
      </c>
      <c r="K247" s="380" t="s">
        <v>311</v>
      </c>
      <c r="L247" s="380" t="s">
        <v>308</v>
      </c>
      <c r="M247" s="380" t="s">
        <v>309</v>
      </c>
      <c r="N247" s="380" t="s">
        <v>310</v>
      </c>
      <c r="O247" s="379"/>
      <c r="P247" s="379"/>
    </row>
    <row r="248" spans="1:26" s="3036" customFormat="1">
      <c r="A248" s="3036" t="s">
        <v>32</v>
      </c>
      <c r="B248" s="3037">
        <v>2019</v>
      </c>
      <c r="C248" s="3038">
        <f>SUM(C202)</f>
        <v>210899</v>
      </c>
      <c r="D248" s="3038">
        <f>SUM(C202:D202)</f>
        <v>400661</v>
      </c>
      <c r="E248" s="3038">
        <f>SUM(C202:E202)</f>
        <v>610528</v>
      </c>
      <c r="F248" s="3038">
        <f>SUM(C202:F202)</f>
        <v>812372</v>
      </c>
      <c r="G248" s="3038">
        <f>SUM(C202:G202)</f>
        <v>1016142</v>
      </c>
      <c r="H248" s="3038">
        <f>SUM(C202:H202)</f>
        <v>1229606</v>
      </c>
      <c r="I248" s="3038">
        <f>SUM(C202:I202)</f>
        <v>1460405</v>
      </c>
      <c r="J248" s="3038">
        <f>SUM(C202:J202)</f>
        <v>1702452</v>
      </c>
      <c r="K248" s="3038">
        <f>SUM(C202:K202)</f>
        <v>1909425</v>
      </c>
      <c r="L248" s="3038">
        <f>SUM(C202:L202)</f>
        <v>2088093</v>
      </c>
      <c r="M248" s="3038">
        <f>SUM(C202:M202)</f>
        <v>2290399</v>
      </c>
      <c r="N248" s="3038">
        <f>SUM(C202:N202)</f>
        <v>2502789</v>
      </c>
      <c r="Q248" s="3039"/>
      <c r="R248" s="3039"/>
      <c r="S248" s="3039"/>
      <c r="T248" s="3039"/>
      <c r="U248" s="3039"/>
      <c r="V248" s="3039"/>
      <c r="W248" s="3039"/>
      <c r="X248" s="3039"/>
      <c r="Y248" s="3039"/>
      <c r="Z248" s="3039"/>
    </row>
    <row r="249" spans="1:26" s="3031" customFormat="1">
      <c r="A249" s="3031" t="s">
        <v>32</v>
      </c>
      <c r="B249" s="3032">
        <v>2020</v>
      </c>
      <c r="C249" s="3033">
        <f>SUM(C214)</f>
        <v>202257</v>
      </c>
      <c r="D249" s="3033">
        <f>SUM(C214:D214)</f>
        <v>398323</v>
      </c>
      <c r="E249" s="3033">
        <f>SUM(C214:E214)</f>
        <v>493097</v>
      </c>
      <c r="F249" s="3033">
        <f>SUM(C214:F214)</f>
        <v>496382</v>
      </c>
      <c r="G249" s="3033">
        <f>SUM(C214:G214)</f>
        <v>501903</v>
      </c>
      <c r="H249" s="3033">
        <f>SUM(C214:H214)</f>
        <v>511569</v>
      </c>
      <c r="I249" s="3033">
        <f>SUM(C214:I214)</f>
        <v>529789</v>
      </c>
      <c r="J249" s="3033">
        <f>SUM(C214:J214)</f>
        <v>549662</v>
      </c>
      <c r="K249" s="3033">
        <f>SUM(C214:K214)</f>
        <v>577842</v>
      </c>
      <c r="L249" s="3033">
        <f>SUM(C214:L214)</f>
        <v>621198</v>
      </c>
      <c r="M249" s="3033">
        <f>SUM(C214:M214)</f>
        <v>673377</v>
      </c>
      <c r="N249" s="3033">
        <f>SUM(C214:N214)</f>
        <v>748296</v>
      </c>
      <c r="Q249" s="3034"/>
      <c r="R249" s="3034"/>
      <c r="S249" s="3034"/>
      <c r="T249" s="3034"/>
      <c r="U249" s="3034"/>
      <c r="V249" s="3034"/>
      <c r="W249" s="3034"/>
      <c r="X249" s="3034"/>
      <c r="Y249" s="3034"/>
      <c r="Z249" s="3034"/>
    </row>
    <row r="250" spans="1:26" s="3876" customFormat="1">
      <c r="A250" s="3876" t="s">
        <v>32</v>
      </c>
      <c r="B250" s="3877">
        <v>2021</v>
      </c>
      <c r="C250" s="3035">
        <f>SUM(C226)</f>
        <v>53113</v>
      </c>
      <c r="D250" s="3035">
        <f>SUM(C226:D226)</f>
        <v>100361</v>
      </c>
      <c r="E250" s="3035">
        <f>SUM(C226:E226)</f>
        <v>161200</v>
      </c>
      <c r="F250" s="3035">
        <f>SUM(C226:F226)</f>
        <v>217636</v>
      </c>
      <c r="G250" s="3035">
        <f>SUM(C226:G226)</f>
        <v>287238</v>
      </c>
      <c r="H250" s="3035">
        <f>SUM(C226:H226)</f>
        <v>380758</v>
      </c>
      <c r="I250" s="3035">
        <f>SUM(C226:I226)</f>
        <v>503646</v>
      </c>
      <c r="J250" s="3035">
        <f>SUM(C226:J226)</f>
        <v>625880</v>
      </c>
      <c r="K250" s="3035">
        <f>SUM(C226:K226)</f>
        <v>742629</v>
      </c>
      <c r="L250" s="3035">
        <f>SUM(C226:L226)</f>
        <v>870733</v>
      </c>
      <c r="M250" s="3035">
        <f>SUM(C226:M226)</f>
        <v>1008626</v>
      </c>
      <c r="N250" s="3035">
        <f>SUM(C226:N226)</f>
        <v>1153666</v>
      </c>
    </row>
    <row r="251" spans="1:26" s="151" customFormat="1" ht="28.8">
      <c r="A251" s="153"/>
      <c r="B251" s="381" t="s">
        <v>1100</v>
      </c>
      <c r="C251" s="658">
        <f>C250/C249-1</f>
        <v>-0.73739845839698992</v>
      </c>
      <c r="D251" s="658">
        <f>D250/D249-1</f>
        <v>-0.74804116257409192</v>
      </c>
      <c r="E251" s="658">
        <f>E250/E249-1</f>
        <v>-0.67308663406996994</v>
      </c>
      <c r="F251" s="658">
        <f>F250/F249-1</f>
        <v>-0.56155541498281569</v>
      </c>
      <c r="G251" s="658">
        <f>G250/G249-1</f>
        <v>-0.42770216555788665</v>
      </c>
      <c r="H251" s="658">
        <f t="shared" ref="H251:N251" si="92">H250/H249-1</f>
        <v>-0.25570548645441771</v>
      </c>
      <c r="I251" s="658">
        <f t="shared" si="92"/>
        <v>-4.9346060412730375E-2</v>
      </c>
      <c r="J251" s="658">
        <f t="shared" si="92"/>
        <v>0.13866339677838391</v>
      </c>
      <c r="K251" s="667">
        <f t="shared" si="92"/>
        <v>0.28517657075809644</v>
      </c>
      <c r="L251" s="658">
        <f t="shared" si="92"/>
        <v>0.4016996191230493</v>
      </c>
      <c r="M251" s="658">
        <f t="shared" si="92"/>
        <v>0.49786226734800865</v>
      </c>
      <c r="N251" s="658">
        <f t="shared" si="92"/>
        <v>0.54172413055796098</v>
      </c>
      <c r="O251" s="382"/>
      <c r="P251" s="382"/>
      <c r="Q251" s="378"/>
      <c r="R251" s="378"/>
      <c r="S251" s="378"/>
      <c r="T251" s="378"/>
      <c r="U251" s="378"/>
      <c r="V251" s="378"/>
      <c r="W251" s="378"/>
      <c r="X251" s="378"/>
      <c r="Y251" s="378"/>
      <c r="Z251" s="378"/>
    </row>
    <row r="252" spans="1:26">
      <c r="C252" s="112"/>
    </row>
    <row r="253" spans="1:26" s="3037" customFormat="1" ht="14.4" customHeight="1">
      <c r="A253" s="5468" t="s">
        <v>1526</v>
      </c>
      <c r="B253" s="5468"/>
      <c r="C253" s="3041">
        <f>C250/C248-1</f>
        <v>-0.7481590714038473</v>
      </c>
      <c r="D253" s="3041">
        <f t="shared" ref="D253:N253" si="93">D250/D248-1</f>
        <v>-0.74951143235802831</v>
      </c>
      <c r="E253" s="3041">
        <f t="shared" si="93"/>
        <v>-0.73596624561035695</v>
      </c>
      <c r="F253" s="3041">
        <f t="shared" si="93"/>
        <v>-0.73209810283958587</v>
      </c>
      <c r="G253" s="3041">
        <f t="shared" si="93"/>
        <v>-0.71732494080551734</v>
      </c>
      <c r="H253" s="3041">
        <f t="shared" si="93"/>
        <v>-0.6903414589714103</v>
      </c>
      <c r="I253" s="3041">
        <f t="shared" si="93"/>
        <v>-0.65513265155898537</v>
      </c>
      <c r="J253" s="3041">
        <f t="shared" si="93"/>
        <v>-0.6323655527439247</v>
      </c>
      <c r="K253" s="3041">
        <f t="shared" si="93"/>
        <v>-0.61107191955693474</v>
      </c>
      <c r="L253" s="3041">
        <f t="shared" si="93"/>
        <v>-0.58300085293135884</v>
      </c>
      <c r="M253" s="3041">
        <f t="shared" si="93"/>
        <v>-0.55962869351584588</v>
      </c>
      <c r="N253" s="3041">
        <f t="shared" si="93"/>
        <v>-0.5390478382316688</v>
      </c>
      <c r="Q253" s="3040"/>
      <c r="R253" s="3040"/>
      <c r="S253" s="3040"/>
      <c r="T253" s="3040"/>
      <c r="U253" s="3040"/>
      <c r="V253" s="3040"/>
      <c r="W253" s="3040"/>
      <c r="X253" s="3040"/>
      <c r="Y253" s="3040"/>
      <c r="Z253" s="3040"/>
    </row>
    <row r="254" spans="1:26">
      <c r="C254" s="112"/>
      <c r="E254" s="112"/>
      <c r="F254" s="112"/>
      <c r="G254" s="112"/>
      <c r="I254" s="112"/>
      <c r="J254" s="112"/>
      <c r="M254" s="112"/>
    </row>
    <row r="255" spans="1:26">
      <c r="C255" s="112"/>
      <c r="E255" s="112"/>
      <c r="F255" s="112"/>
      <c r="G255" s="112"/>
      <c r="I255" s="112"/>
      <c r="J255" s="112"/>
      <c r="M255" s="112"/>
    </row>
    <row r="256" spans="1:26">
      <c r="E256" s="112"/>
      <c r="F256" s="112"/>
      <c r="G256" s="112"/>
      <c r="I256" s="112"/>
      <c r="J256" s="112"/>
    </row>
    <row r="257" spans="7:13">
      <c r="G257" s="112"/>
    </row>
    <row r="258" spans="7:13">
      <c r="G258" s="111"/>
      <c r="I258" s="111"/>
      <c r="J258" s="111"/>
    </row>
    <row r="259" spans="7:13">
      <c r="I259" s="111"/>
      <c r="J259" s="111"/>
    </row>
    <row r="260" spans="7:13">
      <c r="I260" s="111"/>
      <c r="J260" s="111"/>
      <c r="K260" s="114"/>
      <c r="M260" s="113"/>
    </row>
    <row r="262" spans="7:13">
      <c r="I262" s="112"/>
      <c r="J262" s="112"/>
    </row>
  </sheetData>
  <sheetProtection selectLockedCells="1" selectUnlockedCells="1"/>
  <mergeCells count="23">
    <mergeCell ref="A89:P89"/>
    <mergeCell ref="A1:P1"/>
    <mergeCell ref="A2:P2"/>
    <mergeCell ref="A3:P3"/>
    <mergeCell ref="A5:P5"/>
    <mergeCell ref="A13:P13"/>
    <mergeCell ref="A25:P25"/>
    <mergeCell ref="A38:P38"/>
    <mergeCell ref="A51:P51"/>
    <mergeCell ref="A63:P63"/>
    <mergeCell ref="A76:P76"/>
    <mergeCell ref="A253:B253"/>
    <mergeCell ref="A101:P101"/>
    <mergeCell ref="A173:P173"/>
    <mergeCell ref="A161:P161"/>
    <mergeCell ref="A149:P149"/>
    <mergeCell ref="A221:O221"/>
    <mergeCell ref="A197:O197"/>
    <mergeCell ref="A113:P113"/>
    <mergeCell ref="A125:P125"/>
    <mergeCell ref="A137:P137"/>
    <mergeCell ref="A185:O185"/>
    <mergeCell ref="A209:O209"/>
  </mergeCells>
  <conditionalFormatting sqref="K241">
    <cfRule type="cellIs" dxfId="1" priority="30" operator="lessThanOrEqual">
      <formula>0</formula>
    </cfRule>
  </conditionalFormatting>
  <conditionalFormatting sqref="K251">
    <cfRule type="cellIs" dxfId="0" priority="29" operator="lessThanOrEqual">
      <formula>0</formula>
    </cfRule>
  </conditionalFormatting>
  <printOptions horizontalCentered="1" verticalCentered="1"/>
  <pageMargins left="0.28000000000000003" right="0.22" top="0.34" bottom="0.24" header="0" footer="0"/>
  <pageSetup paperSize="9" scale="36"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5F24F7-B336-4978-8B42-46A03BF04D4D}">
  <sheetPr>
    <tabColor rgb="FF00B0F0"/>
  </sheetPr>
  <dimension ref="A1:R62"/>
  <sheetViews>
    <sheetView showGridLines="0" zoomScaleNormal="100" workbookViewId="0">
      <selection activeCell="F16" sqref="F16"/>
    </sheetView>
  </sheetViews>
  <sheetFormatPr baseColWidth="10" defaultColWidth="11.44140625" defaultRowHeight="13.8"/>
  <cols>
    <col min="1" max="1" width="11.44140625" style="4280"/>
    <col min="2" max="2" width="14.44140625" style="4280" bestFit="1" customWidth="1"/>
    <col min="3" max="3" width="14.44140625" style="4280" hidden="1" customWidth="1"/>
    <col min="4" max="4" width="18.109375" style="4280" bestFit="1" customWidth="1"/>
    <col min="5" max="6" width="15.33203125" style="4280" bestFit="1" customWidth="1"/>
    <col min="7" max="8" width="11.44140625" style="4280"/>
    <col min="9" max="9" width="26.109375" style="4286" bestFit="1" customWidth="1"/>
    <col min="10" max="10" width="16.5546875" style="4280" bestFit="1" customWidth="1"/>
    <col min="11" max="16384" width="11.44140625" style="4280"/>
  </cols>
  <sheetData>
    <row r="1" spans="1:11" s="53" customFormat="1" ht="41.4">
      <c r="A1" s="4273" t="s">
        <v>1731</v>
      </c>
      <c r="B1" s="4273" t="s">
        <v>1660</v>
      </c>
      <c r="C1" s="4273" t="s">
        <v>1732</v>
      </c>
      <c r="D1" s="4273" t="s">
        <v>1660</v>
      </c>
      <c r="E1" s="4274" t="s">
        <v>1733</v>
      </c>
      <c r="F1" s="4274" t="s">
        <v>1734</v>
      </c>
      <c r="I1" s="253"/>
      <c r="J1" s="4047" t="s">
        <v>1735</v>
      </c>
    </row>
    <row r="2" spans="1:11">
      <c r="A2" s="4275">
        <v>43466</v>
      </c>
      <c r="B2" s="4276">
        <f>+'Ventas-locales Base'!FY26</f>
        <v>185.93583840000002</v>
      </c>
      <c r="C2" s="4277"/>
      <c r="D2" s="4278">
        <f t="shared" ref="D2:D37" si="0">+B2+C2</f>
        <v>185.93583840000002</v>
      </c>
      <c r="E2" s="4279"/>
      <c r="F2" s="4279"/>
      <c r="H2" s="5479" t="s">
        <v>1513</v>
      </c>
      <c r="I2" s="4281" t="s">
        <v>1736</v>
      </c>
      <c r="J2" s="4282">
        <f>+SUM(D2:D13)</f>
        <v>2272.3585533299997</v>
      </c>
    </row>
    <row r="3" spans="1:11">
      <c r="A3" s="4275">
        <v>43497</v>
      </c>
      <c r="B3" s="4276">
        <f>+'Ventas-locales Base'!FZ26</f>
        <v>177.49347239999997</v>
      </c>
      <c r="C3" s="4277"/>
      <c r="D3" s="4278">
        <f t="shared" si="0"/>
        <v>177.49347239999997</v>
      </c>
      <c r="E3" s="4279">
        <f>+D3/D2-1</f>
        <v>-4.54047270964415E-2</v>
      </c>
      <c r="F3" s="4279"/>
      <c r="G3" s="4283"/>
      <c r="H3" s="5479"/>
      <c r="I3" s="4281" t="s">
        <v>1737</v>
      </c>
      <c r="J3" s="4282">
        <f>+SUM(D14:D25)</f>
        <v>1108.9689002</v>
      </c>
      <c r="K3" s="4283"/>
    </row>
    <row r="4" spans="1:11">
      <c r="A4" s="4275">
        <v>43525</v>
      </c>
      <c r="B4" s="4284">
        <f>+'Ventas-locales Base'!GA26</f>
        <v>190.69881953999996</v>
      </c>
      <c r="C4" s="4277"/>
      <c r="D4" s="4278">
        <f t="shared" si="0"/>
        <v>190.69881953999996</v>
      </c>
      <c r="E4" s="4279">
        <f t="shared" ref="E4:E37" si="1">+D4/D3-1</f>
        <v>7.4399057956567427E-2</v>
      </c>
      <c r="F4" s="4279"/>
      <c r="H4" s="5479"/>
      <c r="I4" s="4281" t="s">
        <v>1738</v>
      </c>
      <c r="J4" s="4282">
        <f>+J3-J2</f>
        <v>-1163.3896531299997</v>
      </c>
    </row>
    <row r="5" spans="1:11">
      <c r="A5" s="4275">
        <v>43556</v>
      </c>
      <c r="B5" s="4276">
        <f>+'Ventas-locales Base'!GB26</f>
        <v>188.87984379999997</v>
      </c>
      <c r="C5" s="4277"/>
      <c r="D5" s="4278">
        <f t="shared" si="0"/>
        <v>188.87984379999997</v>
      </c>
      <c r="E5" s="4279">
        <f t="shared" si="1"/>
        <v>-9.538474041882794E-3</v>
      </c>
      <c r="F5" s="4279"/>
      <c r="H5" s="5479"/>
      <c r="I5" s="4281" t="s">
        <v>1739</v>
      </c>
      <c r="J5" s="4285">
        <f>+J3/J2-1</f>
        <v>-0.51197450834734015</v>
      </c>
    </row>
    <row r="6" spans="1:11">
      <c r="A6" s="4275">
        <v>43586</v>
      </c>
      <c r="B6" s="4276">
        <f>+'Ventas-locales Base'!GC26</f>
        <v>193.25981892000001</v>
      </c>
      <c r="C6" s="4277"/>
      <c r="D6" s="4278">
        <f t="shared" si="0"/>
        <v>193.25981892000001</v>
      </c>
      <c r="E6" s="4279">
        <f t="shared" si="1"/>
        <v>2.3189214009716519E-2</v>
      </c>
      <c r="F6" s="4279"/>
    </row>
    <row r="7" spans="1:11">
      <c r="A7" s="4275">
        <v>43617</v>
      </c>
      <c r="B7" s="4276">
        <f>+'Ventas-locales Base'!GD26</f>
        <v>193.91734918999998</v>
      </c>
      <c r="C7" s="4277"/>
      <c r="D7" s="4278">
        <f t="shared" si="0"/>
        <v>193.91734918999998</v>
      </c>
      <c r="E7" s="4279">
        <f t="shared" si="1"/>
        <v>3.402312356880266E-3</v>
      </c>
      <c r="F7" s="4279"/>
      <c r="H7" s="5479" t="s">
        <v>1513</v>
      </c>
      <c r="I7" s="4281" t="s">
        <v>1736</v>
      </c>
      <c r="J7" s="4282">
        <f>+SUM(D2:D13)</f>
        <v>2272.3585533299997</v>
      </c>
    </row>
    <row r="8" spans="1:11">
      <c r="A8" s="4275">
        <v>43647</v>
      </c>
      <c r="B8" s="4276">
        <f>+'Ventas-locales Base'!GE26</f>
        <v>201.11121925999998</v>
      </c>
      <c r="C8" s="4277"/>
      <c r="D8" s="4278">
        <f t="shared" si="0"/>
        <v>201.11121925999998</v>
      </c>
      <c r="E8" s="4279">
        <f t="shared" si="1"/>
        <v>3.7097609368367923E-2</v>
      </c>
      <c r="F8" s="4279"/>
      <c r="H8" s="5479"/>
      <c r="I8" s="4287" t="s">
        <v>1740</v>
      </c>
      <c r="J8" s="4282">
        <f>+SUM(D26:D37)</f>
        <v>1238.8932168487725</v>
      </c>
    </row>
    <row r="9" spans="1:11">
      <c r="A9" s="4275">
        <v>43678</v>
      </c>
      <c r="B9" s="4276">
        <f>+'Ventas-locales Base'!GF26</f>
        <v>196.50047155000004</v>
      </c>
      <c r="C9" s="4277"/>
      <c r="D9" s="4278">
        <f t="shared" si="0"/>
        <v>196.50047155000004</v>
      </c>
      <c r="E9" s="4279">
        <f t="shared" si="1"/>
        <v>-2.292635749992189E-2</v>
      </c>
      <c r="F9" s="4279"/>
      <c r="H9" s="5479"/>
      <c r="I9" s="4281" t="s">
        <v>1738</v>
      </c>
      <c r="J9" s="4282">
        <f>+J8-J7</f>
        <v>-1033.4653364812273</v>
      </c>
    </row>
    <row r="10" spans="1:11">
      <c r="A10" s="4275">
        <v>43709</v>
      </c>
      <c r="B10" s="4276">
        <f>+'Ventas-locales Base'!GG26</f>
        <v>183.39277358999999</v>
      </c>
      <c r="C10" s="4277"/>
      <c r="D10" s="4278">
        <f t="shared" si="0"/>
        <v>183.39277358999999</v>
      </c>
      <c r="E10" s="4279">
        <f t="shared" si="1"/>
        <v>-6.6705681958960428E-2</v>
      </c>
      <c r="F10" s="4279"/>
      <c r="H10" s="5479"/>
      <c r="I10" s="4281" t="s">
        <v>1739</v>
      </c>
      <c r="J10" s="4285">
        <f>+J8/J7-1</f>
        <v>-0.45479853298976447</v>
      </c>
    </row>
    <row r="11" spans="1:11">
      <c r="A11" s="4275">
        <v>43739</v>
      </c>
      <c r="B11" s="4276">
        <f>+'Ventas-locales Base'!GH26</f>
        <v>166.55519826999998</v>
      </c>
      <c r="C11" s="4277"/>
      <c r="D11" s="4278">
        <f t="shared" si="0"/>
        <v>166.55519826999998</v>
      </c>
      <c r="E11" s="4279">
        <f t="shared" si="1"/>
        <v>-9.1811552824010101E-2</v>
      </c>
      <c r="F11" s="4279"/>
      <c r="H11" s="53"/>
      <c r="J11" s="4288"/>
    </row>
    <row r="12" spans="1:11">
      <c r="A12" s="4275">
        <v>43770</v>
      </c>
      <c r="B12" s="4276">
        <f>+'Ventas-locales Base'!GI26</f>
        <v>183.10376754000004</v>
      </c>
      <c r="C12" s="4277"/>
      <c r="D12" s="4278">
        <f t="shared" si="0"/>
        <v>183.10376754000004</v>
      </c>
      <c r="E12" s="4279">
        <f t="shared" si="1"/>
        <v>9.9357867192913618E-2</v>
      </c>
      <c r="F12" s="4279"/>
      <c r="H12" s="5479" t="s">
        <v>1513</v>
      </c>
      <c r="I12" s="4281" t="s">
        <v>1737</v>
      </c>
      <c r="J12" s="4282">
        <f>+SUM(D14:D25)</f>
        <v>1108.9689002</v>
      </c>
    </row>
    <row r="13" spans="1:11">
      <c r="A13" s="4289">
        <v>43800</v>
      </c>
      <c r="B13" s="4276">
        <f>+'Ventas-locales Base'!GJ26</f>
        <v>211.50998087000002</v>
      </c>
      <c r="C13" s="4290"/>
      <c r="D13" s="4291">
        <f t="shared" si="0"/>
        <v>211.50998087000002</v>
      </c>
      <c r="E13" s="4279">
        <f t="shared" si="1"/>
        <v>0.15513724109360272</v>
      </c>
      <c r="F13" s="4292"/>
      <c r="H13" s="5479"/>
      <c r="I13" s="4287" t="s">
        <v>1740</v>
      </c>
      <c r="J13" s="4282">
        <f>+SUM(D26:D37)</f>
        <v>1238.8932168487725</v>
      </c>
    </row>
    <row r="14" spans="1:11">
      <c r="A14" s="4293">
        <v>43831</v>
      </c>
      <c r="B14" s="4276">
        <f>+'Ventas-locales Base'!GK26</f>
        <v>187.33575468000001</v>
      </c>
      <c r="C14" s="4294"/>
      <c r="D14" s="4295">
        <f t="shared" si="0"/>
        <v>187.33575468000001</v>
      </c>
      <c r="E14" s="4296">
        <f t="shared" si="1"/>
        <v>-0.11429354818417847</v>
      </c>
      <c r="F14" s="4296">
        <f>+D14/D2-1</f>
        <v>7.5290287878142514E-3</v>
      </c>
      <c r="H14" s="5479"/>
      <c r="I14" s="4281" t="s">
        <v>1738</v>
      </c>
      <c r="J14" s="4282">
        <f>+J13-J12</f>
        <v>129.92431664877245</v>
      </c>
    </row>
    <row r="15" spans="1:11">
      <c r="A15" s="4275">
        <v>43862</v>
      </c>
      <c r="B15" s="4276">
        <f>+'Ventas-locales Base'!GL26</f>
        <v>174.97352861000005</v>
      </c>
      <c r="C15" s="4277"/>
      <c r="D15" s="4278">
        <f t="shared" si="0"/>
        <v>174.97352861000005</v>
      </c>
      <c r="E15" s="4279">
        <f t="shared" si="1"/>
        <v>-6.5989677683881864E-2</v>
      </c>
      <c r="F15" s="4279">
        <f t="shared" ref="F15:F37" si="2">+D15/D3-1</f>
        <v>-1.419738853449759E-2</v>
      </c>
      <c r="H15" s="5479"/>
      <c r="I15" s="4281" t="s">
        <v>1739</v>
      </c>
      <c r="J15" s="4285">
        <f>+J13/J12-1</f>
        <v>0.11715776396014421</v>
      </c>
    </row>
    <row r="16" spans="1:11">
      <c r="A16" s="4275">
        <v>43891</v>
      </c>
      <c r="B16" s="4284">
        <f>+'Ventas-locales Base'!GM26</f>
        <v>97.286084200000019</v>
      </c>
      <c r="C16" s="4277"/>
      <c r="D16" s="4278">
        <f t="shared" si="0"/>
        <v>97.286084200000019</v>
      </c>
      <c r="E16" s="4279">
        <f t="shared" si="1"/>
        <v>-0.44399541477590143</v>
      </c>
      <c r="F16" s="4279">
        <f t="shared" si="2"/>
        <v>-0.48984432921676369</v>
      </c>
    </row>
    <row r="17" spans="1:10">
      <c r="A17" s="4275">
        <v>43922</v>
      </c>
      <c r="B17" s="4276">
        <f>+'Ventas-locales Base'!GN26</f>
        <v>32.887075919999994</v>
      </c>
      <c r="C17" s="4277"/>
      <c r="D17" s="4278">
        <f t="shared" si="0"/>
        <v>32.887075919999994</v>
      </c>
      <c r="E17" s="4279">
        <f t="shared" si="1"/>
        <v>-0.66195498369128536</v>
      </c>
      <c r="F17" s="4279">
        <f t="shared" si="2"/>
        <v>-0.82588361331544047</v>
      </c>
      <c r="H17" s="5479" t="s">
        <v>1741</v>
      </c>
      <c r="I17" s="4281" t="s">
        <v>1742</v>
      </c>
      <c r="J17" s="4282">
        <f>+SUM(D14:D18)</f>
        <v>536.36555894000003</v>
      </c>
    </row>
    <row r="18" spans="1:10">
      <c r="A18" s="4275">
        <v>43952</v>
      </c>
      <c r="B18" s="4276">
        <f>+'Ventas-locales Base'!GO26</f>
        <v>43.883115529999991</v>
      </c>
      <c r="C18" s="4277"/>
      <c r="D18" s="4278">
        <f t="shared" si="0"/>
        <v>43.883115529999991</v>
      </c>
      <c r="E18" s="4279">
        <f t="shared" si="1"/>
        <v>0.33435747333537935</v>
      </c>
      <c r="F18" s="4279">
        <f t="shared" si="2"/>
        <v>-0.77293202604021161</v>
      </c>
      <c r="H18" s="5479"/>
      <c r="I18" s="4281" t="s">
        <v>1743</v>
      </c>
      <c r="J18" s="4282">
        <f>+SUM(D26:D30)</f>
        <v>501.62328595999986</v>
      </c>
    </row>
    <row r="19" spans="1:10">
      <c r="A19" s="4275">
        <v>43983</v>
      </c>
      <c r="B19" s="4276">
        <f>+'Ventas-locales Base'!GP26</f>
        <v>59.829074529999993</v>
      </c>
      <c r="C19" s="4277"/>
      <c r="D19" s="4278">
        <f t="shared" si="0"/>
        <v>59.829074529999993</v>
      </c>
      <c r="E19" s="4279">
        <f t="shared" si="1"/>
        <v>0.36337344802008875</v>
      </c>
      <c r="F19" s="4279">
        <f t="shared" si="2"/>
        <v>-0.69147126453662722</v>
      </c>
      <c r="H19" s="5479"/>
      <c r="I19" s="4281" t="s">
        <v>1738</v>
      </c>
      <c r="J19" s="4282">
        <f>+J18-J17</f>
        <v>-34.742272980000166</v>
      </c>
    </row>
    <row r="20" spans="1:10">
      <c r="A20" s="4275">
        <v>44013</v>
      </c>
      <c r="B20" s="4276">
        <f>+'Ventas-locales Base'!GQ26</f>
        <v>56.971470939999996</v>
      </c>
      <c r="C20" s="4277"/>
      <c r="D20" s="4278">
        <f t="shared" si="0"/>
        <v>56.971470939999996</v>
      </c>
      <c r="E20" s="4279">
        <f t="shared" si="1"/>
        <v>-4.7762791125360193E-2</v>
      </c>
      <c r="F20" s="4279">
        <f t="shared" si="2"/>
        <v>-0.7167165951773864</v>
      </c>
      <c r="H20" s="5479"/>
      <c r="I20" s="4281" t="s">
        <v>1739</v>
      </c>
      <c r="J20" s="4297">
        <f>+J18/J17-1</f>
        <v>-6.4773497106451194E-2</v>
      </c>
    </row>
    <row r="21" spans="1:10">
      <c r="A21" s="4275">
        <v>44044</v>
      </c>
      <c r="B21" s="4276">
        <f>+'Ventas-locales Base'!GR26</f>
        <v>67.450219140000016</v>
      </c>
      <c r="C21" s="4277"/>
      <c r="D21" s="4278">
        <f t="shared" si="0"/>
        <v>67.450219140000016</v>
      </c>
      <c r="E21" s="4279">
        <f t="shared" si="1"/>
        <v>0.18392974636438297</v>
      </c>
      <c r="F21" s="4279">
        <f t="shared" si="2"/>
        <v>-0.65674271105839499</v>
      </c>
    </row>
    <row r="22" spans="1:10">
      <c r="A22" s="4275">
        <v>44075</v>
      </c>
      <c r="B22" s="4276">
        <f>+'Ventas-locales Base'!GS26</f>
        <v>78.645978809999988</v>
      </c>
      <c r="C22" s="4277"/>
      <c r="D22" s="4278">
        <f t="shared" si="0"/>
        <v>78.645978809999988</v>
      </c>
      <c r="E22" s="4279">
        <f t="shared" si="1"/>
        <v>0.16598551958388752</v>
      </c>
      <c r="F22" s="4279">
        <f t="shared" si="2"/>
        <v>-0.57116097177403513</v>
      </c>
      <c r="H22" s="5479" t="s">
        <v>1741</v>
      </c>
      <c r="I22" s="4281" t="s">
        <v>1744</v>
      </c>
      <c r="J22" s="4282">
        <f>+SUM(D2:D6)</f>
        <v>936.26779306000003</v>
      </c>
    </row>
    <row r="23" spans="1:10">
      <c r="A23" s="4275">
        <v>44105</v>
      </c>
      <c r="B23" s="4276">
        <f>+'Ventas-locales Base'!GT26</f>
        <v>93.410569959999989</v>
      </c>
      <c r="C23" s="4277"/>
      <c r="D23" s="4278">
        <f t="shared" si="0"/>
        <v>93.410569959999989</v>
      </c>
      <c r="E23" s="4279">
        <f t="shared" si="1"/>
        <v>0.18773485146226765</v>
      </c>
      <c r="F23" s="4279">
        <f t="shared" si="2"/>
        <v>-0.43916148562007895</v>
      </c>
      <c r="H23" s="5479"/>
      <c r="I23" s="4281" t="s">
        <v>1743</v>
      </c>
      <c r="J23" s="4282">
        <f>+SUM(D26:D30)</f>
        <v>501.62328595999986</v>
      </c>
    </row>
    <row r="24" spans="1:10">
      <c r="A24" s="4298">
        <v>44136</v>
      </c>
      <c r="B24" s="4276">
        <f>+'Ventas-locales Base'!GU26</f>
        <v>92.584608240000009</v>
      </c>
      <c r="C24" s="4277"/>
      <c r="D24" s="4278">
        <f t="shared" si="0"/>
        <v>92.584608240000009</v>
      </c>
      <c r="E24" s="4279">
        <f t="shared" si="1"/>
        <v>-8.8422725645895817E-3</v>
      </c>
      <c r="F24" s="4279">
        <f t="shared" si="2"/>
        <v>-0.49435989502633038</v>
      </c>
      <c r="H24" s="5479"/>
      <c r="I24" s="4281" t="s">
        <v>1738</v>
      </c>
      <c r="J24" s="4282">
        <f>+J23-J22</f>
        <v>-434.64450710000017</v>
      </c>
    </row>
    <row r="25" spans="1:10">
      <c r="A25" s="4289">
        <v>44166</v>
      </c>
      <c r="B25" s="4276">
        <f>+'Ventas-locales Base'!GV26</f>
        <v>123.71141964</v>
      </c>
      <c r="C25" s="4291"/>
      <c r="D25" s="4291">
        <f t="shared" si="0"/>
        <v>123.71141964</v>
      </c>
      <c r="E25" s="4292">
        <f t="shared" si="1"/>
        <v>0.33619855386018749</v>
      </c>
      <c r="F25" s="4292">
        <f>+D25/D13-1</f>
        <v>-0.41510363184214694</v>
      </c>
      <c r="H25" s="5479"/>
      <c r="I25" s="4281" t="s">
        <v>1739</v>
      </c>
      <c r="J25" s="4297">
        <f>+J23/J22-1</f>
        <v>-0.46423097143975589</v>
      </c>
    </row>
    <row r="26" spans="1:10">
      <c r="A26" s="4298">
        <v>44197</v>
      </c>
      <c r="B26" s="4276">
        <f>+'Ventas-locales Base'!GW26</f>
        <v>85.052170509999996</v>
      </c>
      <c r="C26" s="4276"/>
      <c r="D26" s="4276">
        <f t="shared" si="0"/>
        <v>85.052170509999996</v>
      </c>
      <c r="E26" s="4299">
        <f t="shared" si="1"/>
        <v>-0.3124953964839976</v>
      </c>
      <c r="F26" s="4299">
        <f t="shared" si="2"/>
        <v>-0.54599072315221964</v>
      </c>
      <c r="I26" s="4300"/>
    </row>
    <row r="27" spans="1:10">
      <c r="A27" s="4298">
        <v>44228</v>
      </c>
      <c r="B27" s="4276">
        <f>+'Ventas-locales Base'!GX26</f>
        <v>83.981924929999977</v>
      </c>
      <c r="C27" s="4276"/>
      <c r="D27" s="4276">
        <f t="shared" si="0"/>
        <v>83.981924929999977</v>
      </c>
      <c r="E27" s="4299">
        <f t="shared" si="1"/>
        <v>-1.2583401147583717E-2</v>
      </c>
      <c r="F27" s="4299">
        <f t="shared" si="2"/>
        <v>-0.52003068351448756</v>
      </c>
      <c r="I27" s="4284"/>
    </row>
    <row r="28" spans="1:10">
      <c r="A28" s="4298">
        <v>44256</v>
      </c>
      <c r="B28" s="4276">
        <f>+'Ventas-locales Base'!GY26</f>
        <v>108.83709476999998</v>
      </c>
      <c r="C28" s="4276"/>
      <c r="D28" s="4276">
        <f t="shared" si="0"/>
        <v>108.83709476999998</v>
      </c>
      <c r="E28" s="4299">
        <f t="shared" si="1"/>
        <v>0.29595856323509029</v>
      </c>
      <c r="F28" s="4299">
        <f t="shared" si="2"/>
        <v>0.11873240314877376</v>
      </c>
      <c r="I28" s="4301" t="s">
        <v>873</v>
      </c>
    </row>
    <row r="29" spans="1:10">
      <c r="A29" s="4298">
        <v>44287</v>
      </c>
      <c r="B29" s="4284">
        <f>+'Ventas-locales Base'!GZ26</f>
        <v>101.55051985999998</v>
      </c>
      <c r="C29" s="4276"/>
      <c r="D29" s="4276">
        <f t="shared" si="0"/>
        <v>101.55051985999998</v>
      </c>
      <c r="E29" s="4299">
        <f t="shared" si="1"/>
        <v>-6.6949369839376494E-2</v>
      </c>
      <c r="F29" s="4299">
        <f t="shared" si="2"/>
        <v>2.0878549405556273</v>
      </c>
    </row>
    <row r="30" spans="1:10">
      <c r="A30" s="4298">
        <v>44317</v>
      </c>
      <c r="B30" s="4276">
        <f>+'Ventas-locales Base'!HA26</f>
        <v>122.20157588999999</v>
      </c>
      <c r="D30" s="4302">
        <f t="shared" si="0"/>
        <v>122.20157588999999</v>
      </c>
      <c r="E30" s="4303">
        <f t="shared" si="1"/>
        <v>0.20335746245779984</v>
      </c>
      <c r="F30" s="4303">
        <f t="shared" si="2"/>
        <v>1.7847060176586331</v>
      </c>
    </row>
    <row r="31" spans="1:10">
      <c r="A31" s="4304">
        <v>44348</v>
      </c>
      <c r="B31" s="4305">
        <f>+'Ventas-locales Base'!HB$26</f>
        <v>100.324657192</v>
      </c>
      <c r="C31" s="4306"/>
      <c r="D31" s="4305">
        <f t="shared" si="0"/>
        <v>100.324657192</v>
      </c>
      <c r="E31" s="4307">
        <f t="shared" si="1"/>
        <v>-0.17902321257863762</v>
      </c>
      <c r="F31" s="4307">
        <f t="shared" si="2"/>
        <v>0.67685457246533831</v>
      </c>
    </row>
    <row r="32" spans="1:10">
      <c r="A32" s="4304">
        <v>44378</v>
      </c>
      <c r="B32" s="4305">
        <f>+'Ventas-locales Base'!HC$26</f>
        <v>103.37915452839999</v>
      </c>
      <c r="C32" s="4306"/>
      <c r="D32" s="4305">
        <f t="shared" si="0"/>
        <v>103.37915452839999</v>
      </c>
      <c r="E32" s="4307">
        <f t="shared" si="1"/>
        <v>3.0446127820345614E-2</v>
      </c>
      <c r="F32" s="4307">
        <f t="shared" si="2"/>
        <v>0.81457759160325449</v>
      </c>
    </row>
    <row r="33" spans="1:18">
      <c r="A33" s="4304">
        <v>44409</v>
      </c>
      <c r="B33" s="4305">
        <f>+'Ventas-locales Base'!HD$26</f>
        <v>107.25860044807999</v>
      </c>
      <c r="C33" s="4306"/>
      <c r="D33" s="4305">
        <f t="shared" si="0"/>
        <v>107.25860044807999</v>
      </c>
      <c r="E33" s="4307">
        <f t="shared" si="1"/>
        <v>3.7526384669882784E-2</v>
      </c>
      <c r="F33" s="4307">
        <f t="shared" si="2"/>
        <v>0.59018905817716472</v>
      </c>
      <c r="I33" s="4308"/>
      <c r="J33" s="4276"/>
    </row>
    <row r="34" spans="1:18">
      <c r="A34" s="4304">
        <v>44440</v>
      </c>
      <c r="B34" s="4305">
        <f>+'Ventas-locales Base'!HE$26</f>
        <v>106.942901583696</v>
      </c>
      <c r="C34" s="4305">
        <f>+B34/1000000</f>
        <v>1.06942901583696E-4</v>
      </c>
      <c r="D34" s="4305">
        <f t="shared" si="0"/>
        <v>106.94300852659758</v>
      </c>
      <c r="E34" s="4307">
        <f t="shared" si="1"/>
        <v>-2.9423460698163595E-3</v>
      </c>
      <c r="F34" s="4307">
        <f t="shared" si="2"/>
        <v>0.35980262620877412</v>
      </c>
      <c r="G34" s="4276"/>
      <c r="I34" s="4300"/>
      <c r="J34" s="4276"/>
      <c r="K34" s="4276"/>
      <c r="L34" s="4276"/>
      <c r="M34" s="4276"/>
      <c r="N34" s="4276"/>
      <c r="O34" s="4276"/>
      <c r="P34" s="4276"/>
      <c r="Q34" s="4276"/>
      <c r="R34" s="4276"/>
    </row>
    <row r="35" spans="1:18">
      <c r="A35" s="4304">
        <v>44470</v>
      </c>
      <c r="B35" s="4305">
        <f>+'Ventas-locales Base'!HF$26</f>
        <v>108.02137792843519</v>
      </c>
      <c r="C35" s="4305">
        <f t="shared" ref="C35:C62" si="3">+B35/1000000</f>
        <v>1.0802137792843518E-4</v>
      </c>
      <c r="D35" s="4305">
        <f t="shared" si="0"/>
        <v>108.02148594981311</v>
      </c>
      <c r="E35" s="4307">
        <f t="shared" si="1"/>
        <v>1.0084599620622248E-2</v>
      </c>
      <c r="F35" s="4307">
        <f t="shared" si="2"/>
        <v>0.15641608862968903</v>
      </c>
    </row>
    <row r="36" spans="1:18">
      <c r="A36" s="4304">
        <v>44501</v>
      </c>
      <c r="B36" s="4305">
        <f>+'Ventas-locales Base'!HG$26</f>
        <v>105.18533833612226</v>
      </c>
      <c r="C36" s="4305">
        <f t="shared" si="3"/>
        <v>1.0518533833612225E-4</v>
      </c>
      <c r="D36" s="4305">
        <f t="shared" si="0"/>
        <v>105.1854435214606</v>
      </c>
      <c r="E36" s="4307">
        <f t="shared" si="1"/>
        <v>-2.625442895379293E-2</v>
      </c>
      <c r="F36" s="4307">
        <f t="shared" si="2"/>
        <v>0.1361007571452526</v>
      </c>
    </row>
    <row r="37" spans="1:18">
      <c r="A37" s="4304">
        <v>44531</v>
      </c>
      <c r="B37" s="4305">
        <f>+'Ventas-locales Base'!HH$26</f>
        <v>106.15747456494667</v>
      </c>
      <c r="C37" s="4305">
        <f t="shared" si="3"/>
        <v>1.0615747456494667E-4</v>
      </c>
      <c r="D37" s="4305">
        <f t="shared" si="0"/>
        <v>106.15758072242123</v>
      </c>
      <c r="E37" s="4307">
        <f t="shared" si="1"/>
        <v>9.2421267469608992E-3</v>
      </c>
      <c r="F37" s="4307">
        <f t="shared" si="2"/>
        <v>-0.14189344014206939</v>
      </c>
    </row>
    <row r="38" spans="1:18">
      <c r="C38" s="4276">
        <f t="shared" si="3"/>
        <v>0</v>
      </c>
      <c r="D38" s="4276"/>
    </row>
    <row r="39" spans="1:18">
      <c r="C39" s="4276">
        <f t="shared" si="3"/>
        <v>0</v>
      </c>
      <c r="E39" s="4276"/>
      <c r="F39" s="4276"/>
    </row>
    <row r="40" spans="1:18">
      <c r="C40" s="4276">
        <f t="shared" si="3"/>
        <v>0</v>
      </c>
    </row>
    <row r="41" spans="1:18">
      <c r="C41" s="4276">
        <f t="shared" si="3"/>
        <v>0</v>
      </c>
    </row>
    <row r="42" spans="1:18">
      <c r="C42" s="4276">
        <f t="shared" si="3"/>
        <v>0</v>
      </c>
      <c r="H42" s="4276"/>
      <c r="I42" s="4284"/>
      <c r="J42" s="4276"/>
    </row>
    <row r="43" spans="1:18">
      <c r="C43" s="4276">
        <f t="shared" si="3"/>
        <v>0</v>
      </c>
    </row>
    <row r="44" spans="1:18">
      <c r="C44" s="4276">
        <f t="shared" si="3"/>
        <v>0</v>
      </c>
    </row>
    <row r="45" spans="1:18">
      <c r="C45" s="4276">
        <f t="shared" si="3"/>
        <v>0</v>
      </c>
    </row>
    <row r="46" spans="1:18">
      <c r="C46" s="4276">
        <f t="shared" si="3"/>
        <v>0</v>
      </c>
    </row>
    <row r="47" spans="1:18">
      <c r="C47" s="4276">
        <f t="shared" si="3"/>
        <v>0</v>
      </c>
      <c r="H47" s="4276"/>
      <c r="I47" s="4284"/>
      <c r="J47" s="4276"/>
    </row>
    <row r="48" spans="1:18">
      <c r="C48" s="4276">
        <f t="shared" si="3"/>
        <v>0</v>
      </c>
    </row>
    <row r="49" spans="3:3">
      <c r="C49" s="4276">
        <f t="shared" si="3"/>
        <v>0</v>
      </c>
    </row>
    <row r="50" spans="3:3">
      <c r="C50" s="4276">
        <f t="shared" si="3"/>
        <v>0</v>
      </c>
    </row>
    <row r="51" spans="3:3">
      <c r="C51" s="4276">
        <f t="shared" si="3"/>
        <v>0</v>
      </c>
    </row>
    <row r="52" spans="3:3">
      <c r="C52" s="4276">
        <f t="shared" si="3"/>
        <v>0</v>
      </c>
    </row>
    <row r="53" spans="3:3">
      <c r="C53" s="4276">
        <f t="shared" si="3"/>
        <v>0</v>
      </c>
    </row>
    <row r="54" spans="3:3">
      <c r="C54" s="4276">
        <f t="shared" si="3"/>
        <v>0</v>
      </c>
    </row>
    <row r="55" spans="3:3">
      <c r="C55" s="4276">
        <f t="shared" si="3"/>
        <v>0</v>
      </c>
    </row>
    <row r="56" spans="3:3">
      <c r="C56" s="4276">
        <f t="shared" si="3"/>
        <v>0</v>
      </c>
    </row>
    <row r="57" spans="3:3">
      <c r="C57" s="4276">
        <f t="shared" si="3"/>
        <v>0</v>
      </c>
    </row>
    <row r="58" spans="3:3">
      <c r="C58" s="4276">
        <f t="shared" si="3"/>
        <v>0</v>
      </c>
    </row>
    <row r="59" spans="3:3">
      <c r="C59" s="4276">
        <f t="shared" si="3"/>
        <v>0</v>
      </c>
    </row>
    <row r="60" spans="3:3">
      <c r="C60" s="4276">
        <f t="shared" si="3"/>
        <v>0</v>
      </c>
    </row>
    <row r="61" spans="3:3">
      <c r="C61" s="4276">
        <f t="shared" si="3"/>
        <v>0</v>
      </c>
    </row>
    <row r="62" spans="3:3">
      <c r="C62" s="4276">
        <f t="shared" si="3"/>
        <v>0</v>
      </c>
    </row>
  </sheetData>
  <mergeCells count="5">
    <mergeCell ref="H2:H5"/>
    <mergeCell ref="H7:H10"/>
    <mergeCell ref="H12:H15"/>
    <mergeCell ref="H17:H20"/>
    <mergeCell ref="H22:H25"/>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83DC3-0147-4C69-B437-B0DC80DCA154}">
  <dimension ref="A1:J34"/>
  <sheetViews>
    <sheetView topLeftCell="A4" workbookViewId="0">
      <selection activeCell="J15" sqref="J15"/>
    </sheetView>
  </sheetViews>
  <sheetFormatPr baseColWidth="10" defaultRowHeight="14.4"/>
  <cols>
    <col min="2" max="2" width="35.33203125" bestFit="1" customWidth="1"/>
    <col min="3" max="7" width="20" customWidth="1"/>
  </cols>
  <sheetData>
    <row r="1" spans="1:10" ht="15" customHeight="1">
      <c r="A1" s="2983"/>
      <c r="B1" s="5480" t="s">
        <v>1535</v>
      </c>
      <c r="C1" s="5480"/>
      <c r="D1" s="5480"/>
      <c r="E1" s="5480"/>
      <c r="F1" s="5480"/>
      <c r="G1" s="5480"/>
      <c r="H1" s="3162"/>
      <c r="I1" s="3162"/>
      <c r="J1" s="2983"/>
    </row>
    <row r="2" spans="1:10">
      <c r="A2" s="2983"/>
      <c r="B2" s="5480" t="s">
        <v>1536</v>
      </c>
      <c r="C2" s="5480"/>
      <c r="D2" s="5480"/>
      <c r="E2" s="5480"/>
      <c r="F2" s="5480"/>
      <c r="G2" s="5480"/>
      <c r="H2" s="3162"/>
      <c r="I2" s="3162"/>
      <c r="J2" s="2983"/>
    </row>
    <row r="3" spans="1:10" ht="15" customHeight="1">
      <c r="A3" s="2983"/>
      <c r="B3" s="5480" t="s">
        <v>1537</v>
      </c>
      <c r="C3" s="5480"/>
      <c r="D3" s="5480"/>
      <c r="E3" s="5480"/>
      <c r="F3" s="5480"/>
      <c r="G3" s="5480"/>
      <c r="H3" s="3162"/>
      <c r="I3" s="3162"/>
      <c r="J3" s="2983"/>
    </row>
    <row r="4" spans="1:10">
      <c r="A4" s="2983"/>
      <c r="B4" s="5480"/>
      <c r="C4" s="5480"/>
      <c r="D4" s="5480"/>
      <c r="E4" s="5480"/>
      <c r="F4" s="5480"/>
      <c r="G4" s="5480"/>
      <c r="H4" s="3162"/>
      <c r="I4" s="3162"/>
      <c r="J4" s="2983"/>
    </row>
    <row r="5" spans="1:10">
      <c r="A5" s="2983"/>
      <c r="B5" s="2983"/>
      <c r="C5" s="2983"/>
      <c r="D5" s="2983"/>
      <c r="E5" s="2983"/>
      <c r="F5" s="2983"/>
      <c r="G5" s="2983"/>
      <c r="H5" s="2983"/>
      <c r="I5" s="2983"/>
      <c r="J5" s="2983"/>
    </row>
    <row r="6" spans="1:10">
      <c r="A6" s="2983"/>
      <c r="B6" s="2983"/>
      <c r="C6" s="2983"/>
      <c r="D6" s="2983"/>
      <c r="E6" s="2983"/>
      <c r="F6" s="2983"/>
      <c r="G6" s="2983"/>
      <c r="H6" s="2983"/>
      <c r="I6" s="2983"/>
      <c r="J6" s="2983"/>
    </row>
    <row r="7" spans="1:10" ht="29.4" thickBot="1">
      <c r="B7" s="3159" t="s">
        <v>1538</v>
      </c>
      <c r="C7" s="3160" t="s">
        <v>1539</v>
      </c>
      <c r="D7" s="3160" t="s">
        <v>1540</v>
      </c>
      <c r="E7" s="3160" t="s">
        <v>1541</v>
      </c>
      <c r="F7" s="3160" t="s">
        <v>1542</v>
      </c>
      <c r="G7" s="3161" t="s">
        <v>1543</v>
      </c>
    </row>
    <row r="8" spans="1:10" ht="15" thickBot="1">
      <c r="B8" s="3149" t="s">
        <v>1544</v>
      </c>
      <c r="C8" s="3151">
        <f>+'[6]2017'!C20</f>
        <v>36753</v>
      </c>
      <c r="D8" s="3152">
        <f>+'[6]2017'!D20</f>
        <v>16969</v>
      </c>
      <c r="E8" s="3153">
        <f>+'[6]2017'!E20</f>
        <v>38301</v>
      </c>
      <c r="F8" s="3151">
        <f>+'[6]2017'!F20</f>
        <v>38939</v>
      </c>
      <c r="G8" s="3154">
        <f>+SUM(C8:F8)</f>
        <v>130962</v>
      </c>
    </row>
    <row r="9" spans="1:10" ht="15.6" thickTop="1" thickBot="1">
      <c r="B9" s="3149" t="s">
        <v>1545</v>
      </c>
      <c r="C9" s="3155">
        <f>+'[6]2018'!C19</f>
        <v>41156</v>
      </c>
      <c r="D9" s="3152">
        <f>+'[6]2018'!E19</f>
        <v>31570</v>
      </c>
      <c r="E9" s="3152">
        <f>+'[6]2018'!E19</f>
        <v>31570</v>
      </c>
      <c r="F9" s="3156">
        <f>+'[6]2018'!F19</f>
        <v>30270</v>
      </c>
      <c r="G9" s="3154">
        <f t="shared" ref="G9:G12" si="0">SUM(C9:F9)</f>
        <v>134566</v>
      </c>
    </row>
    <row r="10" spans="1:10" ht="15.6" thickTop="1" thickBot="1">
      <c r="B10" s="3149" t="s">
        <v>1546</v>
      </c>
      <c r="C10" s="3157">
        <f>+'[6]2019'!C20</f>
        <v>44477</v>
      </c>
      <c r="D10" s="3152">
        <f>+'[6]2019'!D20</f>
        <v>12421</v>
      </c>
      <c r="E10" s="3157">
        <f>+'[6]2019'!E20</f>
        <v>27018</v>
      </c>
      <c r="F10" s="3156">
        <f>+'[6]2019'!F20</f>
        <v>24607</v>
      </c>
      <c r="G10" s="3158">
        <f t="shared" si="0"/>
        <v>108523</v>
      </c>
    </row>
    <row r="11" spans="1:10" ht="15.6" thickTop="1" thickBot="1">
      <c r="B11" s="3149" t="s">
        <v>1547</v>
      </c>
      <c r="C11" s="3155">
        <f>+'[6]2020'!C20</f>
        <v>7673</v>
      </c>
      <c r="D11" s="3152">
        <f>+'[6]2020'!D20</f>
        <v>2923</v>
      </c>
      <c r="E11" s="3152">
        <f>+'[6]2020'!E20</f>
        <v>5893</v>
      </c>
      <c r="F11" s="3156">
        <f>+'[6]2020'!F20</f>
        <v>5184</v>
      </c>
      <c r="G11" s="3158">
        <f t="shared" si="0"/>
        <v>21673</v>
      </c>
    </row>
    <row r="12" spans="1:10" ht="30" thickTop="1" thickBot="1">
      <c r="B12" s="4335" t="s">
        <v>1768</v>
      </c>
      <c r="C12" s="3155">
        <v>0</v>
      </c>
      <c r="D12" s="3152">
        <v>1797</v>
      </c>
      <c r="E12" s="3152">
        <v>4799</v>
      </c>
      <c r="F12" s="3156">
        <v>6391</v>
      </c>
      <c r="G12" s="3158">
        <f t="shared" si="0"/>
        <v>12987</v>
      </c>
    </row>
    <row r="13" spans="1:10" ht="15" thickTop="1"/>
    <row r="32" spans="2:2">
      <c r="B32" s="3150"/>
    </row>
    <row r="34" spans="2:2">
      <c r="B34" t="s">
        <v>1770</v>
      </c>
    </row>
  </sheetData>
  <mergeCells count="4">
    <mergeCell ref="B1:G1"/>
    <mergeCell ref="B2:G2"/>
    <mergeCell ref="B3:G3"/>
    <mergeCell ref="B4:G4"/>
  </mergeCells>
  <pageMargins left="0.7" right="0.7" top="0.75" bottom="0.75" header="0.3" footer="0.3"/>
  <pageSetup paperSize="9" orientation="portrait" verticalDpi="597"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A9868B-9096-4347-8E4C-F15300FB6DC1}">
  <dimension ref="A1:HM63"/>
  <sheetViews>
    <sheetView topLeftCell="GY33" zoomScale="85" zoomScaleNormal="85" workbookViewId="0">
      <selection activeCell="HE47" sqref="HE47"/>
    </sheetView>
  </sheetViews>
  <sheetFormatPr baseColWidth="10" defaultColWidth="11.44140625" defaultRowHeight="14.4"/>
  <cols>
    <col min="1" max="1" width="18.21875" customWidth="1"/>
    <col min="2" max="2" width="7.44140625" bestFit="1" customWidth="1"/>
    <col min="3" max="3" width="4.88671875" bestFit="1" customWidth="1"/>
    <col min="4" max="4" width="19.6640625" bestFit="1" customWidth="1"/>
    <col min="5" max="5" width="18.21875" customWidth="1"/>
    <col min="6" max="6" width="29.44140625" hidden="1" customWidth="1"/>
    <col min="7" max="7" width="29.33203125" hidden="1" customWidth="1"/>
    <col min="8" max="8" width="37" hidden="1" customWidth="1"/>
    <col min="9" max="9" width="40.88671875" hidden="1" customWidth="1"/>
    <col min="10" max="10" width="29.44140625" hidden="1" customWidth="1"/>
    <col min="11" max="11" width="29.33203125" hidden="1" customWidth="1"/>
    <col min="12" max="12" width="37" hidden="1" customWidth="1"/>
    <col min="13" max="13" width="40.88671875" hidden="1" customWidth="1"/>
    <col min="14" max="14" width="29.44140625" hidden="1" customWidth="1"/>
    <col min="15" max="15" width="29.33203125" hidden="1" customWidth="1"/>
    <col min="16" max="16" width="37" hidden="1" customWidth="1"/>
    <col min="17" max="17" width="40.88671875" hidden="1" customWidth="1"/>
    <col min="18" max="18" width="29.44140625" hidden="1" customWidth="1"/>
    <col min="19" max="19" width="29.33203125" hidden="1" customWidth="1"/>
    <col min="20" max="20" width="37" hidden="1" customWidth="1"/>
    <col min="21" max="21" width="40.88671875" hidden="1" customWidth="1"/>
    <col min="22" max="22" width="29.44140625" hidden="1" customWidth="1"/>
    <col min="23" max="23" width="29.33203125" hidden="1" customWidth="1"/>
    <col min="24" max="24" width="37" hidden="1" customWidth="1"/>
    <col min="25" max="25" width="40.88671875" hidden="1" customWidth="1"/>
    <col min="26" max="26" width="29.44140625" hidden="1" customWidth="1"/>
    <col min="27" max="27" width="29.33203125" hidden="1" customWidth="1"/>
    <col min="28" max="28" width="37" hidden="1" customWidth="1"/>
    <col min="29" max="29" width="40.88671875" hidden="1" customWidth="1"/>
    <col min="30" max="30" width="29.44140625" hidden="1" customWidth="1"/>
    <col min="31" max="31" width="29.33203125" hidden="1" customWidth="1"/>
    <col min="32" max="32" width="37" hidden="1" customWidth="1"/>
    <col min="33" max="33" width="40.88671875" hidden="1" customWidth="1"/>
    <col min="34" max="34" width="29.44140625" hidden="1" customWidth="1"/>
    <col min="35" max="35" width="29.33203125" hidden="1" customWidth="1"/>
    <col min="36" max="36" width="37" hidden="1" customWidth="1"/>
    <col min="37" max="37" width="40.88671875" hidden="1" customWidth="1"/>
    <col min="38" max="38" width="29.44140625" hidden="1" customWidth="1"/>
    <col min="39" max="39" width="29.33203125" hidden="1" customWidth="1"/>
    <col min="40" max="40" width="37" hidden="1" customWidth="1"/>
    <col min="41" max="41" width="40.88671875" hidden="1" customWidth="1"/>
    <col min="42" max="42" width="29.44140625" hidden="1" customWidth="1"/>
    <col min="43" max="43" width="29.33203125" hidden="1" customWidth="1"/>
    <col min="44" max="44" width="37" hidden="1" customWidth="1"/>
    <col min="45" max="45" width="40.88671875" hidden="1" customWidth="1"/>
    <col min="46" max="46" width="29.44140625" hidden="1" customWidth="1"/>
    <col min="47" max="47" width="29.33203125" hidden="1" customWidth="1"/>
    <col min="48" max="48" width="37" hidden="1" customWidth="1"/>
    <col min="49" max="49" width="40.88671875" hidden="1" customWidth="1"/>
    <col min="50" max="50" width="29.44140625" hidden="1" customWidth="1"/>
    <col min="51" max="51" width="29.33203125" hidden="1" customWidth="1"/>
    <col min="52" max="52" width="37" hidden="1" customWidth="1"/>
    <col min="53" max="53" width="40.88671875" hidden="1" customWidth="1"/>
    <col min="54" max="54" width="29.44140625" hidden="1" customWidth="1"/>
    <col min="55" max="55" width="29.33203125" hidden="1" customWidth="1"/>
    <col min="56" max="56" width="37" hidden="1" customWidth="1"/>
    <col min="57" max="57" width="40.88671875" hidden="1" customWidth="1"/>
    <col min="58" max="58" width="29.44140625" hidden="1" customWidth="1"/>
    <col min="59" max="59" width="29.33203125" hidden="1" customWidth="1"/>
    <col min="60" max="60" width="37" hidden="1" customWidth="1"/>
    <col min="61" max="61" width="40.88671875" hidden="1" customWidth="1"/>
    <col min="62" max="62" width="29.44140625" hidden="1" customWidth="1"/>
    <col min="63" max="63" width="29.33203125" hidden="1" customWidth="1"/>
    <col min="64" max="64" width="37" hidden="1" customWidth="1"/>
    <col min="65" max="65" width="40.88671875" hidden="1" customWidth="1"/>
    <col min="66" max="66" width="29.44140625" hidden="1" customWidth="1"/>
    <col min="67" max="67" width="29.33203125" hidden="1" customWidth="1"/>
    <col min="68" max="68" width="37" hidden="1" customWidth="1"/>
    <col min="69" max="69" width="40.88671875" hidden="1" customWidth="1"/>
    <col min="70" max="70" width="29.44140625" hidden="1" customWidth="1"/>
    <col min="71" max="71" width="29.33203125" hidden="1" customWidth="1"/>
    <col min="72" max="72" width="37" hidden="1" customWidth="1"/>
    <col min="73" max="73" width="40.88671875" hidden="1" customWidth="1"/>
    <col min="74" max="74" width="29.44140625" hidden="1" customWidth="1"/>
    <col min="75" max="75" width="29.33203125" hidden="1" customWidth="1"/>
    <col min="76" max="76" width="37" hidden="1" customWidth="1"/>
    <col min="77" max="77" width="40.88671875" hidden="1" customWidth="1"/>
    <col min="78" max="78" width="29.44140625" hidden="1" customWidth="1"/>
    <col min="79" max="79" width="29.33203125" hidden="1" customWidth="1"/>
    <col min="80" max="80" width="37" hidden="1" customWidth="1"/>
    <col min="81" max="81" width="40.88671875" hidden="1" customWidth="1"/>
    <col min="82" max="82" width="29.44140625" hidden="1" customWidth="1"/>
    <col min="83" max="83" width="29.33203125" hidden="1" customWidth="1"/>
    <col min="84" max="84" width="37" hidden="1" customWidth="1"/>
    <col min="85" max="85" width="40.88671875" hidden="1" customWidth="1"/>
    <col min="86" max="86" width="29.44140625" hidden="1" customWidth="1"/>
    <col min="87" max="87" width="29.33203125" hidden="1" customWidth="1"/>
    <col min="88" max="88" width="37" hidden="1" customWidth="1"/>
    <col min="89" max="89" width="40.88671875" hidden="1" customWidth="1"/>
    <col min="90" max="90" width="29.44140625" hidden="1" customWidth="1"/>
    <col min="91" max="91" width="29.33203125" hidden="1" customWidth="1"/>
    <col min="92" max="92" width="37" hidden="1" customWidth="1"/>
    <col min="93" max="93" width="40.88671875" hidden="1" customWidth="1"/>
    <col min="94" max="94" width="29.44140625" hidden="1" customWidth="1"/>
    <col min="95" max="95" width="29.33203125" hidden="1" customWidth="1"/>
    <col min="96" max="96" width="37" hidden="1" customWidth="1"/>
    <col min="97" max="97" width="40.88671875" hidden="1" customWidth="1"/>
    <col min="98" max="98" width="29.44140625" hidden="1" customWidth="1"/>
    <col min="99" max="99" width="29.33203125" hidden="1" customWidth="1"/>
    <col min="100" max="100" width="37" hidden="1" customWidth="1"/>
    <col min="101" max="101" width="40.88671875" hidden="1" customWidth="1"/>
    <col min="102" max="102" width="29.44140625" hidden="1" customWidth="1"/>
    <col min="103" max="103" width="29.33203125" hidden="1" customWidth="1"/>
    <col min="104" max="104" width="37" hidden="1" customWidth="1"/>
    <col min="105" max="105" width="40.88671875" hidden="1" customWidth="1"/>
    <col min="106" max="106" width="29.44140625" hidden="1" customWidth="1"/>
    <col min="107" max="107" width="29.33203125" hidden="1" customWidth="1"/>
    <col min="108" max="108" width="37" hidden="1" customWidth="1"/>
    <col min="109" max="109" width="40.88671875" hidden="1" customWidth="1"/>
    <col min="110" max="110" width="29.44140625" hidden="1" customWidth="1"/>
    <col min="111" max="111" width="29.33203125" hidden="1" customWidth="1"/>
    <col min="112" max="112" width="37" hidden="1" customWidth="1"/>
    <col min="113" max="113" width="40.88671875" hidden="1" customWidth="1"/>
    <col min="114" max="114" width="29.44140625" hidden="1" customWidth="1"/>
    <col min="115" max="115" width="29.33203125" hidden="1" customWidth="1"/>
    <col min="116" max="116" width="37" hidden="1" customWidth="1"/>
    <col min="117" max="122" width="40.88671875" hidden="1" customWidth="1"/>
    <col min="123" max="123" width="19.5546875" hidden="1" customWidth="1"/>
    <col min="124" max="124" width="18.77734375" hidden="1" customWidth="1"/>
    <col min="125" max="125" width="16.77734375" hidden="1" customWidth="1"/>
    <col min="126" max="126" width="18.77734375" hidden="1" customWidth="1"/>
    <col min="127" max="127" width="16.44140625" hidden="1" customWidth="1"/>
    <col min="128" max="128" width="18.77734375" hidden="1" customWidth="1"/>
    <col min="129" max="129" width="16.44140625" hidden="1" customWidth="1"/>
    <col min="130" max="130" width="18.77734375" hidden="1" customWidth="1"/>
    <col min="131" max="131" width="16.77734375" hidden="1" customWidth="1"/>
    <col min="132" max="132" width="18.77734375" hidden="1" customWidth="1"/>
    <col min="133" max="133" width="16.44140625" hidden="1" customWidth="1"/>
    <col min="134" max="134" width="18.77734375" hidden="1" customWidth="1"/>
    <col min="135" max="135" width="14.6640625" hidden="1" customWidth="1"/>
    <col min="136" max="136" width="18.77734375" hidden="1" customWidth="1"/>
    <col min="137" max="137" width="15.109375" hidden="1" customWidth="1"/>
    <col min="138" max="138" width="18.77734375" hidden="1" customWidth="1"/>
    <col min="139" max="139" width="14.6640625" hidden="1" customWidth="1"/>
    <col min="140" max="140" width="18.77734375" hidden="1" customWidth="1"/>
    <col min="141" max="141" width="15.109375" hidden="1" customWidth="1"/>
    <col min="142" max="142" width="18.77734375" hidden="1" customWidth="1"/>
    <col min="143" max="143" width="15.109375" hidden="1" customWidth="1"/>
    <col min="144" max="144" width="18.77734375" hidden="1" customWidth="1"/>
    <col min="145" max="145" width="15.109375" hidden="1" customWidth="1"/>
    <col min="146" max="146" width="18.77734375" hidden="1" customWidth="1"/>
    <col min="147" max="147" width="15.109375" hidden="1" customWidth="1"/>
    <col min="148" max="148" width="18.77734375" hidden="1" customWidth="1"/>
    <col min="149" max="149" width="14.6640625" hidden="1" customWidth="1"/>
    <col min="150" max="150" width="18.77734375" hidden="1" customWidth="1"/>
    <col min="151" max="151" width="13.44140625" hidden="1" customWidth="1"/>
    <col min="152" max="152" width="18.77734375" hidden="1" customWidth="1"/>
    <col min="153" max="153" width="13.6640625" hidden="1" customWidth="1"/>
    <col min="154" max="154" width="18.77734375" hidden="1" customWidth="1"/>
    <col min="155" max="155" width="13.44140625" hidden="1" customWidth="1"/>
    <col min="156" max="156" width="18.77734375" hidden="1" customWidth="1"/>
    <col min="157" max="157" width="15.109375" hidden="1" customWidth="1"/>
    <col min="158" max="158" width="18.77734375" hidden="1" customWidth="1"/>
    <col min="159" max="159" width="14.44140625" hidden="1" customWidth="1"/>
    <col min="160" max="160" width="18.77734375" hidden="1" customWidth="1"/>
    <col min="161" max="161" width="15.109375" hidden="1" customWidth="1"/>
    <col min="162" max="162" width="18.77734375" hidden="1" customWidth="1"/>
    <col min="163" max="163" width="14.6640625" hidden="1" customWidth="1"/>
    <col min="164" max="164" width="18.77734375" hidden="1" customWidth="1"/>
    <col min="165" max="165" width="15.109375" hidden="1" customWidth="1"/>
    <col min="166" max="166" width="18.77734375" hidden="1" customWidth="1"/>
    <col min="167" max="167" width="14.6640625" hidden="1" customWidth="1"/>
    <col min="168" max="168" width="18.77734375" hidden="1" customWidth="1"/>
    <col min="169" max="169" width="15.109375" hidden="1" customWidth="1"/>
    <col min="170" max="170" width="18.77734375" hidden="1" customWidth="1"/>
    <col min="171" max="171" width="15.109375" hidden="1" customWidth="1"/>
    <col min="172" max="172" width="18.77734375" hidden="1" customWidth="1"/>
    <col min="173" max="173" width="14" hidden="1" customWidth="1"/>
    <col min="174" max="174" width="18.77734375" hidden="1" customWidth="1"/>
    <col min="175" max="175" width="15.109375" hidden="1" customWidth="1"/>
    <col min="176" max="176" width="18.77734375" hidden="1" customWidth="1"/>
    <col min="177" max="177" width="14.6640625" hidden="1" customWidth="1"/>
    <col min="178" max="178" width="18.77734375" hidden="1" customWidth="1"/>
    <col min="179" max="180" width="18.6640625" hidden="1" customWidth="1"/>
    <col min="181" max="209" width="19.44140625" bestFit="1" customWidth="1"/>
    <col min="210" max="216" width="19.44140625" customWidth="1"/>
    <col min="217" max="217" width="21.77734375" bestFit="1" customWidth="1"/>
    <col min="218" max="218" width="26.109375" bestFit="1" customWidth="1"/>
    <col min="219" max="219" width="25.77734375" bestFit="1" customWidth="1"/>
    <col min="220" max="220" width="25.77734375" customWidth="1"/>
    <col min="221" max="221" width="17.44140625" bestFit="1" customWidth="1"/>
    <col min="222" max="222" width="16.33203125" bestFit="1" customWidth="1"/>
    <col min="223" max="223" width="15.88671875" bestFit="1" customWidth="1"/>
    <col min="224" max="225" width="16.33203125" bestFit="1" customWidth="1"/>
    <col min="226" max="226" width="15.88671875" bestFit="1" customWidth="1"/>
    <col min="227" max="227" width="16.6640625" bestFit="1" customWidth="1"/>
    <col min="228" max="228" width="16.33203125" bestFit="1" customWidth="1"/>
    <col min="229" max="229" width="16.6640625" bestFit="1" customWidth="1"/>
    <col min="230" max="230" width="15.88671875" bestFit="1" customWidth="1"/>
    <col min="231" max="233" width="16.6640625" bestFit="1" customWidth="1"/>
    <col min="234" max="234" width="17.109375" bestFit="1" customWidth="1"/>
    <col min="235" max="235" width="16.33203125" bestFit="1" customWidth="1"/>
  </cols>
  <sheetData>
    <row r="1" spans="1:221">
      <c r="A1" s="1042"/>
      <c r="B1" s="4051"/>
      <c r="C1" s="4051"/>
      <c r="D1" s="5519"/>
      <c r="E1" s="4051"/>
      <c r="F1" s="5504" t="s">
        <v>1632</v>
      </c>
      <c r="G1" s="5504" t="s">
        <v>1632</v>
      </c>
      <c r="H1" s="5504" t="s">
        <v>1632</v>
      </c>
      <c r="I1" s="5504" t="s">
        <v>1632</v>
      </c>
      <c r="J1" s="5504" t="s">
        <v>1632</v>
      </c>
      <c r="K1" s="5504" t="s">
        <v>1632</v>
      </c>
      <c r="L1" s="5504" t="s">
        <v>1632</v>
      </c>
      <c r="M1" s="5504" t="s">
        <v>1632</v>
      </c>
      <c r="N1" s="5504" t="s">
        <v>1632</v>
      </c>
      <c r="O1" s="5504" t="s">
        <v>1632</v>
      </c>
      <c r="P1" s="5504" t="s">
        <v>1632</v>
      </c>
      <c r="Q1" s="5504" t="s">
        <v>1632</v>
      </c>
      <c r="R1" s="5504" t="s">
        <v>1632</v>
      </c>
      <c r="S1" s="5504" t="s">
        <v>1632</v>
      </c>
      <c r="T1" s="5504" t="s">
        <v>1632</v>
      </c>
      <c r="U1" s="5504" t="s">
        <v>1632</v>
      </c>
      <c r="V1" s="5504" t="s">
        <v>1632</v>
      </c>
      <c r="W1" s="5504" t="s">
        <v>1632</v>
      </c>
      <c r="X1" s="5504" t="s">
        <v>1632</v>
      </c>
      <c r="Y1" s="5504" t="s">
        <v>1632</v>
      </c>
      <c r="Z1" s="5504" t="s">
        <v>1632</v>
      </c>
      <c r="AA1" s="5504" t="s">
        <v>1632</v>
      </c>
      <c r="AB1" s="5504" t="s">
        <v>1632</v>
      </c>
      <c r="AC1" s="5504" t="s">
        <v>1632</v>
      </c>
      <c r="AD1" s="5504" t="s">
        <v>1632</v>
      </c>
      <c r="AE1" s="5504" t="s">
        <v>1632</v>
      </c>
      <c r="AF1" s="5504" t="s">
        <v>1632</v>
      </c>
      <c r="AG1" s="5504" t="s">
        <v>1632</v>
      </c>
      <c r="AH1" s="5504" t="s">
        <v>1632</v>
      </c>
      <c r="AI1" s="5504" t="s">
        <v>1632</v>
      </c>
      <c r="AJ1" s="5504" t="s">
        <v>1632</v>
      </c>
      <c r="AK1" s="5504" t="s">
        <v>1632</v>
      </c>
      <c r="AL1" s="5504" t="s">
        <v>1632</v>
      </c>
      <c r="AM1" s="5504" t="s">
        <v>1632</v>
      </c>
      <c r="AN1" s="5504" t="s">
        <v>1632</v>
      </c>
      <c r="AO1" s="5504" t="s">
        <v>1632</v>
      </c>
      <c r="AP1" s="5504" t="s">
        <v>1632</v>
      </c>
      <c r="AQ1" s="5504" t="s">
        <v>1632</v>
      </c>
      <c r="AR1" s="5504" t="s">
        <v>1632</v>
      </c>
      <c r="AS1" s="5504" t="s">
        <v>1632</v>
      </c>
      <c r="AT1" s="5504" t="s">
        <v>1632</v>
      </c>
      <c r="AU1" s="5504" t="s">
        <v>1632</v>
      </c>
      <c r="AV1" s="5504" t="s">
        <v>1632</v>
      </c>
      <c r="AW1" s="5504" t="s">
        <v>1632</v>
      </c>
      <c r="AX1" s="5504" t="s">
        <v>1632</v>
      </c>
      <c r="AY1" s="5504" t="s">
        <v>1632</v>
      </c>
      <c r="AZ1" s="5504" t="s">
        <v>1632</v>
      </c>
      <c r="BA1" s="5504" t="s">
        <v>1632</v>
      </c>
      <c r="BB1" s="5504" t="s">
        <v>1633</v>
      </c>
      <c r="BC1" s="5504" t="s">
        <v>1633</v>
      </c>
      <c r="BD1" s="5504" t="s">
        <v>1633</v>
      </c>
      <c r="BE1" s="5504" t="s">
        <v>1633</v>
      </c>
      <c r="BF1" s="5504" t="s">
        <v>1633</v>
      </c>
      <c r="BG1" s="5504" t="s">
        <v>1633</v>
      </c>
      <c r="BH1" s="5504" t="s">
        <v>1633</v>
      </c>
      <c r="BI1" s="5504" t="s">
        <v>1633</v>
      </c>
      <c r="BJ1" s="5504" t="s">
        <v>1633</v>
      </c>
      <c r="BK1" s="5504" t="s">
        <v>1633</v>
      </c>
      <c r="BL1" s="5504" t="s">
        <v>1633</v>
      </c>
      <c r="BM1" s="5504" t="s">
        <v>1633</v>
      </c>
      <c r="BN1" s="5504" t="s">
        <v>1633</v>
      </c>
      <c r="BO1" s="5504" t="s">
        <v>1633</v>
      </c>
      <c r="BP1" s="5504" t="s">
        <v>1633</v>
      </c>
      <c r="BQ1" s="5504" t="s">
        <v>1633</v>
      </c>
      <c r="BR1" s="5504" t="s">
        <v>1633</v>
      </c>
      <c r="BS1" s="5504" t="s">
        <v>1633</v>
      </c>
      <c r="BT1" s="5504" t="s">
        <v>1633</v>
      </c>
      <c r="BU1" s="5504" t="s">
        <v>1633</v>
      </c>
      <c r="BV1" s="5504" t="s">
        <v>1633</v>
      </c>
      <c r="BW1" s="5504" t="s">
        <v>1633</v>
      </c>
      <c r="BX1" s="5504" t="s">
        <v>1633</v>
      </c>
      <c r="BY1" s="5504" t="s">
        <v>1633</v>
      </c>
      <c r="BZ1" s="5504" t="s">
        <v>1633</v>
      </c>
      <c r="CA1" s="5504" t="s">
        <v>1633</v>
      </c>
      <c r="CB1" s="5504" t="s">
        <v>1633</v>
      </c>
      <c r="CC1" s="5504" t="s">
        <v>1633</v>
      </c>
      <c r="CD1" s="5504" t="s">
        <v>1633</v>
      </c>
      <c r="CE1" s="5504" t="s">
        <v>1633</v>
      </c>
      <c r="CF1" s="5504" t="s">
        <v>1633</v>
      </c>
      <c r="CG1" s="5504" t="s">
        <v>1633</v>
      </c>
      <c r="CH1" s="5504" t="s">
        <v>1633</v>
      </c>
      <c r="CI1" s="5504" t="s">
        <v>1633</v>
      </c>
      <c r="CJ1" s="5504" t="s">
        <v>1633</v>
      </c>
      <c r="CK1" s="5504" t="s">
        <v>1633</v>
      </c>
      <c r="CL1" s="5504" t="s">
        <v>1633</v>
      </c>
      <c r="CM1" s="5504" t="s">
        <v>1633</v>
      </c>
      <c r="CN1" s="5504" t="s">
        <v>1633</v>
      </c>
      <c r="CO1" s="5504" t="s">
        <v>1633</v>
      </c>
      <c r="CP1" s="5504" t="s">
        <v>1633</v>
      </c>
      <c r="CQ1" s="5504" t="s">
        <v>1633</v>
      </c>
      <c r="CR1" s="5504" t="s">
        <v>1633</v>
      </c>
      <c r="CS1" s="5504" t="s">
        <v>1633</v>
      </c>
      <c r="CT1" s="5504" t="s">
        <v>1633</v>
      </c>
      <c r="CU1" s="5504" t="s">
        <v>1633</v>
      </c>
      <c r="CV1" s="5504" t="s">
        <v>1633</v>
      </c>
      <c r="CW1" s="5504" t="s">
        <v>1633</v>
      </c>
      <c r="CX1" s="5504" t="s">
        <v>1634</v>
      </c>
      <c r="CY1" s="5504" t="s">
        <v>1634</v>
      </c>
      <c r="CZ1" s="5504" t="s">
        <v>1634</v>
      </c>
      <c r="DA1" s="5504" t="s">
        <v>1634</v>
      </c>
      <c r="DB1" s="5504" t="s">
        <v>1634</v>
      </c>
      <c r="DC1" s="5504" t="s">
        <v>1634</v>
      </c>
      <c r="DD1" s="5504" t="s">
        <v>1634</v>
      </c>
      <c r="DE1" s="5504" t="s">
        <v>1634</v>
      </c>
      <c r="DF1" s="5504" t="s">
        <v>1634</v>
      </c>
      <c r="DG1" s="5504" t="s">
        <v>1634</v>
      </c>
      <c r="DH1" s="5504" t="s">
        <v>1634</v>
      </c>
      <c r="DI1" s="5504" t="s">
        <v>1634</v>
      </c>
      <c r="DJ1" s="5504" t="s">
        <v>1634</v>
      </c>
      <c r="DK1" s="5504" t="s">
        <v>1634</v>
      </c>
      <c r="DL1" s="5504" t="s">
        <v>1634</v>
      </c>
      <c r="DM1" s="5504" t="s">
        <v>1634</v>
      </c>
      <c r="DN1" s="4051"/>
      <c r="DO1" s="4051"/>
      <c r="DP1" s="4051"/>
      <c r="DQ1" s="4051"/>
      <c r="DR1" s="4051"/>
      <c r="DS1" s="5503">
        <v>2019</v>
      </c>
      <c r="DT1" s="5503"/>
      <c r="DU1" s="5503"/>
      <c r="DV1" s="5503"/>
      <c r="DW1" s="5503"/>
      <c r="DX1" s="5503"/>
      <c r="DY1" s="5503"/>
      <c r="DZ1" s="5503"/>
      <c r="EA1" s="5503"/>
      <c r="EB1" s="5503"/>
      <c r="EC1" s="5503"/>
      <c r="ED1" s="5503"/>
      <c r="EE1" s="5503"/>
      <c r="EF1" s="5503"/>
      <c r="EG1" s="5503"/>
      <c r="EH1" s="5503"/>
      <c r="EI1" s="5503"/>
      <c r="EJ1" s="5503"/>
      <c r="EK1" s="5503"/>
      <c r="EL1" s="5503"/>
      <c r="EM1" s="5503"/>
      <c r="EN1" s="5503"/>
      <c r="EO1" s="5503"/>
      <c r="EP1" s="5503"/>
      <c r="EQ1" s="5506">
        <v>2020</v>
      </c>
      <c r="ER1" s="5506"/>
      <c r="ES1" s="5506"/>
      <c r="ET1" s="5506"/>
      <c r="EU1" s="5506"/>
      <c r="EV1" s="5506"/>
      <c r="EW1" s="5506"/>
      <c r="EX1" s="5506"/>
      <c r="EY1" s="5506"/>
      <c r="EZ1" s="5506"/>
      <c r="FA1" s="5506"/>
      <c r="FB1" s="5506"/>
      <c r="FC1" s="5506"/>
      <c r="FD1" s="5506"/>
      <c r="FE1" s="5506"/>
      <c r="FF1" s="5506"/>
      <c r="FG1" s="5506"/>
      <c r="FH1" s="5506"/>
      <c r="FI1" s="5506"/>
      <c r="FJ1" s="5506"/>
      <c r="FK1" s="5506"/>
      <c r="FL1" s="5506"/>
      <c r="FM1" s="5506"/>
      <c r="FN1" s="5506"/>
      <c r="FO1" s="5510">
        <v>2021</v>
      </c>
      <c r="FP1" s="5511"/>
      <c r="FQ1" s="5511"/>
      <c r="FR1" s="5511"/>
      <c r="FS1" s="5511"/>
      <c r="FT1" s="5511"/>
      <c r="FU1" s="5511"/>
      <c r="FV1" s="5511"/>
      <c r="FW1" s="5511"/>
      <c r="FX1" s="5511"/>
      <c r="FY1" s="5512" t="s">
        <v>1635</v>
      </c>
      <c r="FZ1" s="5513"/>
      <c r="GA1" s="5513"/>
      <c r="GB1" s="5513"/>
      <c r="GC1" s="5513"/>
      <c r="GD1" s="5513"/>
      <c r="GE1" s="5513"/>
      <c r="GF1" s="5513"/>
      <c r="GG1" s="5513"/>
      <c r="GH1" s="5513"/>
      <c r="GI1" s="5513"/>
      <c r="GJ1" s="5514"/>
      <c r="GK1" s="5512" t="s">
        <v>1636</v>
      </c>
      <c r="GL1" s="5513"/>
      <c r="GM1" s="5513"/>
      <c r="GN1" s="5513"/>
      <c r="GO1" s="5513"/>
      <c r="GP1" s="5513"/>
      <c r="GQ1" s="5513"/>
      <c r="GR1" s="5513"/>
      <c r="GS1" s="5513"/>
      <c r="GT1" s="5513"/>
      <c r="GU1" s="5513"/>
      <c r="GV1" s="5514"/>
      <c r="GW1" s="5515" t="s">
        <v>1637</v>
      </c>
      <c r="GX1" s="5516"/>
      <c r="GY1" s="5516"/>
      <c r="GZ1" s="5516"/>
      <c r="HA1" s="5517"/>
      <c r="HB1" s="4052" t="s">
        <v>1638</v>
      </c>
      <c r="HC1" s="4053"/>
      <c r="HD1" s="4053"/>
      <c r="HE1" s="4053"/>
      <c r="HF1" s="4053"/>
      <c r="HG1" s="4053"/>
      <c r="HH1" s="4054"/>
      <c r="HI1" s="5518">
        <v>2019</v>
      </c>
      <c r="HJ1" s="5508">
        <v>2020</v>
      </c>
      <c r="HK1" s="5508">
        <v>2021</v>
      </c>
      <c r="HL1" s="5509">
        <v>2021</v>
      </c>
      <c r="HM1" s="1042"/>
    </row>
    <row r="2" spans="1:221">
      <c r="A2" s="1042"/>
      <c r="B2" s="4051"/>
      <c r="C2" s="4051"/>
      <c r="D2" s="5519"/>
      <c r="E2" s="4051"/>
      <c r="F2" s="5504" t="s">
        <v>1639</v>
      </c>
      <c r="G2" s="5504" t="s">
        <v>1639</v>
      </c>
      <c r="H2" s="5504" t="s">
        <v>1639</v>
      </c>
      <c r="I2" s="5504" t="s">
        <v>1639</v>
      </c>
      <c r="J2" s="5504" t="s">
        <v>1640</v>
      </c>
      <c r="K2" s="5504" t="s">
        <v>1640</v>
      </c>
      <c r="L2" s="5504" t="s">
        <v>1640</v>
      </c>
      <c r="M2" s="5504" t="s">
        <v>1640</v>
      </c>
      <c r="N2" s="5504" t="s">
        <v>1641</v>
      </c>
      <c r="O2" s="5504" t="s">
        <v>1641</v>
      </c>
      <c r="P2" s="5504" t="s">
        <v>1641</v>
      </c>
      <c r="Q2" s="5504" t="s">
        <v>1641</v>
      </c>
      <c r="R2" s="5504" t="s">
        <v>1642</v>
      </c>
      <c r="S2" s="5504" t="s">
        <v>1642</v>
      </c>
      <c r="T2" s="5504" t="s">
        <v>1642</v>
      </c>
      <c r="U2" s="5504" t="s">
        <v>1642</v>
      </c>
      <c r="V2" s="5504" t="s">
        <v>1643</v>
      </c>
      <c r="W2" s="5504" t="s">
        <v>1643</v>
      </c>
      <c r="X2" s="5504" t="s">
        <v>1643</v>
      </c>
      <c r="Y2" s="5504" t="s">
        <v>1643</v>
      </c>
      <c r="Z2" s="5504" t="s">
        <v>1644</v>
      </c>
      <c r="AA2" s="5504" t="s">
        <v>1644</v>
      </c>
      <c r="AB2" s="5504" t="s">
        <v>1644</v>
      </c>
      <c r="AC2" s="5504" t="s">
        <v>1644</v>
      </c>
      <c r="AD2" s="5504" t="s">
        <v>1645</v>
      </c>
      <c r="AE2" s="5504" t="s">
        <v>1645</v>
      </c>
      <c r="AF2" s="5504" t="s">
        <v>1645</v>
      </c>
      <c r="AG2" s="5504" t="s">
        <v>1645</v>
      </c>
      <c r="AH2" s="5504" t="s">
        <v>1646</v>
      </c>
      <c r="AI2" s="5504" t="s">
        <v>1646</v>
      </c>
      <c r="AJ2" s="5504" t="s">
        <v>1646</v>
      </c>
      <c r="AK2" s="5504" t="s">
        <v>1646</v>
      </c>
      <c r="AL2" s="5504" t="s">
        <v>1647</v>
      </c>
      <c r="AM2" s="5504" t="s">
        <v>1647</v>
      </c>
      <c r="AN2" s="5504" t="s">
        <v>1647</v>
      </c>
      <c r="AO2" s="5504" t="s">
        <v>1647</v>
      </c>
      <c r="AP2" s="5504" t="s">
        <v>1648</v>
      </c>
      <c r="AQ2" s="5504" t="s">
        <v>1648</v>
      </c>
      <c r="AR2" s="5504" t="s">
        <v>1648</v>
      </c>
      <c r="AS2" s="5504" t="s">
        <v>1648</v>
      </c>
      <c r="AT2" s="5504" t="s">
        <v>1649</v>
      </c>
      <c r="AU2" s="5504" t="s">
        <v>1649</v>
      </c>
      <c r="AV2" s="5504" t="s">
        <v>1649</v>
      </c>
      <c r="AW2" s="5504" t="s">
        <v>1649</v>
      </c>
      <c r="AX2" s="5504" t="s">
        <v>1650</v>
      </c>
      <c r="AY2" s="5504" t="s">
        <v>1650</v>
      </c>
      <c r="AZ2" s="5504" t="s">
        <v>1650</v>
      </c>
      <c r="BA2" s="5504" t="s">
        <v>1650</v>
      </c>
      <c r="BB2" s="5504" t="s">
        <v>1639</v>
      </c>
      <c r="BC2" s="5504" t="s">
        <v>1639</v>
      </c>
      <c r="BD2" s="5504" t="s">
        <v>1639</v>
      </c>
      <c r="BE2" s="5504" t="s">
        <v>1639</v>
      </c>
      <c r="BF2" s="5504" t="s">
        <v>1640</v>
      </c>
      <c r="BG2" s="5504" t="s">
        <v>1640</v>
      </c>
      <c r="BH2" s="5504" t="s">
        <v>1640</v>
      </c>
      <c r="BI2" s="5504" t="s">
        <v>1640</v>
      </c>
      <c r="BJ2" s="5504" t="s">
        <v>1641</v>
      </c>
      <c r="BK2" s="5504" t="s">
        <v>1641</v>
      </c>
      <c r="BL2" s="5504" t="s">
        <v>1641</v>
      </c>
      <c r="BM2" s="5504" t="s">
        <v>1641</v>
      </c>
      <c r="BN2" s="5504" t="s">
        <v>1642</v>
      </c>
      <c r="BO2" s="5504" t="s">
        <v>1642</v>
      </c>
      <c r="BP2" s="5504" t="s">
        <v>1642</v>
      </c>
      <c r="BQ2" s="5504" t="s">
        <v>1642</v>
      </c>
      <c r="BR2" s="5504" t="s">
        <v>1643</v>
      </c>
      <c r="BS2" s="5504" t="s">
        <v>1643</v>
      </c>
      <c r="BT2" s="5504" t="s">
        <v>1643</v>
      </c>
      <c r="BU2" s="5504" t="s">
        <v>1643</v>
      </c>
      <c r="BV2" s="5504" t="s">
        <v>1644</v>
      </c>
      <c r="BW2" s="5504" t="s">
        <v>1644</v>
      </c>
      <c r="BX2" s="5504" t="s">
        <v>1644</v>
      </c>
      <c r="BY2" s="5504" t="s">
        <v>1644</v>
      </c>
      <c r="BZ2" s="5504" t="s">
        <v>1645</v>
      </c>
      <c r="CA2" s="5504" t="s">
        <v>1645</v>
      </c>
      <c r="CB2" s="5504" t="s">
        <v>1645</v>
      </c>
      <c r="CC2" s="5504" t="s">
        <v>1645</v>
      </c>
      <c r="CD2" s="5504" t="s">
        <v>1646</v>
      </c>
      <c r="CE2" s="5504" t="s">
        <v>1646</v>
      </c>
      <c r="CF2" s="5504" t="s">
        <v>1646</v>
      </c>
      <c r="CG2" s="5504" t="s">
        <v>1646</v>
      </c>
      <c r="CH2" s="5504" t="s">
        <v>1647</v>
      </c>
      <c r="CI2" s="5504" t="s">
        <v>1647</v>
      </c>
      <c r="CJ2" s="5504" t="s">
        <v>1647</v>
      </c>
      <c r="CK2" s="5504" t="s">
        <v>1647</v>
      </c>
      <c r="CL2" s="5504" t="s">
        <v>1648</v>
      </c>
      <c r="CM2" s="5504" t="s">
        <v>1648</v>
      </c>
      <c r="CN2" s="5504" t="s">
        <v>1648</v>
      </c>
      <c r="CO2" s="5504" t="s">
        <v>1648</v>
      </c>
      <c r="CP2" s="5504" t="s">
        <v>1649</v>
      </c>
      <c r="CQ2" s="5504" t="s">
        <v>1649</v>
      </c>
      <c r="CR2" s="5504" t="s">
        <v>1649</v>
      </c>
      <c r="CS2" s="5504" t="s">
        <v>1649</v>
      </c>
      <c r="CT2" s="5504" t="s">
        <v>1650</v>
      </c>
      <c r="CU2" s="5504" t="s">
        <v>1650</v>
      </c>
      <c r="CV2" s="5504" t="s">
        <v>1650</v>
      </c>
      <c r="CW2" s="5504" t="s">
        <v>1650</v>
      </c>
      <c r="CX2" s="5504" t="s">
        <v>1639</v>
      </c>
      <c r="CY2" s="5504" t="s">
        <v>1639</v>
      </c>
      <c r="CZ2" s="5504" t="s">
        <v>1639</v>
      </c>
      <c r="DA2" s="5504" t="s">
        <v>1639</v>
      </c>
      <c r="DB2" s="5504" t="s">
        <v>1640</v>
      </c>
      <c r="DC2" s="5504" t="s">
        <v>1640</v>
      </c>
      <c r="DD2" s="5504" t="s">
        <v>1640</v>
      </c>
      <c r="DE2" s="5504" t="s">
        <v>1640</v>
      </c>
      <c r="DF2" s="5504" t="s">
        <v>1641</v>
      </c>
      <c r="DG2" s="5504" t="s">
        <v>1641</v>
      </c>
      <c r="DH2" s="5504" t="s">
        <v>1641</v>
      </c>
      <c r="DI2" s="5504" t="s">
        <v>1641</v>
      </c>
      <c r="DJ2" s="5504" t="s">
        <v>1642</v>
      </c>
      <c r="DK2" s="5504" t="s">
        <v>1642</v>
      </c>
      <c r="DL2" s="5504" t="s">
        <v>1642</v>
      </c>
      <c r="DM2" s="5504" t="s">
        <v>1642</v>
      </c>
      <c r="DN2" s="5504">
        <v>5</v>
      </c>
      <c r="DO2" s="5504" t="s">
        <v>1642</v>
      </c>
      <c r="DP2" s="5504" t="s">
        <v>1642</v>
      </c>
      <c r="DQ2" s="5504" t="s">
        <v>1642</v>
      </c>
      <c r="DR2" s="4051"/>
      <c r="DS2" s="5502">
        <v>43466</v>
      </c>
      <c r="DT2" s="5503"/>
      <c r="DU2" s="5502">
        <v>43497</v>
      </c>
      <c r="DV2" s="5503"/>
      <c r="DW2" s="5502">
        <v>43525</v>
      </c>
      <c r="DX2" s="5503"/>
      <c r="DY2" s="5502">
        <v>43556</v>
      </c>
      <c r="DZ2" s="5503"/>
      <c r="EA2" s="5502">
        <v>43586</v>
      </c>
      <c r="EB2" s="5503"/>
      <c r="EC2" s="5502">
        <v>43617</v>
      </c>
      <c r="ED2" s="5503"/>
      <c r="EE2" s="5502">
        <v>43647</v>
      </c>
      <c r="EF2" s="5503"/>
      <c r="EG2" s="5502">
        <v>43678</v>
      </c>
      <c r="EH2" s="5503"/>
      <c r="EI2" s="5502">
        <v>43709</v>
      </c>
      <c r="EJ2" s="5503"/>
      <c r="EK2" s="5502">
        <v>43739</v>
      </c>
      <c r="EL2" s="5503"/>
      <c r="EM2" s="5502">
        <v>43770</v>
      </c>
      <c r="EN2" s="5503"/>
      <c r="EO2" s="5502">
        <v>43800</v>
      </c>
      <c r="EP2" s="5503"/>
      <c r="EQ2" s="5505">
        <v>43831</v>
      </c>
      <c r="ER2" s="5506"/>
      <c r="ES2" s="5505">
        <v>43862</v>
      </c>
      <c r="ET2" s="5506"/>
      <c r="EU2" s="5505">
        <v>43891</v>
      </c>
      <c r="EV2" s="5506"/>
      <c r="EW2" s="5505">
        <v>43922</v>
      </c>
      <c r="EX2" s="5506"/>
      <c r="EY2" s="5505">
        <v>43952</v>
      </c>
      <c r="EZ2" s="5506"/>
      <c r="FA2" s="5505">
        <v>43983</v>
      </c>
      <c r="FB2" s="5506"/>
      <c r="FC2" s="5505">
        <v>44013</v>
      </c>
      <c r="FD2" s="5506"/>
      <c r="FE2" s="5505">
        <v>44044</v>
      </c>
      <c r="FF2" s="5506"/>
      <c r="FG2" s="5505">
        <v>44075</v>
      </c>
      <c r="FH2" s="5506"/>
      <c r="FI2" s="5505">
        <v>44105</v>
      </c>
      <c r="FJ2" s="5506"/>
      <c r="FK2" s="5505">
        <v>44136</v>
      </c>
      <c r="FL2" s="5506"/>
      <c r="FM2" s="5505">
        <v>44166</v>
      </c>
      <c r="FN2" s="5506"/>
      <c r="FO2" s="5505">
        <v>44197</v>
      </c>
      <c r="FP2" s="5506"/>
      <c r="FQ2" s="5505">
        <v>44228</v>
      </c>
      <c r="FR2" s="5506"/>
      <c r="FS2" s="5505">
        <v>44256</v>
      </c>
      <c r="FT2" s="5506"/>
      <c r="FU2" s="5505">
        <v>44287</v>
      </c>
      <c r="FV2" s="5506"/>
      <c r="FW2" s="5505">
        <v>44317</v>
      </c>
      <c r="FX2" s="5510"/>
      <c r="FY2" s="4055">
        <v>43466</v>
      </c>
      <c r="FZ2" s="4056">
        <v>43497</v>
      </c>
      <c r="GA2" s="4056">
        <v>43525</v>
      </c>
      <c r="GB2" s="4056">
        <v>43556</v>
      </c>
      <c r="GC2" s="4056">
        <v>43586</v>
      </c>
      <c r="GD2" s="4056">
        <v>43617</v>
      </c>
      <c r="GE2" s="4056">
        <v>43647</v>
      </c>
      <c r="GF2" s="4056">
        <v>43678</v>
      </c>
      <c r="GG2" s="4056">
        <v>43709</v>
      </c>
      <c r="GH2" s="4056">
        <v>43739</v>
      </c>
      <c r="GI2" s="4056">
        <v>43770</v>
      </c>
      <c r="GJ2" s="4057">
        <v>43800</v>
      </c>
      <c r="GK2" s="4058">
        <v>43831</v>
      </c>
      <c r="GL2" s="4059">
        <v>43862</v>
      </c>
      <c r="GM2" s="4059">
        <v>43891</v>
      </c>
      <c r="GN2" s="4059">
        <v>43922</v>
      </c>
      <c r="GO2" s="4059">
        <v>43952</v>
      </c>
      <c r="GP2" s="4059">
        <v>43983</v>
      </c>
      <c r="GQ2" s="4059">
        <v>44013</v>
      </c>
      <c r="GR2" s="4059">
        <v>44044</v>
      </c>
      <c r="GS2" s="4059">
        <v>44075</v>
      </c>
      <c r="GT2" s="4059">
        <v>44105</v>
      </c>
      <c r="GU2" s="4059">
        <v>44136</v>
      </c>
      <c r="GV2" s="4060">
        <v>44166</v>
      </c>
      <c r="GW2" s="4061">
        <v>44197</v>
      </c>
      <c r="GX2" s="4062">
        <v>44228</v>
      </c>
      <c r="GY2" s="4062">
        <v>44256</v>
      </c>
      <c r="GZ2" s="4062">
        <v>44287</v>
      </c>
      <c r="HA2" s="4062">
        <v>44317</v>
      </c>
      <c r="HB2" s="4063">
        <v>44348</v>
      </c>
      <c r="HC2" s="4063">
        <v>44378</v>
      </c>
      <c r="HD2" s="4063">
        <v>44409</v>
      </c>
      <c r="HE2" s="4063">
        <v>44440</v>
      </c>
      <c r="HF2" s="4063">
        <v>44470</v>
      </c>
      <c r="HG2" s="4063">
        <v>44501</v>
      </c>
      <c r="HH2" s="4064">
        <v>44531</v>
      </c>
      <c r="HI2" s="5518"/>
      <c r="HJ2" s="5508"/>
      <c r="HK2" s="5508"/>
      <c r="HL2" s="5509"/>
      <c r="HM2" s="1042"/>
    </row>
    <row r="3" spans="1:221">
      <c r="A3" s="4065" t="s">
        <v>1651</v>
      </c>
      <c r="B3" s="4066" t="s">
        <v>1652</v>
      </c>
      <c r="C3" s="4066" t="s">
        <v>1653</v>
      </c>
      <c r="D3" s="4066" t="s">
        <v>1654</v>
      </c>
      <c r="E3" s="4066" t="s">
        <v>1655</v>
      </c>
      <c r="F3" s="4066" t="s">
        <v>1656</v>
      </c>
      <c r="G3" s="4066" t="s">
        <v>1657</v>
      </c>
      <c r="H3" s="4066" t="s">
        <v>1658</v>
      </c>
      <c r="I3" s="4066" t="s">
        <v>1659</v>
      </c>
      <c r="J3" s="4066" t="s">
        <v>1656</v>
      </c>
      <c r="K3" s="4066" t="s">
        <v>1657</v>
      </c>
      <c r="L3" s="4066" t="s">
        <v>1658</v>
      </c>
      <c r="M3" s="4066" t="s">
        <v>1659</v>
      </c>
      <c r="N3" s="4066" t="s">
        <v>1656</v>
      </c>
      <c r="O3" s="4066" t="s">
        <v>1657</v>
      </c>
      <c r="P3" s="4066" t="s">
        <v>1658</v>
      </c>
      <c r="Q3" s="4066" t="s">
        <v>1659</v>
      </c>
      <c r="R3" s="4066" t="s">
        <v>1656</v>
      </c>
      <c r="S3" s="4066" t="s">
        <v>1657</v>
      </c>
      <c r="T3" s="4066" t="s">
        <v>1658</v>
      </c>
      <c r="U3" s="4066" t="s">
        <v>1659</v>
      </c>
      <c r="V3" s="4066" t="s">
        <v>1656</v>
      </c>
      <c r="W3" s="4066" t="s">
        <v>1657</v>
      </c>
      <c r="X3" s="4066" t="s">
        <v>1658</v>
      </c>
      <c r="Y3" s="4066" t="s">
        <v>1659</v>
      </c>
      <c r="Z3" s="4066" t="s">
        <v>1656</v>
      </c>
      <c r="AA3" s="4066" t="s">
        <v>1657</v>
      </c>
      <c r="AB3" s="4066" t="s">
        <v>1658</v>
      </c>
      <c r="AC3" s="4066" t="s">
        <v>1659</v>
      </c>
      <c r="AD3" s="4066" t="s">
        <v>1656</v>
      </c>
      <c r="AE3" s="4066" t="s">
        <v>1657</v>
      </c>
      <c r="AF3" s="4066" t="s">
        <v>1658</v>
      </c>
      <c r="AG3" s="4066" t="s">
        <v>1659</v>
      </c>
      <c r="AH3" s="4066" t="s">
        <v>1656</v>
      </c>
      <c r="AI3" s="4066" t="s">
        <v>1657</v>
      </c>
      <c r="AJ3" s="4066" t="s">
        <v>1658</v>
      </c>
      <c r="AK3" s="4066" t="s">
        <v>1659</v>
      </c>
      <c r="AL3" s="4066" t="s">
        <v>1656</v>
      </c>
      <c r="AM3" s="4066" t="s">
        <v>1657</v>
      </c>
      <c r="AN3" s="4066" t="s">
        <v>1658</v>
      </c>
      <c r="AO3" s="4066" t="s">
        <v>1659</v>
      </c>
      <c r="AP3" s="4066" t="s">
        <v>1656</v>
      </c>
      <c r="AQ3" s="4066" t="s">
        <v>1657</v>
      </c>
      <c r="AR3" s="4066" t="s">
        <v>1658</v>
      </c>
      <c r="AS3" s="4066" t="s">
        <v>1659</v>
      </c>
      <c r="AT3" s="4066" t="s">
        <v>1656</v>
      </c>
      <c r="AU3" s="4066" t="s">
        <v>1657</v>
      </c>
      <c r="AV3" s="4066" t="s">
        <v>1658</v>
      </c>
      <c r="AW3" s="4066" t="s">
        <v>1659</v>
      </c>
      <c r="AX3" s="4066" t="s">
        <v>1656</v>
      </c>
      <c r="AY3" s="4066" t="s">
        <v>1657</v>
      </c>
      <c r="AZ3" s="4066" t="s">
        <v>1658</v>
      </c>
      <c r="BA3" s="4066" t="s">
        <v>1659</v>
      </c>
      <c r="BB3" s="4066" t="s">
        <v>1656</v>
      </c>
      <c r="BC3" s="4066" t="s">
        <v>1657</v>
      </c>
      <c r="BD3" s="4066" t="s">
        <v>1658</v>
      </c>
      <c r="BE3" s="4066" t="s">
        <v>1659</v>
      </c>
      <c r="BF3" s="4066" t="s">
        <v>1656</v>
      </c>
      <c r="BG3" s="4066" t="s">
        <v>1657</v>
      </c>
      <c r="BH3" s="4066" t="s">
        <v>1658</v>
      </c>
      <c r="BI3" s="4066" t="s">
        <v>1659</v>
      </c>
      <c r="BJ3" s="4066" t="s">
        <v>1656</v>
      </c>
      <c r="BK3" s="4066" t="s">
        <v>1657</v>
      </c>
      <c r="BL3" s="4066" t="s">
        <v>1658</v>
      </c>
      <c r="BM3" s="4066" t="s">
        <v>1659</v>
      </c>
      <c r="BN3" s="4066" t="s">
        <v>1656</v>
      </c>
      <c r="BO3" s="4066" t="s">
        <v>1657</v>
      </c>
      <c r="BP3" s="4066" t="s">
        <v>1658</v>
      </c>
      <c r="BQ3" s="4066" t="s">
        <v>1659</v>
      </c>
      <c r="BR3" s="4066" t="s">
        <v>1656</v>
      </c>
      <c r="BS3" s="4066" t="s">
        <v>1657</v>
      </c>
      <c r="BT3" s="4066" t="s">
        <v>1658</v>
      </c>
      <c r="BU3" s="4066" t="s">
        <v>1659</v>
      </c>
      <c r="BV3" s="4066" t="s">
        <v>1656</v>
      </c>
      <c r="BW3" s="4066" t="s">
        <v>1657</v>
      </c>
      <c r="BX3" s="4066" t="s">
        <v>1658</v>
      </c>
      <c r="BY3" s="4066" t="s">
        <v>1659</v>
      </c>
      <c r="BZ3" s="4066" t="s">
        <v>1656</v>
      </c>
      <c r="CA3" s="4066" t="s">
        <v>1657</v>
      </c>
      <c r="CB3" s="4066" t="s">
        <v>1658</v>
      </c>
      <c r="CC3" s="4066" t="s">
        <v>1659</v>
      </c>
      <c r="CD3" s="4066" t="s">
        <v>1656</v>
      </c>
      <c r="CE3" s="4066" t="s">
        <v>1657</v>
      </c>
      <c r="CF3" s="4066" t="s">
        <v>1658</v>
      </c>
      <c r="CG3" s="4066" t="s">
        <v>1659</v>
      </c>
      <c r="CH3" s="4066" t="s">
        <v>1656</v>
      </c>
      <c r="CI3" s="4066" t="s">
        <v>1657</v>
      </c>
      <c r="CJ3" s="4066" t="s">
        <v>1658</v>
      </c>
      <c r="CK3" s="4066" t="s">
        <v>1659</v>
      </c>
      <c r="CL3" s="4066" t="s">
        <v>1656</v>
      </c>
      <c r="CM3" s="4066" t="s">
        <v>1657</v>
      </c>
      <c r="CN3" s="4066" t="s">
        <v>1658</v>
      </c>
      <c r="CO3" s="4066" t="s">
        <v>1659</v>
      </c>
      <c r="CP3" s="4066" t="s">
        <v>1656</v>
      </c>
      <c r="CQ3" s="4066" t="s">
        <v>1657</v>
      </c>
      <c r="CR3" s="4066" t="s">
        <v>1658</v>
      </c>
      <c r="CS3" s="4066" t="s">
        <v>1659</v>
      </c>
      <c r="CT3" s="4066" t="s">
        <v>1656</v>
      </c>
      <c r="CU3" s="4066" t="s">
        <v>1657</v>
      </c>
      <c r="CV3" s="4066" t="s">
        <v>1658</v>
      </c>
      <c r="CW3" s="4066" t="s">
        <v>1659</v>
      </c>
      <c r="CX3" s="4066" t="s">
        <v>1656</v>
      </c>
      <c r="CY3" s="4066" t="s">
        <v>1657</v>
      </c>
      <c r="CZ3" s="4066" t="s">
        <v>1658</v>
      </c>
      <c r="DA3" s="4066" t="s">
        <v>1659</v>
      </c>
      <c r="DB3" s="4066" t="s">
        <v>1656</v>
      </c>
      <c r="DC3" s="4066" t="s">
        <v>1657</v>
      </c>
      <c r="DD3" s="4066" t="s">
        <v>1658</v>
      </c>
      <c r="DE3" s="4066" t="s">
        <v>1659</v>
      </c>
      <c r="DF3" s="4066" t="s">
        <v>1656</v>
      </c>
      <c r="DG3" s="4066" t="s">
        <v>1657</v>
      </c>
      <c r="DH3" s="4066" t="s">
        <v>1658</v>
      </c>
      <c r="DI3" s="4066" t="s">
        <v>1659</v>
      </c>
      <c r="DJ3" s="4066" t="s">
        <v>1656</v>
      </c>
      <c r="DK3" s="4066" t="s">
        <v>1657</v>
      </c>
      <c r="DL3" s="4066" t="s">
        <v>1658</v>
      </c>
      <c r="DM3" s="4066" t="s">
        <v>1659</v>
      </c>
      <c r="DN3" s="4066" t="s">
        <v>1656</v>
      </c>
      <c r="DO3" s="4066" t="s">
        <v>1657</v>
      </c>
      <c r="DP3" s="4066" t="s">
        <v>1658</v>
      </c>
      <c r="DQ3" s="4066" t="s">
        <v>1659</v>
      </c>
      <c r="DR3" s="4051"/>
      <c r="DS3" s="4067" t="s">
        <v>1660</v>
      </c>
      <c r="DT3" s="4067" t="s">
        <v>1661</v>
      </c>
      <c r="DU3" s="4067" t="s">
        <v>1660</v>
      </c>
      <c r="DV3" s="4067" t="s">
        <v>1661</v>
      </c>
      <c r="DW3" s="4067" t="s">
        <v>1660</v>
      </c>
      <c r="DX3" s="4067" t="s">
        <v>1661</v>
      </c>
      <c r="DY3" s="4067" t="s">
        <v>1660</v>
      </c>
      <c r="DZ3" s="4067" t="s">
        <v>1661</v>
      </c>
      <c r="EA3" s="4067" t="s">
        <v>1660</v>
      </c>
      <c r="EB3" s="4067" t="s">
        <v>1661</v>
      </c>
      <c r="EC3" s="4067" t="s">
        <v>1660</v>
      </c>
      <c r="ED3" s="4067" t="s">
        <v>1661</v>
      </c>
      <c r="EE3" s="4067" t="s">
        <v>1660</v>
      </c>
      <c r="EF3" s="4067" t="s">
        <v>1661</v>
      </c>
      <c r="EG3" s="4067" t="s">
        <v>1660</v>
      </c>
      <c r="EH3" s="4067" t="s">
        <v>1661</v>
      </c>
      <c r="EI3" s="4068" t="s">
        <v>1660</v>
      </c>
      <c r="EJ3" s="4068" t="s">
        <v>1661</v>
      </c>
      <c r="EK3" s="4067" t="s">
        <v>1660</v>
      </c>
      <c r="EL3" s="4067" t="s">
        <v>1661</v>
      </c>
      <c r="EM3" s="4067" t="s">
        <v>1660</v>
      </c>
      <c r="EN3" s="4067" t="s">
        <v>1661</v>
      </c>
      <c r="EO3" s="4067" t="s">
        <v>1660</v>
      </c>
      <c r="EP3" s="4067" t="s">
        <v>1661</v>
      </c>
      <c r="EQ3" s="4066" t="s">
        <v>1660</v>
      </c>
      <c r="ER3" s="4066" t="s">
        <v>1661</v>
      </c>
      <c r="ES3" s="4066" t="s">
        <v>1660</v>
      </c>
      <c r="ET3" s="4066" t="s">
        <v>1661</v>
      </c>
      <c r="EU3" s="4066" t="s">
        <v>1660</v>
      </c>
      <c r="EV3" s="4066" t="s">
        <v>1661</v>
      </c>
      <c r="EW3" s="4066" t="s">
        <v>1660</v>
      </c>
      <c r="EX3" s="4066" t="s">
        <v>1661</v>
      </c>
      <c r="EY3" s="4066" t="s">
        <v>1660</v>
      </c>
      <c r="EZ3" s="4066" t="s">
        <v>1661</v>
      </c>
      <c r="FA3" s="4066" t="s">
        <v>1660</v>
      </c>
      <c r="FB3" s="4066" t="s">
        <v>1661</v>
      </c>
      <c r="FC3" s="4066" t="s">
        <v>1660</v>
      </c>
      <c r="FD3" s="4066" t="s">
        <v>1661</v>
      </c>
      <c r="FE3" s="4066" t="s">
        <v>1660</v>
      </c>
      <c r="FF3" s="4066" t="s">
        <v>1661</v>
      </c>
      <c r="FG3" s="4069" t="s">
        <v>1660</v>
      </c>
      <c r="FH3" s="4069" t="s">
        <v>1661</v>
      </c>
      <c r="FI3" s="4066" t="s">
        <v>1660</v>
      </c>
      <c r="FJ3" s="4066" t="s">
        <v>1661</v>
      </c>
      <c r="FK3" s="4066" t="s">
        <v>1660</v>
      </c>
      <c r="FL3" s="4066" t="s">
        <v>1661</v>
      </c>
      <c r="FM3" s="4066" t="s">
        <v>1660</v>
      </c>
      <c r="FN3" s="4066" t="s">
        <v>1661</v>
      </c>
      <c r="FO3" s="4066" t="s">
        <v>1660</v>
      </c>
      <c r="FP3" s="4066" t="s">
        <v>1661</v>
      </c>
      <c r="FQ3" s="4066" t="s">
        <v>1660</v>
      </c>
      <c r="FR3" s="4066" t="s">
        <v>1661</v>
      </c>
      <c r="FS3" s="4066" t="s">
        <v>1660</v>
      </c>
      <c r="FT3" s="4066" t="s">
        <v>1661</v>
      </c>
      <c r="FU3" s="4066" t="s">
        <v>1660</v>
      </c>
      <c r="FV3" s="4066" t="s">
        <v>1661</v>
      </c>
      <c r="FW3" s="4066" t="s">
        <v>1660</v>
      </c>
      <c r="FX3" s="4070" t="s">
        <v>1661</v>
      </c>
      <c r="FY3" s="4071" t="s">
        <v>1662</v>
      </c>
      <c r="FZ3" s="4072" t="s">
        <v>1662</v>
      </c>
      <c r="GA3" s="4072" t="s">
        <v>1662</v>
      </c>
      <c r="GB3" s="4072" t="s">
        <v>1662</v>
      </c>
      <c r="GC3" s="4072" t="s">
        <v>1662</v>
      </c>
      <c r="GD3" s="4072" t="s">
        <v>1662</v>
      </c>
      <c r="GE3" s="4072" t="s">
        <v>1662</v>
      </c>
      <c r="GF3" s="4072" t="s">
        <v>1662</v>
      </c>
      <c r="GG3" s="4072" t="s">
        <v>1662</v>
      </c>
      <c r="GH3" s="4072" t="s">
        <v>1662</v>
      </c>
      <c r="GI3" s="4072" t="s">
        <v>1662</v>
      </c>
      <c r="GJ3" s="4073" t="s">
        <v>1662</v>
      </c>
      <c r="GK3" s="4074" t="s">
        <v>1662</v>
      </c>
      <c r="GL3" s="4072" t="s">
        <v>1662</v>
      </c>
      <c r="GM3" s="4072" t="s">
        <v>1662</v>
      </c>
      <c r="GN3" s="4072" t="s">
        <v>1662</v>
      </c>
      <c r="GO3" s="4072" t="s">
        <v>1662</v>
      </c>
      <c r="GP3" s="4072" t="s">
        <v>1662</v>
      </c>
      <c r="GQ3" s="4072" t="s">
        <v>1662</v>
      </c>
      <c r="GR3" s="4072" t="s">
        <v>1662</v>
      </c>
      <c r="GS3" s="4072" t="s">
        <v>1662</v>
      </c>
      <c r="GT3" s="4072" t="s">
        <v>1662</v>
      </c>
      <c r="GU3" s="4072" t="s">
        <v>1662</v>
      </c>
      <c r="GV3" s="4073" t="s">
        <v>1662</v>
      </c>
      <c r="GW3" s="4074" t="s">
        <v>1662</v>
      </c>
      <c r="GX3" s="4072" t="s">
        <v>1662</v>
      </c>
      <c r="GY3" s="4072" t="s">
        <v>1662</v>
      </c>
      <c r="GZ3" s="4072" t="s">
        <v>1662</v>
      </c>
      <c r="HA3" s="4072" t="s">
        <v>1662</v>
      </c>
      <c r="HB3" s="4075" t="s">
        <v>1662</v>
      </c>
      <c r="HC3" s="4075" t="s">
        <v>1662</v>
      </c>
      <c r="HD3" s="4075" t="s">
        <v>1662</v>
      </c>
      <c r="HE3" s="4075" t="s">
        <v>1662</v>
      </c>
      <c r="HF3" s="4075" t="s">
        <v>1662</v>
      </c>
      <c r="HG3" s="4075" t="s">
        <v>1662</v>
      </c>
      <c r="HH3" s="4076" t="s">
        <v>1662</v>
      </c>
      <c r="HI3" s="4077" t="s">
        <v>1513</v>
      </c>
      <c r="HJ3" s="4078" t="s">
        <v>1513</v>
      </c>
      <c r="HK3" s="4078" t="s">
        <v>1663</v>
      </c>
      <c r="HL3" s="4079" t="s">
        <v>1664</v>
      </c>
      <c r="HM3" s="1042"/>
    </row>
    <row r="4" spans="1:221">
      <c r="A4" s="4072" t="s">
        <v>1665</v>
      </c>
      <c r="B4" s="4080" t="s">
        <v>1001</v>
      </c>
      <c r="C4" s="4080" t="s">
        <v>1666</v>
      </c>
      <c r="D4" s="4080" t="s">
        <v>1667</v>
      </c>
      <c r="E4" s="4081" t="s">
        <v>1668</v>
      </c>
      <c r="F4" s="4082">
        <v>143.78</v>
      </c>
      <c r="G4" s="4082">
        <v>0</v>
      </c>
      <c r="H4" s="4082">
        <v>0</v>
      </c>
      <c r="I4" s="4082">
        <v>0</v>
      </c>
      <c r="J4" s="4082">
        <v>164.32</v>
      </c>
      <c r="K4" s="4082">
        <v>0</v>
      </c>
      <c r="L4" s="4082">
        <v>0</v>
      </c>
      <c r="M4" s="4082">
        <v>0</v>
      </c>
      <c r="N4" s="4082">
        <v>143.78</v>
      </c>
      <c r="O4" s="4082">
        <v>0</v>
      </c>
      <c r="P4" s="4082">
        <v>0</v>
      </c>
      <c r="Q4" s="4082">
        <v>0</v>
      </c>
      <c r="R4" s="4082">
        <v>164.32</v>
      </c>
      <c r="S4" s="4082">
        <v>0</v>
      </c>
      <c r="T4" s="4082">
        <v>0</v>
      </c>
      <c r="U4" s="4082">
        <v>0</v>
      </c>
      <c r="V4" s="4082">
        <v>143.84</v>
      </c>
      <c r="W4" s="4082">
        <v>0</v>
      </c>
      <c r="X4" s="4082">
        <v>0</v>
      </c>
      <c r="Y4" s="4082">
        <v>0</v>
      </c>
      <c r="Z4" s="4082">
        <v>205.4</v>
      </c>
      <c r="AA4" s="4082">
        <v>0</v>
      </c>
      <c r="AB4" s="4082">
        <v>0</v>
      </c>
      <c r="AC4" s="4082">
        <v>0</v>
      </c>
      <c r="AD4" s="4082">
        <v>164.32</v>
      </c>
      <c r="AE4" s="4082">
        <v>0</v>
      </c>
      <c r="AF4" s="4082">
        <v>0</v>
      </c>
      <c r="AG4" s="4082">
        <v>0</v>
      </c>
      <c r="AH4" s="4082">
        <v>143.78</v>
      </c>
      <c r="AI4" s="4082">
        <v>0</v>
      </c>
      <c r="AJ4" s="4082">
        <v>0</v>
      </c>
      <c r="AK4" s="4082">
        <v>0</v>
      </c>
      <c r="AL4" s="4082">
        <v>164.32</v>
      </c>
      <c r="AM4" s="4082">
        <v>0</v>
      </c>
      <c r="AN4" s="4082">
        <v>0</v>
      </c>
      <c r="AO4" s="4082">
        <v>0</v>
      </c>
      <c r="AP4" s="4082">
        <v>164.32</v>
      </c>
      <c r="AQ4" s="4082">
        <v>0</v>
      </c>
      <c r="AR4" s="4082">
        <v>0</v>
      </c>
      <c r="AS4" s="4082">
        <v>0</v>
      </c>
      <c r="AT4" s="4082">
        <v>122.94</v>
      </c>
      <c r="AU4" s="4082">
        <v>0</v>
      </c>
      <c r="AV4" s="4082">
        <v>0</v>
      </c>
      <c r="AW4" s="4082">
        <v>0</v>
      </c>
      <c r="AX4" s="4082">
        <v>184.86</v>
      </c>
      <c r="AY4" s="4082">
        <v>6150</v>
      </c>
      <c r="AZ4" s="4082">
        <v>0</v>
      </c>
      <c r="BA4" s="4082">
        <v>0</v>
      </c>
      <c r="BB4" s="4082">
        <v>128.56</v>
      </c>
      <c r="BC4" s="4082">
        <v>0</v>
      </c>
      <c r="BD4" s="4082">
        <v>0</v>
      </c>
      <c r="BE4" s="4082">
        <v>0</v>
      </c>
      <c r="BF4" s="4082">
        <v>0</v>
      </c>
      <c r="BG4" s="4082">
        <v>0</v>
      </c>
      <c r="BH4" s="4082">
        <v>0</v>
      </c>
      <c r="BI4" s="4082">
        <v>0</v>
      </c>
      <c r="BJ4" s="4082">
        <v>0</v>
      </c>
      <c r="BK4" s="4082">
        <v>0</v>
      </c>
      <c r="BL4" s="4082">
        <v>0</v>
      </c>
      <c r="BM4" s="4082">
        <v>0</v>
      </c>
      <c r="BN4" s="4082">
        <v>0</v>
      </c>
      <c r="BO4" s="4082">
        <v>0</v>
      </c>
      <c r="BP4" s="4082">
        <v>0</v>
      </c>
      <c r="BQ4" s="4082">
        <v>0</v>
      </c>
      <c r="BR4" s="4082">
        <v>0</v>
      </c>
      <c r="BS4" s="4082">
        <v>0</v>
      </c>
      <c r="BT4" s="4082">
        <v>0</v>
      </c>
      <c r="BU4" s="4082">
        <v>0</v>
      </c>
      <c r="BV4" s="4082">
        <v>0</v>
      </c>
      <c r="BW4" s="4082">
        <v>3165.32</v>
      </c>
      <c r="BX4" s="4082">
        <v>0</v>
      </c>
      <c r="BY4" s="4082">
        <v>0</v>
      </c>
      <c r="BZ4" s="4082">
        <v>0</v>
      </c>
      <c r="CA4" s="4082">
        <v>0</v>
      </c>
      <c r="CB4" s="4082">
        <v>0</v>
      </c>
      <c r="CC4" s="4082">
        <v>0</v>
      </c>
      <c r="CD4" s="4082">
        <v>0</v>
      </c>
      <c r="CE4" s="4082">
        <v>0</v>
      </c>
      <c r="CF4" s="4082">
        <v>0</v>
      </c>
      <c r="CG4" s="4082">
        <v>0</v>
      </c>
      <c r="CH4" s="4082">
        <v>0</v>
      </c>
      <c r="CI4" s="4082">
        <v>0</v>
      </c>
      <c r="CJ4" s="4082">
        <v>0</v>
      </c>
      <c r="CK4" s="4082">
        <v>0</v>
      </c>
      <c r="CL4" s="4082">
        <v>0</v>
      </c>
      <c r="CM4" s="4082">
        <v>0</v>
      </c>
      <c r="CN4" s="4082">
        <v>0</v>
      </c>
      <c r="CO4" s="4082">
        <v>0</v>
      </c>
      <c r="CP4" s="4082">
        <v>0</v>
      </c>
      <c r="CQ4" s="4082">
        <v>0</v>
      </c>
      <c r="CR4" s="4082">
        <v>0</v>
      </c>
      <c r="CS4" s="4082">
        <v>0</v>
      </c>
      <c r="CT4" s="4082">
        <v>0</v>
      </c>
      <c r="CU4" s="4082">
        <v>2600</v>
      </c>
      <c r="CV4" s="4082">
        <v>0</v>
      </c>
      <c r="CW4" s="4082">
        <v>0</v>
      </c>
      <c r="CX4" s="4082">
        <v>0</v>
      </c>
      <c r="CY4" s="4082">
        <v>0</v>
      </c>
      <c r="CZ4" s="4082">
        <v>0</v>
      </c>
      <c r="DA4" s="4082">
        <v>0</v>
      </c>
      <c r="DB4" s="4082">
        <v>0</v>
      </c>
      <c r="DC4" s="4082">
        <v>0</v>
      </c>
      <c r="DD4" s="4082">
        <v>0</v>
      </c>
      <c r="DE4" s="4082">
        <v>0</v>
      </c>
      <c r="DF4" s="4082">
        <v>0</v>
      </c>
      <c r="DG4" s="4082">
        <v>0</v>
      </c>
      <c r="DH4" s="4082">
        <v>0</v>
      </c>
      <c r="DI4" s="4082">
        <v>0</v>
      </c>
      <c r="DJ4" s="4082">
        <v>0</v>
      </c>
      <c r="DK4" s="4082">
        <v>0</v>
      </c>
      <c r="DL4" s="4082">
        <v>0</v>
      </c>
      <c r="DM4" s="4082">
        <v>0</v>
      </c>
      <c r="DN4" s="4082">
        <v>0</v>
      </c>
      <c r="DO4" s="4082">
        <v>0</v>
      </c>
      <c r="DP4" s="4082">
        <v>0</v>
      </c>
      <c r="DQ4" s="4082">
        <v>0</v>
      </c>
      <c r="DR4" s="4083"/>
      <c r="DS4" s="4084">
        <f t="shared" ref="DS4:DS23" si="0">+F4+G4</f>
        <v>143.78</v>
      </c>
      <c r="DT4" s="4084">
        <f t="shared" ref="DT4:DT23" si="1">+H4+I4</f>
        <v>0</v>
      </c>
      <c r="DU4" s="4084">
        <f t="shared" ref="DU4:DU23" si="2">+J4+K4</f>
        <v>164.32</v>
      </c>
      <c r="DV4" s="4084">
        <f t="shared" ref="DV4:DV23" si="3">+L4+M4</f>
        <v>0</v>
      </c>
      <c r="DW4" s="4084">
        <f t="shared" ref="DW4:DW23" si="4">+N4+O4</f>
        <v>143.78</v>
      </c>
      <c r="DX4" s="4084">
        <f t="shared" ref="DX4:DX23" si="5">+P4+Q4</f>
        <v>0</v>
      </c>
      <c r="DY4" s="4084">
        <f t="shared" ref="DY4:DY23" si="6">+R4+S4</f>
        <v>164.32</v>
      </c>
      <c r="DZ4" s="4084">
        <f t="shared" ref="DZ4:DZ23" si="7">+T4+U4</f>
        <v>0</v>
      </c>
      <c r="EA4" s="4084">
        <f t="shared" ref="EA4:EA23" si="8">+V4+W4</f>
        <v>143.84</v>
      </c>
      <c r="EB4" s="4084">
        <f t="shared" ref="EB4:EB23" si="9">+X4+Y4</f>
        <v>0</v>
      </c>
      <c r="EC4" s="4084">
        <f t="shared" ref="EC4:EC23" si="10">+Z4+AA4</f>
        <v>205.4</v>
      </c>
      <c r="ED4" s="4084">
        <f t="shared" ref="ED4:ED23" si="11">+AB4+AC4</f>
        <v>0</v>
      </c>
      <c r="EE4" s="4084">
        <f t="shared" ref="EE4:EE23" si="12">+AD4+AE4</f>
        <v>164.32</v>
      </c>
      <c r="EF4" s="4084">
        <f t="shared" ref="EF4:EF23" si="13">+AF4+AG4</f>
        <v>0</v>
      </c>
      <c r="EG4" s="4084">
        <f t="shared" ref="EG4:EG23" si="14">+AH4+AI4</f>
        <v>143.78</v>
      </c>
      <c r="EH4" s="4085">
        <v>1095</v>
      </c>
      <c r="EI4" s="4084">
        <f t="shared" ref="EI4:EI23" si="15">+AL4+AM4</f>
        <v>164.32</v>
      </c>
      <c r="EJ4" s="4084">
        <f t="shared" ref="EJ4:EJ23" si="16">+AN4+AO4</f>
        <v>0</v>
      </c>
      <c r="EK4" s="4084">
        <f t="shared" ref="EK4:EK23" si="17">+AP4+AQ4</f>
        <v>164.32</v>
      </c>
      <c r="EL4" s="4084">
        <f t="shared" ref="EL4:EL23" si="18">+AR4+AS4</f>
        <v>0</v>
      </c>
      <c r="EM4" s="4084">
        <f t="shared" ref="EM4:EM23" si="19">+AT4+AU4</f>
        <v>122.94</v>
      </c>
      <c r="EN4" s="4084">
        <f t="shared" ref="EN4:EN23" si="20">+AV4+AW4</f>
        <v>0</v>
      </c>
      <c r="EO4" s="4084">
        <f t="shared" ref="EO4:EO23" si="21">+AX4+AY4</f>
        <v>6334.86</v>
      </c>
      <c r="EP4" s="4084">
        <f t="shared" ref="EP4:EP23" si="22">+AZ4+BA4</f>
        <v>0</v>
      </c>
      <c r="EQ4" s="4084">
        <f t="shared" ref="EQ4:EQ23" si="23">+BB4+BC4</f>
        <v>128.56</v>
      </c>
      <c r="ER4" s="4084">
        <f t="shared" ref="ER4:ER23" si="24">+BD4+BE4</f>
        <v>0</v>
      </c>
      <c r="ES4" s="4084">
        <f t="shared" ref="ES4:ES23" si="25">+BF4+BG4</f>
        <v>0</v>
      </c>
      <c r="ET4" s="4084">
        <f t="shared" ref="ET4:ET23" si="26">+BH4+BI4</f>
        <v>0</v>
      </c>
      <c r="EU4" s="4084">
        <f t="shared" ref="EU4:EU23" si="27">+BJ4+BK4</f>
        <v>0</v>
      </c>
      <c r="EV4" s="4084">
        <f t="shared" ref="EV4:EV23" si="28">+BL4+BM4</f>
        <v>0</v>
      </c>
      <c r="EW4" s="4084">
        <f t="shared" ref="EW4:EW23" si="29">+BN4+BO4</f>
        <v>0</v>
      </c>
      <c r="EX4" s="4085">
        <v>1095</v>
      </c>
      <c r="EY4" s="4084">
        <f t="shared" ref="EY4:EY23" si="30">+BR4+BS4</f>
        <v>0</v>
      </c>
      <c r="EZ4" s="4084">
        <f t="shared" ref="EZ4:EZ23" si="31">+BT4+BU4</f>
        <v>0</v>
      </c>
      <c r="FA4" s="4084">
        <f t="shared" ref="FA4:FA23" si="32">+BV4+BW4</f>
        <v>3165.32</v>
      </c>
      <c r="FB4" s="4084">
        <f t="shared" ref="FB4:FB23" si="33">+BX4+BY4</f>
        <v>0</v>
      </c>
      <c r="FC4" s="4084">
        <f t="shared" ref="FC4:FC23" si="34">+BZ4+CA4</f>
        <v>0</v>
      </c>
      <c r="FD4" s="4084">
        <f t="shared" ref="FD4:FD23" si="35">+CB4+CC4</f>
        <v>0</v>
      </c>
      <c r="FE4" s="4084">
        <f t="shared" ref="FE4:FE23" si="36">+CD4+CE4</f>
        <v>0</v>
      </c>
      <c r="FF4" s="4084">
        <f t="shared" ref="FF4:FF23" si="37">+CF4+CG4</f>
        <v>0</v>
      </c>
      <c r="FG4" s="4084">
        <f t="shared" ref="FG4:FG23" si="38">+CH4+CI4</f>
        <v>0</v>
      </c>
      <c r="FH4" s="4084">
        <f t="shared" ref="FH4:FH23" si="39">+CJ4+CK4</f>
        <v>0</v>
      </c>
      <c r="FI4" s="4084">
        <f t="shared" ref="FI4:FI23" si="40">+CL4+CM4</f>
        <v>0</v>
      </c>
      <c r="FJ4" s="4084">
        <f t="shared" ref="FJ4:FJ23" si="41">+CN4+CO4</f>
        <v>0</v>
      </c>
      <c r="FK4" s="4084">
        <f t="shared" ref="FK4:FK23" si="42">+CP4+CQ4</f>
        <v>0</v>
      </c>
      <c r="FL4" s="4084">
        <f t="shared" ref="FL4:FL23" si="43">+CR4+CS4</f>
        <v>0</v>
      </c>
      <c r="FM4" s="4084">
        <f t="shared" ref="FM4:FM23" si="44">+CT4+CU4</f>
        <v>2600</v>
      </c>
      <c r="FN4" s="4084">
        <f t="shared" ref="FN4:FN23" si="45">+CV4+CW4</f>
        <v>0</v>
      </c>
      <c r="FO4" s="4084">
        <f t="shared" ref="FO4:FO23" si="46">+CX4+CY4</f>
        <v>0</v>
      </c>
      <c r="FP4" s="4084">
        <f t="shared" ref="FP4:FP23" si="47">+CZ4+DA4</f>
        <v>0</v>
      </c>
      <c r="FQ4" s="4084">
        <f t="shared" ref="FQ4:FQ23" si="48">+DB4+DC4</f>
        <v>0</v>
      </c>
      <c r="FR4" s="4084">
        <f t="shared" ref="FR4:FR23" si="49">+DD4+DE4</f>
        <v>0</v>
      </c>
      <c r="FS4" s="4084">
        <f t="shared" ref="FS4:FS23" si="50">+DF4+DG4</f>
        <v>0</v>
      </c>
      <c r="FT4" s="4084">
        <f t="shared" ref="FT4:FT23" si="51">+DH4+DI4</f>
        <v>0</v>
      </c>
      <c r="FU4" s="4084">
        <f t="shared" ref="FU4:FU23" si="52">+DJ4+DK4</f>
        <v>0</v>
      </c>
      <c r="FV4" s="4084">
        <f t="shared" ref="FV4:FV23" si="53">+DL4+DM4</f>
        <v>0</v>
      </c>
      <c r="FW4" s="4084">
        <f>+DN4+DO4</f>
        <v>0</v>
      </c>
      <c r="FX4" s="4086">
        <f>+DP4+DQ4</f>
        <v>0</v>
      </c>
      <c r="FY4" s="4087">
        <f t="shared" ref="FY4:FY23" si="54">+DS4+DT4</f>
        <v>143.78</v>
      </c>
      <c r="FZ4" s="4084">
        <f t="shared" ref="FZ4:FZ23" si="55">+DU4+DV4</f>
        <v>164.32</v>
      </c>
      <c r="GA4" s="4084">
        <f t="shared" ref="GA4:GA23" si="56">+DW4+DX4</f>
        <v>143.78</v>
      </c>
      <c r="GB4" s="4084">
        <f t="shared" ref="GB4:GB23" si="57">+DY4+DZ4</f>
        <v>164.32</v>
      </c>
      <c r="GC4" s="4084">
        <f t="shared" ref="GC4:GC23" si="58">+EA4+EB4</f>
        <v>143.84</v>
      </c>
      <c r="GD4" s="4084">
        <f t="shared" ref="GD4:GD23" si="59">+EC4+ED4</f>
        <v>205.4</v>
      </c>
      <c r="GE4" s="4084">
        <f t="shared" ref="GE4:GE23" si="60">+EE4+EF4</f>
        <v>164.32</v>
      </c>
      <c r="GF4" s="4084">
        <f t="shared" ref="GF4:GF23" si="61">+EG4+EH4</f>
        <v>1238.78</v>
      </c>
      <c r="GG4" s="4084">
        <f t="shared" ref="GG4:GG23" si="62">+EI4+EJ4</f>
        <v>164.32</v>
      </c>
      <c r="GH4" s="4084">
        <f t="shared" ref="GH4:GH23" si="63">+EK4+EL4</f>
        <v>164.32</v>
      </c>
      <c r="GI4" s="4084">
        <f t="shared" ref="GI4:GI23" si="64">+EM4+EN4</f>
        <v>122.94</v>
      </c>
      <c r="GJ4" s="4086">
        <f t="shared" ref="GJ4:GJ23" si="65">+EO4+EP4</f>
        <v>6334.86</v>
      </c>
      <c r="GK4" s="4088">
        <f t="shared" ref="GK4:GK23" si="66">+EQ4+ER4</f>
        <v>128.56</v>
      </c>
      <c r="GL4" s="4084">
        <f t="shared" ref="GL4:GL23" si="67">+ES4+ET4</f>
        <v>0</v>
      </c>
      <c r="GM4" s="4084">
        <f t="shared" ref="GM4:GM23" si="68">+EU4+EV4</f>
        <v>0</v>
      </c>
      <c r="GN4" s="4084">
        <f t="shared" ref="GN4:GN23" si="69">+EW4+EX4</f>
        <v>1095</v>
      </c>
      <c r="GO4" s="4084">
        <f t="shared" ref="GO4:GO23" si="70">+EY4+EZ4</f>
        <v>0</v>
      </c>
      <c r="GP4" s="4084">
        <f t="shared" ref="GP4:GP23" si="71">+FA4+FB4</f>
        <v>3165.32</v>
      </c>
      <c r="GQ4" s="4084">
        <f t="shared" ref="GQ4:GQ23" si="72">+FC4+FD4</f>
        <v>0</v>
      </c>
      <c r="GR4" s="4084">
        <f t="shared" ref="GR4:GR23" si="73">+FE4+FF4</f>
        <v>0</v>
      </c>
      <c r="GS4" s="4084">
        <f t="shared" ref="GS4:GS23" si="74">+FG4+FH4</f>
        <v>0</v>
      </c>
      <c r="GT4" s="4084">
        <f t="shared" ref="GT4:GT23" si="75">+FI4+FJ4</f>
        <v>0</v>
      </c>
      <c r="GU4" s="4084">
        <f t="shared" ref="GU4:GU23" si="76">+FK4+FL4</f>
        <v>0</v>
      </c>
      <c r="GV4" s="4086">
        <f t="shared" ref="GV4:GV23" si="77">+FM4+FN4</f>
        <v>2600</v>
      </c>
      <c r="GW4" s="4088">
        <f t="shared" ref="GW4:GW23" si="78">+FO4+FP4</f>
        <v>0</v>
      </c>
      <c r="GX4" s="4084">
        <f t="shared" ref="GX4:GX23" si="79">+FQ4+FR4</f>
        <v>0</v>
      </c>
      <c r="GY4" s="4084">
        <f t="shared" ref="GY4:GY23" si="80">+FS4+FT4</f>
        <v>0</v>
      </c>
      <c r="GZ4" s="4084">
        <f t="shared" ref="GZ4:GZ23" si="81">+FU4+FV4</f>
        <v>0</v>
      </c>
      <c r="HA4" s="4084">
        <f>+FW4+FX4</f>
        <v>0</v>
      </c>
      <c r="HB4" s="4089">
        <f>+AVERAGE(GY4:HA4)</f>
        <v>0</v>
      </c>
      <c r="HC4" s="4089">
        <f t="shared" ref="HC4:HH4" si="82">+AVERAGE(GZ4:HB4)</f>
        <v>0</v>
      </c>
      <c r="HD4" s="4089">
        <f t="shared" si="82"/>
        <v>0</v>
      </c>
      <c r="HE4" s="4089">
        <f t="shared" si="82"/>
        <v>0</v>
      </c>
      <c r="HF4" s="4089">
        <f t="shared" si="82"/>
        <v>0</v>
      </c>
      <c r="HG4" s="4089">
        <f t="shared" si="82"/>
        <v>0</v>
      </c>
      <c r="HH4" s="4090">
        <f t="shared" si="82"/>
        <v>0</v>
      </c>
      <c r="HI4" s="4091">
        <f t="shared" ref="HI4:HI23" si="83">SUM(FY4:GJ4)</f>
        <v>9154.98</v>
      </c>
      <c r="HJ4" s="4092">
        <f t="shared" ref="HJ4:HJ23" si="84">SUM(GK4:GV4)</f>
        <v>6988.88</v>
      </c>
      <c r="HK4" s="4092">
        <f>SUM(GW4:HA4)</f>
        <v>0</v>
      </c>
      <c r="HL4" s="4093">
        <f>SUM(GW4:HH4)</f>
        <v>0</v>
      </c>
      <c r="HM4" s="4094"/>
    </row>
    <row r="5" spans="1:221">
      <c r="A5" s="4072" t="s">
        <v>1665</v>
      </c>
      <c r="B5" s="4080" t="s">
        <v>1001</v>
      </c>
      <c r="C5" s="4080" t="s">
        <v>1669</v>
      </c>
      <c r="D5" s="4080" t="s">
        <v>1670</v>
      </c>
      <c r="E5" s="4081" t="s">
        <v>1671</v>
      </c>
      <c r="F5" s="4082">
        <v>74002307.159999996</v>
      </c>
      <c r="G5" s="4082">
        <v>8023324.3099999996</v>
      </c>
      <c r="H5" s="4082">
        <v>0</v>
      </c>
      <c r="I5" s="4082">
        <v>605945.04</v>
      </c>
      <c r="J5" s="4082">
        <v>61988783.170000002</v>
      </c>
      <c r="K5" s="4082">
        <v>6746123.8899999997</v>
      </c>
      <c r="L5" s="4082">
        <v>0</v>
      </c>
      <c r="M5" s="4082">
        <v>607730.64</v>
      </c>
      <c r="N5" s="4082">
        <v>68740823.409999996</v>
      </c>
      <c r="O5" s="4082">
        <v>7919815.5899999999</v>
      </c>
      <c r="P5" s="4082">
        <v>0</v>
      </c>
      <c r="Q5" s="4082">
        <v>599253.88</v>
      </c>
      <c r="R5" s="4082">
        <v>68048248.790000007</v>
      </c>
      <c r="S5" s="4082">
        <v>7758109.6299999999</v>
      </c>
      <c r="T5" s="4082">
        <v>0</v>
      </c>
      <c r="U5" s="4082">
        <v>764134.7</v>
      </c>
      <c r="V5" s="4082">
        <v>68712729.469999999</v>
      </c>
      <c r="W5" s="4082">
        <v>7572910.1500000004</v>
      </c>
      <c r="X5" s="4082">
        <v>3884.77</v>
      </c>
      <c r="Y5" s="4082">
        <v>483947.21</v>
      </c>
      <c r="Z5" s="4082">
        <v>65572172.579999998</v>
      </c>
      <c r="AA5" s="4082">
        <v>7337111.6500000004</v>
      </c>
      <c r="AB5" s="4082">
        <v>0</v>
      </c>
      <c r="AC5" s="4082">
        <v>397989.58</v>
      </c>
      <c r="AD5" s="4082">
        <v>71824069.659999996</v>
      </c>
      <c r="AE5" s="4082">
        <v>7621354.3499999996</v>
      </c>
      <c r="AF5" s="4082">
        <v>0</v>
      </c>
      <c r="AG5" s="4082">
        <v>442410.95</v>
      </c>
      <c r="AH5" s="4082">
        <v>67505904.109999999</v>
      </c>
      <c r="AI5" s="4082">
        <v>7385817.2599999998</v>
      </c>
      <c r="AJ5" s="4082">
        <v>0</v>
      </c>
      <c r="AK5" s="4082">
        <v>531042.85</v>
      </c>
      <c r="AL5" s="4082">
        <v>61304223.020000003</v>
      </c>
      <c r="AM5" s="4082">
        <v>6518300.2800000003</v>
      </c>
      <c r="AN5" s="4082">
        <v>0</v>
      </c>
      <c r="AO5" s="4082">
        <v>432836.64</v>
      </c>
      <c r="AP5" s="4082">
        <v>54542285.549999997</v>
      </c>
      <c r="AQ5" s="4082">
        <v>7944324.0199999996</v>
      </c>
      <c r="AR5" s="4082">
        <v>0</v>
      </c>
      <c r="AS5" s="4082">
        <v>435180.71</v>
      </c>
      <c r="AT5" s="4082">
        <v>56802972.240000002</v>
      </c>
      <c r="AU5" s="4082">
        <v>6990641.5</v>
      </c>
      <c r="AV5" s="4082">
        <v>0</v>
      </c>
      <c r="AW5" s="4082">
        <v>1000349.02</v>
      </c>
      <c r="AX5" s="4082">
        <v>54451662.159999996</v>
      </c>
      <c r="AY5" s="4082">
        <v>8132886.79</v>
      </c>
      <c r="AZ5" s="4082">
        <v>1040.48</v>
      </c>
      <c r="BA5" s="4082">
        <v>686704.59</v>
      </c>
      <c r="BB5" s="4082">
        <v>63217910.850000001</v>
      </c>
      <c r="BC5" s="4082">
        <v>7876073.2999999998</v>
      </c>
      <c r="BD5" s="4082">
        <v>0</v>
      </c>
      <c r="BE5" s="4082">
        <v>834119.78</v>
      </c>
      <c r="BF5" s="4082">
        <v>56155577.75</v>
      </c>
      <c r="BG5" s="4082">
        <v>7508622.5800000001</v>
      </c>
      <c r="BH5" s="4082">
        <v>0</v>
      </c>
      <c r="BI5" s="4082">
        <v>865286.83</v>
      </c>
      <c r="BJ5" s="4082">
        <v>28348736.530000001</v>
      </c>
      <c r="BK5" s="4082">
        <v>5086583.21</v>
      </c>
      <c r="BL5" s="4082">
        <v>0</v>
      </c>
      <c r="BM5" s="4082">
        <v>847682.89</v>
      </c>
      <c r="BN5" s="4082">
        <v>3887438.17</v>
      </c>
      <c r="BO5" s="4082">
        <v>1629436.05</v>
      </c>
      <c r="BP5" s="4082">
        <v>0</v>
      </c>
      <c r="BQ5" s="4082">
        <v>88789.48</v>
      </c>
      <c r="BR5" s="4082">
        <v>3984966.79</v>
      </c>
      <c r="BS5" s="4082">
        <v>4674782.4800000004</v>
      </c>
      <c r="BT5" s="4082">
        <v>0</v>
      </c>
      <c r="BU5" s="4082">
        <v>45765.29</v>
      </c>
      <c r="BV5" s="4082">
        <v>6619366.0599999996</v>
      </c>
      <c r="BW5" s="4082">
        <v>3367668.63</v>
      </c>
      <c r="BX5" s="4082">
        <v>0</v>
      </c>
      <c r="BY5" s="4082">
        <v>978691.32</v>
      </c>
      <c r="BZ5" s="4082">
        <v>4556262.8</v>
      </c>
      <c r="CA5" s="4082">
        <v>3351344.81</v>
      </c>
      <c r="CB5" s="4082">
        <v>0</v>
      </c>
      <c r="CC5" s="4082">
        <v>177690.85</v>
      </c>
      <c r="CD5" s="4082">
        <v>7131716.3499999996</v>
      </c>
      <c r="CE5" s="4082">
        <v>4837504.3899999997</v>
      </c>
      <c r="CF5" s="4082">
        <v>30609.33</v>
      </c>
      <c r="CG5" s="4082">
        <v>65232.15</v>
      </c>
      <c r="CH5" s="4082">
        <v>11688462.98</v>
      </c>
      <c r="CI5" s="4082">
        <v>5194708.54</v>
      </c>
      <c r="CJ5" s="4082">
        <v>0</v>
      </c>
      <c r="CK5" s="4082">
        <v>114627.86</v>
      </c>
      <c r="CL5" s="4082">
        <v>16011178.869999999</v>
      </c>
      <c r="CM5" s="4082">
        <v>7717495.8099999996</v>
      </c>
      <c r="CN5" s="4082">
        <v>0</v>
      </c>
      <c r="CO5" s="4082">
        <v>213350.19</v>
      </c>
      <c r="CP5" s="4082">
        <v>15689527.26</v>
      </c>
      <c r="CQ5" s="4082">
        <v>6335585.0300000003</v>
      </c>
      <c r="CR5" s="4082">
        <v>0</v>
      </c>
      <c r="CS5" s="4082">
        <v>507000.61</v>
      </c>
      <c r="CT5" s="4082">
        <v>14171789.039999999</v>
      </c>
      <c r="CU5" s="4082">
        <v>7664962.9400000004</v>
      </c>
      <c r="CV5" s="4082">
        <v>0</v>
      </c>
      <c r="CW5" s="4082">
        <v>1331576.8600000001</v>
      </c>
      <c r="CX5" s="4082">
        <v>13157257.73</v>
      </c>
      <c r="CY5" s="4082">
        <v>2174340.5</v>
      </c>
      <c r="CZ5" s="4082">
        <v>0</v>
      </c>
      <c r="DA5" s="4082">
        <v>575634.89</v>
      </c>
      <c r="DB5" s="4082">
        <v>13632314.66</v>
      </c>
      <c r="DC5" s="4082">
        <v>2224734.41</v>
      </c>
      <c r="DD5" s="4082">
        <v>1967.32</v>
      </c>
      <c r="DE5" s="4082">
        <v>486696.22</v>
      </c>
      <c r="DF5" s="4082">
        <v>25594711.510000002</v>
      </c>
      <c r="DG5" s="4082">
        <v>2370225.81</v>
      </c>
      <c r="DH5" s="4082">
        <v>0</v>
      </c>
      <c r="DI5" s="4082">
        <v>868682.99</v>
      </c>
      <c r="DJ5" s="4082">
        <v>25493536.059999999</v>
      </c>
      <c r="DK5" s="4082">
        <v>2346882.06</v>
      </c>
      <c r="DL5" s="4082">
        <v>0</v>
      </c>
      <c r="DM5" s="4082">
        <v>361868.22</v>
      </c>
      <c r="DN5" s="4082">
        <v>38868790.289999999</v>
      </c>
      <c r="DO5" s="4082">
        <v>2202231.69</v>
      </c>
      <c r="DP5" s="4082">
        <v>0</v>
      </c>
      <c r="DQ5" s="4082">
        <v>570259.80000000005</v>
      </c>
      <c r="DR5" s="4083"/>
      <c r="DS5" s="4084">
        <f t="shared" si="0"/>
        <v>82025631.469999999</v>
      </c>
      <c r="DT5" s="4084">
        <f t="shared" si="1"/>
        <v>605945.04</v>
      </c>
      <c r="DU5" s="4084">
        <f t="shared" si="2"/>
        <v>68734907.060000002</v>
      </c>
      <c r="DV5" s="4084">
        <f t="shared" si="3"/>
        <v>607730.64</v>
      </c>
      <c r="DW5" s="4084">
        <f t="shared" si="4"/>
        <v>76660639</v>
      </c>
      <c r="DX5" s="4084">
        <f t="shared" si="5"/>
        <v>599253.88</v>
      </c>
      <c r="DY5" s="4084">
        <f t="shared" si="6"/>
        <v>75806358.420000002</v>
      </c>
      <c r="DZ5" s="4084">
        <f t="shared" si="7"/>
        <v>764134.7</v>
      </c>
      <c r="EA5" s="4084">
        <f t="shared" si="8"/>
        <v>76285639.620000005</v>
      </c>
      <c r="EB5" s="4084">
        <f t="shared" si="9"/>
        <v>487831.98000000004</v>
      </c>
      <c r="EC5" s="4084">
        <f t="shared" si="10"/>
        <v>72909284.230000004</v>
      </c>
      <c r="ED5" s="4084">
        <f t="shared" si="11"/>
        <v>397989.58</v>
      </c>
      <c r="EE5" s="4084">
        <f t="shared" si="12"/>
        <v>79445424.00999999</v>
      </c>
      <c r="EF5" s="4084">
        <f t="shared" si="13"/>
        <v>442410.95</v>
      </c>
      <c r="EG5" s="4084">
        <f t="shared" si="14"/>
        <v>74891721.370000005</v>
      </c>
      <c r="EH5" s="4085">
        <v>1116</v>
      </c>
      <c r="EI5" s="4084">
        <f t="shared" si="15"/>
        <v>67822523.299999997</v>
      </c>
      <c r="EJ5" s="4084">
        <f t="shared" si="16"/>
        <v>432836.64</v>
      </c>
      <c r="EK5" s="4084">
        <f t="shared" si="17"/>
        <v>62486609.569999993</v>
      </c>
      <c r="EL5" s="4084">
        <f t="shared" si="18"/>
        <v>435180.71</v>
      </c>
      <c r="EM5" s="4084">
        <f t="shared" si="19"/>
        <v>63793613.740000002</v>
      </c>
      <c r="EN5" s="4084">
        <f t="shared" si="20"/>
        <v>1000349.02</v>
      </c>
      <c r="EO5" s="4084">
        <f t="shared" si="21"/>
        <v>62584548.949999996</v>
      </c>
      <c r="EP5" s="4084">
        <f t="shared" si="22"/>
        <v>687745.07</v>
      </c>
      <c r="EQ5" s="4084">
        <f t="shared" si="23"/>
        <v>71093984.150000006</v>
      </c>
      <c r="ER5" s="4084">
        <f t="shared" si="24"/>
        <v>834119.78</v>
      </c>
      <c r="ES5" s="4084">
        <f t="shared" si="25"/>
        <v>63664200.329999998</v>
      </c>
      <c r="ET5" s="4084">
        <f t="shared" si="26"/>
        <v>865286.83</v>
      </c>
      <c r="EU5" s="4084">
        <f t="shared" si="27"/>
        <v>33435319.740000002</v>
      </c>
      <c r="EV5" s="4084">
        <f t="shared" si="28"/>
        <v>847682.89</v>
      </c>
      <c r="EW5" s="4084">
        <f t="shared" si="29"/>
        <v>5516874.2199999997</v>
      </c>
      <c r="EX5" s="4085">
        <v>1116</v>
      </c>
      <c r="EY5" s="4084">
        <f t="shared" si="30"/>
        <v>8659749.2699999996</v>
      </c>
      <c r="EZ5" s="4084">
        <f t="shared" si="31"/>
        <v>45765.29</v>
      </c>
      <c r="FA5" s="4084">
        <f t="shared" si="32"/>
        <v>9987034.6899999995</v>
      </c>
      <c r="FB5" s="4084">
        <f t="shared" si="33"/>
        <v>978691.32</v>
      </c>
      <c r="FC5" s="4084">
        <f t="shared" si="34"/>
        <v>7907607.6099999994</v>
      </c>
      <c r="FD5" s="4084">
        <f t="shared" si="35"/>
        <v>177690.85</v>
      </c>
      <c r="FE5" s="4084">
        <f t="shared" si="36"/>
        <v>11969220.739999998</v>
      </c>
      <c r="FF5" s="4084">
        <f t="shared" si="37"/>
        <v>95841.48000000001</v>
      </c>
      <c r="FG5" s="4084">
        <f t="shared" si="38"/>
        <v>16883171.52</v>
      </c>
      <c r="FH5" s="4084">
        <f t="shared" si="39"/>
        <v>114627.86</v>
      </c>
      <c r="FI5" s="4084">
        <f t="shared" si="40"/>
        <v>23728674.68</v>
      </c>
      <c r="FJ5" s="4084">
        <f t="shared" si="41"/>
        <v>213350.19</v>
      </c>
      <c r="FK5" s="4084">
        <f t="shared" si="42"/>
        <v>22025112.289999999</v>
      </c>
      <c r="FL5" s="4084">
        <f t="shared" si="43"/>
        <v>507000.61</v>
      </c>
      <c r="FM5" s="4084">
        <f t="shared" si="44"/>
        <v>21836751.98</v>
      </c>
      <c r="FN5" s="4084">
        <f t="shared" si="45"/>
        <v>1331576.8600000001</v>
      </c>
      <c r="FO5" s="4084">
        <f t="shared" si="46"/>
        <v>15331598.23</v>
      </c>
      <c r="FP5" s="4084">
        <f t="shared" si="47"/>
        <v>575634.89</v>
      </c>
      <c r="FQ5" s="4084">
        <f t="shared" si="48"/>
        <v>15857049.07</v>
      </c>
      <c r="FR5" s="4084">
        <f t="shared" si="49"/>
        <v>488663.54</v>
      </c>
      <c r="FS5" s="4084">
        <f t="shared" si="50"/>
        <v>27964937.32</v>
      </c>
      <c r="FT5" s="4084">
        <f t="shared" si="51"/>
        <v>868682.99</v>
      </c>
      <c r="FU5" s="4084">
        <f t="shared" si="52"/>
        <v>27840418.119999997</v>
      </c>
      <c r="FV5" s="4084">
        <f t="shared" si="53"/>
        <v>361868.22</v>
      </c>
      <c r="FW5" s="4084">
        <f t="shared" ref="FW5:FW23" si="85">+DN5+DO5</f>
        <v>41071021.979999997</v>
      </c>
      <c r="FX5" s="4086">
        <f t="shared" ref="FX5:FX23" si="86">+DP5+DQ5</f>
        <v>570259.80000000005</v>
      </c>
      <c r="FY5" s="4087">
        <f t="shared" si="54"/>
        <v>82631576.510000005</v>
      </c>
      <c r="FZ5" s="4084">
        <f t="shared" si="55"/>
        <v>69342637.700000003</v>
      </c>
      <c r="GA5" s="4084">
        <f t="shared" si="56"/>
        <v>77259892.879999995</v>
      </c>
      <c r="GB5" s="4084">
        <f t="shared" si="57"/>
        <v>76570493.120000005</v>
      </c>
      <c r="GC5" s="4084">
        <f t="shared" si="58"/>
        <v>76773471.600000009</v>
      </c>
      <c r="GD5" s="4084">
        <f t="shared" si="59"/>
        <v>73307273.810000002</v>
      </c>
      <c r="GE5" s="4084">
        <f t="shared" si="60"/>
        <v>79887834.959999993</v>
      </c>
      <c r="GF5" s="4084">
        <f t="shared" si="61"/>
        <v>74892837.370000005</v>
      </c>
      <c r="GG5" s="4084">
        <f t="shared" si="62"/>
        <v>68255359.939999998</v>
      </c>
      <c r="GH5" s="4084">
        <f t="shared" si="63"/>
        <v>62921790.279999994</v>
      </c>
      <c r="GI5" s="4084">
        <f t="shared" si="64"/>
        <v>64793962.760000005</v>
      </c>
      <c r="GJ5" s="4086">
        <f t="shared" si="65"/>
        <v>63272294.019999996</v>
      </c>
      <c r="GK5" s="4088">
        <f t="shared" si="66"/>
        <v>71928103.930000007</v>
      </c>
      <c r="GL5" s="4084">
        <f t="shared" si="67"/>
        <v>64529487.159999996</v>
      </c>
      <c r="GM5" s="4084">
        <f t="shared" si="68"/>
        <v>34283002.630000003</v>
      </c>
      <c r="GN5" s="4084">
        <f t="shared" si="69"/>
        <v>5517990.2199999997</v>
      </c>
      <c r="GO5" s="4084">
        <f t="shared" si="70"/>
        <v>8705514.5599999987</v>
      </c>
      <c r="GP5" s="4084">
        <f t="shared" si="71"/>
        <v>10965726.01</v>
      </c>
      <c r="GQ5" s="4084">
        <f t="shared" si="72"/>
        <v>8085298.459999999</v>
      </c>
      <c r="GR5" s="4084">
        <f t="shared" si="73"/>
        <v>12065062.219999999</v>
      </c>
      <c r="GS5" s="4084">
        <f t="shared" si="74"/>
        <v>16997799.379999999</v>
      </c>
      <c r="GT5" s="4084">
        <f t="shared" si="75"/>
        <v>23942024.870000001</v>
      </c>
      <c r="GU5" s="4084">
        <f t="shared" si="76"/>
        <v>22532112.899999999</v>
      </c>
      <c r="GV5" s="4086">
        <f t="shared" si="77"/>
        <v>23168328.84</v>
      </c>
      <c r="GW5" s="4088">
        <f t="shared" si="78"/>
        <v>15907233.120000001</v>
      </c>
      <c r="GX5" s="4084">
        <f t="shared" si="79"/>
        <v>16345712.609999999</v>
      </c>
      <c r="GY5" s="4084">
        <f t="shared" si="80"/>
        <v>28833620.309999999</v>
      </c>
      <c r="GZ5" s="4084">
        <f t="shared" si="81"/>
        <v>28202286.339999996</v>
      </c>
      <c r="HA5" s="4084">
        <f t="shared" ref="HA5:HA23" si="87">+FW5+FX5</f>
        <v>41641281.779999994</v>
      </c>
      <c r="HB5" s="4089">
        <f>+AVERAGE(GW5:HA5)</f>
        <v>26186026.831999999</v>
      </c>
      <c r="HC5" s="4089">
        <f>+AVERAGE(GX5:HB5)</f>
        <v>28241785.574399997</v>
      </c>
      <c r="HD5" s="4089">
        <f t="shared" ref="HC5:HH20" si="88">+AVERAGE(GY5:HC5)</f>
        <v>30621000.167279996</v>
      </c>
      <c r="HE5" s="4089">
        <f t="shared" si="88"/>
        <v>30978476.138735998</v>
      </c>
      <c r="HF5" s="4089">
        <f t="shared" si="88"/>
        <v>31533714.098483197</v>
      </c>
      <c r="HG5" s="4089">
        <f t="shared" si="88"/>
        <v>29512200.562179834</v>
      </c>
      <c r="HH5" s="4090">
        <f t="shared" si="88"/>
        <v>30177435.308215804</v>
      </c>
      <c r="HI5" s="4091">
        <f t="shared" si="83"/>
        <v>869909424.95000005</v>
      </c>
      <c r="HJ5" s="4092">
        <f t="shared" si="84"/>
        <v>302720451.17999995</v>
      </c>
      <c r="HK5" s="4092">
        <f>SUM(GW5:HA5)</f>
        <v>130930134.16</v>
      </c>
      <c r="HL5" s="4093">
        <f t="shared" ref="HL5:HL23" si="89">SUM(GW5:HH5)</f>
        <v>338180772.84129483</v>
      </c>
      <c r="HM5" s="4094"/>
    </row>
    <row r="6" spans="1:221">
      <c r="A6" s="4095" t="s">
        <v>1672</v>
      </c>
      <c r="B6" s="4096" t="s">
        <v>1001</v>
      </c>
      <c r="C6" s="4096" t="s">
        <v>1669</v>
      </c>
      <c r="D6" s="4096" t="s">
        <v>1673</v>
      </c>
      <c r="E6" s="4097" t="s">
        <v>1674</v>
      </c>
      <c r="F6" s="4098">
        <v>6127650.5599999996</v>
      </c>
      <c r="G6" s="4098">
        <v>573640.06000000006</v>
      </c>
      <c r="H6" s="4098">
        <v>0</v>
      </c>
      <c r="I6" s="4098">
        <v>0</v>
      </c>
      <c r="J6" s="4098">
        <v>6037356.1200000001</v>
      </c>
      <c r="K6" s="4098">
        <v>515405.4</v>
      </c>
      <c r="L6" s="4098">
        <v>0</v>
      </c>
      <c r="M6" s="4098">
        <v>0</v>
      </c>
      <c r="N6" s="4098">
        <v>5994654.3200000003</v>
      </c>
      <c r="O6" s="4098">
        <v>573035.38</v>
      </c>
      <c r="P6" s="4098">
        <v>0</v>
      </c>
      <c r="Q6" s="4098">
        <v>0</v>
      </c>
      <c r="R6" s="4098">
        <v>5764712.6900000004</v>
      </c>
      <c r="S6" s="4098">
        <v>496245.85</v>
      </c>
      <c r="T6" s="4098">
        <v>0</v>
      </c>
      <c r="U6" s="4098">
        <v>0</v>
      </c>
      <c r="V6" s="4098">
        <v>5804023.3700000001</v>
      </c>
      <c r="W6" s="4098">
        <v>416763.78</v>
      </c>
      <c r="X6" s="4098">
        <v>0</v>
      </c>
      <c r="Y6" s="4098">
        <v>0</v>
      </c>
      <c r="Z6" s="4098">
        <v>5359984.1100000003</v>
      </c>
      <c r="AA6" s="4098">
        <v>463856.54</v>
      </c>
      <c r="AB6" s="4098">
        <v>0</v>
      </c>
      <c r="AC6" s="4098">
        <v>0</v>
      </c>
      <c r="AD6" s="4098">
        <v>6738352.0999999996</v>
      </c>
      <c r="AE6" s="4098">
        <v>483930.69</v>
      </c>
      <c r="AF6" s="4098">
        <v>0</v>
      </c>
      <c r="AG6" s="4098">
        <v>0</v>
      </c>
      <c r="AH6" s="4098">
        <v>6829743.9500000002</v>
      </c>
      <c r="AI6" s="4098">
        <v>411561.71</v>
      </c>
      <c r="AJ6" s="4098">
        <v>0</v>
      </c>
      <c r="AK6" s="4098">
        <v>0</v>
      </c>
      <c r="AL6" s="4098">
        <v>6714291.4500000002</v>
      </c>
      <c r="AM6" s="4098">
        <v>355951.35999999999</v>
      </c>
      <c r="AN6" s="4098">
        <v>0</v>
      </c>
      <c r="AO6" s="4098">
        <v>0</v>
      </c>
      <c r="AP6" s="4098">
        <v>6092710.25</v>
      </c>
      <c r="AQ6" s="4098">
        <v>437378.54</v>
      </c>
      <c r="AR6" s="4098">
        <v>0</v>
      </c>
      <c r="AS6" s="4098">
        <v>0</v>
      </c>
      <c r="AT6" s="4098">
        <v>5730421.9299999997</v>
      </c>
      <c r="AU6" s="4098">
        <v>462659.62</v>
      </c>
      <c r="AV6" s="4098">
        <v>0</v>
      </c>
      <c r="AW6" s="4098">
        <v>0</v>
      </c>
      <c r="AX6" s="4098">
        <v>4275538.1399999997</v>
      </c>
      <c r="AY6" s="4098">
        <v>519630.07</v>
      </c>
      <c r="AZ6" s="4098">
        <v>0</v>
      </c>
      <c r="BA6" s="4098">
        <v>0</v>
      </c>
      <c r="BB6" s="4098">
        <v>7013448.5499999998</v>
      </c>
      <c r="BC6" s="4098">
        <v>510752.51</v>
      </c>
      <c r="BD6" s="4098">
        <v>0</v>
      </c>
      <c r="BE6" s="4098">
        <v>0</v>
      </c>
      <c r="BF6" s="4098">
        <v>6189938.0300000003</v>
      </c>
      <c r="BG6" s="4098">
        <v>407038.33</v>
      </c>
      <c r="BH6" s="4098">
        <v>0</v>
      </c>
      <c r="BI6" s="4098">
        <v>0</v>
      </c>
      <c r="BJ6" s="4098">
        <v>3094906.68</v>
      </c>
      <c r="BK6" s="4098">
        <v>366912.57</v>
      </c>
      <c r="BL6" s="4098">
        <v>0</v>
      </c>
      <c r="BM6" s="4098">
        <v>0</v>
      </c>
      <c r="BN6" s="4098">
        <v>104330.28</v>
      </c>
      <c r="BO6" s="4098">
        <v>22598.83</v>
      </c>
      <c r="BP6" s="4098">
        <v>0</v>
      </c>
      <c r="BQ6" s="4098">
        <v>0</v>
      </c>
      <c r="BR6" s="4098">
        <v>167140.65</v>
      </c>
      <c r="BS6" s="4098">
        <v>4067.95</v>
      </c>
      <c r="BT6" s="4098">
        <v>0</v>
      </c>
      <c r="BU6" s="4098">
        <v>0</v>
      </c>
      <c r="BV6" s="4098">
        <v>1262350.73</v>
      </c>
      <c r="BW6" s="4098">
        <v>64174.61</v>
      </c>
      <c r="BX6" s="4098">
        <v>0</v>
      </c>
      <c r="BY6" s="4098">
        <v>0</v>
      </c>
      <c r="BZ6" s="4098">
        <v>1514550.25</v>
      </c>
      <c r="CA6" s="4098">
        <v>148437.26</v>
      </c>
      <c r="CB6" s="4098">
        <v>0</v>
      </c>
      <c r="CC6" s="4098">
        <v>0</v>
      </c>
      <c r="CD6" s="4098">
        <v>2425386.87</v>
      </c>
      <c r="CE6" s="4098">
        <v>279789.81</v>
      </c>
      <c r="CF6" s="4098">
        <v>0</v>
      </c>
      <c r="CG6" s="4098">
        <v>0</v>
      </c>
      <c r="CH6" s="4098">
        <v>3459862.17</v>
      </c>
      <c r="CI6" s="4098">
        <v>136533.56</v>
      </c>
      <c r="CJ6" s="4098">
        <v>0</v>
      </c>
      <c r="CK6" s="4098">
        <v>0</v>
      </c>
      <c r="CL6" s="4098">
        <v>3524506.15</v>
      </c>
      <c r="CM6" s="4098">
        <v>93848.13</v>
      </c>
      <c r="CN6" s="4098">
        <v>0</v>
      </c>
      <c r="CO6" s="4098">
        <v>0</v>
      </c>
      <c r="CP6" s="4098">
        <v>3073941.92</v>
      </c>
      <c r="CQ6" s="4098">
        <v>0</v>
      </c>
      <c r="CR6" s="4098">
        <v>0</v>
      </c>
      <c r="CS6" s="4098">
        <v>0</v>
      </c>
      <c r="CT6" s="4098">
        <v>2434612.8199999998</v>
      </c>
      <c r="CU6" s="4098">
        <v>157379.95000000001</v>
      </c>
      <c r="CV6" s="4098">
        <v>0</v>
      </c>
      <c r="CW6" s="4098">
        <v>0</v>
      </c>
      <c r="CX6" s="4098">
        <v>2329330.4500000002</v>
      </c>
      <c r="CY6" s="4098">
        <v>549042.75</v>
      </c>
      <c r="CZ6" s="4098">
        <v>0</v>
      </c>
      <c r="DA6" s="4098">
        <v>0</v>
      </c>
      <c r="DB6" s="4098">
        <v>3115333.61</v>
      </c>
      <c r="DC6" s="4098">
        <v>709455.01</v>
      </c>
      <c r="DD6" s="4098">
        <v>0</v>
      </c>
      <c r="DE6" s="4098">
        <v>0</v>
      </c>
      <c r="DF6" s="4098">
        <v>6182212.75</v>
      </c>
      <c r="DG6" s="4098">
        <v>709912.46</v>
      </c>
      <c r="DH6" s="4098">
        <v>0</v>
      </c>
      <c r="DI6" s="4098">
        <v>0</v>
      </c>
      <c r="DJ6" s="4098">
        <v>8869551.5099999998</v>
      </c>
      <c r="DK6" s="4098">
        <v>897607.99</v>
      </c>
      <c r="DL6" s="4098">
        <v>0</v>
      </c>
      <c r="DM6" s="4098">
        <v>0</v>
      </c>
      <c r="DN6" s="4098">
        <v>11634576.08</v>
      </c>
      <c r="DO6" s="4098">
        <v>1062818.83</v>
      </c>
      <c r="DP6" s="4098">
        <v>0</v>
      </c>
      <c r="DQ6" s="4098">
        <v>0</v>
      </c>
      <c r="DR6" s="4099"/>
      <c r="DS6" s="4100">
        <f t="shared" si="0"/>
        <v>6701290.6199999992</v>
      </c>
      <c r="DT6" s="4100">
        <f t="shared" si="1"/>
        <v>0</v>
      </c>
      <c r="DU6" s="4100">
        <f t="shared" si="2"/>
        <v>6552761.5200000005</v>
      </c>
      <c r="DV6" s="4100">
        <f t="shared" si="3"/>
        <v>0</v>
      </c>
      <c r="DW6" s="4100">
        <f t="shared" si="4"/>
        <v>6567689.7000000002</v>
      </c>
      <c r="DX6" s="4100">
        <f t="shared" si="5"/>
        <v>0</v>
      </c>
      <c r="DY6" s="4100">
        <f t="shared" si="6"/>
        <v>6260958.54</v>
      </c>
      <c r="DZ6" s="4100">
        <f t="shared" si="7"/>
        <v>0</v>
      </c>
      <c r="EA6" s="4100">
        <f t="shared" si="8"/>
        <v>6220787.1500000004</v>
      </c>
      <c r="EB6" s="4100">
        <f t="shared" si="9"/>
        <v>0</v>
      </c>
      <c r="EC6" s="4100">
        <f t="shared" si="10"/>
        <v>5823840.6500000004</v>
      </c>
      <c r="ED6" s="4100">
        <f t="shared" si="11"/>
        <v>0</v>
      </c>
      <c r="EE6" s="4100">
        <f t="shared" si="12"/>
        <v>7222282.79</v>
      </c>
      <c r="EF6" s="4100">
        <f t="shared" si="13"/>
        <v>0</v>
      </c>
      <c r="EG6" s="4100">
        <f t="shared" si="14"/>
        <v>7241305.6600000001</v>
      </c>
      <c r="EH6" s="4101">
        <v>1117</v>
      </c>
      <c r="EI6" s="4100">
        <f t="shared" si="15"/>
        <v>7070242.8100000005</v>
      </c>
      <c r="EJ6" s="4100">
        <f t="shared" si="16"/>
        <v>0</v>
      </c>
      <c r="EK6" s="4100">
        <f t="shared" si="17"/>
        <v>6530088.79</v>
      </c>
      <c r="EL6" s="4100">
        <f t="shared" si="18"/>
        <v>0</v>
      </c>
      <c r="EM6" s="4100">
        <f t="shared" si="19"/>
        <v>6193081.5499999998</v>
      </c>
      <c r="EN6" s="4100">
        <f t="shared" si="20"/>
        <v>0</v>
      </c>
      <c r="EO6" s="4100">
        <f t="shared" si="21"/>
        <v>4795168.21</v>
      </c>
      <c r="EP6" s="4100">
        <f t="shared" si="22"/>
        <v>0</v>
      </c>
      <c r="EQ6" s="4100">
        <f t="shared" si="23"/>
        <v>7524201.0599999996</v>
      </c>
      <c r="ER6" s="4100">
        <f t="shared" si="24"/>
        <v>0</v>
      </c>
      <c r="ES6" s="4100">
        <f t="shared" si="25"/>
        <v>6596976.3600000003</v>
      </c>
      <c r="ET6" s="4100">
        <f t="shared" si="26"/>
        <v>0</v>
      </c>
      <c r="EU6" s="4100">
        <f t="shared" si="27"/>
        <v>3461819.25</v>
      </c>
      <c r="EV6" s="4100">
        <f t="shared" si="28"/>
        <v>0</v>
      </c>
      <c r="EW6" s="4100">
        <f t="shared" si="29"/>
        <v>126929.11</v>
      </c>
      <c r="EX6" s="4101">
        <v>1117</v>
      </c>
      <c r="EY6" s="4100">
        <f t="shared" si="30"/>
        <v>171208.6</v>
      </c>
      <c r="EZ6" s="4100">
        <f t="shared" si="31"/>
        <v>0</v>
      </c>
      <c r="FA6" s="4100">
        <f t="shared" si="32"/>
        <v>1326525.3400000001</v>
      </c>
      <c r="FB6" s="4100">
        <f t="shared" si="33"/>
        <v>0</v>
      </c>
      <c r="FC6" s="4100">
        <f t="shared" si="34"/>
        <v>1662987.51</v>
      </c>
      <c r="FD6" s="4100">
        <f t="shared" si="35"/>
        <v>0</v>
      </c>
      <c r="FE6" s="4100">
        <f t="shared" si="36"/>
        <v>2705176.68</v>
      </c>
      <c r="FF6" s="4100">
        <f t="shared" si="37"/>
        <v>0</v>
      </c>
      <c r="FG6" s="4100">
        <f t="shared" si="38"/>
        <v>3596395.73</v>
      </c>
      <c r="FH6" s="4100">
        <f t="shared" si="39"/>
        <v>0</v>
      </c>
      <c r="FI6" s="4100">
        <f t="shared" si="40"/>
        <v>3618354.28</v>
      </c>
      <c r="FJ6" s="4100">
        <f t="shared" si="41"/>
        <v>0</v>
      </c>
      <c r="FK6" s="4100">
        <f t="shared" si="42"/>
        <v>3073941.92</v>
      </c>
      <c r="FL6" s="4100">
        <f t="shared" si="43"/>
        <v>0</v>
      </c>
      <c r="FM6" s="4100">
        <f t="shared" si="44"/>
        <v>2591992.77</v>
      </c>
      <c r="FN6" s="4100">
        <f t="shared" si="45"/>
        <v>0</v>
      </c>
      <c r="FO6" s="4100">
        <f t="shared" si="46"/>
        <v>2878373.2</v>
      </c>
      <c r="FP6" s="4100">
        <f t="shared" si="47"/>
        <v>0</v>
      </c>
      <c r="FQ6" s="4100">
        <f t="shared" si="48"/>
        <v>3824788.62</v>
      </c>
      <c r="FR6" s="4100">
        <f t="shared" si="49"/>
        <v>0</v>
      </c>
      <c r="FS6" s="4100">
        <f t="shared" si="50"/>
        <v>6892125.21</v>
      </c>
      <c r="FT6" s="4100">
        <f t="shared" si="51"/>
        <v>0</v>
      </c>
      <c r="FU6" s="4100">
        <f t="shared" si="52"/>
        <v>9767159.5</v>
      </c>
      <c r="FV6" s="4100">
        <f t="shared" si="53"/>
        <v>0</v>
      </c>
      <c r="FW6" s="4100">
        <f t="shared" si="85"/>
        <v>12697394.91</v>
      </c>
      <c r="FX6" s="4102">
        <f t="shared" si="86"/>
        <v>0</v>
      </c>
      <c r="FY6" s="4103">
        <f t="shared" si="54"/>
        <v>6701290.6199999992</v>
      </c>
      <c r="FZ6" s="4100">
        <f t="shared" si="55"/>
        <v>6552761.5200000005</v>
      </c>
      <c r="GA6" s="4100">
        <f t="shared" si="56"/>
        <v>6567689.7000000002</v>
      </c>
      <c r="GB6" s="4100">
        <f t="shared" si="57"/>
        <v>6260958.54</v>
      </c>
      <c r="GC6" s="4100">
        <f t="shared" si="58"/>
        <v>6220787.1500000004</v>
      </c>
      <c r="GD6" s="4100">
        <f t="shared" si="59"/>
        <v>5823840.6500000004</v>
      </c>
      <c r="GE6" s="4100">
        <f t="shared" si="60"/>
        <v>7222282.79</v>
      </c>
      <c r="GF6" s="4100">
        <f t="shared" si="61"/>
        <v>7242422.6600000001</v>
      </c>
      <c r="GG6" s="4100">
        <f t="shared" si="62"/>
        <v>7070242.8100000005</v>
      </c>
      <c r="GH6" s="4100">
        <f t="shared" si="63"/>
        <v>6530088.79</v>
      </c>
      <c r="GI6" s="4100">
        <f t="shared" si="64"/>
        <v>6193081.5499999998</v>
      </c>
      <c r="GJ6" s="4102">
        <f t="shared" si="65"/>
        <v>4795168.21</v>
      </c>
      <c r="GK6" s="4104">
        <f t="shared" si="66"/>
        <v>7524201.0599999996</v>
      </c>
      <c r="GL6" s="4100">
        <f t="shared" si="67"/>
        <v>6596976.3600000003</v>
      </c>
      <c r="GM6" s="4100">
        <f t="shared" si="68"/>
        <v>3461819.25</v>
      </c>
      <c r="GN6" s="4100">
        <f t="shared" si="69"/>
        <v>128046.11</v>
      </c>
      <c r="GO6" s="4100">
        <f t="shared" si="70"/>
        <v>171208.6</v>
      </c>
      <c r="GP6" s="4100">
        <f t="shared" si="71"/>
        <v>1326525.3400000001</v>
      </c>
      <c r="GQ6" s="4100">
        <f t="shared" si="72"/>
        <v>1662987.51</v>
      </c>
      <c r="GR6" s="4100">
        <f t="shared" si="73"/>
        <v>2705176.68</v>
      </c>
      <c r="GS6" s="4100">
        <f t="shared" si="74"/>
        <v>3596395.73</v>
      </c>
      <c r="GT6" s="4100">
        <f t="shared" si="75"/>
        <v>3618354.28</v>
      </c>
      <c r="GU6" s="4100">
        <f t="shared" si="76"/>
        <v>3073941.92</v>
      </c>
      <c r="GV6" s="4102">
        <f t="shared" si="77"/>
        <v>2591992.77</v>
      </c>
      <c r="GW6" s="4104">
        <f t="shared" si="78"/>
        <v>2878373.2</v>
      </c>
      <c r="GX6" s="4100">
        <f t="shared" si="79"/>
        <v>3824788.62</v>
      </c>
      <c r="GY6" s="4100">
        <f t="shared" si="80"/>
        <v>6892125.21</v>
      </c>
      <c r="GZ6" s="4100">
        <f t="shared" si="81"/>
        <v>9767159.5</v>
      </c>
      <c r="HA6" s="4100">
        <f t="shared" si="87"/>
        <v>12697394.91</v>
      </c>
      <c r="HB6" s="4089">
        <f t="shared" ref="HB6:HH23" si="90">+AVERAGE(GW6:HA6)</f>
        <v>7211968.2879999997</v>
      </c>
      <c r="HC6" s="4089">
        <f t="shared" si="88"/>
        <v>8078687.3055999996</v>
      </c>
      <c r="HD6" s="4089">
        <f t="shared" si="88"/>
        <v>8929467.0427200012</v>
      </c>
      <c r="HE6" s="4089">
        <f t="shared" si="88"/>
        <v>9336935.409264002</v>
      </c>
      <c r="HF6" s="4089">
        <f t="shared" si="88"/>
        <v>9250890.5911168009</v>
      </c>
      <c r="HG6" s="4089">
        <f t="shared" si="88"/>
        <v>8561589.7273401618</v>
      </c>
      <c r="HH6" s="4090">
        <f t="shared" si="88"/>
        <v>8831514.015208194</v>
      </c>
      <c r="HI6" s="4105">
        <f t="shared" si="83"/>
        <v>77180614.989999995</v>
      </c>
      <c r="HJ6" s="4106">
        <f t="shared" si="84"/>
        <v>36457625.610000007</v>
      </c>
      <c r="HK6" s="4106">
        <f t="shared" ref="HK6:HK23" si="91">SUM(GW6:HA6)</f>
        <v>36059841.439999998</v>
      </c>
      <c r="HL6" s="4093">
        <f t="shared" si="89"/>
        <v>96260893.819249168</v>
      </c>
      <c r="HM6" s="4107"/>
    </row>
    <row r="7" spans="1:221">
      <c r="A7" s="4095" t="s">
        <v>1672</v>
      </c>
      <c r="B7" s="4096" t="s">
        <v>1001</v>
      </c>
      <c r="C7" s="4096" t="s">
        <v>1675</v>
      </c>
      <c r="D7" s="4096" t="s">
        <v>1676</v>
      </c>
      <c r="E7" s="4097" t="s">
        <v>1677</v>
      </c>
      <c r="F7" s="4098">
        <v>229962.86</v>
      </c>
      <c r="G7" s="4098">
        <v>34338.410000000003</v>
      </c>
      <c r="H7" s="4098">
        <v>0</v>
      </c>
      <c r="I7" s="4098">
        <v>980</v>
      </c>
      <c r="J7" s="4098">
        <v>267479.28999999998</v>
      </c>
      <c r="K7" s="4098">
        <v>23654.97</v>
      </c>
      <c r="L7" s="4098">
        <v>0</v>
      </c>
      <c r="M7" s="4098">
        <v>460</v>
      </c>
      <c r="N7" s="4098">
        <v>260360.98</v>
      </c>
      <c r="O7" s="4098">
        <v>32934.53</v>
      </c>
      <c r="P7" s="4098">
        <v>0</v>
      </c>
      <c r="Q7" s="4098">
        <v>0</v>
      </c>
      <c r="R7" s="4098">
        <v>266847.64</v>
      </c>
      <c r="S7" s="4098">
        <v>81635.72</v>
      </c>
      <c r="T7" s="4098">
        <v>0</v>
      </c>
      <c r="U7" s="4098">
        <v>0</v>
      </c>
      <c r="V7" s="4098">
        <v>245837.63</v>
      </c>
      <c r="W7" s="4098">
        <v>91246.33</v>
      </c>
      <c r="X7" s="4098">
        <v>0</v>
      </c>
      <c r="Y7" s="4098">
        <v>390</v>
      </c>
      <c r="Z7" s="4098">
        <v>322409.11</v>
      </c>
      <c r="AA7" s="4098">
        <v>68240.820000000007</v>
      </c>
      <c r="AB7" s="4098">
        <v>0</v>
      </c>
      <c r="AC7" s="4098">
        <v>180</v>
      </c>
      <c r="AD7" s="4098">
        <v>255486.91</v>
      </c>
      <c r="AE7" s="4098">
        <v>68504.36</v>
      </c>
      <c r="AF7" s="4098">
        <v>0</v>
      </c>
      <c r="AG7" s="4098">
        <v>600</v>
      </c>
      <c r="AH7" s="4098">
        <v>233153.15</v>
      </c>
      <c r="AI7" s="4098">
        <v>61675.58</v>
      </c>
      <c r="AJ7" s="4098">
        <v>0</v>
      </c>
      <c r="AK7" s="4098">
        <v>0</v>
      </c>
      <c r="AL7" s="4098">
        <v>213070.75</v>
      </c>
      <c r="AM7" s="4098">
        <v>50608.09</v>
      </c>
      <c r="AN7" s="4098">
        <v>0</v>
      </c>
      <c r="AO7" s="4098">
        <v>0</v>
      </c>
      <c r="AP7" s="4098">
        <v>222274.77</v>
      </c>
      <c r="AQ7" s="4098">
        <v>54307.7</v>
      </c>
      <c r="AR7" s="4098">
        <v>0</v>
      </c>
      <c r="AS7" s="4098">
        <v>0</v>
      </c>
      <c r="AT7" s="4098">
        <v>254151.8</v>
      </c>
      <c r="AU7" s="4098">
        <v>45764.1</v>
      </c>
      <c r="AV7" s="4098">
        <v>0</v>
      </c>
      <c r="AW7" s="4098">
        <v>0</v>
      </c>
      <c r="AX7" s="4098">
        <v>429603.98</v>
      </c>
      <c r="AY7" s="4098">
        <v>113661.32</v>
      </c>
      <c r="AZ7" s="4098">
        <v>0</v>
      </c>
      <c r="BA7" s="4098">
        <v>0</v>
      </c>
      <c r="BB7" s="4098">
        <v>258302.1</v>
      </c>
      <c r="BC7" s="4098">
        <v>33594.28</v>
      </c>
      <c r="BD7" s="4098">
        <v>0</v>
      </c>
      <c r="BE7" s="4098">
        <v>0</v>
      </c>
      <c r="BF7" s="4098">
        <v>233625.17</v>
      </c>
      <c r="BG7" s="4098">
        <v>18183.04</v>
      </c>
      <c r="BH7" s="4098">
        <v>0</v>
      </c>
      <c r="BI7" s="4098">
        <v>0</v>
      </c>
      <c r="BJ7" s="4098">
        <v>144489.57</v>
      </c>
      <c r="BK7" s="4098">
        <v>10133.68</v>
      </c>
      <c r="BL7" s="4098">
        <v>0</v>
      </c>
      <c r="BM7" s="4098">
        <v>0</v>
      </c>
      <c r="BN7" s="4098">
        <v>30451.88</v>
      </c>
      <c r="BO7" s="4098">
        <v>6695.61</v>
      </c>
      <c r="BP7" s="4098">
        <v>0</v>
      </c>
      <c r="BQ7" s="4098">
        <v>0</v>
      </c>
      <c r="BR7" s="4098">
        <v>25857.16</v>
      </c>
      <c r="BS7" s="4098">
        <v>5382.71</v>
      </c>
      <c r="BT7" s="4098">
        <v>0</v>
      </c>
      <c r="BU7" s="4098">
        <v>0</v>
      </c>
      <c r="BV7" s="4098">
        <v>94496.08</v>
      </c>
      <c r="BW7" s="4098">
        <v>5482.62</v>
      </c>
      <c r="BX7" s="4098">
        <v>0</v>
      </c>
      <c r="BY7" s="4098">
        <v>0</v>
      </c>
      <c r="BZ7" s="4098">
        <v>23207.59</v>
      </c>
      <c r="CA7" s="4098">
        <v>5987.55</v>
      </c>
      <c r="CB7" s="4098">
        <v>0</v>
      </c>
      <c r="CC7" s="4098">
        <v>0</v>
      </c>
      <c r="CD7" s="4098">
        <v>19566.05</v>
      </c>
      <c r="CE7" s="4098">
        <v>13177.09</v>
      </c>
      <c r="CF7" s="4098">
        <v>0</v>
      </c>
      <c r="CG7" s="4098">
        <v>0</v>
      </c>
      <c r="CH7" s="4098">
        <v>19824.11</v>
      </c>
      <c r="CI7" s="4098">
        <v>22733.88</v>
      </c>
      <c r="CJ7" s="4098">
        <v>0</v>
      </c>
      <c r="CK7" s="4098">
        <v>0</v>
      </c>
      <c r="CL7" s="4098">
        <v>26902.15</v>
      </c>
      <c r="CM7" s="4098">
        <v>5085.4799999999996</v>
      </c>
      <c r="CN7" s="4098">
        <v>0</v>
      </c>
      <c r="CO7" s="4098">
        <v>45.3</v>
      </c>
      <c r="CP7" s="4098">
        <v>44852.02</v>
      </c>
      <c r="CQ7" s="4098">
        <v>8682.35</v>
      </c>
      <c r="CR7" s="4098">
        <v>0</v>
      </c>
      <c r="CS7" s="4098">
        <v>341.17</v>
      </c>
      <c r="CT7" s="4098">
        <v>136186.65</v>
      </c>
      <c r="CU7" s="4098">
        <v>29438.29</v>
      </c>
      <c r="CV7" s="4098">
        <v>0</v>
      </c>
      <c r="CW7" s="4098">
        <v>370.5</v>
      </c>
      <c r="CX7" s="4098">
        <v>30776.49</v>
      </c>
      <c r="CY7" s="4098">
        <v>9478.2000000000007</v>
      </c>
      <c r="CZ7" s="4098">
        <v>0</v>
      </c>
      <c r="DA7" s="4098">
        <v>698.64</v>
      </c>
      <c r="DB7" s="4098">
        <v>44915.63</v>
      </c>
      <c r="DC7" s="4098">
        <v>12844.23</v>
      </c>
      <c r="DD7" s="4098">
        <v>0</v>
      </c>
      <c r="DE7" s="4098">
        <v>451.62</v>
      </c>
      <c r="DF7" s="4098">
        <v>38506.800000000003</v>
      </c>
      <c r="DG7" s="4098">
        <v>9624.07</v>
      </c>
      <c r="DH7" s="4098">
        <v>0</v>
      </c>
      <c r="DI7" s="4098">
        <v>622.36</v>
      </c>
      <c r="DJ7" s="4098">
        <v>39310.870000000003</v>
      </c>
      <c r="DK7" s="4098">
        <v>8087.98</v>
      </c>
      <c r="DL7" s="4098">
        <v>0</v>
      </c>
      <c r="DM7" s="4098">
        <v>731.42</v>
      </c>
      <c r="DN7" s="4098">
        <v>39455.339999999997</v>
      </c>
      <c r="DO7" s="4098">
        <v>5975.25</v>
      </c>
      <c r="DP7" s="4098">
        <v>0</v>
      </c>
      <c r="DQ7" s="4098">
        <v>0</v>
      </c>
      <c r="DR7" s="4099"/>
      <c r="DS7" s="4100">
        <f t="shared" si="0"/>
        <v>264301.27</v>
      </c>
      <c r="DT7" s="4100">
        <f t="shared" si="1"/>
        <v>980</v>
      </c>
      <c r="DU7" s="4100">
        <f t="shared" si="2"/>
        <v>291134.26</v>
      </c>
      <c r="DV7" s="4100">
        <f t="shared" si="3"/>
        <v>460</v>
      </c>
      <c r="DW7" s="4100">
        <f t="shared" si="4"/>
        <v>293295.51</v>
      </c>
      <c r="DX7" s="4100">
        <f t="shared" si="5"/>
        <v>0</v>
      </c>
      <c r="DY7" s="4100">
        <f t="shared" si="6"/>
        <v>348483.36</v>
      </c>
      <c r="DZ7" s="4100">
        <f t="shared" si="7"/>
        <v>0</v>
      </c>
      <c r="EA7" s="4100">
        <f t="shared" si="8"/>
        <v>337083.96</v>
      </c>
      <c r="EB7" s="4100">
        <f t="shared" si="9"/>
        <v>390</v>
      </c>
      <c r="EC7" s="4100">
        <f t="shared" si="10"/>
        <v>390649.93</v>
      </c>
      <c r="ED7" s="4100">
        <f t="shared" si="11"/>
        <v>180</v>
      </c>
      <c r="EE7" s="4100">
        <f t="shared" si="12"/>
        <v>323991.27</v>
      </c>
      <c r="EF7" s="4100">
        <f t="shared" si="13"/>
        <v>600</v>
      </c>
      <c r="EG7" s="4100">
        <f t="shared" si="14"/>
        <v>294828.73</v>
      </c>
      <c r="EH7" s="4101">
        <v>1133</v>
      </c>
      <c r="EI7" s="4100">
        <f t="shared" si="15"/>
        <v>263678.83999999997</v>
      </c>
      <c r="EJ7" s="4100">
        <f t="shared" si="16"/>
        <v>0</v>
      </c>
      <c r="EK7" s="4100">
        <f t="shared" si="17"/>
        <v>276582.46999999997</v>
      </c>
      <c r="EL7" s="4100">
        <f t="shared" si="18"/>
        <v>0</v>
      </c>
      <c r="EM7" s="4100">
        <f t="shared" si="19"/>
        <v>299915.89999999997</v>
      </c>
      <c r="EN7" s="4100">
        <f t="shared" si="20"/>
        <v>0</v>
      </c>
      <c r="EO7" s="4100">
        <f t="shared" si="21"/>
        <v>543265.30000000005</v>
      </c>
      <c r="EP7" s="4100">
        <f t="shared" si="22"/>
        <v>0</v>
      </c>
      <c r="EQ7" s="4100">
        <f t="shared" si="23"/>
        <v>291896.38</v>
      </c>
      <c r="ER7" s="4100">
        <f t="shared" si="24"/>
        <v>0</v>
      </c>
      <c r="ES7" s="4100">
        <f t="shared" si="25"/>
        <v>251808.21000000002</v>
      </c>
      <c r="ET7" s="4100">
        <f t="shared" si="26"/>
        <v>0</v>
      </c>
      <c r="EU7" s="4100">
        <f t="shared" si="27"/>
        <v>154623.25</v>
      </c>
      <c r="EV7" s="4100">
        <f t="shared" si="28"/>
        <v>0</v>
      </c>
      <c r="EW7" s="4100">
        <f t="shared" si="29"/>
        <v>37147.49</v>
      </c>
      <c r="EX7" s="4101">
        <v>1133</v>
      </c>
      <c r="EY7" s="4100">
        <f t="shared" si="30"/>
        <v>31239.87</v>
      </c>
      <c r="EZ7" s="4100">
        <f t="shared" si="31"/>
        <v>0</v>
      </c>
      <c r="FA7" s="4100">
        <f t="shared" si="32"/>
        <v>99978.7</v>
      </c>
      <c r="FB7" s="4100">
        <f t="shared" si="33"/>
        <v>0</v>
      </c>
      <c r="FC7" s="4100">
        <f t="shared" si="34"/>
        <v>29195.14</v>
      </c>
      <c r="FD7" s="4100">
        <f t="shared" si="35"/>
        <v>0</v>
      </c>
      <c r="FE7" s="4100">
        <f t="shared" si="36"/>
        <v>32743.14</v>
      </c>
      <c r="FF7" s="4100">
        <f t="shared" si="37"/>
        <v>0</v>
      </c>
      <c r="FG7" s="4100">
        <f t="shared" si="38"/>
        <v>42557.990000000005</v>
      </c>
      <c r="FH7" s="4100">
        <f t="shared" si="39"/>
        <v>0</v>
      </c>
      <c r="FI7" s="4100">
        <f t="shared" si="40"/>
        <v>31987.63</v>
      </c>
      <c r="FJ7" s="4100">
        <f t="shared" si="41"/>
        <v>45.3</v>
      </c>
      <c r="FK7" s="4100">
        <f t="shared" si="42"/>
        <v>53534.369999999995</v>
      </c>
      <c r="FL7" s="4100">
        <f t="shared" si="43"/>
        <v>341.17</v>
      </c>
      <c r="FM7" s="4100">
        <f t="shared" si="44"/>
        <v>165624.94</v>
      </c>
      <c r="FN7" s="4100">
        <f t="shared" si="45"/>
        <v>370.5</v>
      </c>
      <c r="FO7" s="4100">
        <f t="shared" si="46"/>
        <v>40254.69</v>
      </c>
      <c r="FP7" s="4100">
        <f t="shared" si="47"/>
        <v>698.64</v>
      </c>
      <c r="FQ7" s="4100">
        <f t="shared" si="48"/>
        <v>57759.86</v>
      </c>
      <c r="FR7" s="4100">
        <f t="shared" si="49"/>
        <v>451.62</v>
      </c>
      <c r="FS7" s="4100">
        <f t="shared" si="50"/>
        <v>48130.87</v>
      </c>
      <c r="FT7" s="4100">
        <f t="shared" si="51"/>
        <v>622.36</v>
      </c>
      <c r="FU7" s="4100">
        <f t="shared" si="52"/>
        <v>47398.850000000006</v>
      </c>
      <c r="FV7" s="4100">
        <f t="shared" si="53"/>
        <v>731.42</v>
      </c>
      <c r="FW7" s="4100">
        <f t="shared" si="85"/>
        <v>45430.59</v>
      </c>
      <c r="FX7" s="4102">
        <f t="shared" si="86"/>
        <v>0</v>
      </c>
      <c r="FY7" s="4103">
        <f t="shared" si="54"/>
        <v>265281.27</v>
      </c>
      <c r="FZ7" s="4100">
        <f t="shared" si="55"/>
        <v>291594.26</v>
      </c>
      <c r="GA7" s="4100">
        <f t="shared" si="56"/>
        <v>293295.51</v>
      </c>
      <c r="GB7" s="4100">
        <f t="shared" si="57"/>
        <v>348483.36</v>
      </c>
      <c r="GC7" s="4100">
        <f t="shared" si="58"/>
        <v>337473.96</v>
      </c>
      <c r="GD7" s="4100">
        <f t="shared" si="59"/>
        <v>390829.93</v>
      </c>
      <c r="GE7" s="4100">
        <f t="shared" si="60"/>
        <v>324591.27</v>
      </c>
      <c r="GF7" s="4100">
        <f t="shared" si="61"/>
        <v>295961.73</v>
      </c>
      <c r="GG7" s="4100">
        <f t="shared" si="62"/>
        <v>263678.83999999997</v>
      </c>
      <c r="GH7" s="4100">
        <f t="shared" si="63"/>
        <v>276582.46999999997</v>
      </c>
      <c r="GI7" s="4100">
        <f t="shared" si="64"/>
        <v>299915.89999999997</v>
      </c>
      <c r="GJ7" s="4102">
        <f t="shared" si="65"/>
        <v>543265.30000000005</v>
      </c>
      <c r="GK7" s="4104">
        <f t="shared" si="66"/>
        <v>291896.38</v>
      </c>
      <c r="GL7" s="4100">
        <f t="shared" si="67"/>
        <v>251808.21000000002</v>
      </c>
      <c r="GM7" s="4100">
        <f t="shared" si="68"/>
        <v>154623.25</v>
      </c>
      <c r="GN7" s="4100">
        <f t="shared" si="69"/>
        <v>38280.49</v>
      </c>
      <c r="GO7" s="4100">
        <f t="shared" si="70"/>
        <v>31239.87</v>
      </c>
      <c r="GP7" s="4100">
        <f t="shared" si="71"/>
        <v>99978.7</v>
      </c>
      <c r="GQ7" s="4100">
        <f t="shared" si="72"/>
        <v>29195.14</v>
      </c>
      <c r="GR7" s="4100">
        <f t="shared" si="73"/>
        <v>32743.14</v>
      </c>
      <c r="GS7" s="4100">
        <f t="shared" si="74"/>
        <v>42557.990000000005</v>
      </c>
      <c r="GT7" s="4100">
        <f t="shared" si="75"/>
        <v>32032.93</v>
      </c>
      <c r="GU7" s="4100">
        <f t="shared" si="76"/>
        <v>53875.539999999994</v>
      </c>
      <c r="GV7" s="4102">
        <f t="shared" si="77"/>
        <v>165995.44</v>
      </c>
      <c r="GW7" s="4104">
        <f t="shared" si="78"/>
        <v>40953.33</v>
      </c>
      <c r="GX7" s="4100">
        <f t="shared" si="79"/>
        <v>58211.48</v>
      </c>
      <c r="GY7" s="4100">
        <f t="shared" si="80"/>
        <v>48753.23</v>
      </c>
      <c r="GZ7" s="4100">
        <f t="shared" si="81"/>
        <v>48130.270000000004</v>
      </c>
      <c r="HA7" s="4100">
        <f t="shared" si="87"/>
        <v>45430.59</v>
      </c>
      <c r="HB7" s="4089">
        <f t="shared" si="90"/>
        <v>48295.78</v>
      </c>
      <c r="HC7" s="4089">
        <f t="shared" si="88"/>
        <v>49764.270000000004</v>
      </c>
      <c r="HD7" s="4089">
        <f t="shared" si="88"/>
        <v>48074.828000000001</v>
      </c>
      <c r="HE7" s="4089">
        <f t="shared" si="88"/>
        <v>47939.147600000011</v>
      </c>
      <c r="HF7" s="4089">
        <f t="shared" si="88"/>
        <v>47900.923120000007</v>
      </c>
      <c r="HG7" s="4089">
        <f t="shared" si="88"/>
        <v>48394.989743999999</v>
      </c>
      <c r="HH7" s="4090">
        <f t="shared" si="88"/>
        <v>48414.831692799999</v>
      </c>
      <c r="HI7" s="4105">
        <f t="shared" si="83"/>
        <v>3930953.8</v>
      </c>
      <c r="HJ7" s="4106">
        <f t="shared" si="84"/>
        <v>1224227.08</v>
      </c>
      <c r="HK7" s="4106">
        <f t="shared" si="91"/>
        <v>241478.9</v>
      </c>
      <c r="HL7" s="4093">
        <f t="shared" si="89"/>
        <v>580263.67015680007</v>
      </c>
      <c r="HM7" s="4107"/>
    </row>
    <row r="8" spans="1:221">
      <c r="A8" s="4108" t="s">
        <v>789</v>
      </c>
      <c r="B8" s="4109" t="s">
        <v>1122</v>
      </c>
      <c r="C8" s="4109" t="s">
        <v>1678</v>
      </c>
      <c r="D8" s="4109" t="s">
        <v>1679</v>
      </c>
      <c r="E8" s="2084" t="s">
        <v>1680</v>
      </c>
      <c r="F8" s="4110">
        <v>6512004.8799999999</v>
      </c>
      <c r="G8" s="4110">
        <v>96117.53</v>
      </c>
      <c r="H8" s="4110">
        <v>0</v>
      </c>
      <c r="I8" s="4110">
        <v>76690.240000000005</v>
      </c>
      <c r="J8" s="4110">
        <v>7296149.29</v>
      </c>
      <c r="K8" s="4110">
        <v>106066.36</v>
      </c>
      <c r="L8" s="4110">
        <v>0</v>
      </c>
      <c r="M8" s="4110">
        <v>80813.16</v>
      </c>
      <c r="N8" s="4110">
        <v>7968435.1200000001</v>
      </c>
      <c r="O8" s="4110">
        <v>130700.98</v>
      </c>
      <c r="P8" s="4110">
        <v>0</v>
      </c>
      <c r="Q8" s="4110">
        <v>118598.73</v>
      </c>
      <c r="R8" s="4110">
        <v>8340682.6200000001</v>
      </c>
      <c r="S8" s="4110">
        <v>109251.43</v>
      </c>
      <c r="T8" s="4110">
        <v>0</v>
      </c>
      <c r="U8" s="4110">
        <v>93378.73</v>
      </c>
      <c r="V8" s="4110">
        <v>8423925.5600000005</v>
      </c>
      <c r="W8" s="4110">
        <v>174201.7</v>
      </c>
      <c r="X8" s="4110">
        <v>0</v>
      </c>
      <c r="Y8" s="4110">
        <v>116822.24</v>
      </c>
      <c r="Z8" s="4110">
        <v>8104396.5599999996</v>
      </c>
      <c r="AA8" s="4110">
        <v>159919.1</v>
      </c>
      <c r="AB8" s="4110">
        <v>0</v>
      </c>
      <c r="AC8" s="4110">
        <v>111953.51</v>
      </c>
      <c r="AD8" s="4110">
        <v>9150559.1099999994</v>
      </c>
      <c r="AE8" s="4110">
        <v>126927.9</v>
      </c>
      <c r="AF8" s="4110">
        <v>0</v>
      </c>
      <c r="AG8" s="4110">
        <v>90823.46</v>
      </c>
      <c r="AH8" s="4110">
        <v>8465867.5800000001</v>
      </c>
      <c r="AI8" s="4110">
        <v>114880.59</v>
      </c>
      <c r="AJ8" s="4110">
        <v>0</v>
      </c>
      <c r="AK8" s="4110">
        <v>117403.69</v>
      </c>
      <c r="AL8" s="4110">
        <v>8125339.3099999996</v>
      </c>
      <c r="AM8" s="4110">
        <v>113840.98</v>
      </c>
      <c r="AN8" s="4110">
        <v>0</v>
      </c>
      <c r="AO8" s="4110">
        <v>125580.92</v>
      </c>
      <c r="AP8" s="4110">
        <v>7181378.1200000001</v>
      </c>
      <c r="AQ8" s="4110">
        <v>126485.03</v>
      </c>
      <c r="AR8" s="4110">
        <v>0</v>
      </c>
      <c r="AS8" s="4110">
        <v>109525.03</v>
      </c>
      <c r="AT8" s="4110">
        <v>8800944.0299999993</v>
      </c>
      <c r="AU8" s="4110">
        <v>152171.24</v>
      </c>
      <c r="AV8" s="4110">
        <v>0</v>
      </c>
      <c r="AW8" s="4110">
        <v>157284.84</v>
      </c>
      <c r="AX8" s="4110">
        <v>10820441.83</v>
      </c>
      <c r="AY8" s="4110">
        <v>187729.7</v>
      </c>
      <c r="AZ8" s="4110">
        <v>3600</v>
      </c>
      <c r="BA8" s="4110">
        <v>104906.21</v>
      </c>
      <c r="BB8" s="4110">
        <v>7042243.7400000002</v>
      </c>
      <c r="BC8" s="4110">
        <v>141878.26999999999</v>
      </c>
      <c r="BD8" s="4110">
        <v>0</v>
      </c>
      <c r="BE8" s="4110">
        <v>114462.44</v>
      </c>
      <c r="BF8" s="4110">
        <v>6855498.2800000003</v>
      </c>
      <c r="BG8" s="4110">
        <v>165390.01</v>
      </c>
      <c r="BH8" s="4110">
        <v>0</v>
      </c>
      <c r="BI8" s="4110">
        <v>132394.79</v>
      </c>
      <c r="BJ8" s="4110">
        <v>3872803.81</v>
      </c>
      <c r="BK8" s="4110">
        <v>93557.21</v>
      </c>
      <c r="BL8" s="4110">
        <v>0</v>
      </c>
      <c r="BM8" s="4110">
        <v>71354.83</v>
      </c>
      <c r="BN8" s="4110">
        <v>907694.61</v>
      </c>
      <c r="BO8" s="4110">
        <v>109577.1</v>
      </c>
      <c r="BP8" s="4110">
        <v>0</v>
      </c>
      <c r="BQ8" s="4110">
        <v>3341</v>
      </c>
      <c r="BR8" s="4110">
        <v>1433300.3</v>
      </c>
      <c r="BS8" s="4110">
        <v>69216.11</v>
      </c>
      <c r="BT8" s="4110">
        <v>0</v>
      </c>
      <c r="BU8" s="4110">
        <v>0</v>
      </c>
      <c r="BV8" s="4110">
        <v>966378.49</v>
      </c>
      <c r="BW8" s="4110">
        <v>65675.5</v>
      </c>
      <c r="BX8" s="4110">
        <v>0</v>
      </c>
      <c r="BY8" s="4110">
        <v>3605</v>
      </c>
      <c r="BZ8" s="4110">
        <v>1002583.74</v>
      </c>
      <c r="CA8" s="4110">
        <v>63094.8</v>
      </c>
      <c r="CB8" s="4110">
        <v>0</v>
      </c>
      <c r="CC8" s="4110">
        <v>4.5199999999999996</v>
      </c>
      <c r="CD8" s="4110">
        <v>1240566.8999999999</v>
      </c>
      <c r="CE8" s="4110">
        <v>82203.47</v>
      </c>
      <c r="CF8" s="4110">
        <v>0</v>
      </c>
      <c r="CG8" s="4110">
        <v>0</v>
      </c>
      <c r="CH8" s="4110">
        <v>1473089.9</v>
      </c>
      <c r="CI8" s="4110">
        <v>68365.17</v>
      </c>
      <c r="CJ8" s="4110">
        <v>0</v>
      </c>
      <c r="CK8" s="4110">
        <v>0</v>
      </c>
      <c r="CL8" s="4110">
        <v>1742755.15</v>
      </c>
      <c r="CM8" s="4110">
        <v>76342.990000000005</v>
      </c>
      <c r="CN8" s="4110">
        <v>0</v>
      </c>
      <c r="CO8" s="4110">
        <v>0</v>
      </c>
      <c r="CP8" s="4110">
        <v>1905010.63</v>
      </c>
      <c r="CQ8" s="4110">
        <v>64895.71</v>
      </c>
      <c r="CR8" s="4110">
        <v>0</v>
      </c>
      <c r="CS8" s="4110">
        <v>195.3</v>
      </c>
      <c r="CT8" s="4110">
        <v>2904087.02</v>
      </c>
      <c r="CU8" s="4110">
        <v>179651.92</v>
      </c>
      <c r="CV8" s="4110">
        <v>0</v>
      </c>
      <c r="CW8" s="4110">
        <v>25492.73</v>
      </c>
      <c r="CX8" s="4110">
        <v>1839492.4</v>
      </c>
      <c r="CY8" s="4110">
        <v>64728.57</v>
      </c>
      <c r="CZ8" s="4110">
        <v>0</v>
      </c>
      <c r="DA8" s="4110">
        <v>2240</v>
      </c>
      <c r="DB8" s="4110">
        <v>2103705.7799999998</v>
      </c>
      <c r="DC8" s="4110">
        <v>61700.19</v>
      </c>
      <c r="DD8" s="4110">
        <v>0</v>
      </c>
      <c r="DE8" s="4110">
        <v>0</v>
      </c>
      <c r="DF8" s="4110">
        <v>2374409</v>
      </c>
      <c r="DG8" s="4110">
        <v>108997.27</v>
      </c>
      <c r="DH8" s="4110">
        <v>0</v>
      </c>
      <c r="DI8" s="4110">
        <v>2400</v>
      </c>
      <c r="DJ8" s="4110">
        <v>2218396.71</v>
      </c>
      <c r="DK8" s="4110">
        <v>62815.93</v>
      </c>
      <c r="DL8" s="4110">
        <v>0</v>
      </c>
      <c r="DM8" s="4110">
        <v>0</v>
      </c>
      <c r="DN8" s="4110">
        <v>2252626.85</v>
      </c>
      <c r="DO8" s="4110">
        <v>74912.160000000003</v>
      </c>
      <c r="DP8" s="4110">
        <v>0</v>
      </c>
      <c r="DQ8" s="4110">
        <v>53</v>
      </c>
      <c r="DR8" s="4111"/>
      <c r="DS8" s="4112">
        <f t="shared" si="0"/>
        <v>6608122.4100000001</v>
      </c>
      <c r="DT8" s="4112">
        <f t="shared" si="1"/>
        <v>76690.240000000005</v>
      </c>
      <c r="DU8" s="4112">
        <f t="shared" si="2"/>
        <v>7402215.6500000004</v>
      </c>
      <c r="DV8" s="4112">
        <f t="shared" si="3"/>
        <v>80813.16</v>
      </c>
      <c r="DW8" s="4112">
        <f t="shared" si="4"/>
        <v>8099136.1000000006</v>
      </c>
      <c r="DX8" s="4112">
        <f t="shared" si="5"/>
        <v>118598.73</v>
      </c>
      <c r="DY8" s="4112">
        <f t="shared" si="6"/>
        <v>8449934.0500000007</v>
      </c>
      <c r="DZ8" s="4112">
        <f t="shared" si="7"/>
        <v>93378.73</v>
      </c>
      <c r="EA8" s="4112">
        <f t="shared" si="8"/>
        <v>8598127.2599999998</v>
      </c>
      <c r="EB8" s="4112">
        <f t="shared" si="9"/>
        <v>116822.24</v>
      </c>
      <c r="EC8" s="4112">
        <f t="shared" si="10"/>
        <v>8264315.6599999992</v>
      </c>
      <c r="ED8" s="4112">
        <f t="shared" si="11"/>
        <v>111953.51</v>
      </c>
      <c r="EE8" s="4112">
        <f t="shared" si="12"/>
        <v>9277487.0099999998</v>
      </c>
      <c r="EF8" s="4112">
        <f t="shared" si="13"/>
        <v>90823.46</v>
      </c>
      <c r="EG8" s="4112">
        <f t="shared" si="14"/>
        <v>8580748.1699999999</v>
      </c>
      <c r="EH8" s="4113">
        <v>1138</v>
      </c>
      <c r="EI8" s="4112">
        <f t="shared" si="15"/>
        <v>8239180.29</v>
      </c>
      <c r="EJ8" s="4112">
        <f t="shared" si="16"/>
        <v>125580.92</v>
      </c>
      <c r="EK8" s="4112">
        <f t="shared" si="17"/>
        <v>7307863.1500000004</v>
      </c>
      <c r="EL8" s="4112">
        <f t="shared" si="18"/>
        <v>109525.03</v>
      </c>
      <c r="EM8" s="4112">
        <f t="shared" si="19"/>
        <v>8953115.2699999996</v>
      </c>
      <c r="EN8" s="4112">
        <f t="shared" si="20"/>
        <v>157284.84</v>
      </c>
      <c r="EO8" s="4112">
        <f t="shared" si="21"/>
        <v>11008171.529999999</v>
      </c>
      <c r="EP8" s="4112">
        <f t="shared" si="22"/>
        <v>108506.21</v>
      </c>
      <c r="EQ8" s="4112">
        <f t="shared" si="23"/>
        <v>7184122.0099999998</v>
      </c>
      <c r="ER8" s="4112">
        <f t="shared" si="24"/>
        <v>114462.44</v>
      </c>
      <c r="ES8" s="4112">
        <f t="shared" si="25"/>
        <v>7020888.29</v>
      </c>
      <c r="ET8" s="4112">
        <f t="shared" si="26"/>
        <v>132394.79</v>
      </c>
      <c r="EU8" s="4112">
        <f t="shared" si="27"/>
        <v>3966361.02</v>
      </c>
      <c r="EV8" s="4112">
        <f t="shared" si="28"/>
        <v>71354.83</v>
      </c>
      <c r="EW8" s="4112">
        <f t="shared" si="29"/>
        <v>1017271.71</v>
      </c>
      <c r="EX8" s="4113">
        <v>1138</v>
      </c>
      <c r="EY8" s="4112">
        <f t="shared" si="30"/>
        <v>1502516.4100000001</v>
      </c>
      <c r="EZ8" s="4112">
        <f t="shared" si="31"/>
        <v>0</v>
      </c>
      <c r="FA8" s="4112">
        <f t="shared" si="32"/>
        <v>1032053.99</v>
      </c>
      <c r="FB8" s="4112">
        <f t="shared" si="33"/>
        <v>3605</v>
      </c>
      <c r="FC8" s="4112">
        <f t="shared" si="34"/>
        <v>1065678.54</v>
      </c>
      <c r="FD8" s="4112">
        <f t="shared" si="35"/>
        <v>4.5199999999999996</v>
      </c>
      <c r="FE8" s="4112">
        <f t="shared" si="36"/>
        <v>1322770.3699999999</v>
      </c>
      <c r="FF8" s="4112">
        <f t="shared" si="37"/>
        <v>0</v>
      </c>
      <c r="FG8" s="4112">
        <f t="shared" si="38"/>
        <v>1541455.0699999998</v>
      </c>
      <c r="FH8" s="4112">
        <f t="shared" si="39"/>
        <v>0</v>
      </c>
      <c r="FI8" s="4112">
        <f t="shared" si="40"/>
        <v>1819098.14</v>
      </c>
      <c r="FJ8" s="4112">
        <f t="shared" si="41"/>
        <v>0</v>
      </c>
      <c r="FK8" s="4112">
        <f t="shared" si="42"/>
        <v>1969906.3399999999</v>
      </c>
      <c r="FL8" s="4112">
        <f t="shared" si="43"/>
        <v>195.3</v>
      </c>
      <c r="FM8" s="4112">
        <f t="shared" si="44"/>
        <v>3083738.94</v>
      </c>
      <c r="FN8" s="4112">
        <f t="shared" si="45"/>
        <v>25492.73</v>
      </c>
      <c r="FO8" s="4112">
        <f t="shared" si="46"/>
        <v>1904220.97</v>
      </c>
      <c r="FP8" s="4112">
        <f t="shared" si="47"/>
        <v>2240</v>
      </c>
      <c r="FQ8" s="4112">
        <f t="shared" si="48"/>
        <v>2165405.9699999997</v>
      </c>
      <c r="FR8" s="4112">
        <f t="shared" si="49"/>
        <v>0</v>
      </c>
      <c r="FS8" s="4112">
        <f t="shared" si="50"/>
        <v>2483406.27</v>
      </c>
      <c r="FT8" s="4112">
        <f t="shared" si="51"/>
        <v>2400</v>
      </c>
      <c r="FU8" s="4112">
        <f t="shared" si="52"/>
        <v>2281212.64</v>
      </c>
      <c r="FV8" s="4112">
        <f t="shared" si="53"/>
        <v>0</v>
      </c>
      <c r="FW8" s="4112">
        <f t="shared" si="85"/>
        <v>2327539.0100000002</v>
      </c>
      <c r="FX8" s="4114">
        <f t="shared" si="86"/>
        <v>53</v>
      </c>
      <c r="FY8" s="4115">
        <f t="shared" si="54"/>
        <v>6684812.6500000004</v>
      </c>
      <c r="FZ8" s="4112">
        <f t="shared" si="55"/>
        <v>7483028.8100000005</v>
      </c>
      <c r="GA8" s="4112">
        <f t="shared" si="56"/>
        <v>8217734.830000001</v>
      </c>
      <c r="GB8" s="4112">
        <f t="shared" si="57"/>
        <v>8543312.7800000012</v>
      </c>
      <c r="GC8" s="4112">
        <f t="shared" si="58"/>
        <v>8714949.5</v>
      </c>
      <c r="GD8" s="4112">
        <f t="shared" si="59"/>
        <v>8376269.169999999</v>
      </c>
      <c r="GE8" s="4112">
        <f t="shared" si="60"/>
        <v>9368310.4700000007</v>
      </c>
      <c r="GF8" s="4112">
        <f t="shared" si="61"/>
        <v>8581886.1699999999</v>
      </c>
      <c r="GG8" s="4112">
        <f t="shared" si="62"/>
        <v>8364761.21</v>
      </c>
      <c r="GH8" s="4112">
        <f t="shared" si="63"/>
        <v>7417388.1800000006</v>
      </c>
      <c r="GI8" s="4112">
        <f t="shared" si="64"/>
        <v>9110400.1099999994</v>
      </c>
      <c r="GJ8" s="4114">
        <f t="shared" si="65"/>
        <v>11116677.74</v>
      </c>
      <c r="GK8" s="4116">
        <f t="shared" si="66"/>
        <v>7298584.4500000002</v>
      </c>
      <c r="GL8" s="4112">
        <f t="shared" si="67"/>
        <v>7153283.0800000001</v>
      </c>
      <c r="GM8" s="4112">
        <f t="shared" si="68"/>
        <v>4037715.85</v>
      </c>
      <c r="GN8" s="4112">
        <f t="shared" si="69"/>
        <v>1018409.71</v>
      </c>
      <c r="GO8" s="4112">
        <f t="shared" si="70"/>
        <v>1502516.4100000001</v>
      </c>
      <c r="GP8" s="4112">
        <f t="shared" si="71"/>
        <v>1035658.99</v>
      </c>
      <c r="GQ8" s="4112">
        <f t="shared" si="72"/>
        <v>1065683.06</v>
      </c>
      <c r="GR8" s="4112">
        <f t="shared" si="73"/>
        <v>1322770.3699999999</v>
      </c>
      <c r="GS8" s="4112">
        <f t="shared" si="74"/>
        <v>1541455.0699999998</v>
      </c>
      <c r="GT8" s="4112">
        <f t="shared" si="75"/>
        <v>1819098.14</v>
      </c>
      <c r="GU8" s="4112">
        <f t="shared" si="76"/>
        <v>1970101.64</v>
      </c>
      <c r="GV8" s="4114">
        <f t="shared" si="77"/>
        <v>3109231.67</v>
      </c>
      <c r="GW8" s="4116">
        <f t="shared" si="78"/>
        <v>1906460.97</v>
      </c>
      <c r="GX8" s="4112">
        <f t="shared" si="79"/>
        <v>2165405.9699999997</v>
      </c>
      <c r="GY8" s="4112">
        <f t="shared" si="80"/>
        <v>2485806.27</v>
      </c>
      <c r="GZ8" s="4112">
        <f t="shared" si="81"/>
        <v>2281212.64</v>
      </c>
      <c r="HA8" s="4112">
        <f t="shared" si="87"/>
        <v>2327592.0100000002</v>
      </c>
      <c r="HB8" s="4089">
        <f t="shared" si="90"/>
        <v>2233295.5719999997</v>
      </c>
      <c r="HC8" s="4089">
        <f t="shared" si="88"/>
        <v>2298662.4924000003</v>
      </c>
      <c r="HD8" s="4089">
        <f t="shared" si="88"/>
        <v>2325313.7968799998</v>
      </c>
      <c r="HE8" s="4089">
        <f t="shared" si="88"/>
        <v>2293215.3022560002</v>
      </c>
      <c r="HF8" s="4089">
        <f t="shared" si="88"/>
        <v>2295615.8347071996</v>
      </c>
      <c r="HG8" s="4089">
        <f t="shared" si="88"/>
        <v>2289220.5996486405</v>
      </c>
      <c r="HH8" s="4090">
        <f t="shared" si="88"/>
        <v>2300405.6051783683</v>
      </c>
      <c r="HI8" s="4117">
        <f t="shared" si="83"/>
        <v>101979531.62</v>
      </c>
      <c r="HJ8" s="4118">
        <f t="shared" si="84"/>
        <v>32874508.440000005</v>
      </c>
      <c r="HK8" s="4118">
        <f t="shared" si="91"/>
        <v>11166477.859999999</v>
      </c>
      <c r="HL8" s="4093">
        <f t="shared" si="89"/>
        <v>27202207.063070208</v>
      </c>
      <c r="HM8" s="4119"/>
    </row>
    <row r="9" spans="1:221">
      <c r="A9" s="4108" t="s">
        <v>789</v>
      </c>
      <c r="B9" s="4109" t="s">
        <v>1122</v>
      </c>
      <c r="C9" s="4109" t="s">
        <v>1678</v>
      </c>
      <c r="D9" s="4109" t="s">
        <v>1681</v>
      </c>
      <c r="E9" s="2084" t="s">
        <v>1682</v>
      </c>
      <c r="F9" s="4110">
        <v>648042.88</v>
      </c>
      <c r="G9" s="4110">
        <v>142998.63</v>
      </c>
      <c r="H9" s="4110">
        <v>0</v>
      </c>
      <c r="I9" s="4110">
        <v>0</v>
      </c>
      <c r="J9" s="4110">
        <v>626704.46</v>
      </c>
      <c r="K9" s="4110">
        <v>148306.18</v>
      </c>
      <c r="L9" s="4110">
        <v>0</v>
      </c>
      <c r="M9" s="4110">
        <v>0</v>
      </c>
      <c r="N9" s="4110">
        <v>613370.41</v>
      </c>
      <c r="O9" s="4110">
        <v>135566.91</v>
      </c>
      <c r="P9" s="4110">
        <v>0</v>
      </c>
      <c r="Q9" s="4110">
        <v>0</v>
      </c>
      <c r="R9" s="4110">
        <v>673885.54</v>
      </c>
      <c r="S9" s="4110">
        <v>149297.41</v>
      </c>
      <c r="T9" s="4110">
        <v>0</v>
      </c>
      <c r="U9" s="4110">
        <v>0</v>
      </c>
      <c r="V9" s="4110">
        <v>656064.6</v>
      </c>
      <c r="W9" s="4110">
        <v>153039.6</v>
      </c>
      <c r="X9" s="4110">
        <v>0</v>
      </c>
      <c r="Y9" s="4110">
        <v>0</v>
      </c>
      <c r="Z9" s="4110">
        <v>653426.06999999995</v>
      </c>
      <c r="AA9" s="4110">
        <v>156825.73000000001</v>
      </c>
      <c r="AB9" s="4110">
        <v>0</v>
      </c>
      <c r="AC9" s="4110">
        <v>0</v>
      </c>
      <c r="AD9" s="4110">
        <v>770353.56</v>
      </c>
      <c r="AE9" s="4110">
        <v>176425.19</v>
      </c>
      <c r="AF9" s="4110">
        <v>0</v>
      </c>
      <c r="AG9" s="4110">
        <v>0</v>
      </c>
      <c r="AH9" s="4110">
        <v>761131.02</v>
      </c>
      <c r="AI9" s="4110">
        <v>105778.77</v>
      </c>
      <c r="AJ9" s="4110">
        <v>0</v>
      </c>
      <c r="AK9" s="4110">
        <v>0</v>
      </c>
      <c r="AL9" s="4110">
        <v>734352.94</v>
      </c>
      <c r="AM9" s="4110">
        <v>48950.58</v>
      </c>
      <c r="AN9" s="4110">
        <v>0</v>
      </c>
      <c r="AO9" s="4110">
        <v>0</v>
      </c>
      <c r="AP9" s="4110">
        <v>680517.44</v>
      </c>
      <c r="AQ9" s="4110">
        <v>71004.740000000005</v>
      </c>
      <c r="AR9" s="4110">
        <v>0</v>
      </c>
      <c r="AS9" s="4110">
        <v>0</v>
      </c>
      <c r="AT9" s="4110">
        <v>805173.16</v>
      </c>
      <c r="AU9" s="4110">
        <v>58351.46</v>
      </c>
      <c r="AV9" s="4110">
        <v>0</v>
      </c>
      <c r="AW9" s="4110">
        <v>0</v>
      </c>
      <c r="AX9" s="4110">
        <v>740002.15</v>
      </c>
      <c r="AY9" s="4110">
        <v>54358.400000000001</v>
      </c>
      <c r="AZ9" s="4110">
        <v>0</v>
      </c>
      <c r="BA9" s="4110">
        <v>0</v>
      </c>
      <c r="BB9" s="4110">
        <v>710938.85</v>
      </c>
      <c r="BC9" s="4110">
        <v>33658.43</v>
      </c>
      <c r="BD9" s="4110">
        <v>0</v>
      </c>
      <c r="BE9" s="4110">
        <v>0</v>
      </c>
      <c r="BF9" s="4110">
        <v>591137.79</v>
      </c>
      <c r="BG9" s="4110">
        <v>19624.88</v>
      </c>
      <c r="BH9" s="4110">
        <v>0</v>
      </c>
      <c r="BI9" s="4110">
        <v>0</v>
      </c>
      <c r="BJ9" s="4110">
        <v>375213.56</v>
      </c>
      <c r="BK9" s="4110">
        <v>14235.84</v>
      </c>
      <c r="BL9" s="4110">
        <v>0</v>
      </c>
      <c r="BM9" s="4110">
        <v>0</v>
      </c>
      <c r="BN9" s="4110">
        <v>132815.73000000001</v>
      </c>
      <c r="BO9" s="4110">
        <v>8191.01</v>
      </c>
      <c r="BP9" s="4110">
        <v>0</v>
      </c>
      <c r="BQ9" s="4110">
        <v>0</v>
      </c>
      <c r="BR9" s="4110">
        <v>190655</v>
      </c>
      <c r="BS9" s="4110">
        <v>16053.55</v>
      </c>
      <c r="BT9" s="4110">
        <v>0</v>
      </c>
      <c r="BU9" s="4110">
        <v>0</v>
      </c>
      <c r="BV9" s="4110">
        <v>269257.73</v>
      </c>
      <c r="BW9" s="4110">
        <v>28065.83</v>
      </c>
      <c r="BX9" s="4110">
        <v>0</v>
      </c>
      <c r="BY9" s="4110">
        <v>0</v>
      </c>
      <c r="BZ9" s="4110">
        <v>214088.73</v>
      </c>
      <c r="CA9" s="4110">
        <v>18755.150000000001</v>
      </c>
      <c r="CB9" s="4110">
        <v>0</v>
      </c>
      <c r="CC9" s="4110">
        <v>0</v>
      </c>
      <c r="CD9" s="4110">
        <v>188077</v>
      </c>
      <c r="CE9" s="4110">
        <v>16671.939999999999</v>
      </c>
      <c r="CF9" s="4110">
        <v>0</v>
      </c>
      <c r="CG9" s="4110">
        <v>0</v>
      </c>
      <c r="CH9" s="4110">
        <v>248198.46</v>
      </c>
      <c r="CI9" s="4110">
        <v>22624.57</v>
      </c>
      <c r="CJ9" s="4110">
        <v>0</v>
      </c>
      <c r="CK9" s="4110">
        <v>0</v>
      </c>
      <c r="CL9" s="4110">
        <v>244982.55</v>
      </c>
      <c r="CM9" s="4110">
        <v>22150.83</v>
      </c>
      <c r="CN9" s="4110">
        <v>0</v>
      </c>
      <c r="CO9" s="4110">
        <v>0</v>
      </c>
      <c r="CP9" s="4110">
        <v>264703.09999999998</v>
      </c>
      <c r="CQ9" s="4110">
        <v>20517.98</v>
      </c>
      <c r="CR9" s="4110">
        <v>0</v>
      </c>
      <c r="CS9" s="4110">
        <v>0</v>
      </c>
      <c r="CT9" s="4110">
        <v>637696.37</v>
      </c>
      <c r="CU9" s="4110">
        <v>45077.15</v>
      </c>
      <c r="CV9" s="4110">
        <v>0</v>
      </c>
      <c r="CW9" s="4110">
        <v>0</v>
      </c>
      <c r="CX9" s="4110">
        <v>257049.31</v>
      </c>
      <c r="CY9" s="4110">
        <v>31821.5</v>
      </c>
      <c r="CZ9" s="4110">
        <v>0</v>
      </c>
      <c r="DA9" s="4110">
        <v>0</v>
      </c>
      <c r="DB9" s="4110">
        <v>249825.88</v>
      </c>
      <c r="DC9" s="4110">
        <v>25814.55</v>
      </c>
      <c r="DD9" s="4110">
        <v>0</v>
      </c>
      <c r="DE9" s="4110">
        <v>0</v>
      </c>
      <c r="DF9" s="4110">
        <v>256844.36</v>
      </c>
      <c r="DG9" s="4110">
        <v>29384.44</v>
      </c>
      <c r="DH9" s="4110">
        <v>400</v>
      </c>
      <c r="DI9" s="4110">
        <v>0</v>
      </c>
      <c r="DJ9" s="4110">
        <v>227138.52</v>
      </c>
      <c r="DK9" s="4110">
        <v>25509.45</v>
      </c>
      <c r="DL9" s="4110">
        <v>0</v>
      </c>
      <c r="DM9" s="4110">
        <v>0</v>
      </c>
      <c r="DN9" s="4110">
        <v>214117.43</v>
      </c>
      <c r="DO9" s="4110">
        <v>13632.48</v>
      </c>
      <c r="DP9" s="4110">
        <v>0</v>
      </c>
      <c r="DQ9" s="4110">
        <v>0</v>
      </c>
      <c r="DR9" s="4111"/>
      <c r="DS9" s="4112">
        <f t="shared" si="0"/>
        <v>791041.51</v>
      </c>
      <c r="DT9" s="4112">
        <f t="shared" si="1"/>
        <v>0</v>
      </c>
      <c r="DU9" s="4112">
        <f t="shared" si="2"/>
        <v>775010.6399999999</v>
      </c>
      <c r="DV9" s="4112">
        <f t="shared" si="3"/>
        <v>0</v>
      </c>
      <c r="DW9" s="4112">
        <f t="shared" si="4"/>
        <v>748937.32000000007</v>
      </c>
      <c r="DX9" s="4112">
        <f t="shared" si="5"/>
        <v>0</v>
      </c>
      <c r="DY9" s="4112">
        <f t="shared" si="6"/>
        <v>823182.95000000007</v>
      </c>
      <c r="DZ9" s="4112">
        <f t="shared" si="7"/>
        <v>0</v>
      </c>
      <c r="EA9" s="4112">
        <f t="shared" si="8"/>
        <v>809104.2</v>
      </c>
      <c r="EB9" s="4112">
        <f t="shared" si="9"/>
        <v>0</v>
      </c>
      <c r="EC9" s="4112">
        <f t="shared" si="10"/>
        <v>810251.79999999993</v>
      </c>
      <c r="ED9" s="4112">
        <f t="shared" si="11"/>
        <v>0</v>
      </c>
      <c r="EE9" s="4112">
        <f t="shared" si="12"/>
        <v>946778.75</v>
      </c>
      <c r="EF9" s="4112">
        <f t="shared" si="13"/>
        <v>0</v>
      </c>
      <c r="EG9" s="4112">
        <f t="shared" si="14"/>
        <v>866909.79</v>
      </c>
      <c r="EH9" s="4113">
        <v>1140</v>
      </c>
      <c r="EI9" s="4112">
        <f t="shared" si="15"/>
        <v>783303.5199999999</v>
      </c>
      <c r="EJ9" s="4112">
        <f t="shared" si="16"/>
        <v>0</v>
      </c>
      <c r="EK9" s="4112">
        <f t="shared" si="17"/>
        <v>751522.17999999993</v>
      </c>
      <c r="EL9" s="4112">
        <f t="shared" si="18"/>
        <v>0</v>
      </c>
      <c r="EM9" s="4112">
        <f t="shared" si="19"/>
        <v>863524.62</v>
      </c>
      <c r="EN9" s="4112">
        <f t="shared" si="20"/>
        <v>0</v>
      </c>
      <c r="EO9" s="4112">
        <f t="shared" si="21"/>
        <v>794360.55</v>
      </c>
      <c r="EP9" s="4112">
        <f t="shared" si="22"/>
        <v>0</v>
      </c>
      <c r="EQ9" s="4112">
        <f t="shared" si="23"/>
        <v>744597.28</v>
      </c>
      <c r="ER9" s="4112">
        <f t="shared" si="24"/>
        <v>0</v>
      </c>
      <c r="ES9" s="4112">
        <f t="shared" si="25"/>
        <v>610762.67000000004</v>
      </c>
      <c r="ET9" s="4112">
        <f t="shared" si="26"/>
        <v>0</v>
      </c>
      <c r="EU9" s="4112">
        <f t="shared" si="27"/>
        <v>389449.4</v>
      </c>
      <c r="EV9" s="4112">
        <f t="shared" si="28"/>
        <v>0</v>
      </c>
      <c r="EW9" s="4112">
        <f t="shared" si="29"/>
        <v>141006.74000000002</v>
      </c>
      <c r="EX9" s="4113">
        <v>1140</v>
      </c>
      <c r="EY9" s="4112">
        <f t="shared" si="30"/>
        <v>206708.55</v>
      </c>
      <c r="EZ9" s="4112">
        <f t="shared" si="31"/>
        <v>0</v>
      </c>
      <c r="FA9" s="4112">
        <f t="shared" si="32"/>
        <v>297323.56</v>
      </c>
      <c r="FB9" s="4112">
        <f t="shared" si="33"/>
        <v>0</v>
      </c>
      <c r="FC9" s="4112">
        <f t="shared" si="34"/>
        <v>232843.88</v>
      </c>
      <c r="FD9" s="4112">
        <f t="shared" si="35"/>
        <v>0</v>
      </c>
      <c r="FE9" s="4112">
        <f t="shared" si="36"/>
        <v>204748.94</v>
      </c>
      <c r="FF9" s="4112">
        <f t="shared" si="37"/>
        <v>0</v>
      </c>
      <c r="FG9" s="4112">
        <f t="shared" si="38"/>
        <v>270823.02999999997</v>
      </c>
      <c r="FH9" s="4112">
        <f t="shared" si="39"/>
        <v>0</v>
      </c>
      <c r="FI9" s="4112">
        <f t="shared" si="40"/>
        <v>267133.38</v>
      </c>
      <c r="FJ9" s="4112">
        <f t="shared" si="41"/>
        <v>0</v>
      </c>
      <c r="FK9" s="4112">
        <f t="shared" si="42"/>
        <v>285221.07999999996</v>
      </c>
      <c r="FL9" s="4112">
        <f t="shared" si="43"/>
        <v>0</v>
      </c>
      <c r="FM9" s="4112">
        <f t="shared" si="44"/>
        <v>682773.52</v>
      </c>
      <c r="FN9" s="4112">
        <f t="shared" si="45"/>
        <v>0</v>
      </c>
      <c r="FO9" s="4112">
        <f t="shared" si="46"/>
        <v>288870.81</v>
      </c>
      <c r="FP9" s="4112">
        <f t="shared" si="47"/>
        <v>0</v>
      </c>
      <c r="FQ9" s="4112">
        <f t="shared" si="48"/>
        <v>275640.43</v>
      </c>
      <c r="FR9" s="4112">
        <f t="shared" si="49"/>
        <v>0</v>
      </c>
      <c r="FS9" s="4112">
        <f t="shared" si="50"/>
        <v>286228.8</v>
      </c>
      <c r="FT9" s="4112">
        <f t="shared" si="51"/>
        <v>400</v>
      </c>
      <c r="FU9" s="4112">
        <f t="shared" si="52"/>
        <v>252647.97</v>
      </c>
      <c r="FV9" s="4112">
        <f t="shared" si="53"/>
        <v>0</v>
      </c>
      <c r="FW9" s="4112">
        <f t="shared" si="85"/>
        <v>227749.91</v>
      </c>
      <c r="FX9" s="4114">
        <f t="shared" si="86"/>
        <v>0</v>
      </c>
      <c r="FY9" s="4115">
        <f t="shared" si="54"/>
        <v>791041.51</v>
      </c>
      <c r="FZ9" s="4112">
        <f t="shared" si="55"/>
        <v>775010.6399999999</v>
      </c>
      <c r="GA9" s="4112">
        <f t="shared" si="56"/>
        <v>748937.32000000007</v>
      </c>
      <c r="GB9" s="4112">
        <f t="shared" si="57"/>
        <v>823182.95000000007</v>
      </c>
      <c r="GC9" s="4112">
        <f t="shared" si="58"/>
        <v>809104.2</v>
      </c>
      <c r="GD9" s="4112">
        <f t="shared" si="59"/>
        <v>810251.79999999993</v>
      </c>
      <c r="GE9" s="4112">
        <f t="shared" si="60"/>
        <v>946778.75</v>
      </c>
      <c r="GF9" s="4112">
        <f t="shared" si="61"/>
        <v>868049.79</v>
      </c>
      <c r="GG9" s="4112">
        <f t="shared" si="62"/>
        <v>783303.5199999999</v>
      </c>
      <c r="GH9" s="4112">
        <f t="shared" si="63"/>
        <v>751522.17999999993</v>
      </c>
      <c r="GI9" s="4112">
        <f t="shared" si="64"/>
        <v>863524.62</v>
      </c>
      <c r="GJ9" s="4114">
        <f t="shared" si="65"/>
        <v>794360.55</v>
      </c>
      <c r="GK9" s="4116">
        <f t="shared" si="66"/>
        <v>744597.28</v>
      </c>
      <c r="GL9" s="4112">
        <f t="shared" si="67"/>
        <v>610762.67000000004</v>
      </c>
      <c r="GM9" s="4112">
        <f t="shared" si="68"/>
        <v>389449.4</v>
      </c>
      <c r="GN9" s="4112">
        <f t="shared" si="69"/>
        <v>142146.74000000002</v>
      </c>
      <c r="GO9" s="4112">
        <f t="shared" si="70"/>
        <v>206708.55</v>
      </c>
      <c r="GP9" s="4112">
        <f t="shared" si="71"/>
        <v>297323.56</v>
      </c>
      <c r="GQ9" s="4112">
        <f t="shared" si="72"/>
        <v>232843.88</v>
      </c>
      <c r="GR9" s="4112">
        <f t="shared" si="73"/>
        <v>204748.94</v>
      </c>
      <c r="GS9" s="4112">
        <f t="shared" si="74"/>
        <v>270823.02999999997</v>
      </c>
      <c r="GT9" s="4112">
        <f t="shared" si="75"/>
        <v>267133.38</v>
      </c>
      <c r="GU9" s="4112">
        <f t="shared" si="76"/>
        <v>285221.07999999996</v>
      </c>
      <c r="GV9" s="4114">
        <f t="shared" si="77"/>
        <v>682773.52</v>
      </c>
      <c r="GW9" s="4116">
        <f t="shared" si="78"/>
        <v>288870.81</v>
      </c>
      <c r="GX9" s="4112">
        <f t="shared" si="79"/>
        <v>275640.43</v>
      </c>
      <c r="GY9" s="4112">
        <f t="shared" si="80"/>
        <v>286628.8</v>
      </c>
      <c r="GZ9" s="4112">
        <f t="shared" si="81"/>
        <v>252647.97</v>
      </c>
      <c r="HA9" s="4112">
        <f t="shared" si="87"/>
        <v>227749.91</v>
      </c>
      <c r="HB9" s="4089">
        <f t="shared" si="90"/>
        <v>266307.58399999997</v>
      </c>
      <c r="HC9" s="4089">
        <f t="shared" si="88"/>
        <v>261794.93879999997</v>
      </c>
      <c r="HD9" s="4089">
        <f t="shared" si="88"/>
        <v>259025.84055999998</v>
      </c>
      <c r="HE9" s="4089">
        <f t="shared" si="88"/>
        <v>253505.24867199999</v>
      </c>
      <c r="HF9" s="4089">
        <f t="shared" si="88"/>
        <v>253676.70440639998</v>
      </c>
      <c r="HG9" s="4089">
        <f t="shared" si="88"/>
        <v>258862.06328767995</v>
      </c>
      <c r="HH9" s="4090">
        <f t="shared" si="88"/>
        <v>257372.95914521598</v>
      </c>
      <c r="HI9" s="4117">
        <f t="shared" si="83"/>
        <v>9765067.8300000001</v>
      </c>
      <c r="HJ9" s="4118">
        <f t="shared" si="84"/>
        <v>4334532.0299999993</v>
      </c>
      <c r="HK9" s="4118">
        <f t="shared" si="91"/>
        <v>1331537.9199999999</v>
      </c>
      <c r="HL9" s="4093">
        <f t="shared" si="89"/>
        <v>3142083.258871296</v>
      </c>
      <c r="HM9" s="4119"/>
    </row>
    <row r="10" spans="1:221">
      <c r="A10" s="4108" t="s">
        <v>789</v>
      </c>
      <c r="B10" s="4109" t="s">
        <v>1122</v>
      </c>
      <c r="C10" s="4109" t="s">
        <v>1678</v>
      </c>
      <c r="D10" s="4109" t="s">
        <v>1683</v>
      </c>
      <c r="E10" s="2084" t="s">
        <v>1684</v>
      </c>
      <c r="F10" s="4110">
        <v>13078.49</v>
      </c>
      <c r="G10" s="4110">
        <v>1896</v>
      </c>
      <c r="H10" s="4110">
        <v>0</v>
      </c>
      <c r="I10" s="4110">
        <v>0</v>
      </c>
      <c r="J10" s="4110">
        <v>10187.08</v>
      </c>
      <c r="K10" s="4110">
        <v>1867</v>
      </c>
      <c r="L10" s="4110">
        <v>0</v>
      </c>
      <c r="M10" s="4110">
        <v>0</v>
      </c>
      <c r="N10" s="4110">
        <v>16387.439999999999</v>
      </c>
      <c r="O10" s="4110">
        <v>1220</v>
      </c>
      <c r="P10" s="4110">
        <v>0</v>
      </c>
      <c r="Q10" s="4110">
        <v>0</v>
      </c>
      <c r="R10" s="4110">
        <v>16658.48</v>
      </c>
      <c r="S10" s="4110">
        <v>1170</v>
      </c>
      <c r="T10" s="4110">
        <v>0</v>
      </c>
      <c r="U10" s="4110">
        <v>0</v>
      </c>
      <c r="V10" s="4110">
        <v>18408.46</v>
      </c>
      <c r="W10" s="4110">
        <v>1472.25</v>
      </c>
      <c r="X10" s="4110">
        <v>0</v>
      </c>
      <c r="Y10" s="4110">
        <v>0</v>
      </c>
      <c r="Z10" s="4110">
        <v>33409.910000000003</v>
      </c>
      <c r="AA10" s="4110">
        <v>31347.360000000001</v>
      </c>
      <c r="AB10" s="4110">
        <v>0</v>
      </c>
      <c r="AC10" s="4110">
        <v>0</v>
      </c>
      <c r="AD10" s="4110">
        <v>23223.38</v>
      </c>
      <c r="AE10" s="4110">
        <v>1777</v>
      </c>
      <c r="AF10" s="4110">
        <v>0</v>
      </c>
      <c r="AG10" s="4110">
        <v>0</v>
      </c>
      <c r="AH10" s="4110">
        <v>26664.57</v>
      </c>
      <c r="AI10" s="4110">
        <v>685</v>
      </c>
      <c r="AJ10" s="4110">
        <v>0</v>
      </c>
      <c r="AK10" s="4110">
        <v>0</v>
      </c>
      <c r="AL10" s="4110">
        <v>15332.25</v>
      </c>
      <c r="AM10" s="4110">
        <v>685</v>
      </c>
      <c r="AN10" s="4110">
        <v>0</v>
      </c>
      <c r="AO10" s="4110">
        <v>0</v>
      </c>
      <c r="AP10" s="4110">
        <v>15024.56</v>
      </c>
      <c r="AQ10" s="4110">
        <v>1170</v>
      </c>
      <c r="AR10" s="4110">
        <v>0</v>
      </c>
      <c r="AS10" s="4110">
        <v>0</v>
      </c>
      <c r="AT10" s="4110">
        <v>22603.55</v>
      </c>
      <c r="AU10" s="4110">
        <v>825</v>
      </c>
      <c r="AV10" s="4110">
        <v>0</v>
      </c>
      <c r="AW10" s="4110">
        <v>0</v>
      </c>
      <c r="AX10" s="4110">
        <v>24693.68</v>
      </c>
      <c r="AY10" s="4110">
        <v>20140.52</v>
      </c>
      <c r="AZ10" s="4110">
        <v>0</v>
      </c>
      <c r="BA10" s="4110">
        <v>0</v>
      </c>
      <c r="BB10" s="4110">
        <v>14085.6</v>
      </c>
      <c r="BC10" s="4110">
        <v>685</v>
      </c>
      <c r="BD10" s="4110">
        <v>0</v>
      </c>
      <c r="BE10" s="4110">
        <v>0</v>
      </c>
      <c r="BF10" s="4110">
        <v>16883.07</v>
      </c>
      <c r="BG10" s="4110">
        <v>1729</v>
      </c>
      <c r="BH10" s="4110">
        <v>0</v>
      </c>
      <c r="BI10" s="4110">
        <v>0</v>
      </c>
      <c r="BJ10" s="4110">
        <v>7434.42</v>
      </c>
      <c r="BK10" s="4110">
        <v>979</v>
      </c>
      <c r="BL10" s="4110">
        <v>0</v>
      </c>
      <c r="BM10" s="4110">
        <v>0</v>
      </c>
      <c r="BN10" s="4110">
        <v>1927.23</v>
      </c>
      <c r="BO10" s="4110">
        <v>1187</v>
      </c>
      <c r="BP10" s="4110">
        <v>0</v>
      </c>
      <c r="BQ10" s="4110">
        <v>0</v>
      </c>
      <c r="BR10" s="4110">
        <v>1700.6</v>
      </c>
      <c r="BS10" s="4110">
        <v>1235</v>
      </c>
      <c r="BT10" s="4110">
        <v>0</v>
      </c>
      <c r="BU10" s="4110">
        <v>0</v>
      </c>
      <c r="BV10" s="4110">
        <v>13669.84</v>
      </c>
      <c r="BW10" s="4110">
        <v>16435</v>
      </c>
      <c r="BX10" s="4110">
        <v>0</v>
      </c>
      <c r="BY10" s="4110">
        <v>0</v>
      </c>
      <c r="BZ10" s="4110">
        <v>2852.67</v>
      </c>
      <c r="CA10" s="4110">
        <v>11900</v>
      </c>
      <c r="CB10" s="4110">
        <v>0</v>
      </c>
      <c r="CC10" s="4110">
        <v>0</v>
      </c>
      <c r="CD10" s="4110">
        <v>2948.67</v>
      </c>
      <c r="CE10" s="4110">
        <v>261</v>
      </c>
      <c r="CF10" s="4110">
        <v>0</v>
      </c>
      <c r="CG10" s="4110">
        <v>0</v>
      </c>
      <c r="CH10" s="4110">
        <v>4275.78</v>
      </c>
      <c r="CI10" s="4110">
        <v>261</v>
      </c>
      <c r="CJ10" s="4110">
        <v>0</v>
      </c>
      <c r="CK10" s="4110">
        <v>0</v>
      </c>
      <c r="CL10" s="4110">
        <v>5003.3</v>
      </c>
      <c r="CM10" s="4110">
        <v>1082</v>
      </c>
      <c r="CN10" s="4110">
        <v>0</v>
      </c>
      <c r="CO10" s="4110">
        <v>0</v>
      </c>
      <c r="CP10" s="4110">
        <v>7406.96</v>
      </c>
      <c r="CQ10" s="4110">
        <v>260</v>
      </c>
      <c r="CR10" s="4110">
        <v>0</v>
      </c>
      <c r="CS10" s="4110">
        <v>0</v>
      </c>
      <c r="CT10" s="4110">
        <v>23331.88</v>
      </c>
      <c r="CU10" s="4110">
        <v>3510.1</v>
      </c>
      <c r="CV10" s="4110">
        <v>0</v>
      </c>
      <c r="CW10" s="4110">
        <v>0</v>
      </c>
      <c r="CX10" s="4110">
        <v>5543.08</v>
      </c>
      <c r="CY10" s="4110">
        <v>1760</v>
      </c>
      <c r="CZ10" s="4110">
        <v>0</v>
      </c>
      <c r="DA10" s="4110">
        <v>0</v>
      </c>
      <c r="DB10" s="4110">
        <v>5322.61</v>
      </c>
      <c r="DC10" s="4110">
        <v>260</v>
      </c>
      <c r="DD10" s="4110">
        <v>0</v>
      </c>
      <c r="DE10" s="4110">
        <v>0</v>
      </c>
      <c r="DF10" s="4110">
        <v>5663.19</v>
      </c>
      <c r="DG10" s="4110">
        <v>1260</v>
      </c>
      <c r="DH10" s="4110">
        <v>0</v>
      </c>
      <c r="DI10" s="4110">
        <v>0</v>
      </c>
      <c r="DJ10" s="4110">
        <v>4681.8999999999996</v>
      </c>
      <c r="DK10" s="4110">
        <v>1580</v>
      </c>
      <c r="DL10" s="4110">
        <v>0</v>
      </c>
      <c r="DM10" s="4110">
        <v>0</v>
      </c>
      <c r="DN10" s="4110">
        <v>4824.59</v>
      </c>
      <c r="DO10" s="4110">
        <v>260</v>
      </c>
      <c r="DP10" s="4110">
        <v>0</v>
      </c>
      <c r="DQ10" s="4110">
        <v>0</v>
      </c>
      <c r="DR10" s="4111"/>
      <c r="DS10" s="4112">
        <f t="shared" si="0"/>
        <v>14974.49</v>
      </c>
      <c r="DT10" s="4112">
        <f t="shared" si="1"/>
        <v>0</v>
      </c>
      <c r="DU10" s="4112">
        <f t="shared" si="2"/>
        <v>12054.08</v>
      </c>
      <c r="DV10" s="4112">
        <f t="shared" si="3"/>
        <v>0</v>
      </c>
      <c r="DW10" s="4112">
        <f t="shared" si="4"/>
        <v>17607.439999999999</v>
      </c>
      <c r="DX10" s="4112">
        <f t="shared" si="5"/>
        <v>0</v>
      </c>
      <c r="DY10" s="4112">
        <f t="shared" si="6"/>
        <v>17828.48</v>
      </c>
      <c r="DZ10" s="4112">
        <f t="shared" si="7"/>
        <v>0</v>
      </c>
      <c r="EA10" s="4112">
        <f t="shared" si="8"/>
        <v>19880.71</v>
      </c>
      <c r="EB10" s="4112">
        <f t="shared" si="9"/>
        <v>0</v>
      </c>
      <c r="EC10" s="4112">
        <f t="shared" si="10"/>
        <v>64757.270000000004</v>
      </c>
      <c r="ED10" s="4112">
        <f t="shared" si="11"/>
        <v>0</v>
      </c>
      <c r="EE10" s="4112">
        <f t="shared" si="12"/>
        <v>25000.38</v>
      </c>
      <c r="EF10" s="4112">
        <f t="shared" si="13"/>
        <v>0</v>
      </c>
      <c r="EG10" s="4112">
        <f t="shared" si="14"/>
        <v>27349.57</v>
      </c>
      <c r="EH10" s="4113">
        <v>1141</v>
      </c>
      <c r="EI10" s="4112">
        <f t="shared" si="15"/>
        <v>16017.25</v>
      </c>
      <c r="EJ10" s="4112">
        <f t="shared" si="16"/>
        <v>0</v>
      </c>
      <c r="EK10" s="4112">
        <f t="shared" si="17"/>
        <v>16194.56</v>
      </c>
      <c r="EL10" s="4112">
        <f t="shared" si="18"/>
        <v>0</v>
      </c>
      <c r="EM10" s="4112">
        <f t="shared" si="19"/>
        <v>23428.55</v>
      </c>
      <c r="EN10" s="4112">
        <f t="shared" si="20"/>
        <v>0</v>
      </c>
      <c r="EO10" s="4112">
        <f t="shared" si="21"/>
        <v>44834.2</v>
      </c>
      <c r="EP10" s="4112">
        <f t="shared" si="22"/>
        <v>0</v>
      </c>
      <c r="EQ10" s="4112">
        <f t="shared" si="23"/>
        <v>14770.6</v>
      </c>
      <c r="ER10" s="4112">
        <f t="shared" si="24"/>
        <v>0</v>
      </c>
      <c r="ES10" s="4112">
        <f t="shared" si="25"/>
        <v>18612.07</v>
      </c>
      <c r="ET10" s="4112">
        <f t="shared" si="26"/>
        <v>0</v>
      </c>
      <c r="EU10" s="4112">
        <f t="shared" si="27"/>
        <v>8413.42</v>
      </c>
      <c r="EV10" s="4112">
        <f t="shared" si="28"/>
        <v>0</v>
      </c>
      <c r="EW10" s="4112">
        <f t="shared" si="29"/>
        <v>3114.23</v>
      </c>
      <c r="EX10" s="4113">
        <v>1141</v>
      </c>
      <c r="EY10" s="4112">
        <f t="shared" si="30"/>
        <v>2935.6</v>
      </c>
      <c r="EZ10" s="4112">
        <f t="shared" si="31"/>
        <v>0</v>
      </c>
      <c r="FA10" s="4112">
        <f t="shared" si="32"/>
        <v>30104.84</v>
      </c>
      <c r="FB10" s="4112">
        <f t="shared" si="33"/>
        <v>0</v>
      </c>
      <c r="FC10" s="4112">
        <f t="shared" si="34"/>
        <v>14752.67</v>
      </c>
      <c r="FD10" s="4112">
        <f t="shared" si="35"/>
        <v>0</v>
      </c>
      <c r="FE10" s="4112">
        <f t="shared" si="36"/>
        <v>3209.67</v>
      </c>
      <c r="FF10" s="4112">
        <f t="shared" si="37"/>
        <v>0</v>
      </c>
      <c r="FG10" s="4112">
        <f t="shared" si="38"/>
        <v>4536.78</v>
      </c>
      <c r="FH10" s="4112">
        <f t="shared" si="39"/>
        <v>0</v>
      </c>
      <c r="FI10" s="4112">
        <f t="shared" si="40"/>
        <v>6085.3</v>
      </c>
      <c r="FJ10" s="4112">
        <f t="shared" si="41"/>
        <v>0</v>
      </c>
      <c r="FK10" s="4112">
        <f t="shared" si="42"/>
        <v>7666.96</v>
      </c>
      <c r="FL10" s="4112">
        <f t="shared" si="43"/>
        <v>0</v>
      </c>
      <c r="FM10" s="4112">
        <f t="shared" si="44"/>
        <v>26841.98</v>
      </c>
      <c r="FN10" s="4112">
        <f t="shared" si="45"/>
        <v>0</v>
      </c>
      <c r="FO10" s="4112">
        <f t="shared" si="46"/>
        <v>7303.08</v>
      </c>
      <c r="FP10" s="4112">
        <f t="shared" si="47"/>
        <v>0</v>
      </c>
      <c r="FQ10" s="4112">
        <f t="shared" si="48"/>
        <v>5582.61</v>
      </c>
      <c r="FR10" s="4112">
        <f t="shared" si="49"/>
        <v>0</v>
      </c>
      <c r="FS10" s="4112">
        <f t="shared" si="50"/>
        <v>6923.19</v>
      </c>
      <c r="FT10" s="4112">
        <f t="shared" si="51"/>
        <v>0</v>
      </c>
      <c r="FU10" s="4112">
        <f t="shared" si="52"/>
        <v>6261.9</v>
      </c>
      <c r="FV10" s="4112">
        <f t="shared" si="53"/>
        <v>0</v>
      </c>
      <c r="FW10" s="4112">
        <f t="shared" si="85"/>
        <v>5084.59</v>
      </c>
      <c r="FX10" s="4114">
        <f t="shared" si="86"/>
        <v>0</v>
      </c>
      <c r="FY10" s="4115">
        <f t="shared" si="54"/>
        <v>14974.49</v>
      </c>
      <c r="FZ10" s="4112">
        <f t="shared" si="55"/>
        <v>12054.08</v>
      </c>
      <c r="GA10" s="4112">
        <f t="shared" si="56"/>
        <v>17607.439999999999</v>
      </c>
      <c r="GB10" s="4112">
        <f t="shared" si="57"/>
        <v>17828.48</v>
      </c>
      <c r="GC10" s="4112">
        <f t="shared" si="58"/>
        <v>19880.71</v>
      </c>
      <c r="GD10" s="4112">
        <f t="shared" si="59"/>
        <v>64757.270000000004</v>
      </c>
      <c r="GE10" s="4112">
        <f t="shared" si="60"/>
        <v>25000.38</v>
      </c>
      <c r="GF10" s="4112">
        <f t="shared" si="61"/>
        <v>28490.57</v>
      </c>
      <c r="GG10" s="4112">
        <f t="shared" si="62"/>
        <v>16017.25</v>
      </c>
      <c r="GH10" s="4112">
        <f t="shared" si="63"/>
        <v>16194.56</v>
      </c>
      <c r="GI10" s="4112">
        <f t="shared" si="64"/>
        <v>23428.55</v>
      </c>
      <c r="GJ10" s="4114">
        <f t="shared" si="65"/>
        <v>44834.2</v>
      </c>
      <c r="GK10" s="4116">
        <f t="shared" si="66"/>
        <v>14770.6</v>
      </c>
      <c r="GL10" s="4112">
        <f t="shared" si="67"/>
        <v>18612.07</v>
      </c>
      <c r="GM10" s="4112">
        <f t="shared" si="68"/>
        <v>8413.42</v>
      </c>
      <c r="GN10" s="4112">
        <f t="shared" si="69"/>
        <v>4255.2299999999996</v>
      </c>
      <c r="GO10" s="4112">
        <f t="shared" si="70"/>
        <v>2935.6</v>
      </c>
      <c r="GP10" s="4112">
        <f t="shared" si="71"/>
        <v>30104.84</v>
      </c>
      <c r="GQ10" s="4112">
        <f t="shared" si="72"/>
        <v>14752.67</v>
      </c>
      <c r="GR10" s="4112">
        <f t="shared" si="73"/>
        <v>3209.67</v>
      </c>
      <c r="GS10" s="4112">
        <f t="shared" si="74"/>
        <v>4536.78</v>
      </c>
      <c r="GT10" s="4112">
        <f t="shared" si="75"/>
        <v>6085.3</v>
      </c>
      <c r="GU10" s="4112">
        <f t="shared" si="76"/>
        <v>7666.96</v>
      </c>
      <c r="GV10" s="4114">
        <f t="shared" si="77"/>
        <v>26841.98</v>
      </c>
      <c r="GW10" s="4116">
        <f t="shared" si="78"/>
        <v>7303.08</v>
      </c>
      <c r="GX10" s="4112">
        <f t="shared" si="79"/>
        <v>5582.61</v>
      </c>
      <c r="GY10" s="4112">
        <f t="shared" si="80"/>
        <v>6923.19</v>
      </c>
      <c r="GZ10" s="4112">
        <f t="shared" si="81"/>
        <v>6261.9</v>
      </c>
      <c r="HA10" s="4112">
        <f t="shared" si="87"/>
        <v>5084.59</v>
      </c>
      <c r="HB10" s="4089">
        <f t="shared" si="90"/>
        <v>6231.0739999999996</v>
      </c>
      <c r="HC10" s="4089">
        <f t="shared" si="88"/>
        <v>6016.6727999999994</v>
      </c>
      <c r="HD10" s="4089">
        <f t="shared" si="88"/>
        <v>6103.4853600000006</v>
      </c>
      <c r="HE10" s="4089">
        <f t="shared" si="88"/>
        <v>5939.5444319999997</v>
      </c>
      <c r="HF10" s="4089">
        <f t="shared" si="88"/>
        <v>5875.0733184000001</v>
      </c>
      <c r="HG10" s="4089">
        <f t="shared" si="88"/>
        <v>6033.1699820800004</v>
      </c>
      <c r="HH10" s="4090">
        <f t="shared" si="88"/>
        <v>5993.5891784959995</v>
      </c>
      <c r="HI10" s="4117">
        <f t="shared" si="83"/>
        <v>301067.98</v>
      </c>
      <c r="HJ10" s="4118">
        <f t="shared" si="84"/>
        <v>142185.12</v>
      </c>
      <c r="HK10" s="4118">
        <f t="shared" si="91"/>
        <v>31155.37</v>
      </c>
      <c r="HL10" s="4093">
        <f t="shared" si="89"/>
        <v>73347.979070975998</v>
      </c>
      <c r="HM10" s="4119"/>
    </row>
    <row r="11" spans="1:221">
      <c r="A11" s="4120" t="s">
        <v>990</v>
      </c>
      <c r="B11" s="4121" t="s">
        <v>1122</v>
      </c>
      <c r="C11" s="4121" t="s">
        <v>1685</v>
      </c>
      <c r="D11" s="4121" t="s">
        <v>1686</v>
      </c>
      <c r="E11" s="4122" t="s">
        <v>1687</v>
      </c>
      <c r="F11" s="4123">
        <v>56427284.899999999</v>
      </c>
      <c r="G11" s="4123">
        <v>1284242.6200000001</v>
      </c>
      <c r="H11" s="4123">
        <v>4754.3500000000004</v>
      </c>
      <c r="I11" s="4123">
        <v>0</v>
      </c>
      <c r="J11" s="4123">
        <v>56881404.270000003</v>
      </c>
      <c r="K11" s="4123">
        <v>1353545.09</v>
      </c>
      <c r="L11" s="4123">
        <v>336.89</v>
      </c>
      <c r="M11" s="4123">
        <v>0</v>
      </c>
      <c r="N11" s="4123">
        <v>62658373.280000001</v>
      </c>
      <c r="O11" s="4123">
        <v>1361376.54</v>
      </c>
      <c r="P11" s="4123">
        <v>879.84</v>
      </c>
      <c r="Q11" s="4123">
        <v>0</v>
      </c>
      <c r="R11" s="4123">
        <v>60972769.619999997</v>
      </c>
      <c r="S11" s="4123">
        <v>1138574</v>
      </c>
      <c r="T11" s="4123">
        <v>0</v>
      </c>
      <c r="U11" s="4123">
        <v>0</v>
      </c>
      <c r="V11" s="4123">
        <v>63982770.909999996</v>
      </c>
      <c r="W11" s="4123">
        <v>1291676.24</v>
      </c>
      <c r="X11" s="4123">
        <v>135.6</v>
      </c>
      <c r="Y11" s="4123">
        <v>0</v>
      </c>
      <c r="Z11" s="4123">
        <v>63383423.640000001</v>
      </c>
      <c r="AA11" s="4123">
        <v>3529602.47</v>
      </c>
      <c r="AB11" s="4123">
        <v>107873.04</v>
      </c>
      <c r="AC11" s="4123">
        <v>2278</v>
      </c>
      <c r="AD11" s="4123">
        <v>63792694.899999999</v>
      </c>
      <c r="AE11" s="4123">
        <v>1360715.79</v>
      </c>
      <c r="AF11" s="4123">
        <v>2260.0700000000002</v>
      </c>
      <c r="AG11" s="4123">
        <v>0</v>
      </c>
      <c r="AH11" s="4123">
        <v>65281011.159999996</v>
      </c>
      <c r="AI11" s="4123">
        <v>1222289.48</v>
      </c>
      <c r="AJ11" s="4123">
        <v>3804.68</v>
      </c>
      <c r="AK11" s="4123">
        <v>0</v>
      </c>
      <c r="AL11" s="4123">
        <v>60787415.090000004</v>
      </c>
      <c r="AM11" s="4123">
        <v>1318785.74</v>
      </c>
      <c r="AN11" s="4123">
        <v>920</v>
      </c>
      <c r="AO11" s="4123">
        <v>0</v>
      </c>
      <c r="AP11" s="4123">
        <v>53432133.950000003</v>
      </c>
      <c r="AQ11" s="4123">
        <v>1359207.5</v>
      </c>
      <c r="AR11" s="4123">
        <v>0</v>
      </c>
      <c r="AS11" s="4123">
        <v>0</v>
      </c>
      <c r="AT11" s="4123">
        <v>64397912.539999999</v>
      </c>
      <c r="AU11" s="4123">
        <v>1293916.8400000001</v>
      </c>
      <c r="AV11" s="4123">
        <v>10300.36</v>
      </c>
      <c r="AW11" s="4123">
        <v>3174.24</v>
      </c>
      <c r="AX11" s="4123">
        <v>82549089.75</v>
      </c>
      <c r="AY11" s="4123">
        <v>5154515.17</v>
      </c>
      <c r="AZ11" s="4123">
        <v>56959.76</v>
      </c>
      <c r="BA11" s="4123">
        <v>9244.74</v>
      </c>
      <c r="BB11" s="4123">
        <v>62382708.960000001</v>
      </c>
      <c r="BC11" s="4123">
        <v>1252180.96</v>
      </c>
      <c r="BD11" s="4123">
        <v>75597.88</v>
      </c>
      <c r="BE11" s="4123">
        <v>0</v>
      </c>
      <c r="BF11" s="4123">
        <v>62760590.149999999</v>
      </c>
      <c r="BG11" s="4123">
        <v>1241426.4099999999</v>
      </c>
      <c r="BH11" s="4123">
        <v>19185.060000000001</v>
      </c>
      <c r="BI11" s="4123">
        <v>1970</v>
      </c>
      <c r="BJ11" s="4123">
        <v>34447776.789999999</v>
      </c>
      <c r="BK11" s="4123">
        <v>793581.74</v>
      </c>
      <c r="BL11" s="4123">
        <v>16557.990000000002</v>
      </c>
      <c r="BM11" s="4123">
        <v>4034.3</v>
      </c>
      <c r="BN11" s="4123">
        <v>14930539.51</v>
      </c>
      <c r="BO11" s="4123">
        <v>716843.34</v>
      </c>
      <c r="BP11" s="4123">
        <v>7352.33</v>
      </c>
      <c r="BQ11" s="4123">
        <v>16186.11</v>
      </c>
      <c r="BR11" s="4123">
        <v>20886535.629999999</v>
      </c>
      <c r="BS11" s="4123">
        <v>973378.24</v>
      </c>
      <c r="BT11" s="4123">
        <v>53539.47</v>
      </c>
      <c r="BU11" s="4123">
        <v>5291.26</v>
      </c>
      <c r="BV11" s="4123">
        <v>28598390.879999999</v>
      </c>
      <c r="BW11" s="4123">
        <v>2369665.2599999998</v>
      </c>
      <c r="BX11" s="4123">
        <v>140.47</v>
      </c>
      <c r="BY11" s="4123">
        <v>2020</v>
      </c>
      <c r="BZ11" s="4123">
        <v>30450775.219999999</v>
      </c>
      <c r="CA11" s="4123">
        <v>819657.83</v>
      </c>
      <c r="CB11" s="4123">
        <v>244.7</v>
      </c>
      <c r="CC11" s="4123">
        <v>3329.26</v>
      </c>
      <c r="CD11" s="4123">
        <v>34645840.5</v>
      </c>
      <c r="CE11" s="4123">
        <v>1007301</v>
      </c>
      <c r="CF11" s="4123">
        <v>20747.59</v>
      </c>
      <c r="CG11" s="4123">
        <v>0</v>
      </c>
      <c r="CH11" s="4123">
        <v>38184948.289999999</v>
      </c>
      <c r="CI11" s="4123">
        <v>958356.75</v>
      </c>
      <c r="CJ11" s="4123">
        <v>0</v>
      </c>
      <c r="CK11" s="4123">
        <v>0</v>
      </c>
      <c r="CL11" s="4123">
        <v>43560863</v>
      </c>
      <c r="CM11" s="4123">
        <v>1227438.25</v>
      </c>
      <c r="CN11" s="4123">
        <v>86.5</v>
      </c>
      <c r="CO11" s="4123">
        <v>2858.3</v>
      </c>
      <c r="CP11" s="4123">
        <v>44145139.609999999</v>
      </c>
      <c r="CQ11" s="4123">
        <v>1067350.3500000001</v>
      </c>
      <c r="CR11" s="4123">
        <v>17409.09</v>
      </c>
      <c r="CS11" s="4123">
        <v>3000</v>
      </c>
      <c r="CT11" s="4123">
        <v>62707917.149999999</v>
      </c>
      <c r="CU11" s="4123">
        <v>3002512.66</v>
      </c>
      <c r="CV11" s="4123">
        <v>25226.78</v>
      </c>
      <c r="CW11" s="4123">
        <v>91168.68</v>
      </c>
      <c r="CX11" s="4123">
        <v>43801511.210000001</v>
      </c>
      <c r="CY11" s="4123">
        <v>966835.31</v>
      </c>
      <c r="CZ11" s="4123">
        <v>0</v>
      </c>
      <c r="DA11" s="4123">
        <v>0</v>
      </c>
      <c r="DB11" s="4123">
        <v>42443136.899999999</v>
      </c>
      <c r="DC11" s="4123">
        <v>930262.7</v>
      </c>
      <c r="DD11" s="4123">
        <v>0</v>
      </c>
      <c r="DE11" s="4123">
        <v>4861.5</v>
      </c>
      <c r="DF11" s="4123">
        <v>47490378.439999998</v>
      </c>
      <c r="DG11" s="4123">
        <v>978284.5</v>
      </c>
      <c r="DH11" s="4123">
        <v>9.68</v>
      </c>
      <c r="DI11" s="4123">
        <v>7053.83</v>
      </c>
      <c r="DJ11" s="4123">
        <v>40653839.560000002</v>
      </c>
      <c r="DK11" s="4123">
        <v>797725.97</v>
      </c>
      <c r="DL11" s="4123">
        <v>25900.959999999999</v>
      </c>
      <c r="DM11" s="4123">
        <v>10887.68</v>
      </c>
      <c r="DN11" s="4123">
        <v>42947228.200000003</v>
      </c>
      <c r="DO11" s="4123">
        <v>762193.62</v>
      </c>
      <c r="DP11" s="4123">
        <v>0</v>
      </c>
      <c r="DQ11" s="4123">
        <v>413.29</v>
      </c>
      <c r="DR11" s="4124"/>
      <c r="DS11" s="4125">
        <f t="shared" si="0"/>
        <v>57711527.519999996</v>
      </c>
      <c r="DT11" s="4125">
        <f t="shared" si="1"/>
        <v>4754.3500000000004</v>
      </c>
      <c r="DU11" s="4125">
        <f t="shared" si="2"/>
        <v>58234949.360000007</v>
      </c>
      <c r="DV11" s="4125">
        <f t="shared" si="3"/>
        <v>336.89</v>
      </c>
      <c r="DW11" s="4125">
        <f t="shared" si="4"/>
        <v>64019749.82</v>
      </c>
      <c r="DX11" s="4125">
        <f t="shared" si="5"/>
        <v>879.84</v>
      </c>
      <c r="DY11" s="4125">
        <f t="shared" si="6"/>
        <v>62111343.619999997</v>
      </c>
      <c r="DZ11" s="4125">
        <f t="shared" si="7"/>
        <v>0</v>
      </c>
      <c r="EA11" s="4125">
        <f t="shared" si="8"/>
        <v>65274447.149999999</v>
      </c>
      <c r="EB11" s="4125">
        <f t="shared" si="9"/>
        <v>135.6</v>
      </c>
      <c r="EC11" s="4125">
        <f t="shared" si="10"/>
        <v>66913026.109999999</v>
      </c>
      <c r="ED11" s="4125">
        <f t="shared" si="11"/>
        <v>110151.03999999999</v>
      </c>
      <c r="EE11" s="4125">
        <f t="shared" si="12"/>
        <v>65153410.689999998</v>
      </c>
      <c r="EF11" s="4125">
        <f t="shared" si="13"/>
        <v>2260.0700000000002</v>
      </c>
      <c r="EG11" s="4125">
        <f t="shared" si="14"/>
        <v>66503300.639999993</v>
      </c>
      <c r="EH11" s="4126">
        <v>1143</v>
      </c>
      <c r="EI11" s="4125">
        <f t="shared" si="15"/>
        <v>62106200.830000006</v>
      </c>
      <c r="EJ11" s="4125">
        <f t="shared" si="16"/>
        <v>920</v>
      </c>
      <c r="EK11" s="4125">
        <f t="shared" si="17"/>
        <v>54791341.450000003</v>
      </c>
      <c r="EL11" s="4125">
        <f t="shared" si="18"/>
        <v>0</v>
      </c>
      <c r="EM11" s="4125">
        <f t="shared" si="19"/>
        <v>65691829.380000003</v>
      </c>
      <c r="EN11" s="4125">
        <f t="shared" si="20"/>
        <v>13474.6</v>
      </c>
      <c r="EO11" s="4125">
        <f t="shared" si="21"/>
        <v>87703604.920000002</v>
      </c>
      <c r="EP11" s="4125">
        <f t="shared" si="22"/>
        <v>66204.5</v>
      </c>
      <c r="EQ11" s="4125">
        <f t="shared" si="23"/>
        <v>63634889.920000002</v>
      </c>
      <c r="ER11" s="4125">
        <f t="shared" si="24"/>
        <v>75597.88</v>
      </c>
      <c r="ES11" s="4125">
        <f t="shared" si="25"/>
        <v>64002016.559999995</v>
      </c>
      <c r="ET11" s="4125">
        <f t="shared" si="26"/>
        <v>21155.06</v>
      </c>
      <c r="EU11" s="4125">
        <f t="shared" si="27"/>
        <v>35241358.530000001</v>
      </c>
      <c r="EV11" s="4125">
        <f t="shared" si="28"/>
        <v>20592.29</v>
      </c>
      <c r="EW11" s="4125">
        <f t="shared" si="29"/>
        <v>15647382.85</v>
      </c>
      <c r="EX11" s="4126">
        <v>1143</v>
      </c>
      <c r="EY11" s="4125">
        <f t="shared" si="30"/>
        <v>21859913.869999997</v>
      </c>
      <c r="EZ11" s="4125">
        <f t="shared" si="31"/>
        <v>58830.73</v>
      </c>
      <c r="FA11" s="4125">
        <f t="shared" si="32"/>
        <v>30968056.140000001</v>
      </c>
      <c r="FB11" s="4125">
        <f t="shared" si="33"/>
        <v>2160.4699999999998</v>
      </c>
      <c r="FC11" s="4125">
        <f t="shared" si="34"/>
        <v>31270433.049999997</v>
      </c>
      <c r="FD11" s="4125">
        <f t="shared" si="35"/>
        <v>3573.96</v>
      </c>
      <c r="FE11" s="4125">
        <f t="shared" si="36"/>
        <v>35653141.5</v>
      </c>
      <c r="FF11" s="4125">
        <f t="shared" si="37"/>
        <v>20747.59</v>
      </c>
      <c r="FG11" s="4125">
        <f t="shared" si="38"/>
        <v>39143305.039999999</v>
      </c>
      <c r="FH11" s="4125">
        <f t="shared" si="39"/>
        <v>0</v>
      </c>
      <c r="FI11" s="4125">
        <f t="shared" si="40"/>
        <v>44788301.25</v>
      </c>
      <c r="FJ11" s="4125">
        <f t="shared" si="41"/>
        <v>2944.8</v>
      </c>
      <c r="FK11" s="4125">
        <f t="shared" si="42"/>
        <v>45212489.960000001</v>
      </c>
      <c r="FL11" s="4125">
        <f t="shared" si="43"/>
        <v>20409.09</v>
      </c>
      <c r="FM11" s="4125">
        <f t="shared" si="44"/>
        <v>65710429.810000002</v>
      </c>
      <c r="FN11" s="4125">
        <f t="shared" si="45"/>
        <v>116395.45999999999</v>
      </c>
      <c r="FO11" s="4125">
        <f t="shared" si="46"/>
        <v>44768346.520000003</v>
      </c>
      <c r="FP11" s="4125">
        <f t="shared" si="47"/>
        <v>0</v>
      </c>
      <c r="FQ11" s="4125">
        <f t="shared" si="48"/>
        <v>43373399.600000001</v>
      </c>
      <c r="FR11" s="4125">
        <f t="shared" si="49"/>
        <v>4861.5</v>
      </c>
      <c r="FS11" s="4125">
        <f t="shared" si="50"/>
        <v>48468662.939999998</v>
      </c>
      <c r="FT11" s="4125">
        <f t="shared" si="51"/>
        <v>7063.51</v>
      </c>
      <c r="FU11" s="4125">
        <f t="shared" si="52"/>
        <v>41451565.530000001</v>
      </c>
      <c r="FV11" s="4125">
        <f t="shared" si="53"/>
        <v>36788.639999999999</v>
      </c>
      <c r="FW11" s="4125">
        <f t="shared" si="85"/>
        <v>43709421.82</v>
      </c>
      <c r="FX11" s="4127">
        <f t="shared" si="86"/>
        <v>413.29</v>
      </c>
      <c r="FY11" s="4128">
        <f t="shared" si="54"/>
        <v>57716281.869999997</v>
      </c>
      <c r="FZ11" s="4125">
        <f t="shared" si="55"/>
        <v>58235286.250000007</v>
      </c>
      <c r="GA11" s="4125">
        <f t="shared" si="56"/>
        <v>64020629.660000004</v>
      </c>
      <c r="GB11" s="4125">
        <f t="shared" si="57"/>
        <v>62111343.619999997</v>
      </c>
      <c r="GC11" s="4125">
        <f t="shared" si="58"/>
        <v>65274582.75</v>
      </c>
      <c r="GD11" s="4125">
        <f t="shared" si="59"/>
        <v>67023177.149999999</v>
      </c>
      <c r="GE11" s="4125">
        <f t="shared" si="60"/>
        <v>65155670.759999998</v>
      </c>
      <c r="GF11" s="4125">
        <f t="shared" si="61"/>
        <v>66504443.639999993</v>
      </c>
      <c r="GG11" s="4125">
        <f t="shared" si="62"/>
        <v>62107120.830000006</v>
      </c>
      <c r="GH11" s="4125">
        <f t="shared" si="63"/>
        <v>54791341.450000003</v>
      </c>
      <c r="GI11" s="4125">
        <f t="shared" si="64"/>
        <v>65705303.980000004</v>
      </c>
      <c r="GJ11" s="4127">
        <f t="shared" si="65"/>
        <v>87769809.420000002</v>
      </c>
      <c r="GK11" s="4129">
        <f t="shared" si="66"/>
        <v>63710487.800000004</v>
      </c>
      <c r="GL11" s="4125">
        <f t="shared" si="67"/>
        <v>64023171.619999997</v>
      </c>
      <c r="GM11" s="4125">
        <f t="shared" si="68"/>
        <v>35261950.82</v>
      </c>
      <c r="GN11" s="4125">
        <f t="shared" si="69"/>
        <v>15648525.85</v>
      </c>
      <c r="GO11" s="4125">
        <f t="shared" si="70"/>
        <v>21918744.599999998</v>
      </c>
      <c r="GP11" s="4125">
        <f t="shared" si="71"/>
        <v>30970216.609999999</v>
      </c>
      <c r="GQ11" s="4125">
        <f t="shared" si="72"/>
        <v>31274007.009999998</v>
      </c>
      <c r="GR11" s="4125">
        <f t="shared" si="73"/>
        <v>35673889.090000004</v>
      </c>
      <c r="GS11" s="4125">
        <f t="shared" si="74"/>
        <v>39143305.039999999</v>
      </c>
      <c r="GT11" s="4125">
        <f t="shared" si="75"/>
        <v>44791246.049999997</v>
      </c>
      <c r="GU11" s="4125">
        <f t="shared" si="76"/>
        <v>45232899.050000004</v>
      </c>
      <c r="GV11" s="4127">
        <f t="shared" si="77"/>
        <v>65826825.270000003</v>
      </c>
      <c r="GW11" s="4129">
        <f t="shared" si="78"/>
        <v>44768346.520000003</v>
      </c>
      <c r="GX11" s="4125">
        <f t="shared" si="79"/>
        <v>43378261.100000001</v>
      </c>
      <c r="GY11" s="4125">
        <f t="shared" si="80"/>
        <v>48475726.449999996</v>
      </c>
      <c r="GZ11" s="4125">
        <f t="shared" si="81"/>
        <v>41488354.170000002</v>
      </c>
      <c r="HA11" s="4125">
        <f t="shared" si="87"/>
        <v>43709835.109999999</v>
      </c>
      <c r="HB11" s="4089">
        <f t="shared" si="90"/>
        <v>44364104.670000002</v>
      </c>
      <c r="HC11" s="4089">
        <f t="shared" si="88"/>
        <v>44283256.299999997</v>
      </c>
      <c r="HD11" s="4089">
        <f t="shared" si="88"/>
        <v>44464255.339999996</v>
      </c>
      <c r="HE11" s="4089">
        <f t="shared" si="88"/>
        <v>43661961.118000001</v>
      </c>
      <c r="HF11" s="4089">
        <f t="shared" si="88"/>
        <v>44096682.507599995</v>
      </c>
      <c r="HG11" s="4089">
        <f t="shared" si="88"/>
        <v>44174051.987119995</v>
      </c>
      <c r="HH11" s="4090">
        <f t="shared" si="88"/>
        <v>44136041.450543992</v>
      </c>
      <c r="HI11" s="4130">
        <f t="shared" si="83"/>
        <v>776414991.38</v>
      </c>
      <c r="HJ11" s="4131">
        <f t="shared" si="84"/>
        <v>493475268.81</v>
      </c>
      <c r="HK11" s="4131">
        <f t="shared" si="91"/>
        <v>221820523.35000002</v>
      </c>
      <c r="HL11" s="4093">
        <f t="shared" si="89"/>
        <v>531000876.72326398</v>
      </c>
      <c r="HM11" s="4132"/>
    </row>
    <row r="12" spans="1:221">
      <c r="A12" s="4120" t="s">
        <v>990</v>
      </c>
      <c r="B12" s="4121" t="s">
        <v>1122</v>
      </c>
      <c r="C12" s="4121" t="s">
        <v>1685</v>
      </c>
      <c r="D12" s="4121" t="s">
        <v>1688</v>
      </c>
      <c r="E12" s="4122" t="s">
        <v>1689</v>
      </c>
      <c r="F12" s="4123">
        <v>6128050.3499999996</v>
      </c>
      <c r="G12" s="4123">
        <v>140002.37</v>
      </c>
      <c r="H12" s="4123">
        <v>0</v>
      </c>
      <c r="I12" s="4123">
        <v>10</v>
      </c>
      <c r="J12" s="4123">
        <v>6399133.5300000003</v>
      </c>
      <c r="K12" s="4123">
        <v>139203.17000000001</v>
      </c>
      <c r="L12" s="4123">
        <v>0</v>
      </c>
      <c r="M12" s="4123">
        <v>10</v>
      </c>
      <c r="N12" s="4123">
        <v>7266426.29</v>
      </c>
      <c r="O12" s="4123">
        <v>161794.42000000001</v>
      </c>
      <c r="P12" s="4123">
        <v>589.95000000000005</v>
      </c>
      <c r="Q12" s="4123">
        <v>10</v>
      </c>
      <c r="R12" s="4123">
        <v>7076728.8600000003</v>
      </c>
      <c r="S12" s="4123">
        <v>149339.73000000001</v>
      </c>
      <c r="T12" s="4123">
        <v>0</v>
      </c>
      <c r="U12" s="4123">
        <v>10</v>
      </c>
      <c r="V12" s="4123">
        <v>7319028.3399999999</v>
      </c>
      <c r="W12" s="4123">
        <v>163419.04999999999</v>
      </c>
      <c r="X12" s="4123">
        <v>0</v>
      </c>
      <c r="Y12" s="4123">
        <v>10</v>
      </c>
      <c r="Z12" s="4123">
        <v>7366119.8600000003</v>
      </c>
      <c r="AA12" s="4123">
        <v>366663.69</v>
      </c>
      <c r="AB12" s="4123">
        <v>1172.71</v>
      </c>
      <c r="AC12" s="4123">
        <v>10</v>
      </c>
      <c r="AD12" s="4123">
        <v>7389935.9800000004</v>
      </c>
      <c r="AE12" s="4123">
        <v>161776.78</v>
      </c>
      <c r="AF12" s="4123">
        <v>0</v>
      </c>
      <c r="AG12" s="4123">
        <v>10</v>
      </c>
      <c r="AH12" s="4123">
        <v>7676306.4199999999</v>
      </c>
      <c r="AI12" s="4123">
        <v>201870.66</v>
      </c>
      <c r="AJ12" s="4123">
        <v>0</v>
      </c>
      <c r="AK12" s="4123">
        <v>10</v>
      </c>
      <c r="AL12" s="4123">
        <v>7037735.5899999999</v>
      </c>
      <c r="AM12" s="4123">
        <v>187819.39</v>
      </c>
      <c r="AN12" s="4123">
        <v>0</v>
      </c>
      <c r="AO12" s="4123">
        <v>0</v>
      </c>
      <c r="AP12" s="4123">
        <v>6405184.1500000004</v>
      </c>
      <c r="AQ12" s="4123">
        <v>179568.49</v>
      </c>
      <c r="AR12" s="4123">
        <v>0</v>
      </c>
      <c r="AS12" s="4123">
        <v>0</v>
      </c>
      <c r="AT12" s="4123">
        <v>7846144.29</v>
      </c>
      <c r="AU12" s="4123">
        <v>167975.7</v>
      </c>
      <c r="AV12" s="4123">
        <v>0</v>
      </c>
      <c r="AW12" s="4123">
        <v>0</v>
      </c>
      <c r="AX12" s="4123">
        <v>8859578.2100000009</v>
      </c>
      <c r="AY12" s="4123">
        <v>322511.65000000002</v>
      </c>
      <c r="AZ12" s="4123">
        <v>0</v>
      </c>
      <c r="BA12" s="4123">
        <v>0</v>
      </c>
      <c r="BB12" s="4123">
        <v>7546041.25</v>
      </c>
      <c r="BC12" s="4123">
        <v>1474174.76</v>
      </c>
      <c r="BD12" s="4123">
        <v>62.75</v>
      </c>
      <c r="BE12" s="4123">
        <v>0</v>
      </c>
      <c r="BF12" s="4123">
        <v>7403126.3799999999</v>
      </c>
      <c r="BG12" s="4123">
        <v>161051.93</v>
      </c>
      <c r="BH12" s="4123">
        <v>0</v>
      </c>
      <c r="BI12" s="4123">
        <v>0</v>
      </c>
      <c r="BJ12" s="4123">
        <v>3740238.96</v>
      </c>
      <c r="BK12" s="4123">
        <v>119560.69</v>
      </c>
      <c r="BL12" s="4123">
        <v>0</v>
      </c>
      <c r="BM12" s="4123">
        <v>0</v>
      </c>
      <c r="BN12" s="4123">
        <v>1334251.32</v>
      </c>
      <c r="BO12" s="4123">
        <v>97854.84</v>
      </c>
      <c r="BP12" s="4123">
        <v>0</v>
      </c>
      <c r="BQ12" s="4123">
        <v>0</v>
      </c>
      <c r="BR12" s="4123">
        <v>2990869.75</v>
      </c>
      <c r="BS12" s="4123">
        <v>134287.99</v>
      </c>
      <c r="BT12" s="4123">
        <v>197.75</v>
      </c>
      <c r="BU12" s="4123">
        <v>0</v>
      </c>
      <c r="BV12" s="4123">
        <v>4195090.6100000003</v>
      </c>
      <c r="BW12" s="4123">
        <v>232475.79</v>
      </c>
      <c r="BX12" s="4123">
        <v>0</v>
      </c>
      <c r="BY12" s="4123">
        <v>0</v>
      </c>
      <c r="BZ12" s="4123">
        <v>4706583.84</v>
      </c>
      <c r="CA12" s="4123">
        <v>128968.05</v>
      </c>
      <c r="CB12" s="4123">
        <v>0</v>
      </c>
      <c r="CC12" s="4123">
        <v>0</v>
      </c>
      <c r="CD12" s="4123">
        <v>5125689.42</v>
      </c>
      <c r="CE12" s="4123">
        <v>121457.92</v>
      </c>
      <c r="CF12" s="4123">
        <v>0</v>
      </c>
      <c r="CG12" s="4123">
        <v>0</v>
      </c>
      <c r="CH12" s="4123">
        <v>5417452.9900000002</v>
      </c>
      <c r="CI12" s="4123">
        <v>142997.84</v>
      </c>
      <c r="CJ12" s="4123">
        <v>0</v>
      </c>
      <c r="CK12" s="4123">
        <v>0</v>
      </c>
      <c r="CL12" s="4123">
        <v>6393995.4199999999</v>
      </c>
      <c r="CM12" s="4123">
        <v>187620.36</v>
      </c>
      <c r="CN12" s="4123">
        <v>0</v>
      </c>
      <c r="CO12" s="4123">
        <v>0</v>
      </c>
      <c r="CP12" s="4123">
        <v>6296430.4500000002</v>
      </c>
      <c r="CQ12" s="4123">
        <v>111376.64</v>
      </c>
      <c r="CR12" s="4123">
        <v>0</v>
      </c>
      <c r="CS12" s="4123">
        <v>0</v>
      </c>
      <c r="CT12" s="4123">
        <v>7313773.04</v>
      </c>
      <c r="CU12" s="4123">
        <v>253530.36</v>
      </c>
      <c r="CV12" s="4123">
        <v>0</v>
      </c>
      <c r="CW12" s="4123">
        <v>0</v>
      </c>
      <c r="CX12" s="4123">
        <v>5587080.0300000003</v>
      </c>
      <c r="CY12" s="4123">
        <v>127736.02</v>
      </c>
      <c r="CZ12" s="4123">
        <v>0</v>
      </c>
      <c r="DA12" s="4123">
        <v>0</v>
      </c>
      <c r="DB12" s="4123">
        <v>5315605.1900000004</v>
      </c>
      <c r="DC12" s="4123">
        <v>110029.56</v>
      </c>
      <c r="DD12" s="4123">
        <v>0</v>
      </c>
      <c r="DE12" s="4123">
        <v>0</v>
      </c>
      <c r="DF12" s="4123">
        <v>6180890.5800000001</v>
      </c>
      <c r="DG12" s="4123">
        <v>101667.27</v>
      </c>
      <c r="DH12" s="4123">
        <v>0</v>
      </c>
      <c r="DI12" s="4123">
        <v>0</v>
      </c>
      <c r="DJ12" s="4123">
        <v>5442893.7699999996</v>
      </c>
      <c r="DK12" s="4123">
        <v>119691.02</v>
      </c>
      <c r="DL12" s="4123">
        <v>0</v>
      </c>
      <c r="DM12" s="4123">
        <v>0</v>
      </c>
      <c r="DN12" s="4123">
        <v>5541396.2699999996</v>
      </c>
      <c r="DO12" s="4123">
        <v>93053.72</v>
      </c>
      <c r="DP12" s="4123">
        <v>0</v>
      </c>
      <c r="DQ12" s="4123">
        <v>0</v>
      </c>
      <c r="DR12" s="4124"/>
      <c r="DS12" s="4125">
        <f t="shared" si="0"/>
        <v>6268052.7199999997</v>
      </c>
      <c r="DT12" s="4125">
        <f t="shared" si="1"/>
        <v>10</v>
      </c>
      <c r="DU12" s="4125">
        <f t="shared" si="2"/>
        <v>6538336.7000000002</v>
      </c>
      <c r="DV12" s="4125">
        <f t="shared" si="3"/>
        <v>10</v>
      </c>
      <c r="DW12" s="4125">
        <f t="shared" si="4"/>
        <v>7428220.71</v>
      </c>
      <c r="DX12" s="4125">
        <f t="shared" si="5"/>
        <v>599.95000000000005</v>
      </c>
      <c r="DY12" s="4125">
        <f t="shared" si="6"/>
        <v>7226068.5900000008</v>
      </c>
      <c r="DZ12" s="4125">
        <f t="shared" si="7"/>
        <v>10</v>
      </c>
      <c r="EA12" s="4125">
        <f t="shared" si="8"/>
        <v>7482447.3899999997</v>
      </c>
      <c r="EB12" s="4125">
        <f t="shared" si="9"/>
        <v>10</v>
      </c>
      <c r="EC12" s="4125">
        <f t="shared" si="10"/>
        <v>7732783.5500000007</v>
      </c>
      <c r="ED12" s="4125">
        <f t="shared" si="11"/>
        <v>1182.71</v>
      </c>
      <c r="EE12" s="4125">
        <f t="shared" si="12"/>
        <v>7551712.7600000007</v>
      </c>
      <c r="EF12" s="4125">
        <f t="shared" si="13"/>
        <v>10</v>
      </c>
      <c r="EG12" s="4125">
        <f t="shared" si="14"/>
        <v>7878177.0800000001</v>
      </c>
      <c r="EH12" s="4126">
        <v>1144</v>
      </c>
      <c r="EI12" s="4125">
        <f t="shared" si="15"/>
        <v>7225554.9799999995</v>
      </c>
      <c r="EJ12" s="4125">
        <f t="shared" si="16"/>
        <v>0</v>
      </c>
      <c r="EK12" s="4125">
        <f t="shared" si="17"/>
        <v>6584752.6400000006</v>
      </c>
      <c r="EL12" s="4125">
        <f t="shared" si="18"/>
        <v>0</v>
      </c>
      <c r="EM12" s="4125">
        <f t="shared" si="19"/>
        <v>8014119.9900000002</v>
      </c>
      <c r="EN12" s="4125">
        <f t="shared" si="20"/>
        <v>0</v>
      </c>
      <c r="EO12" s="4125">
        <f t="shared" si="21"/>
        <v>9182089.8600000013</v>
      </c>
      <c r="EP12" s="4125">
        <f t="shared" si="22"/>
        <v>0</v>
      </c>
      <c r="EQ12" s="4125">
        <f t="shared" si="23"/>
        <v>9020216.0099999998</v>
      </c>
      <c r="ER12" s="4125">
        <f t="shared" si="24"/>
        <v>62.75</v>
      </c>
      <c r="ES12" s="4125">
        <f t="shared" si="25"/>
        <v>7564178.3099999996</v>
      </c>
      <c r="ET12" s="4125">
        <f t="shared" si="26"/>
        <v>0</v>
      </c>
      <c r="EU12" s="4125">
        <f t="shared" si="27"/>
        <v>3859799.65</v>
      </c>
      <c r="EV12" s="4125">
        <f t="shared" si="28"/>
        <v>0</v>
      </c>
      <c r="EW12" s="4125">
        <f t="shared" si="29"/>
        <v>1432106.1600000001</v>
      </c>
      <c r="EX12" s="4126">
        <v>1144</v>
      </c>
      <c r="EY12" s="4125">
        <f t="shared" si="30"/>
        <v>3125157.74</v>
      </c>
      <c r="EZ12" s="4125">
        <f t="shared" si="31"/>
        <v>197.75</v>
      </c>
      <c r="FA12" s="4125">
        <f t="shared" si="32"/>
        <v>4427566.4000000004</v>
      </c>
      <c r="FB12" s="4125">
        <f t="shared" si="33"/>
        <v>0</v>
      </c>
      <c r="FC12" s="4125">
        <f t="shared" si="34"/>
        <v>4835551.8899999997</v>
      </c>
      <c r="FD12" s="4125">
        <f t="shared" si="35"/>
        <v>0</v>
      </c>
      <c r="FE12" s="4125">
        <f t="shared" si="36"/>
        <v>5247147.34</v>
      </c>
      <c r="FF12" s="4125">
        <f t="shared" si="37"/>
        <v>0</v>
      </c>
      <c r="FG12" s="4125">
        <f t="shared" si="38"/>
        <v>5560450.8300000001</v>
      </c>
      <c r="FH12" s="4125">
        <f t="shared" si="39"/>
        <v>0</v>
      </c>
      <c r="FI12" s="4125">
        <f t="shared" si="40"/>
        <v>6581615.7800000003</v>
      </c>
      <c r="FJ12" s="4125">
        <f t="shared" si="41"/>
        <v>0</v>
      </c>
      <c r="FK12" s="4125">
        <f t="shared" si="42"/>
        <v>6407807.0899999999</v>
      </c>
      <c r="FL12" s="4125">
        <f t="shared" si="43"/>
        <v>0</v>
      </c>
      <c r="FM12" s="4125">
        <f t="shared" si="44"/>
        <v>7567303.4000000004</v>
      </c>
      <c r="FN12" s="4125">
        <f t="shared" si="45"/>
        <v>0</v>
      </c>
      <c r="FO12" s="4125">
        <f t="shared" si="46"/>
        <v>5714816.0499999998</v>
      </c>
      <c r="FP12" s="4125">
        <f t="shared" si="47"/>
        <v>0</v>
      </c>
      <c r="FQ12" s="4125">
        <f t="shared" si="48"/>
        <v>5425634.75</v>
      </c>
      <c r="FR12" s="4125">
        <f t="shared" si="49"/>
        <v>0</v>
      </c>
      <c r="FS12" s="4125">
        <f t="shared" si="50"/>
        <v>6282557.8499999996</v>
      </c>
      <c r="FT12" s="4125">
        <f t="shared" si="51"/>
        <v>0</v>
      </c>
      <c r="FU12" s="4125">
        <f t="shared" si="52"/>
        <v>5562584.7899999991</v>
      </c>
      <c r="FV12" s="4125">
        <f t="shared" si="53"/>
        <v>0</v>
      </c>
      <c r="FW12" s="4125">
        <f t="shared" si="85"/>
        <v>5634449.9899999993</v>
      </c>
      <c r="FX12" s="4127">
        <f t="shared" si="86"/>
        <v>0</v>
      </c>
      <c r="FY12" s="4128">
        <f t="shared" si="54"/>
        <v>6268062.7199999997</v>
      </c>
      <c r="FZ12" s="4125">
        <f t="shared" si="55"/>
        <v>6538346.7000000002</v>
      </c>
      <c r="GA12" s="4125">
        <f t="shared" si="56"/>
        <v>7428820.6600000001</v>
      </c>
      <c r="GB12" s="4125">
        <f t="shared" si="57"/>
        <v>7226078.5900000008</v>
      </c>
      <c r="GC12" s="4125">
        <f t="shared" si="58"/>
        <v>7482457.3899999997</v>
      </c>
      <c r="GD12" s="4125">
        <f t="shared" si="59"/>
        <v>7733966.2600000007</v>
      </c>
      <c r="GE12" s="4125">
        <f t="shared" si="60"/>
        <v>7551722.7600000007</v>
      </c>
      <c r="GF12" s="4125">
        <f t="shared" si="61"/>
        <v>7879321.0800000001</v>
      </c>
      <c r="GG12" s="4125">
        <f t="shared" si="62"/>
        <v>7225554.9799999995</v>
      </c>
      <c r="GH12" s="4125">
        <f t="shared" si="63"/>
        <v>6584752.6400000006</v>
      </c>
      <c r="GI12" s="4125">
        <f t="shared" si="64"/>
        <v>8014119.9900000002</v>
      </c>
      <c r="GJ12" s="4127">
        <f t="shared" si="65"/>
        <v>9182089.8600000013</v>
      </c>
      <c r="GK12" s="4129">
        <f t="shared" si="66"/>
        <v>9020278.7599999998</v>
      </c>
      <c r="GL12" s="4125">
        <f t="shared" si="67"/>
        <v>7564178.3099999996</v>
      </c>
      <c r="GM12" s="4125">
        <f t="shared" si="68"/>
        <v>3859799.65</v>
      </c>
      <c r="GN12" s="4125">
        <f t="shared" si="69"/>
        <v>1433250.1600000001</v>
      </c>
      <c r="GO12" s="4125">
        <f t="shared" si="70"/>
        <v>3125355.49</v>
      </c>
      <c r="GP12" s="4125">
        <f t="shared" si="71"/>
        <v>4427566.4000000004</v>
      </c>
      <c r="GQ12" s="4125">
        <f t="shared" si="72"/>
        <v>4835551.8899999997</v>
      </c>
      <c r="GR12" s="4125">
        <f t="shared" si="73"/>
        <v>5247147.34</v>
      </c>
      <c r="GS12" s="4125">
        <f t="shared" si="74"/>
        <v>5560450.8300000001</v>
      </c>
      <c r="GT12" s="4125">
        <f t="shared" si="75"/>
        <v>6581615.7800000003</v>
      </c>
      <c r="GU12" s="4125">
        <f t="shared" si="76"/>
        <v>6407807.0899999999</v>
      </c>
      <c r="GV12" s="4127">
        <f t="shared" si="77"/>
        <v>7567303.4000000004</v>
      </c>
      <c r="GW12" s="4129">
        <f t="shared" si="78"/>
        <v>5714816.0499999998</v>
      </c>
      <c r="GX12" s="4125">
        <f t="shared" si="79"/>
        <v>5425634.75</v>
      </c>
      <c r="GY12" s="4125">
        <f t="shared" si="80"/>
        <v>6282557.8499999996</v>
      </c>
      <c r="GZ12" s="4125">
        <f t="shared" si="81"/>
        <v>5562584.7899999991</v>
      </c>
      <c r="HA12" s="4125">
        <f t="shared" si="87"/>
        <v>5634449.9899999993</v>
      </c>
      <c r="HB12" s="4089">
        <f t="shared" si="90"/>
        <v>5724008.6859999988</v>
      </c>
      <c r="HC12" s="4089">
        <f t="shared" si="88"/>
        <v>5725847.2132000001</v>
      </c>
      <c r="HD12" s="4089">
        <f t="shared" si="88"/>
        <v>5785889.70584</v>
      </c>
      <c r="HE12" s="4089">
        <f t="shared" si="88"/>
        <v>5686556.0770079996</v>
      </c>
      <c r="HF12" s="4089">
        <f t="shared" si="88"/>
        <v>5711350.3344095992</v>
      </c>
      <c r="HG12" s="4089">
        <f t="shared" si="88"/>
        <v>5726730.4032915197</v>
      </c>
      <c r="HH12" s="4090">
        <f t="shared" si="88"/>
        <v>5727274.7467498239</v>
      </c>
      <c r="HI12" s="4130">
        <f t="shared" si="83"/>
        <v>89115293.62999998</v>
      </c>
      <c r="HJ12" s="4131">
        <f t="shared" si="84"/>
        <v>65630305.100000001</v>
      </c>
      <c r="HK12" s="4131">
        <f t="shared" si="91"/>
        <v>28620043.429999996</v>
      </c>
      <c r="HL12" s="4093">
        <f t="shared" si="89"/>
        <v>68707700.596498936</v>
      </c>
      <c r="HM12" s="4132"/>
    </row>
    <row r="13" spans="1:221">
      <c r="A13" s="4120" t="s">
        <v>990</v>
      </c>
      <c r="B13" s="4121" t="s">
        <v>1122</v>
      </c>
      <c r="C13" s="4121" t="s">
        <v>1685</v>
      </c>
      <c r="D13" s="4121" t="s">
        <v>1690</v>
      </c>
      <c r="E13" s="4122" t="s">
        <v>1691</v>
      </c>
      <c r="F13" s="4123">
        <v>7555.35</v>
      </c>
      <c r="G13" s="4123">
        <v>5004.78</v>
      </c>
      <c r="H13" s="4123">
        <v>0</v>
      </c>
      <c r="I13" s="4123">
        <v>0</v>
      </c>
      <c r="J13" s="4123">
        <v>8420.91</v>
      </c>
      <c r="K13" s="4123">
        <v>800</v>
      </c>
      <c r="L13" s="4123">
        <v>0</v>
      </c>
      <c r="M13" s="4123">
        <v>0</v>
      </c>
      <c r="N13" s="4123">
        <v>8987.11</v>
      </c>
      <c r="O13" s="4123">
        <v>0</v>
      </c>
      <c r="P13" s="4123">
        <v>0</v>
      </c>
      <c r="Q13" s="4123">
        <v>0</v>
      </c>
      <c r="R13" s="4123">
        <v>9465.7800000000007</v>
      </c>
      <c r="S13" s="4123">
        <v>0</v>
      </c>
      <c r="T13" s="4123">
        <v>0</v>
      </c>
      <c r="U13" s="4123">
        <v>0</v>
      </c>
      <c r="V13" s="4123">
        <v>10410.76</v>
      </c>
      <c r="W13" s="4123">
        <v>0</v>
      </c>
      <c r="X13" s="4123">
        <v>0</v>
      </c>
      <c r="Y13" s="4123">
        <v>0</v>
      </c>
      <c r="Z13" s="4123">
        <v>11957</v>
      </c>
      <c r="AA13" s="4123">
        <v>0</v>
      </c>
      <c r="AB13" s="4123">
        <v>0</v>
      </c>
      <c r="AC13" s="4123">
        <v>0</v>
      </c>
      <c r="AD13" s="4123">
        <v>9201.48</v>
      </c>
      <c r="AE13" s="4123">
        <v>0</v>
      </c>
      <c r="AF13" s="4123">
        <v>0</v>
      </c>
      <c r="AG13" s="4123">
        <v>0</v>
      </c>
      <c r="AH13" s="4123">
        <v>8896.91</v>
      </c>
      <c r="AI13" s="4123">
        <v>0</v>
      </c>
      <c r="AJ13" s="4123">
        <v>0</v>
      </c>
      <c r="AK13" s="4123">
        <v>0</v>
      </c>
      <c r="AL13" s="4123">
        <v>9851.19</v>
      </c>
      <c r="AM13" s="4123">
        <v>0</v>
      </c>
      <c r="AN13" s="4123">
        <v>0</v>
      </c>
      <c r="AO13" s="4123">
        <v>0</v>
      </c>
      <c r="AP13" s="4123">
        <v>7410.44</v>
      </c>
      <c r="AQ13" s="4123">
        <v>0</v>
      </c>
      <c r="AR13" s="4123">
        <v>0</v>
      </c>
      <c r="AS13" s="4123">
        <v>0</v>
      </c>
      <c r="AT13" s="4123">
        <v>6928.89</v>
      </c>
      <c r="AU13" s="4123">
        <v>0</v>
      </c>
      <c r="AV13" s="4123">
        <v>0</v>
      </c>
      <c r="AW13" s="4123">
        <v>0</v>
      </c>
      <c r="AX13" s="4123">
        <v>6307.94</v>
      </c>
      <c r="AY13" s="4123">
        <v>17.8</v>
      </c>
      <c r="AZ13" s="4123">
        <v>0</v>
      </c>
      <c r="BA13" s="4123">
        <v>0</v>
      </c>
      <c r="BB13" s="4123">
        <v>13843.21</v>
      </c>
      <c r="BC13" s="4123">
        <v>680.9</v>
      </c>
      <c r="BD13" s="4123">
        <v>0</v>
      </c>
      <c r="BE13" s="4123">
        <v>0</v>
      </c>
      <c r="BF13" s="4123">
        <v>17319.8</v>
      </c>
      <c r="BG13" s="4123">
        <v>1026.56</v>
      </c>
      <c r="BH13" s="4123">
        <v>0</v>
      </c>
      <c r="BI13" s="4123">
        <v>0</v>
      </c>
      <c r="BJ13" s="4123">
        <v>5177.67</v>
      </c>
      <c r="BK13" s="4123">
        <v>347.21</v>
      </c>
      <c r="BL13" s="4123">
        <v>0</v>
      </c>
      <c r="BM13" s="4123">
        <v>0</v>
      </c>
      <c r="BN13" s="4123">
        <v>804.84</v>
      </c>
      <c r="BO13" s="4123">
        <v>0</v>
      </c>
      <c r="BP13" s="4123">
        <v>0</v>
      </c>
      <c r="BQ13" s="4123">
        <v>0</v>
      </c>
      <c r="BR13" s="4123">
        <v>0</v>
      </c>
      <c r="BS13" s="4123">
        <v>0</v>
      </c>
      <c r="BT13" s="4123">
        <v>0</v>
      </c>
      <c r="BU13" s="4123">
        <v>0</v>
      </c>
      <c r="BV13" s="4123">
        <v>4512.3999999999996</v>
      </c>
      <c r="BW13" s="4123">
        <v>79.64</v>
      </c>
      <c r="BX13" s="4123">
        <v>0</v>
      </c>
      <c r="BY13" s="4123">
        <v>0</v>
      </c>
      <c r="BZ13" s="4123">
        <v>2.85</v>
      </c>
      <c r="CA13" s="4123">
        <v>0</v>
      </c>
      <c r="CB13" s="4123">
        <v>0</v>
      </c>
      <c r="CC13" s="4123">
        <v>0</v>
      </c>
      <c r="CD13" s="4123">
        <v>100</v>
      </c>
      <c r="CE13" s="4123">
        <v>0</v>
      </c>
      <c r="CF13" s="4123">
        <v>0</v>
      </c>
      <c r="CG13" s="4123">
        <v>0</v>
      </c>
      <c r="CH13" s="4123">
        <v>200</v>
      </c>
      <c r="CI13" s="4123">
        <v>0</v>
      </c>
      <c r="CJ13" s="4123">
        <v>0</v>
      </c>
      <c r="CK13" s="4123">
        <v>0</v>
      </c>
      <c r="CL13" s="4123">
        <v>235</v>
      </c>
      <c r="CM13" s="4123">
        <v>0</v>
      </c>
      <c r="CN13" s="4123">
        <v>0</v>
      </c>
      <c r="CO13" s="4123">
        <v>0</v>
      </c>
      <c r="CP13" s="4123">
        <v>60</v>
      </c>
      <c r="CQ13" s="4123">
        <v>0</v>
      </c>
      <c r="CR13" s="4123">
        <v>0</v>
      </c>
      <c r="CS13" s="4123">
        <v>0</v>
      </c>
      <c r="CT13" s="4123">
        <v>41542.9</v>
      </c>
      <c r="CU13" s="4123">
        <v>3096.92</v>
      </c>
      <c r="CV13" s="4123">
        <v>0</v>
      </c>
      <c r="CW13" s="4123">
        <v>0</v>
      </c>
      <c r="CX13" s="4123">
        <v>455.56</v>
      </c>
      <c r="CY13" s="4123">
        <v>0</v>
      </c>
      <c r="CZ13" s="4123">
        <v>0</v>
      </c>
      <c r="DA13" s="4123">
        <v>0</v>
      </c>
      <c r="DB13" s="4123">
        <v>0</v>
      </c>
      <c r="DC13" s="4123">
        <v>0</v>
      </c>
      <c r="DD13" s="4123">
        <v>0</v>
      </c>
      <c r="DE13" s="4123">
        <v>0</v>
      </c>
      <c r="DF13" s="4123">
        <v>2.08</v>
      </c>
      <c r="DG13" s="4123">
        <v>0</v>
      </c>
      <c r="DH13" s="4123">
        <v>0</v>
      </c>
      <c r="DI13" s="4123">
        <v>0</v>
      </c>
      <c r="DJ13" s="4123">
        <v>62.83</v>
      </c>
      <c r="DK13" s="4123">
        <v>0</v>
      </c>
      <c r="DL13" s="4123">
        <v>0</v>
      </c>
      <c r="DM13" s="4123">
        <v>0</v>
      </c>
      <c r="DN13" s="4123">
        <v>0</v>
      </c>
      <c r="DO13" s="4123">
        <v>0</v>
      </c>
      <c r="DP13" s="4123">
        <v>0</v>
      </c>
      <c r="DQ13" s="4123">
        <v>0</v>
      </c>
      <c r="DR13" s="4124"/>
      <c r="DS13" s="4125">
        <f t="shared" si="0"/>
        <v>12560.130000000001</v>
      </c>
      <c r="DT13" s="4125">
        <f t="shared" si="1"/>
        <v>0</v>
      </c>
      <c r="DU13" s="4125">
        <f t="shared" si="2"/>
        <v>9220.91</v>
      </c>
      <c r="DV13" s="4125">
        <f t="shared" si="3"/>
        <v>0</v>
      </c>
      <c r="DW13" s="4125">
        <f t="shared" si="4"/>
        <v>8987.11</v>
      </c>
      <c r="DX13" s="4125">
        <f t="shared" si="5"/>
        <v>0</v>
      </c>
      <c r="DY13" s="4125">
        <f t="shared" si="6"/>
        <v>9465.7800000000007</v>
      </c>
      <c r="DZ13" s="4125">
        <f t="shared" si="7"/>
        <v>0</v>
      </c>
      <c r="EA13" s="4125">
        <f t="shared" si="8"/>
        <v>10410.76</v>
      </c>
      <c r="EB13" s="4125">
        <f t="shared" si="9"/>
        <v>0</v>
      </c>
      <c r="EC13" s="4125">
        <f t="shared" si="10"/>
        <v>11957</v>
      </c>
      <c r="ED13" s="4125">
        <f t="shared" si="11"/>
        <v>0</v>
      </c>
      <c r="EE13" s="4125">
        <f t="shared" si="12"/>
        <v>9201.48</v>
      </c>
      <c r="EF13" s="4125">
        <f t="shared" si="13"/>
        <v>0</v>
      </c>
      <c r="EG13" s="4125">
        <f t="shared" si="14"/>
        <v>8896.91</v>
      </c>
      <c r="EH13" s="4126">
        <v>1146</v>
      </c>
      <c r="EI13" s="4125">
        <f t="shared" si="15"/>
        <v>9851.19</v>
      </c>
      <c r="EJ13" s="4125">
        <f t="shared" si="16"/>
        <v>0</v>
      </c>
      <c r="EK13" s="4125">
        <f t="shared" si="17"/>
        <v>7410.44</v>
      </c>
      <c r="EL13" s="4125">
        <f t="shared" si="18"/>
        <v>0</v>
      </c>
      <c r="EM13" s="4125">
        <f t="shared" si="19"/>
        <v>6928.89</v>
      </c>
      <c r="EN13" s="4125">
        <f t="shared" si="20"/>
        <v>0</v>
      </c>
      <c r="EO13" s="4125">
        <f t="shared" si="21"/>
        <v>6325.74</v>
      </c>
      <c r="EP13" s="4125">
        <f t="shared" si="22"/>
        <v>0</v>
      </c>
      <c r="EQ13" s="4125">
        <f t="shared" si="23"/>
        <v>14524.109999999999</v>
      </c>
      <c r="ER13" s="4125">
        <f t="shared" si="24"/>
        <v>0</v>
      </c>
      <c r="ES13" s="4125">
        <f t="shared" si="25"/>
        <v>18346.36</v>
      </c>
      <c r="ET13" s="4125">
        <f t="shared" si="26"/>
        <v>0</v>
      </c>
      <c r="EU13" s="4125">
        <f t="shared" si="27"/>
        <v>5524.88</v>
      </c>
      <c r="EV13" s="4125">
        <f t="shared" si="28"/>
        <v>0</v>
      </c>
      <c r="EW13" s="4125">
        <f t="shared" si="29"/>
        <v>804.84</v>
      </c>
      <c r="EX13" s="4126">
        <v>1146</v>
      </c>
      <c r="EY13" s="4125">
        <f t="shared" si="30"/>
        <v>0</v>
      </c>
      <c r="EZ13" s="4125">
        <f t="shared" si="31"/>
        <v>0</v>
      </c>
      <c r="FA13" s="4125">
        <f t="shared" si="32"/>
        <v>4592.04</v>
      </c>
      <c r="FB13" s="4125">
        <f t="shared" si="33"/>
        <v>0</v>
      </c>
      <c r="FC13" s="4125">
        <f t="shared" si="34"/>
        <v>2.85</v>
      </c>
      <c r="FD13" s="4125">
        <f t="shared" si="35"/>
        <v>0</v>
      </c>
      <c r="FE13" s="4125">
        <f t="shared" si="36"/>
        <v>100</v>
      </c>
      <c r="FF13" s="4125">
        <f t="shared" si="37"/>
        <v>0</v>
      </c>
      <c r="FG13" s="4125">
        <f t="shared" si="38"/>
        <v>200</v>
      </c>
      <c r="FH13" s="4125">
        <f t="shared" si="39"/>
        <v>0</v>
      </c>
      <c r="FI13" s="4125">
        <f t="shared" si="40"/>
        <v>235</v>
      </c>
      <c r="FJ13" s="4125">
        <f t="shared" si="41"/>
        <v>0</v>
      </c>
      <c r="FK13" s="4125">
        <f t="shared" si="42"/>
        <v>60</v>
      </c>
      <c r="FL13" s="4125">
        <f t="shared" si="43"/>
        <v>0</v>
      </c>
      <c r="FM13" s="4125">
        <f t="shared" si="44"/>
        <v>44639.82</v>
      </c>
      <c r="FN13" s="4125">
        <f t="shared" si="45"/>
        <v>0</v>
      </c>
      <c r="FO13" s="4125">
        <f t="shared" si="46"/>
        <v>455.56</v>
      </c>
      <c r="FP13" s="4125">
        <f t="shared" si="47"/>
        <v>0</v>
      </c>
      <c r="FQ13" s="4125">
        <f t="shared" si="48"/>
        <v>0</v>
      </c>
      <c r="FR13" s="4125">
        <f t="shared" si="49"/>
        <v>0</v>
      </c>
      <c r="FS13" s="4125">
        <f t="shared" si="50"/>
        <v>2.08</v>
      </c>
      <c r="FT13" s="4125">
        <f t="shared" si="51"/>
        <v>0</v>
      </c>
      <c r="FU13" s="4125">
        <f t="shared" si="52"/>
        <v>62.83</v>
      </c>
      <c r="FV13" s="4125">
        <f t="shared" si="53"/>
        <v>0</v>
      </c>
      <c r="FW13" s="4125">
        <f t="shared" si="85"/>
        <v>0</v>
      </c>
      <c r="FX13" s="4127">
        <f t="shared" si="86"/>
        <v>0</v>
      </c>
      <c r="FY13" s="4128">
        <f t="shared" si="54"/>
        <v>12560.130000000001</v>
      </c>
      <c r="FZ13" s="4125">
        <f t="shared" si="55"/>
        <v>9220.91</v>
      </c>
      <c r="GA13" s="4125">
        <f t="shared" si="56"/>
        <v>8987.11</v>
      </c>
      <c r="GB13" s="4125">
        <f t="shared" si="57"/>
        <v>9465.7800000000007</v>
      </c>
      <c r="GC13" s="4125">
        <f t="shared" si="58"/>
        <v>10410.76</v>
      </c>
      <c r="GD13" s="4125">
        <f t="shared" si="59"/>
        <v>11957</v>
      </c>
      <c r="GE13" s="4125">
        <f t="shared" si="60"/>
        <v>9201.48</v>
      </c>
      <c r="GF13" s="4125">
        <f t="shared" si="61"/>
        <v>10042.91</v>
      </c>
      <c r="GG13" s="4125">
        <f t="shared" si="62"/>
        <v>9851.19</v>
      </c>
      <c r="GH13" s="4125">
        <f t="shared" si="63"/>
        <v>7410.44</v>
      </c>
      <c r="GI13" s="4125">
        <f t="shared" si="64"/>
        <v>6928.89</v>
      </c>
      <c r="GJ13" s="4127">
        <f t="shared" si="65"/>
        <v>6325.74</v>
      </c>
      <c r="GK13" s="4129">
        <f t="shared" si="66"/>
        <v>14524.109999999999</v>
      </c>
      <c r="GL13" s="4125">
        <f t="shared" si="67"/>
        <v>18346.36</v>
      </c>
      <c r="GM13" s="4125">
        <f t="shared" si="68"/>
        <v>5524.88</v>
      </c>
      <c r="GN13" s="4125">
        <f t="shared" si="69"/>
        <v>1950.8400000000001</v>
      </c>
      <c r="GO13" s="4125">
        <f t="shared" si="70"/>
        <v>0</v>
      </c>
      <c r="GP13" s="4125">
        <f t="shared" si="71"/>
        <v>4592.04</v>
      </c>
      <c r="GQ13" s="4125">
        <f t="shared" si="72"/>
        <v>2.85</v>
      </c>
      <c r="GR13" s="4125">
        <f t="shared" si="73"/>
        <v>100</v>
      </c>
      <c r="GS13" s="4125">
        <f t="shared" si="74"/>
        <v>200</v>
      </c>
      <c r="GT13" s="4125">
        <f t="shared" si="75"/>
        <v>235</v>
      </c>
      <c r="GU13" s="4125">
        <f t="shared" si="76"/>
        <v>60</v>
      </c>
      <c r="GV13" s="4127">
        <f t="shared" si="77"/>
        <v>44639.82</v>
      </c>
      <c r="GW13" s="4129">
        <f t="shared" si="78"/>
        <v>455.56</v>
      </c>
      <c r="GX13" s="4125">
        <f t="shared" si="79"/>
        <v>0</v>
      </c>
      <c r="GY13" s="4125">
        <f t="shared" si="80"/>
        <v>2.08</v>
      </c>
      <c r="GZ13" s="4125">
        <f t="shared" si="81"/>
        <v>62.83</v>
      </c>
      <c r="HA13" s="4125">
        <f t="shared" si="87"/>
        <v>0</v>
      </c>
      <c r="HB13" s="4089">
        <f t="shared" si="90"/>
        <v>104.09400000000001</v>
      </c>
      <c r="HC13" s="4089">
        <f t="shared" si="88"/>
        <v>33.800800000000002</v>
      </c>
      <c r="HD13" s="4089">
        <f t="shared" si="88"/>
        <v>40.560960000000009</v>
      </c>
      <c r="HE13" s="4089">
        <f t="shared" si="88"/>
        <v>48.257152000000005</v>
      </c>
      <c r="HF13" s="4089">
        <f t="shared" si="88"/>
        <v>45.342582400000005</v>
      </c>
      <c r="HG13" s="4089">
        <f t="shared" si="88"/>
        <v>54.411098880000011</v>
      </c>
      <c r="HH13" s="4090">
        <f t="shared" si="88"/>
        <v>44.474518656000008</v>
      </c>
      <c r="HI13" s="4130">
        <f t="shared" si="83"/>
        <v>112362.34000000001</v>
      </c>
      <c r="HJ13" s="4131">
        <f t="shared" si="84"/>
        <v>90175.9</v>
      </c>
      <c r="HK13" s="4131">
        <f t="shared" si="91"/>
        <v>520.47</v>
      </c>
      <c r="HL13" s="4093">
        <f t="shared" si="89"/>
        <v>891.41111193600011</v>
      </c>
      <c r="HM13" s="4132"/>
    </row>
    <row r="14" spans="1:221">
      <c r="A14" s="4120" t="s">
        <v>990</v>
      </c>
      <c r="B14" s="4121" t="s">
        <v>1122</v>
      </c>
      <c r="C14" s="4121" t="s">
        <v>1685</v>
      </c>
      <c r="D14" s="4121" t="s">
        <v>1692</v>
      </c>
      <c r="E14" s="4122" t="s">
        <v>1693</v>
      </c>
      <c r="F14" s="4123">
        <v>8126081.3799999999</v>
      </c>
      <c r="G14" s="4123">
        <v>107140.39</v>
      </c>
      <c r="H14" s="4123">
        <v>0</v>
      </c>
      <c r="I14" s="4123">
        <v>0</v>
      </c>
      <c r="J14" s="4123">
        <v>8975990.9399999995</v>
      </c>
      <c r="K14" s="4123">
        <v>77047.06</v>
      </c>
      <c r="L14" s="4123">
        <v>0</v>
      </c>
      <c r="M14" s="4123">
        <v>0</v>
      </c>
      <c r="N14" s="4123">
        <v>7784145.7400000002</v>
      </c>
      <c r="O14" s="4123">
        <v>115525.63</v>
      </c>
      <c r="P14" s="4123">
        <v>0</v>
      </c>
      <c r="Q14" s="4123">
        <v>0</v>
      </c>
      <c r="R14" s="4123">
        <v>7977710.6200000001</v>
      </c>
      <c r="S14" s="4123">
        <v>152042.96</v>
      </c>
      <c r="T14" s="4123">
        <v>0</v>
      </c>
      <c r="U14" s="4123">
        <v>0</v>
      </c>
      <c r="V14" s="4123">
        <v>7744799.0599999996</v>
      </c>
      <c r="W14" s="4123">
        <v>191723.51999999999</v>
      </c>
      <c r="X14" s="4123">
        <v>0</v>
      </c>
      <c r="Y14" s="4123">
        <v>0</v>
      </c>
      <c r="Z14" s="4123">
        <v>8375182.1600000001</v>
      </c>
      <c r="AA14" s="4123">
        <v>495761.91999999998</v>
      </c>
      <c r="AB14" s="4123">
        <v>754.09</v>
      </c>
      <c r="AC14" s="4123">
        <v>0</v>
      </c>
      <c r="AD14" s="4123">
        <v>7955359.1200000001</v>
      </c>
      <c r="AE14" s="4123">
        <v>197030.98</v>
      </c>
      <c r="AF14" s="4123">
        <v>0</v>
      </c>
      <c r="AG14" s="4123">
        <v>0</v>
      </c>
      <c r="AH14" s="4123">
        <v>7776531.3399999999</v>
      </c>
      <c r="AI14" s="4123">
        <v>174363.4</v>
      </c>
      <c r="AJ14" s="4123">
        <v>124220</v>
      </c>
      <c r="AK14" s="4123">
        <v>0</v>
      </c>
      <c r="AL14" s="4123">
        <v>8462835.1300000008</v>
      </c>
      <c r="AM14" s="4123">
        <v>106071.54</v>
      </c>
      <c r="AN14" s="4123">
        <v>0.1</v>
      </c>
      <c r="AO14" s="4123">
        <v>132730</v>
      </c>
      <c r="AP14" s="4123">
        <v>7704519.6699999999</v>
      </c>
      <c r="AQ14" s="4123">
        <v>120338.29</v>
      </c>
      <c r="AR14" s="4123">
        <v>0</v>
      </c>
      <c r="AS14" s="4123">
        <v>25070</v>
      </c>
      <c r="AT14" s="4123">
        <v>7949471.7000000002</v>
      </c>
      <c r="AU14" s="4123">
        <v>130303.37</v>
      </c>
      <c r="AV14" s="4123">
        <v>66410</v>
      </c>
      <c r="AW14" s="4123">
        <v>0</v>
      </c>
      <c r="AX14" s="4123">
        <v>9472993.1300000008</v>
      </c>
      <c r="AY14" s="4123">
        <v>501479.59</v>
      </c>
      <c r="AZ14" s="4123">
        <v>0</v>
      </c>
      <c r="BA14" s="4123">
        <v>68180</v>
      </c>
      <c r="BB14" s="4123">
        <v>7397309.25</v>
      </c>
      <c r="BC14" s="4123">
        <v>117842.7</v>
      </c>
      <c r="BD14" s="4123">
        <v>66760</v>
      </c>
      <c r="BE14" s="4123">
        <v>0</v>
      </c>
      <c r="BF14" s="4123">
        <v>7767415.3899999997</v>
      </c>
      <c r="BG14" s="4123">
        <v>155018.14000000001</v>
      </c>
      <c r="BH14" s="4123">
        <v>41880</v>
      </c>
      <c r="BI14" s="4123">
        <v>0</v>
      </c>
      <c r="BJ14" s="4123">
        <v>5692628.7999999998</v>
      </c>
      <c r="BK14" s="4123">
        <v>65117.21</v>
      </c>
      <c r="BL14" s="4123">
        <v>1250</v>
      </c>
      <c r="BM14" s="4123">
        <v>0</v>
      </c>
      <c r="BN14" s="4123">
        <v>4792813.75</v>
      </c>
      <c r="BO14" s="4123">
        <v>67034.13</v>
      </c>
      <c r="BP14" s="4123">
        <v>0</v>
      </c>
      <c r="BQ14" s="4123">
        <v>0</v>
      </c>
      <c r="BR14" s="4123">
        <v>4104708.23</v>
      </c>
      <c r="BS14" s="4123">
        <v>49468.08</v>
      </c>
      <c r="BT14" s="4123">
        <v>11118.4</v>
      </c>
      <c r="BU14" s="4123">
        <v>0</v>
      </c>
      <c r="BV14" s="4123">
        <v>4953054.08</v>
      </c>
      <c r="BW14" s="4123">
        <v>405748.31</v>
      </c>
      <c r="BX14" s="4123">
        <v>19120</v>
      </c>
      <c r="BY14" s="4123">
        <v>0</v>
      </c>
      <c r="BZ14" s="4123">
        <v>5013486.9800000004</v>
      </c>
      <c r="CA14" s="4123">
        <v>98859.68</v>
      </c>
      <c r="CB14" s="4123">
        <v>28900</v>
      </c>
      <c r="CC14" s="4123">
        <v>0</v>
      </c>
      <c r="CD14" s="4123">
        <v>4840291.8499999996</v>
      </c>
      <c r="CE14" s="4123">
        <v>86408.08</v>
      </c>
      <c r="CF14" s="4123">
        <v>1250</v>
      </c>
      <c r="CG14" s="4123">
        <v>0</v>
      </c>
      <c r="CH14" s="4123">
        <v>4967874.84</v>
      </c>
      <c r="CI14" s="4123">
        <v>100053.14</v>
      </c>
      <c r="CJ14" s="4123">
        <v>0</v>
      </c>
      <c r="CK14" s="4123">
        <v>0</v>
      </c>
      <c r="CL14" s="4123">
        <v>5056548.3</v>
      </c>
      <c r="CM14" s="4123">
        <v>78115.679999999993</v>
      </c>
      <c r="CN14" s="4123">
        <v>0</v>
      </c>
      <c r="CO14" s="4123">
        <v>0</v>
      </c>
      <c r="CP14" s="4123">
        <v>5264175.58</v>
      </c>
      <c r="CQ14" s="4123">
        <v>94284.08</v>
      </c>
      <c r="CR14" s="4123">
        <v>0</v>
      </c>
      <c r="CS14" s="4123">
        <v>0</v>
      </c>
      <c r="CT14" s="4123">
        <v>7084483.9800000004</v>
      </c>
      <c r="CU14" s="4123">
        <v>340063.1</v>
      </c>
      <c r="CV14" s="4123">
        <v>0</v>
      </c>
      <c r="CW14" s="4123">
        <v>0</v>
      </c>
      <c r="CX14" s="4123">
        <v>5292384.05</v>
      </c>
      <c r="CY14" s="4123">
        <v>92530.04</v>
      </c>
      <c r="CZ14" s="4123">
        <v>0</v>
      </c>
      <c r="DA14" s="4123">
        <v>0</v>
      </c>
      <c r="DB14" s="4123">
        <v>5049322.53</v>
      </c>
      <c r="DC14" s="4123">
        <v>95123.04</v>
      </c>
      <c r="DD14" s="4123">
        <v>0</v>
      </c>
      <c r="DE14" s="4123">
        <v>0</v>
      </c>
      <c r="DF14" s="4123">
        <v>6715843.6100000003</v>
      </c>
      <c r="DG14" s="4123">
        <v>71049.259999999995</v>
      </c>
      <c r="DH14" s="4123">
        <v>0</v>
      </c>
      <c r="DI14" s="4123">
        <v>0</v>
      </c>
      <c r="DJ14" s="4123">
        <v>6031377.5499999998</v>
      </c>
      <c r="DK14" s="4123">
        <v>83486.039999999994</v>
      </c>
      <c r="DL14" s="4123">
        <v>0</v>
      </c>
      <c r="DM14" s="4123">
        <v>0</v>
      </c>
      <c r="DN14" s="4123">
        <v>6295859.6399999997</v>
      </c>
      <c r="DO14" s="4123">
        <v>96433.39</v>
      </c>
      <c r="DP14" s="4123">
        <v>0</v>
      </c>
      <c r="DQ14" s="4123">
        <v>0</v>
      </c>
      <c r="DR14" s="4124"/>
      <c r="DS14" s="4125">
        <f t="shared" si="0"/>
        <v>8233221.7699999996</v>
      </c>
      <c r="DT14" s="4125">
        <f t="shared" si="1"/>
        <v>0</v>
      </c>
      <c r="DU14" s="4125">
        <f t="shared" si="2"/>
        <v>9053038</v>
      </c>
      <c r="DV14" s="4125">
        <f t="shared" si="3"/>
        <v>0</v>
      </c>
      <c r="DW14" s="4125">
        <f t="shared" si="4"/>
        <v>7899671.3700000001</v>
      </c>
      <c r="DX14" s="4125">
        <f t="shared" si="5"/>
        <v>0</v>
      </c>
      <c r="DY14" s="4125">
        <f t="shared" si="6"/>
        <v>8129753.5800000001</v>
      </c>
      <c r="DZ14" s="4125">
        <f t="shared" si="7"/>
        <v>0</v>
      </c>
      <c r="EA14" s="4125">
        <f t="shared" si="8"/>
        <v>7936522.5799999991</v>
      </c>
      <c r="EB14" s="4125">
        <f t="shared" si="9"/>
        <v>0</v>
      </c>
      <c r="EC14" s="4125">
        <f t="shared" si="10"/>
        <v>8870944.0800000001</v>
      </c>
      <c r="ED14" s="4125">
        <f t="shared" si="11"/>
        <v>754.09</v>
      </c>
      <c r="EE14" s="4125">
        <f t="shared" si="12"/>
        <v>8152390.1000000006</v>
      </c>
      <c r="EF14" s="4125">
        <f t="shared" si="13"/>
        <v>0</v>
      </c>
      <c r="EG14" s="4125">
        <f t="shared" si="14"/>
        <v>7950894.7400000002</v>
      </c>
      <c r="EH14" s="4126">
        <v>1147</v>
      </c>
      <c r="EI14" s="4125">
        <f t="shared" si="15"/>
        <v>8568906.6699999999</v>
      </c>
      <c r="EJ14" s="4125">
        <f t="shared" si="16"/>
        <v>132730.1</v>
      </c>
      <c r="EK14" s="4125">
        <f t="shared" si="17"/>
        <v>7824857.96</v>
      </c>
      <c r="EL14" s="4125">
        <f t="shared" si="18"/>
        <v>25070</v>
      </c>
      <c r="EM14" s="4125">
        <f t="shared" si="19"/>
        <v>8079775.0700000003</v>
      </c>
      <c r="EN14" s="4125">
        <f t="shared" si="20"/>
        <v>66410</v>
      </c>
      <c r="EO14" s="4125">
        <f t="shared" si="21"/>
        <v>9974472.7200000007</v>
      </c>
      <c r="EP14" s="4125">
        <f t="shared" si="22"/>
        <v>68180</v>
      </c>
      <c r="EQ14" s="4125">
        <f t="shared" si="23"/>
        <v>7515151.9500000002</v>
      </c>
      <c r="ER14" s="4125">
        <f t="shared" si="24"/>
        <v>66760</v>
      </c>
      <c r="ES14" s="4125">
        <f t="shared" si="25"/>
        <v>7922433.5299999993</v>
      </c>
      <c r="ET14" s="4125">
        <f t="shared" si="26"/>
        <v>41880</v>
      </c>
      <c r="EU14" s="4125">
        <f t="shared" si="27"/>
        <v>5757746.0099999998</v>
      </c>
      <c r="EV14" s="4125">
        <f t="shared" si="28"/>
        <v>1250</v>
      </c>
      <c r="EW14" s="4125">
        <f t="shared" si="29"/>
        <v>4859847.88</v>
      </c>
      <c r="EX14" s="4126">
        <v>1147</v>
      </c>
      <c r="EY14" s="4125">
        <f t="shared" si="30"/>
        <v>4154176.31</v>
      </c>
      <c r="EZ14" s="4125">
        <f t="shared" si="31"/>
        <v>11118.4</v>
      </c>
      <c r="FA14" s="4125">
        <f t="shared" si="32"/>
        <v>5358802.3899999997</v>
      </c>
      <c r="FB14" s="4125">
        <f t="shared" si="33"/>
        <v>19120</v>
      </c>
      <c r="FC14" s="4125">
        <f t="shared" si="34"/>
        <v>5112346.66</v>
      </c>
      <c r="FD14" s="4125">
        <f t="shared" si="35"/>
        <v>28900</v>
      </c>
      <c r="FE14" s="4125">
        <f t="shared" si="36"/>
        <v>4926699.93</v>
      </c>
      <c r="FF14" s="4125">
        <f t="shared" si="37"/>
        <v>1250</v>
      </c>
      <c r="FG14" s="4125">
        <f t="shared" si="38"/>
        <v>5067927.9799999995</v>
      </c>
      <c r="FH14" s="4125">
        <f t="shared" si="39"/>
        <v>0</v>
      </c>
      <c r="FI14" s="4125">
        <f t="shared" si="40"/>
        <v>5134663.9799999995</v>
      </c>
      <c r="FJ14" s="4125">
        <f t="shared" si="41"/>
        <v>0</v>
      </c>
      <c r="FK14" s="4125">
        <f t="shared" si="42"/>
        <v>5358459.66</v>
      </c>
      <c r="FL14" s="4125">
        <f t="shared" si="43"/>
        <v>0</v>
      </c>
      <c r="FM14" s="4125">
        <f t="shared" si="44"/>
        <v>7424547.0800000001</v>
      </c>
      <c r="FN14" s="4125">
        <f t="shared" si="45"/>
        <v>0</v>
      </c>
      <c r="FO14" s="4125">
        <f t="shared" si="46"/>
        <v>5384914.0899999999</v>
      </c>
      <c r="FP14" s="4125">
        <f t="shared" si="47"/>
        <v>0</v>
      </c>
      <c r="FQ14" s="4125">
        <f t="shared" si="48"/>
        <v>5144445.57</v>
      </c>
      <c r="FR14" s="4125">
        <f t="shared" si="49"/>
        <v>0</v>
      </c>
      <c r="FS14" s="4125">
        <f t="shared" si="50"/>
        <v>6786892.8700000001</v>
      </c>
      <c r="FT14" s="4125">
        <f t="shared" si="51"/>
        <v>0</v>
      </c>
      <c r="FU14" s="4125">
        <f t="shared" si="52"/>
        <v>6114863.5899999999</v>
      </c>
      <c r="FV14" s="4125">
        <f t="shared" si="53"/>
        <v>0</v>
      </c>
      <c r="FW14" s="4125">
        <f t="shared" si="85"/>
        <v>6392293.0299999993</v>
      </c>
      <c r="FX14" s="4127">
        <f t="shared" si="86"/>
        <v>0</v>
      </c>
      <c r="FY14" s="4128">
        <f t="shared" si="54"/>
        <v>8233221.7699999996</v>
      </c>
      <c r="FZ14" s="4125">
        <f t="shared" si="55"/>
        <v>9053038</v>
      </c>
      <c r="GA14" s="4125">
        <f t="shared" si="56"/>
        <v>7899671.3700000001</v>
      </c>
      <c r="GB14" s="4125">
        <f t="shared" si="57"/>
        <v>8129753.5800000001</v>
      </c>
      <c r="GC14" s="4125">
        <f t="shared" si="58"/>
        <v>7936522.5799999991</v>
      </c>
      <c r="GD14" s="4125">
        <f t="shared" si="59"/>
        <v>8871698.1699999999</v>
      </c>
      <c r="GE14" s="4125">
        <f t="shared" si="60"/>
        <v>8152390.1000000006</v>
      </c>
      <c r="GF14" s="4125">
        <f t="shared" si="61"/>
        <v>7952041.7400000002</v>
      </c>
      <c r="GG14" s="4125">
        <f t="shared" si="62"/>
        <v>8701636.7699999996</v>
      </c>
      <c r="GH14" s="4125">
        <f t="shared" si="63"/>
        <v>7849927.96</v>
      </c>
      <c r="GI14" s="4125">
        <f t="shared" si="64"/>
        <v>8146185.0700000003</v>
      </c>
      <c r="GJ14" s="4127">
        <f t="shared" si="65"/>
        <v>10042652.720000001</v>
      </c>
      <c r="GK14" s="4129">
        <f t="shared" si="66"/>
        <v>7581911.9500000002</v>
      </c>
      <c r="GL14" s="4125">
        <f t="shared" si="67"/>
        <v>7964313.5299999993</v>
      </c>
      <c r="GM14" s="4125">
        <f t="shared" si="68"/>
        <v>5758996.0099999998</v>
      </c>
      <c r="GN14" s="4125">
        <f t="shared" si="69"/>
        <v>4860994.88</v>
      </c>
      <c r="GO14" s="4125">
        <f t="shared" si="70"/>
        <v>4165294.71</v>
      </c>
      <c r="GP14" s="4125">
        <f t="shared" si="71"/>
        <v>5377922.3899999997</v>
      </c>
      <c r="GQ14" s="4125">
        <f t="shared" si="72"/>
        <v>5141246.66</v>
      </c>
      <c r="GR14" s="4125">
        <f t="shared" si="73"/>
        <v>4927949.93</v>
      </c>
      <c r="GS14" s="4125">
        <f t="shared" si="74"/>
        <v>5067927.9799999995</v>
      </c>
      <c r="GT14" s="4125">
        <f t="shared" si="75"/>
        <v>5134663.9799999995</v>
      </c>
      <c r="GU14" s="4125">
        <f t="shared" si="76"/>
        <v>5358459.66</v>
      </c>
      <c r="GV14" s="4127">
        <f t="shared" si="77"/>
        <v>7424547.0800000001</v>
      </c>
      <c r="GW14" s="4129">
        <f t="shared" si="78"/>
        <v>5384914.0899999999</v>
      </c>
      <c r="GX14" s="4125">
        <f t="shared" si="79"/>
        <v>5144445.57</v>
      </c>
      <c r="GY14" s="4125">
        <f t="shared" si="80"/>
        <v>6786892.8700000001</v>
      </c>
      <c r="GZ14" s="4125">
        <f t="shared" si="81"/>
        <v>6114863.5899999999</v>
      </c>
      <c r="HA14" s="4125">
        <f t="shared" si="87"/>
        <v>6392293.0299999993</v>
      </c>
      <c r="HB14" s="4089">
        <f t="shared" si="90"/>
        <v>5964681.8300000001</v>
      </c>
      <c r="HC14" s="4089">
        <f t="shared" si="88"/>
        <v>6080635.3780000005</v>
      </c>
      <c r="HD14" s="4089">
        <f t="shared" si="88"/>
        <v>6267873.3395999996</v>
      </c>
      <c r="HE14" s="4089">
        <f t="shared" si="88"/>
        <v>6164069.4335200004</v>
      </c>
      <c r="HF14" s="4089">
        <f t="shared" si="88"/>
        <v>6173910.6022239998</v>
      </c>
      <c r="HG14" s="4089">
        <f t="shared" si="88"/>
        <v>6130234.1166687999</v>
      </c>
      <c r="HH14" s="4090">
        <f t="shared" si="88"/>
        <v>6163344.5740025593</v>
      </c>
      <c r="HI14" s="4130">
        <f t="shared" si="83"/>
        <v>100968739.82999998</v>
      </c>
      <c r="HJ14" s="4131">
        <f t="shared" si="84"/>
        <v>68764228.75999999</v>
      </c>
      <c r="HK14" s="4131">
        <f t="shared" si="91"/>
        <v>29823409.149999999</v>
      </c>
      <c r="HL14" s="4093">
        <f t="shared" si="89"/>
        <v>72768158.424015358</v>
      </c>
      <c r="HM14" s="4132"/>
    </row>
    <row r="15" spans="1:221">
      <c r="A15" s="4120" t="s">
        <v>990</v>
      </c>
      <c r="B15" s="4121" t="s">
        <v>1122</v>
      </c>
      <c r="C15" s="4121" t="s">
        <v>1685</v>
      </c>
      <c r="D15" s="4121" t="s">
        <v>1694</v>
      </c>
      <c r="E15" s="4122" t="s">
        <v>1695</v>
      </c>
      <c r="F15" s="4123">
        <v>1586836.86</v>
      </c>
      <c r="G15" s="4123">
        <v>30978.94</v>
      </c>
      <c r="H15" s="4123">
        <v>0</v>
      </c>
      <c r="I15" s="4123">
        <v>0</v>
      </c>
      <c r="J15" s="4123">
        <v>1619324.92</v>
      </c>
      <c r="K15" s="4123">
        <v>30718.57</v>
      </c>
      <c r="L15" s="4123">
        <v>3596.3</v>
      </c>
      <c r="M15" s="4123">
        <v>0</v>
      </c>
      <c r="N15" s="4123">
        <v>1738990.85</v>
      </c>
      <c r="O15" s="4123">
        <v>30157.53</v>
      </c>
      <c r="P15" s="4123">
        <v>980</v>
      </c>
      <c r="Q15" s="4123">
        <v>0</v>
      </c>
      <c r="R15" s="4123">
        <v>1918400.93</v>
      </c>
      <c r="S15" s="4123">
        <v>31848.61</v>
      </c>
      <c r="T15" s="4123">
        <v>0</v>
      </c>
      <c r="U15" s="4123">
        <v>0</v>
      </c>
      <c r="V15" s="4123">
        <v>1891425.15</v>
      </c>
      <c r="W15" s="4123">
        <v>77603</v>
      </c>
      <c r="X15" s="4123">
        <v>0</v>
      </c>
      <c r="Y15" s="4123">
        <v>0</v>
      </c>
      <c r="Z15" s="4123">
        <v>2057602.07</v>
      </c>
      <c r="AA15" s="4123">
        <v>348973.15</v>
      </c>
      <c r="AB15" s="4123">
        <v>0</v>
      </c>
      <c r="AC15" s="4123">
        <v>0</v>
      </c>
      <c r="AD15" s="4123">
        <v>2001607.88</v>
      </c>
      <c r="AE15" s="4123">
        <v>69856.36</v>
      </c>
      <c r="AF15" s="4123">
        <v>0</v>
      </c>
      <c r="AG15" s="4123">
        <v>0</v>
      </c>
      <c r="AH15" s="4123">
        <v>2043137.29</v>
      </c>
      <c r="AI15" s="4123">
        <v>81628.92</v>
      </c>
      <c r="AJ15" s="4123">
        <v>0</v>
      </c>
      <c r="AK15" s="4123">
        <v>0</v>
      </c>
      <c r="AL15" s="4123">
        <v>2114249.09</v>
      </c>
      <c r="AM15" s="4123">
        <v>142193.49</v>
      </c>
      <c r="AN15" s="4123">
        <v>0</v>
      </c>
      <c r="AO15" s="4123">
        <v>0</v>
      </c>
      <c r="AP15" s="4123">
        <v>1979747.38</v>
      </c>
      <c r="AQ15" s="4123">
        <v>126100.56</v>
      </c>
      <c r="AR15" s="4123">
        <v>0</v>
      </c>
      <c r="AS15" s="4123">
        <v>0</v>
      </c>
      <c r="AT15" s="4123">
        <v>1995108.11</v>
      </c>
      <c r="AU15" s="4123">
        <v>91486.66</v>
      </c>
      <c r="AV15" s="4123">
        <v>0</v>
      </c>
      <c r="AW15" s="4123">
        <v>0</v>
      </c>
      <c r="AX15" s="4123">
        <v>2594500.6800000002</v>
      </c>
      <c r="AY15" s="4123">
        <v>472763.47</v>
      </c>
      <c r="AZ15" s="4123">
        <v>0</v>
      </c>
      <c r="BA15" s="4123">
        <v>0</v>
      </c>
      <c r="BB15" s="4123">
        <v>1799163.64</v>
      </c>
      <c r="BC15" s="4123">
        <v>31842.94</v>
      </c>
      <c r="BD15" s="4123">
        <v>0</v>
      </c>
      <c r="BE15" s="4123">
        <v>0</v>
      </c>
      <c r="BF15" s="4123">
        <v>1834626.05</v>
      </c>
      <c r="BG15" s="4123">
        <v>14720.37</v>
      </c>
      <c r="BH15" s="4123">
        <v>0</v>
      </c>
      <c r="BI15" s="4123">
        <v>550</v>
      </c>
      <c r="BJ15" s="4123">
        <v>1251579.6100000001</v>
      </c>
      <c r="BK15" s="4123">
        <v>14690.59</v>
      </c>
      <c r="BL15" s="4123">
        <v>0</v>
      </c>
      <c r="BM15" s="4123">
        <v>600</v>
      </c>
      <c r="BN15" s="4123">
        <v>560730.94999999995</v>
      </c>
      <c r="BO15" s="4123">
        <v>9058.18</v>
      </c>
      <c r="BP15" s="4123">
        <v>0</v>
      </c>
      <c r="BQ15" s="4123">
        <v>600</v>
      </c>
      <c r="BR15" s="4123">
        <v>556933.56999999995</v>
      </c>
      <c r="BS15" s="4123">
        <v>23331.55</v>
      </c>
      <c r="BT15" s="4123">
        <v>0</v>
      </c>
      <c r="BU15" s="4123">
        <v>500</v>
      </c>
      <c r="BV15" s="4123">
        <v>670667.6</v>
      </c>
      <c r="BW15" s="4123">
        <v>164669.42000000001</v>
      </c>
      <c r="BX15" s="4123">
        <v>0</v>
      </c>
      <c r="BY15" s="4123">
        <v>0</v>
      </c>
      <c r="BZ15" s="4123">
        <v>591120.41</v>
      </c>
      <c r="CA15" s="4123">
        <v>18341.73</v>
      </c>
      <c r="CB15" s="4123">
        <v>0</v>
      </c>
      <c r="CC15" s="4123">
        <v>677.93</v>
      </c>
      <c r="CD15" s="4123">
        <v>666378.21</v>
      </c>
      <c r="CE15" s="4123">
        <v>42252.15</v>
      </c>
      <c r="CF15" s="4123">
        <v>0</v>
      </c>
      <c r="CG15" s="4123">
        <v>650</v>
      </c>
      <c r="CH15" s="4123">
        <v>787549.4</v>
      </c>
      <c r="CI15" s="4123">
        <v>17498.13</v>
      </c>
      <c r="CJ15" s="4123">
        <v>0</v>
      </c>
      <c r="CK15" s="4123">
        <v>1150</v>
      </c>
      <c r="CL15" s="4123">
        <v>784349.06</v>
      </c>
      <c r="CM15" s="4123">
        <v>20612.189999999999</v>
      </c>
      <c r="CN15" s="4123">
        <v>0</v>
      </c>
      <c r="CO15" s="4123">
        <v>1174</v>
      </c>
      <c r="CP15" s="4123">
        <v>706405.5</v>
      </c>
      <c r="CQ15" s="4123">
        <v>11195.22</v>
      </c>
      <c r="CR15" s="4123">
        <v>247.5</v>
      </c>
      <c r="CS15" s="4123">
        <v>1225</v>
      </c>
      <c r="CT15" s="4123">
        <v>1587464.98</v>
      </c>
      <c r="CU15" s="4123">
        <v>105053.37</v>
      </c>
      <c r="CV15" s="4123">
        <v>0</v>
      </c>
      <c r="CW15" s="4123">
        <v>0</v>
      </c>
      <c r="CX15" s="4123">
        <v>767278.42</v>
      </c>
      <c r="CY15" s="4123">
        <v>15675.43</v>
      </c>
      <c r="CZ15" s="4123">
        <v>0</v>
      </c>
      <c r="DA15" s="4123">
        <v>1230</v>
      </c>
      <c r="DB15" s="4123">
        <v>732630.54</v>
      </c>
      <c r="DC15" s="4123">
        <v>27067.279999999999</v>
      </c>
      <c r="DD15" s="4123">
        <v>0</v>
      </c>
      <c r="DE15" s="4123">
        <v>1220</v>
      </c>
      <c r="DF15" s="4123">
        <v>809478.23</v>
      </c>
      <c r="DG15" s="4123">
        <v>23785.57</v>
      </c>
      <c r="DH15" s="4123">
        <v>0</v>
      </c>
      <c r="DI15" s="4123">
        <v>1500</v>
      </c>
      <c r="DJ15" s="4123">
        <v>829588.17</v>
      </c>
      <c r="DK15" s="4123">
        <v>12401.55</v>
      </c>
      <c r="DL15" s="4123">
        <v>0</v>
      </c>
      <c r="DM15" s="4123">
        <v>1200</v>
      </c>
      <c r="DN15" s="4123">
        <v>766679.43</v>
      </c>
      <c r="DO15" s="4123">
        <v>9969.33</v>
      </c>
      <c r="DP15" s="4123">
        <v>0</v>
      </c>
      <c r="DQ15" s="4123">
        <v>1400</v>
      </c>
      <c r="DR15" s="4124"/>
      <c r="DS15" s="4125">
        <f t="shared" si="0"/>
        <v>1617815.8</v>
      </c>
      <c r="DT15" s="4125">
        <f t="shared" si="1"/>
        <v>0</v>
      </c>
      <c r="DU15" s="4125">
        <f t="shared" si="2"/>
        <v>1650043.49</v>
      </c>
      <c r="DV15" s="4125">
        <f t="shared" si="3"/>
        <v>3596.3</v>
      </c>
      <c r="DW15" s="4125">
        <f t="shared" si="4"/>
        <v>1769148.3800000001</v>
      </c>
      <c r="DX15" s="4125">
        <f t="shared" si="5"/>
        <v>980</v>
      </c>
      <c r="DY15" s="4125">
        <f t="shared" si="6"/>
        <v>1950249.54</v>
      </c>
      <c r="DZ15" s="4125">
        <f t="shared" si="7"/>
        <v>0</v>
      </c>
      <c r="EA15" s="4125">
        <f t="shared" si="8"/>
        <v>1969028.15</v>
      </c>
      <c r="EB15" s="4125">
        <f t="shared" si="9"/>
        <v>0</v>
      </c>
      <c r="EC15" s="4125">
        <f t="shared" si="10"/>
        <v>2406575.2200000002</v>
      </c>
      <c r="ED15" s="4125">
        <f t="shared" si="11"/>
        <v>0</v>
      </c>
      <c r="EE15" s="4125">
        <f t="shared" si="12"/>
        <v>2071464.24</v>
      </c>
      <c r="EF15" s="4125">
        <f t="shared" si="13"/>
        <v>0</v>
      </c>
      <c r="EG15" s="4125">
        <f t="shared" si="14"/>
        <v>2124766.21</v>
      </c>
      <c r="EH15" s="4126">
        <v>1148</v>
      </c>
      <c r="EI15" s="4125">
        <f t="shared" si="15"/>
        <v>2256442.58</v>
      </c>
      <c r="EJ15" s="4125">
        <f t="shared" si="16"/>
        <v>0</v>
      </c>
      <c r="EK15" s="4125">
        <f t="shared" si="17"/>
        <v>2105847.94</v>
      </c>
      <c r="EL15" s="4125">
        <f t="shared" si="18"/>
        <v>0</v>
      </c>
      <c r="EM15" s="4125">
        <f t="shared" si="19"/>
        <v>2086594.77</v>
      </c>
      <c r="EN15" s="4125">
        <f t="shared" si="20"/>
        <v>0</v>
      </c>
      <c r="EO15" s="4125">
        <f t="shared" si="21"/>
        <v>3067264.1500000004</v>
      </c>
      <c r="EP15" s="4125">
        <f t="shared" si="22"/>
        <v>0</v>
      </c>
      <c r="EQ15" s="4125">
        <f t="shared" si="23"/>
        <v>1831006.5799999998</v>
      </c>
      <c r="ER15" s="4125">
        <f t="shared" si="24"/>
        <v>0</v>
      </c>
      <c r="ES15" s="4125">
        <f t="shared" si="25"/>
        <v>1849346.4200000002</v>
      </c>
      <c r="ET15" s="4125">
        <f t="shared" si="26"/>
        <v>550</v>
      </c>
      <c r="EU15" s="4125">
        <f t="shared" si="27"/>
        <v>1266270.2000000002</v>
      </c>
      <c r="EV15" s="4125">
        <f t="shared" si="28"/>
        <v>600</v>
      </c>
      <c r="EW15" s="4125">
        <f t="shared" si="29"/>
        <v>569789.13</v>
      </c>
      <c r="EX15" s="4126">
        <v>1148</v>
      </c>
      <c r="EY15" s="4125">
        <f t="shared" si="30"/>
        <v>580265.12</v>
      </c>
      <c r="EZ15" s="4125">
        <f t="shared" si="31"/>
        <v>500</v>
      </c>
      <c r="FA15" s="4125">
        <f t="shared" si="32"/>
        <v>835337.02</v>
      </c>
      <c r="FB15" s="4125">
        <f t="shared" si="33"/>
        <v>0</v>
      </c>
      <c r="FC15" s="4125">
        <f t="shared" si="34"/>
        <v>609462.14</v>
      </c>
      <c r="FD15" s="4125">
        <f t="shared" si="35"/>
        <v>677.93</v>
      </c>
      <c r="FE15" s="4125">
        <f t="shared" si="36"/>
        <v>708630.36</v>
      </c>
      <c r="FF15" s="4125">
        <f t="shared" si="37"/>
        <v>650</v>
      </c>
      <c r="FG15" s="4125">
        <f t="shared" si="38"/>
        <v>805047.53</v>
      </c>
      <c r="FH15" s="4125">
        <f t="shared" si="39"/>
        <v>1150</v>
      </c>
      <c r="FI15" s="4125">
        <f t="shared" si="40"/>
        <v>804961.25</v>
      </c>
      <c r="FJ15" s="4125">
        <f t="shared" si="41"/>
        <v>1174</v>
      </c>
      <c r="FK15" s="4125">
        <f t="shared" si="42"/>
        <v>717600.72</v>
      </c>
      <c r="FL15" s="4125">
        <f t="shared" si="43"/>
        <v>1472.5</v>
      </c>
      <c r="FM15" s="4125">
        <f t="shared" si="44"/>
        <v>1692518.35</v>
      </c>
      <c r="FN15" s="4125">
        <f t="shared" si="45"/>
        <v>0</v>
      </c>
      <c r="FO15" s="4125">
        <f t="shared" si="46"/>
        <v>782953.85000000009</v>
      </c>
      <c r="FP15" s="4125">
        <f t="shared" si="47"/>
        <v>1230</v>
      </c>
      <c r="FQ15" s="4125">
        <f t="shared" si="48"/>
        <v>759697.82000000007</v>
      </c>
      <c r="FR15" s="4125">
        <f t="shared" si="49"/>
        <v>1220</v>
      </c>
      <c r="FS15" s="4125">
        <f t="shared" si="50"/>
        <v>833263.79999999993</v>
      </c>
      <c r="FT15" s="4125">
        <f t="shared" si="51"/>
        <v>1500</v>
      </c>
      <c r="FU15" s="4125">
        <f t="shared" si="52"/>
        <v>841989.72000000009</v>
      </c>
      <c r="FV15" s="4125">
        <f t="shared" si="53"/>
        <v>1200</v>
      </c>
      <c r="FW15" s="4125">
        <f t="shared" si="85"/>
        <v>776648.76</v>
      </c>
      <c r="FX15" s="4127">
        <f t="shared" si="86"/>
        <v>1400</v>
      </c>
      <c r="FY15" s="4128">
        <f t="shared" si="54"/>
        <v>1617815.8</v>
      </c>
      <c r="FZ15" s="4125">
        <f t="shared" si="55"/>
        <v>1653639.79</v>
      </c>
      <c r="GA15" s="4125">
        <f t="shared" si="56"/>
        <v>1770128.3800000001</v>
      </c>
      <c r="GB15" s="4125">
        <f t="shared" si="57"/>
        <v>1950249.54</v>
      </c>
      <c r="GC15" s="4125">
        <f t="shared" si="58"/>
        <v>1969028.15</v>
      </c>
      <c r="GD15" s="4125">
        <f t="shared" si="59"/>
        <v>2406575.2200000002</v>
      </c>
      <c r="GE15" s="4125">
        <f t="shared" si="60"/>
        <v>2071464.24</v>
      </c>
      <c r="GF15" s="4125">
        <f t="shared" si="61"/>
        <v>2125914.21</v>
      </c>
      <c r="GG15" s="4125">
        <f t="shared" si="62"/>
        <v>2256442.58</v>
      </c>
      <c r="GH15" s="4125">
        <f t="shared" si="63"/>
        <v>2105847.94</v>
      </c>
      <c r="GI15" s="4125">
        <f t="shared" si="64"/>
        <v>2086594.77</v>
      </c>
      <c r="GJ15" s="4127">
        <f t="shared" si="65"/>
        <v>3067264.1500000004</v>
      </c>
      <c r="GK15" s="4129">
        <f t="shared" si="66"/>
        <v>1831006.5799999998</v>
      </c>
      <c r="GL15" s="4125">
        <f t="shared" si="67"/>
        <v>1849896.4200000002</v>
      </c>
      <c r="GM15" s="4125">
        <f t="shared" si="68"/>
        <v>1266870.2000000002</v>
      </c>
      <c r="GN15" s="4125">
        <f t="shared" si="69"/>
        <v>570937.13</v>
      </c>
      <c r="GO15" s="4125">
        <f t="shared" si="70"/>
        <v>580765.12</v>
      </c>
      <c r="GP15" s="4125">
        <f t="shared" si="71"/>
        <v>835337.02</v>
      </c>
      <c r="GQ15" s="4125">
        <f t="shared" si="72"/>
        <v>610140.07000000007</v>
      </c>
      <c r="GR15" s="4125">
        <f t="shared" si="73"/>
        <v>709280.36</v>
      </c>
      <c r="GS15" s="4125">
        <f t="shared" si="74"/>
        <v>806197.53</v>
      </c>
      <c r="GT15" s="4125">
        <f t="shared" si="75"/>
        <v>806135.25</v>
      </c>
      <c r="GU15" s="4125">
        <f t="shared" si="76"/>
        <v>719073.22</v>
      </c>
      <c r="GV15" s="4127">
        <f t="shared" si="77"/>
        <v>1692518.35</v>
      </c>
      <c r="GW15" s="4129">
        <f t="shared" si="78"/>
        <v>784183.85000000009</v>
      </c>
      <c r="GX15" s="4125">
        <f t="shared" si="79"/>
        <v>760917.82000000007</v>
      </c>
      <c r="GY15" s="4125">
        <f t="shared" si="80"/>
        <v>834763.79999999993</v>
      </c>
      <c r="GZ15" s="4125">
        <f t="shared" si="81"/>
        <v>843189.72000000009</v>
      </c>
      <c r="HA15" s="4125">
        <f t="shared" si="87"/>
        <v>778048.76</v>
      </c>
      <c r="HB15" s="4089">
        <f t="shared" si="90"/>
        <v>800220.79</v>
      </c>
      <c r="HC15" s="4089">
        <f t="shared" si="88"/>
        <v>803428.17800000007</v>
      </c>
      <c r="HD15" s="4089">
        <f t="shared" si="88"/>
        <v>811930.2496000001</v>
      </c>
      <c r="HE15" s="4089">
        <f t="shared" si="88"/>
        <v>807363.53951999999</v>
      </c>
      <c r="HF15" s="4089">
        <f t="shared" si="88"/>
        <v>800198.30342400004</v>
      </c>
      <c r="HG15" s="4089">
        <f t="shared" si="88"/>
        <v>804628.21210879995</v>
      </c>
      <c r="HH15" s="4090">
        <f t="shared" si="88"/>
        <v>805509.69653056003</v>
      </c>
      <c r="HI15" s="4130">
        <f t="shared" si="83"/>
        <v>25080964.770000003</v>
      </c>
      <c r="HJ15" s="4131">
        <f t="shared" si="84"/>
        <v>12278157.250000002</v>
      </c>
      <c r="HK15" s="4131">
        <f t="shared" si="91"/>
        <v>4001103.95</v>
      </c>
      <c r="HL15" s="4093">
        <f t="shared" si="89"/>
        <v>9634382.9191833604</v>
      </c>
      <c r="HM15" s="4132"/>
    </row>
    <row r="16" spans="1:221">
      <c r="A16" s="4120" t="s">
        <v>990</v>
      </c>
      <c r="B16" s="4121" t="s">
        <v>1122</v>
      </c>
      <c r="C16" s="4121" t="s">
        <v>1685</v>
      </c>
      <c r="D16" s="4121" t="s">
        <v>1696</v>
      </c>
      <c r="E16" s="4122" t="s">
        <v>1697</v>
      </c>
      <c r="F16" s="4123">
        <v>784346.62</v>
      </c>
      <c r="G16" s="4123">
        <v>7543.82</v>
      </c>
      <c r="H16" s="4123">
        <v>0</v>
      </c>
      <c r="I16" s="4123">
        <v>0</v>
      </c>
      <c r="J16" s="4123">
        <v>681523.18</v>
      </c>
      <c r="K16" s="4123">
        <v>11095.83</v>
      </c>
      <c r="L16" s="4123">
        <v>0</v>
      </c>
      <c r="M16" s="4123">
        <v>0</v>
      </c>
      <c r="N16" s="4123">
        <v>641829.61</v>
      </c>
      <c r="O16" s="4123">
        <v>11845.55</v>
      </c>
      <c r="P16" s="4123">
        <v>0</v>
      </c>
      <c r="Q16" s="4123">
        <v>0</v>
      </c>
      <c r="R16" s="4123">
        <v>821436.5</v>
      </c>
      <c r="S16" s="4123">
        <v>27886.400000000001</v>
      </c>
      <c r="T16" s="4123">
        <v>0</v>
      </c>
      <c r="U16" s="4123">
        <v>0</v>
      </c>
      <c r="V16" s="4123">
        <v>866017.18</v>
      </c>
      <c r="W16" s="4123">
        <v>13091.16</v>
      </c>
      <c r="X16" s="4123">
        <v>0</v>
      </c>
      <c r="Y16" s="4123">
        <v>0</v>
      </c>
      <c r="Z16" s="4123">
        <v>885226.71</v>
      </c>
      <c r="AA16" s="4123">
        <v>13791.4</v>
      </c>
      <c r="AB16" s="4123">
        <v>0</v>
      </c>
      <c r="AC16" s="4123">
        <v>0</v>
      </c>
      <c r="AD16" s="4123">
        <v>779441.03</v>
      </c>
      <c r="AE16" s="4123">
        <v>11385.06</v>
      </c>
      <c r="AF16" s="4123">
        <v>0</v>
      </c>
      <c r="AG16" s="4123">
        <v>0</v>
      </c>
      <c r="AH16" s="4123">
        <v>917674.2</v>
      </c>
      <c r="AI16" s="4123">
        <v>11990.91</v>
      </c>
      <c r="AJ16" s="4123">
        <v>0</v>
      </c>
      <c r="AK16" s="4123">
        <v>0</v>
      </c>
      <c r="AL16" s="4123">
        <v>799925.12</v>
      </c>
      <c r="AM16" s="4123">
        <v>18690.75</v>
      </c>
      <c r="AN16" s="4123">
        <v>0</v>
      </c>
      <c r="AO16" s="4123">
        <v>0</v>
      </c>
      <c r="AP16" s="4123">
        <v>699443.09</v>
      </c>
      <c r="AQ16" s="4123">
        <v>121320.56</v>
      </c>
      <c r="AR16" s="4123">
        <v>0</v>
      </c>
      <c r="AS16" s="4123">
        <v>0</v>
      </c>
      <c r="AT16" s="4123">
        <v>837781.77</v>
      </c>
      <c r="AU16" s="4123">
        <v>14020.68</v>
      </c>
      <c r="AV16" s="4123">
        <v>0</v>
      </c>
      <c r="AW16" s="4123">
        <v>0</v>
      </c>
      <c r="AX16" s="4123">
        <v>1140357.92</v>
      </c>
      <c r="AY16" s="4123">
        <v>24038.17</v>
      </c>
      <c r="AZ16" s="4123">
        <v>0</v>
      </c>
      <c r="BA16" s="4123">
        <v>0</v>
      </c>
      <c r="BB16" s="4123">
        <v>764209.36</v>
      </c>
      <c r="BC16" s="4123">
        <v>13860.51</v>
      </c>
      <c r="BD16" s="4123">
        <v>0</v>
      </c>
      <c r="BE16" s="4123">
        <v>0</v>
      </c>
      <c r="BF16" s="4123">
        <v>685472.07</v>
      </c>
      <c r="BG16" s="4123">
        <v>7057.65</v>
      </c>
      <c r="BH16" s="4123">
        <v>0</v>
      </c>
      <c r="BI16" s="4123">
        <v>0</v>
      </c>
      <c r="BJ16" s="4123">
        <v>268378.63</v>
      </c>
      <c r="BK16" s="4123">
        <v>6359.98</v>
      </c>
      <c r="BL16" s="4123">
        <v>0</v>
      </c>
      <c r="BM16" s="4123">
        <v>0</v>
      </c>
      <c r="BN16" s="4123">
        <v>36585.660000000003</v>
      </c>
      <c r="BO16" s="4123">
        <v>3018.97</v>
      </c>
      <c r="BP16" s="4123">
        <v>0</v>
      </c>
      <c r="BQ16" s="4123">
        <v>0</v>
      </c>
      <c r="BR16" s="4123">
        <v>73702.47</v>
      </c>
      <c r="BS16" s="4123">
        <v>4942.25</v>
      </c>
      <c r="BT16" s="4123">
        <v>0</v>
      </c>
      <c r="BU16" s="4123">
        <v>0</v>
      </c>
      <c r="BV16" s="4123">
        <v>212715.23</v>
      </c>
      <c r="BW16" s="4123">
        <v>7824.71</v>
      </c>
      <c r="BX16" s="4123">
        <v>0</v>
      </c>
      <c r="BY16" s="4123">
        <v>0</v>
      </c>
      <c r="BZ16" s="4123">
        <v>121007.13</v>
      </c>
      <c r="CA16" s="4123">
        <v>3200.7</v>
      </c>
      <c r="CB16" s="4123">
        <v>0</v>
      </c>
      <c r="CC16" s="4123">
        <v>0</v>
      </c>
      <c r="CD16" s="4123">
        <v>102597.02</v>
      </c>
      <c r="CE16" s="4123">
        <v>3220.22</v>
      </c>
      <c r="CF16" s="4123">
        <v>0</v>
      </c>
      <c r="CG16" s="4123">
        <v>0</v>
      </c>
      <c r="CH16" s="4123">
        <v>191283.26</v>
      </c>
      <c r="CI16" s="4123">
        <v>3597.62</v>
      </c>
      <c r="CJ16" s="4123">
        <v>0</v>
      </c>
      <c r="CK16" s="4123">
        <v>0</v>
      </c>
      <c r="CL16" s="4123">
        <v>254939.15</v>
      </c>
      <c r="CM16" s="4123">
        <v>4280.0200000000004</v>
      </c>
      <c r="CN16" s="4123">
        <v>0</v>
      </c>
      <c r="CO16" s="4123">
        <v>0</v>
      </c>
      <c r="CP16" s="4123">
        <v>222682.04</v>
      </c>
      <c r="CQ16" s="4123">
        <v>2763.37</v>
      </c>
      <c r="CR16" s="4123">
        <v>0</v>
      </c>
      <c r="CS16" s="4123">
        <v>0</v>
      </c>
      <c r="CT16" s="4123">
        <v>586332.89</v>
      </c>
      <c r="CU16" s="4123">
        <v>2876.47</v>
      </c>
      <c r="CV16" s="4123">
        <v>0</v>
      </c>
      <c r="CW16" s="4123">
        <v>0</v>
      </c>
      <c r="CX16" s="4123">
        <v>290165.28999999998</v>
      </c>
      <c r="CY16" s="4123">
        <v>1144.1199999999999</v>
      </c>
      <c r="CZ16" s="4123">
        <v>0</v>
      </c>
      <c r="DA16" s="4123">
        <v>0</v>
      </c>
      <c r="DB16" s="4123">
        <v>284864.07</v>
      </c>
      <c r="DC16" s="4123">
        <v>1285.1500000000001</v>
      </c>
      <c r="DD16" s="4123">
        <v>0</v>
      </c>
      <c r="DE16" s="4123">
        <v>0</v>
      </c>
      <c r="DF16" s="4123">
        <v>370189.93</v>
      </c>
      <c r="DG16" s="4123">
        <v>1322.88</v>
      </c>
      <c r="DH16" s="4123">
        <v>0</v>
      </c>
      <c r="DI16" s="4123">
        <v>0</v>
      </c>
      <c r="DJ16" s="4123">
        <v>234010.23</v>
      </c>
      <c r="DK16" s="4123">
        <v>2018.41</v>
      </c>
      <c r="DL16" s="4123">
        <v>0</v>
      </c>
      <c r="DM16" s="4123">
        <v>0</v>
      </c>
      <c r="DN16" s="4123">
        <v>287787.84999999998</v>
      </c>
      <c r="DO16" s="4123">
        <v>1089.78</v>
      </c>
      <c r="DP16" s="4123">
        <v>0</v>
      </c>
      <c r="DQ16" s="4123">
        <v>0</v>
      </c>
      <c r="DR16" s="4124"/>
      <c r="DS16" s="4125">
        <f t="shared" si="0"/>
        <v>791890.44</v>
      </c>
      <c r="DT16" s="4125">
        <f t="shared" si="1"/>
        <v>0</v>
      </c>
      <c r="DU16" s="4125">
        <f t="shared" si="2"/>
        <v>692619.01</v>
      </c>
      <c r="DV16" s="4125">
        <f t="shared" si="3"/>
        <v>0</v>
      </c>
      <c r="DW16" s="4125">
        <f t="shared" si="4"/>
        <v>653675.16</v>
      </c>
      <c r="DX16" s="4125">
        <f t="shared" si="5"/>
        <v>0</v>
      </c>
      <c r="DY16" s="4125">
        <f t="shared" si="6"/>
        <v>849322.9</v>
      </c>
      <c r="DZ16" s="4125">
        <f t="shared" si="7"/>
        <v>0</v>
      </c>
      <c r="EA16" s="4125">
        <f t="shared" si="8"/>
        <v>879108.34000000008</v>
      </c>
      <c r="EB16" s="4125">
        <f t="shared" si="9"/>
        <v>0</v>
      </c>
      <c r="EC16" s="4125">
        <f t="shared" si="10"/>
        <v>899018.11</v>
      </c>
      <c r="ED16" s="4125">
        <f t="shared" si="11"/>
        <v>0</v>
      </c>
      <c r="EE16" s="4125">
        <f t="shared" si="12"/>
        <v>790826.09000000008</v>
      </c>
      <c r="EF16" s="4125">
        <f t="shared" si="13"/>
        <v>0</v>
      </c>
      <c r="EG16" s="4125">
        <f t="shared" si="14"/>
        <v>929665.11</v>
      </c>
      <c r="EH16" s="4126">
        <v>1150</v>
      </c>
      <c r="EI16" s="4125">
        <f t="shared" si="15"/>
        <v>818615.87</v>
      </c>
      <c r="EJ16" s="4125">
        <f t="shared" si="16"/>
        <v>0</v>
      </c>
      <c r="EK16" s="4125">
        <f t="shared" si="17"/>
        <v>820763.64999999991</v>
      </c>
      <c r="EL16" s="4125">
        <f t="shared" si="18"/>
        <v>0</v>
      </c>
      <c r="EM16" s="4125">
        <f t="shared" si="19"/>
        <v>851802.45000000007</v>
      </c>
      <c r="EN16" s="4125">
        <f t="shared" si="20"/>
        <v>0</v>
      </c>
      <c r="EO16" s="4125">
        <f t="shared" si="21"/>
        <v>1164396.0899999999</v>
      </c>
      <c r="EP16" s="4125">
        <f t="shared" si="22"/>
        <v>0</v>
      </c>
      <c r="EQ16" s="4125">
        <f t="shared" si="23"/>
        <v>778069.87</v>
      </c>
      <c r="ER16" s="4125">
        <f t="shared" si="24"/>
        <v>0</v>
      </c>
      <c r="ES16" s="4125">
        <f t="shared" si="25"/>
        <v>692529.72</v>
      </c>
      <c r="ET16" s="4125">
        <f t="shared" si="26"/>
        <v>0</v>
      </c>
      <c r="EU16" s="4125">
        <f t="shared" si="27"/>
        <v>274738.61</v>
      </c>
      <c r="EV16" s="4125">
        <f t="shared" si="28"/>
        <v>0</v>
      </c>
      <c r="EW16" s="4125">
        <f t="shared" si="29"/>
        <v>39604.630000000005</v>
      </c>
      <c r="EX16" s="4126">
        <v>1150</v>
      </c>
      <c r="EY16" s="4125">
        <f t="shared" si="30"/>
        <v>78644.72</v>
      </c>
      <c r="EZ16" s="4125">
        <f t="shared" si="31"/>
        <v>0</v>
      </c>
      <c r="FA16" s="4125">
        <f t="shared" si="32"/>
        <v>220539.94</v>
      </c>
      <c r="FB16" s="4125">
        <f t="shared" si="33"/>
        <v>0</v>
      </c>
      <c r="FC16" s="4125">
        <f t="shared" si="34"/>
        <v>124207.83</v>
      </c>
      <c r="FD16" s="4125">
        <f t="shared" si="35"/>
        <v>0</v>
      </c>
      <c r="FE16" s="4125">
        <f t="shared" si="36"/>
        <v>105817.24</v>
      </c>
      <c r="FF16" s="4125">
        <f t="shared" si="37"/>
        <v>0</v>
      </c>
      <c r="FG16" s="4125">
        <f t="shared" si="38"/>
        <v>194880.88</v>
      </c>
      <c r="FH16" s="4125">
        <f t="shared" si="39"/>
        <v>0</v>
      </c>
      <c r="FI16" s="4125">
        <f t="shared" si="40"/>
        <v>259219.16999999998</v>
      </c>
      <c r="FJ16" s="4125">
        <f t="shared" si="41"/>
        <v>0</v>
      </c>
      <c r="FK16" s="4125">
        <f t="shared" si="42"/>
        <v>225445.41</v>
      </c>
      <c r="FL16" s="4125">
        <f t="shared" si="43"/>
        <v>0</v>
      </c>
      <c r="FM16" s="4125">
        <f t="shared" si="44"/>
        <v>589209.36</v>
      </c>
      <c r="FN16" s="4125">
        <f t="shared" si="45"/>
        <v>0</v>
      </c>
      <c r="FO16" s="4125">
        <f t="shared" si="46"/>
        <v>291309.40999999997</v>
      </c>
      <c r="FP16" s="4125">
        <f t="shared" si="47"/>
        <v>0</v>
      </c>
      <c r="FQ16" s="4125">
        <f t="shared" si="48"/>
        <v>286149.22000000003</v>
      </c>
      <c r="FR16" s="4125">
        <f t="shared" si="49"/>
        <v>0</v>
      </c>
      <c r="FS16" s="4125">
        <f t="shared" si="50"/>
        <v>371512.81</v>
      </c>
      <c r="FT16" s="4125">
        <f t="shared" si="51"/>
        <v>0</v>
      </c>
      <c r="FU16" s="4125">
        <f t="shared" si="52"/>
        <v>236028.64</v>
      </c>
      <c r="FV16" s="4125">
        <f t="shared" si="53"/>
        <v>0</v>
      </c>
      <c r="FW16" s="4125">
        <f t="shared" si="85"/>
        <v>288877.63</v>
      </c>
      <c r="FX16" s="4127">
        <f t="shared" si="86"/>
        <v>0</v>
      </c>
      <c r="FY16" s="4128">
        <f t="shared" si="54"/>
        <v>791890.44</v>
      </c>
      <c r="FZ16" s="4125">
        <f t="shared" si="55"/>
        <v>692619.01</v>
      </c>
      <c r="GA16" s="4125">
        <f t="shared" si="56"/>
        <v>653675.16</v>
      </c>
      <c r="GB16" s="4125">
        <f t="shared" si="57"/>
        <v>849322.9</v>
      </c>
      <c r="GC16" s="4125">
        <f t="shared" si="58"/>
        <v>879108.34000000008</v>
      </c>
      <c r="GD16" s="4125">
        <f t="shared" si="59"/>
        <v>899018.11</v>
      </c>
      <c r="GE16" s="4125">
        <f t="shared" si="60"/>
        <v>790826.09000000008</v>
      </c>
      <c r="GF16" s="4125">
        <f t="shared" si="61"/>
        <v>930815.11</v>
      </c>
      <c r="GG16" s="4125">
        <f t="shared" si="62"/>
        <v>818615.87</v>
      </c>
      <c r="GH16" s="4125">
        <f t="shared" si="63"/>
        <v>820763.64999999991</v>
      </c>
      <c r="GI16" s="4125">
        <f t="shared" si="64"/>
        <v>851802.45000000007</v>
      </c>
      <c r="GJ16" s="4127">
        <f t="shared" si="65"/>
        <v>1164396.0899999999</v>
      </c>
      <c r="GK16" s="4129">
        <f t="shared" si="66"/>
        <v>778069.87</v>
      </c>
      <c r="GL16" s="4125">
        <f t="shared" si="67"/>
        <v>692529.72</v>
      </c>
      <c r="GM16" s="4125">
        <f t="shared" si="68"/>
        <v>274738.61</v>
      </c>
      <c r="GN16" s="4125">
        <f t="shared" si="69"/>
        <v>40754.630000000005</v>
      </c>
      <c r="GO16" s="4125">
        <f t="shared" si="70"/>
        <v>78644.72</v>
      </c>
      <c r="GP16" s="4125">
        <f t="shared" si="71"/>
        <v>220539.94</v>
      </c>
      <c r="GQ16" s="4125">
        <f t="shared" si="72"/>
        <v>124207.83</v>
      </c>
      <c r="GR16" s="4125">
        <f t="shared" si="73"/>
        <v>105817.24</v>
      </c>
      <c r="GS16" s="4125">
        <f t="shared" si="74"/>
        <v>194880.88</v>
      </c>
      <c r="GT16" s="4125">
        <f t="shared" si="75"/>
        <v>259219.16999999998</v>
      </c>
      <c r="GU16" s="4125">
        <f t="shared" si="76"/>
        <v>225445.41</v>
      </c>
      <c r="GV16" s="4127">
        <f t="shared" si="77"/>
        <v>589209.36</v>
      </c>
      <c r="GW16" s="4129">
        <f t="shared" si="78"/>
        <v>291309.40999999997</v>
      </c>
      <c r="GX16" s="4125">
        <f t="shared" si="79"/>
        <v>286149.22000000003</v>
      </c>
      <c r="GY16" s="4125">
        <f t="shared" si="80"/>
        <v>371512.81</v>
      </c>
      <c r="GZ16" s="4125">
        <f t="shared" si="81"/>
        <v>236028.64</v>
      </c>
      <c r="HA16" s="4125">
        <f t="shared" si="87"/>
        <v>288877.63</v>
      </c>
      <c r="HB16" s="4089">
        <f t="shared" si="90"/>
        <v>294775.54200000002</v>
      </c>
      <c r="HC16" s="4089">
        <f t="shared" si="88"/>
        <v>295468.76840000006</v>
      </c>
      <c r="HD16" s="4089">
        <f t="shared" si="88"/>
        <v>297332.67807999998</v>
      </c>
      <c r="HE16" s="4089">
        <f t="shared" si="88"/>
        <v>282496.65169600002</v>
      </c>
      <c r="HF16" s="4089">
        <f t="shared" si="88"/>
        <v>291790.25403520005</v>
      </c>
      <c r="HG16" s="4089">
        <f t="shared" si="88"/>
        <v>292372.77884223999</v>
      </c>
      <c r="HH16" s="4090">
        <f t="shared" si="88"/>
        <v>291892.22621068807</v>
      </c>
      <c r="HI16" s="4130">
        <f t="shared" si="83"/>
        <v>10142853.219999999</v>
      </c>
      <c r="HJ16" s="4131">
        <f t="shared" si="84"/>
        <v>3584057.3799999994</v>
      </c>
      <c r="HK16" s="4131">
        <f t="shared" si="91"/>
        <v>1473877.71</v>
      </c>
      <c r="HL16" s="4093">
        <f t="shared" si="89"/>
        <v>3520006.6092641284</v>
      </c>
      <c r="HM16" s="4132"/>
    </row>
    <row r="17" spans="1:221">
      <c r="A17" s="4120" t="s">
        <v>990</v>
      </c>
      <c r="B17" s="4121" t="s">
        <v>1122</v>
      </c>
      <c r="C17" s="4121" t="s">
        <v>1685</v>
      </c>
      <c r="D17" s="4121" t="s">
        <v>1698</v>
      </c>
      <c r="E17" s="4122" t="s">
        <v>1699</v>
      </c>
      <c r="F17" s="4123">
        <v>2754911.75</v>
      </c>
      <c r="G17" s="4123">
        <v>85753.01</v>
      </c>
      <c r="H17" s="4123">
        <v>0</v>
      </c>
      <c r="I17" s="4123">
        <v>0</v>
      </c>
      <c r="J17" s="4123">
        <v>3182066.83</v>
      </c>
      <c r="K17" s="4123">
        <v>102028.9</v>
      </c>
      <c r="L17" s="4123">
        <v>0</v>
      </c>
      <c r="M17" s="4123">
        <v>0</v>
      </c>
      <c r="N17" s="4123">
        <v>3099893.24</v>
      </c>
      <c r="O17" s="4123">
        <v>35627.879999999997</v>
      </c>
      <c r="P17" s="4123">
        <v>567.01</v>
      </c>
      <c r="Q17" s="4123">
        <v>0</v>
      </c>
      <c r="R17" s="4123">
        <v>2858109.27</v>
      </c>
      <c r="S17" s="4123">
        <v>65497.15</v>
      </c>
      <c r="T17" s="4123">
        <v>0</v>
      </c>
      <c r="U17" s="4123">
        <v>0</v>
      </c>
      <c r="V17" s="4123">
        <v>2826307.67</v>
      </c>
      <c r="W17" s="4123">
        <v>89932.08</v>
      </c>
      <c r="X17" s="4123">
        <v>0</v>
      </c>
      <c r="Y17" s="4123">
        <v>0</v>
      </c>
      <c r="Z17" s="4123">
        <v>2952131.81</v>
      </c>
      <c r="AA17" s="4123">
        <v>306794.63</v>
      </c>
      <c r="AB17" s="4123">
        <v>0</v>
      </c>
      <c r="AC17" s="4123">
        <v>0</v>
      </c>
      <c r="AD17" s="4123">
        <v>3019578.63</v>
      </c>
      <c r="AE17" s="4123">
        <v>65805.45</v>
      </c>
      <c r="AF17" s="4123">
        <v>0</v>
      </c>
      <c r="AG17" s="4123">
        <v>3000</v>
      </c>
      <c r="AH17" s="4123">
        <v>3311207.78</v>
      </c>
      <c r="AI17" s="4123">
        <v>92221.47</v>
      </c>
      <c r="AJ17" s="4123">
        <v>0</v>
      </c>
      <c r="AK17" s="4123">
        <v>0</v>
      </c>
      <c r="AL17" s="4123">
        <v>2979585.77</v>
      </c>
      <c r="AM17" s="4123">
        <v>91638.33</v>
      </c>
      <c r="AN17" s="4123">
        <v>0</v>
      </c>
      <c r="AO17" s="4123">
        <v>0</v>
      </c>
      <c r="AP17" s="4123">
        <v>2742453.03</v>
      </c>
      <c r="AQ17" s="4123">
        <v>101573.41</v>
      </c>
      <c r="AR17" s="4123">
        <v>98.03</v>
      </c>
      <c r="AS17" s="4123">
        <v>11</v>
      </c>
      <c r="AT17" s="4123">
        <v>3335460.4</v>
      </c>
      <c r="AU17" s="4123">
        <v>84602.67</v>
      </c>
      <c r="AV17" s="4123">
        <v>0</v>
      </c>
      <c r="AW17" s="4123">
        <v>0</v>
      </c>
      <c r="AX17" s="4123">
        <v>3540809.31</v>
      </c>
      <c r="AY17" s="4123">
        <v>530590.93999999994</v>
      </c>
      <c r="AZ17" s="4123">
        <v>0</v>
      </c>
      <c r="BA17" s="4123">
        <v>0</v>
      </c>
      <c r="BB17" s="4123">
        <v>2576747.25</v>
      </c>
      <c r="BC17" s="4123">
        <v>108319.73</v>
      </c>
      <c r="BD17" s="4123">
        <v>0</v>
      </c>
      <c r="BE17" s="4123">
        <v>0</v>
      </c>
      <c r="BF17" s="4123">
        <v>2540742.98</v>
      </c>
      <c r="BG17" s="4123">
        <v>137879.57999999999</v>
      </c>
      <c r="BH17" s="4123">
        <v>0</v>
      </c>
      <c r="BI17" s="4123">
        <v>0</v>
      </c>
      <c r="BJ17" s="4123">
        <v>1958028.9</v>
      </c>
      <c r="BK17" s="4123">
        <v>68886.02</v>
      </c>
      <c r="BL17" s="4123">
        <v>0</v>
      </c>
      <c r="BM17" s="4123">
        <v>0</v>
      </c>
      <c r="BN17" s="4123">
        <v>1229174.8600000001</v>
      </c>
      <c r="BO17" s="4123">
        <v>59399</v>
      </c>
      <c r="BP17" s="4123">
        <v>0</v>
      </c>
      <c r="BQ17" s="4123">
        <v>0</v>
      </c>
      <c r="BR17" s="4123">
        <v>1109905.3700000001</v>
      </c>
      <c r="BS17" s="4123">
        <v>48566.77</v>
      </c>
      <c r="BT17" s="4123">
        <v>0</v>
      </c>
      <c r="BU17" s="4123">
        <v>0</v>
      </c>
      <c r="BV17" s="4123">
        <v>1265635.6100000001</v>
      </c>
      <c r="BW17" s="4123">
        <v>177011.9</v>
      </c>
      <c r="BX17" s="4123">
        <v>0</v>
      </c>
      <c r="BY17" s="4123">
        <v>0</v>
      </c>
      <c r="BZ17" s="4123">
        <v>1160486.24</v>
      </c>
      <c r="CA17" s="4123">
        <v>56757.29</v>
      </c>
      <c r="CB17" s="4123">
        <v>0</v>
      </c>
      <c r="CC17" s="4123">
        <v>0</v>
      </c>
      <c r="CD17" s="4123">
        <v>1296070.8999999999</v>
      </c>
      <c r="CE17" s="4123">
        <v>52040.2</v>
      </c>
      <c r="CF17" s="4123">
        <v>30</v>
      </c>
      <c r="CG17" s="4123">
        <v>0</v>
      </c>
      <c r="CH17" s="4123">
        <v>1327925.33</v>
      </c>
      <c r="CI17" s="4123">
        <v>56517.2</v>
      </c>
      <c r="CJ17" s="4123">
        <v>0</v>
      </c>
      <c r="CK17" s="4123">
        <v>0</v>
      </c>
      <c r="CL17" s="4123">
        <v>1314795.69</v>
      </c>
      <c r="CM17" s="4123">
        <v>32579.33</v>
      </c>
      <c r="CN17" s="4123">
        <v>0</v>
      </c>
      <c r="CO17" s="4123">
        <v>0</v>
      </c>
      <c r="CP17" s="4123">
        <v>1333476.25</v>
      </c>
      <c r="CQ17" s="4123">
        <v>42402.12</v>
      </c>
      <c r="CR17" s="4123">
        <v>0</v>
      </c>
      <c r="CS17" s="4123">
        <v>0</v>
      </c>
      <c r="CT17" s="4123">
        <v>2493114.4300000002</v>
      </c>
      <c r="CU17" s="4123">
        <v>166155.48000000001</v>
      </c>
      <c r="CV17" s="4123">
        <v>0</v>
      </c>
      <c r="CW17" s="4123">
        <v>0</v>
      </c>
      <c r="CX17" s="4123">
        <v>1219002.79</v>
      </c>
      <c r="CY17" s="4123">
        <v>49560.480000000003</v>
      </c>
      <c r="CZ17" s="4123">
        <v>0</v>
      </c>
      <c r="DA17" s="4123">
        <v>0</v>
      </c>
      <c r="DB17" s="4123">
        <v>1472802.51</v>
      </c>
      <c r="DC17" s="4123">
        <v>51410.86</v>
      </c>
      <c r="DD17" s="4123">
        <v>0</v>
      </c>
      <c r="DE17" s="4123">
        <v>0</v>
      </c>
      <c r="DF17" s="4123">
        <v>1622989.8</v>
      </c>
      <c r="DG17" s="4123">
        <v>50063.73</v>
      </c>
      <c r="DH17" s="4123">
        <v>0</v>
      </c>
      <c r="DI17" s="4123">
        <v>0</v>
      </c>
      <c r="DJ17" s="4123">
        <v>1488213.38</v>
      </c>
      <c r="DK17" s="4123">
        <v>47675.9</v>
      </c>
      <c r="DL17" s="4123">
        <v>0</v>
      </c>
      <c r="DM17" s="4123">
        <v>0</v>
      </c>
      <c r="DN17" s="4123">
        <v>1367206.65</v>
      </c>
      <c r="DO17" s="4123">
        <v>27129.32</v>
      </c>
      <c r="DP17" s="4123">
        <v>0</v>
      </c>
      <c r="DQ17" s="4123">
        <v>0</v>
      </c>
      <c r="DR17" s="4124"/>
      <c r="DS17" s="4125">
        <f t="shared" si="0"/>
        <v>2840664.76</v>
      </c>
      <c r="DT17" s="4125">
        <f t="shared" si="1"/>
        <v>0</v>
      </c>
      <c r="DU17" s="4125">
        <f t="shared" si="2"/>
        <v>3284095.73</v>
      </c>
      <c r="DV17" s="4125">
        <f t="shared" si="3"/>
        <v>0</v>
      </c>
      <c r="DW17" s="4125">
        <f t="shared" si="4"/>
        <v>3135521.12</v>
      </c>
      <c r="DX17" s="4125">
        <f t="shared" si="5"/>
        <v>567.01</v>
      </c>
      <c r="DY17" s="4125">
        <f t="shared" si="6"/>
        <v>2923606.42</v>
      </c>
      <c r="DZ17" s="4125">
        <f t="shared" si="7"/>
        <v>0</v>
      </c>
      <c r="EA17" s="4125">
        <f t="shared" si="8"/>
        <v>2916239.75</v>
      </c>
      <c r="EB17" s="4125">
        <f t="shared" si="9"/>
        <v>0</v>
      </c>
      <c r="EC17" s="4125">
        <f t="shared" si="10"/>
        <v>3258926.44</v>
      </c>
      <c r="ED17" s="4125">
        <f t="shared" si="11"/>
        <v>0</v>
      </c>
      <c r="EE17" s="4125">
        <f t="shared" si="12"/>
        <v>3085384.08</v>
      </c>
      <c r="EF17" s="4125">
        <f t="shared" si="13"/>
        <v>3000</v>
      </c>
      <c r="EG17" s="4125">
        <f t="shared" si="14"/>
        <v>3403429.25</v>
      </c>
      <c r="EH17" s="4126">
        <v>1151</v>
      </c>
      <c r="EI17" s="4125">
        <f t="shared" si="15"/>
        <v>3071224.1</v>
      </c>
      <c r="EJ17" s="4125">
        <f t="shared" si="16"/>
        <v>0</v>
      </c>
      <c r="EK17" s="4125">
        <f t="shared" si="17"/>
        <v>2844026.44</v>
      </c>
      <c r="EL17" s="4125">
        <f t="shared" si="18"/>
        <v>109.03</v>
      </c>
      <c r="EM17" s="4125">
        <f t="shared" si="19"/>
        <v>3420063.07</v>
      </c>
      <c r="EN17" s="4125">
        <f t="shared" si="20"/>
        <v>0</v>
      </c>
      <c r="EO17" s="4125">
        <f t="shared" si="21"/>
        <v>4071400.25</v>
      </c>
      <c r="EP17" s="4125">
        <f t="shared" si="22"/>
        <v>0</v>
      </c>
      <c r="EQ17" s="4125">
        <f t="shared" si="23"/>
        <v>2685066.98</v>
      </c>
      <c r="ER17" s="4125">
        <f t="shared" si="24"/>
        <v>0</v>
      </c>
      <c r="ES17" s="4125">
        <f t="shared" si="25"/>
        <v>2678622.56</v>
      </c>
      <c r="ET17" s="4125">
        <f t="shared" si="26"/>
        <v>0</v>
      </c>
      <c r="EU17" s="4125">
        <f t="shared" si="27"/>
        <v>2026914.92</v>
      </c>
      <c r="EV17" s="4125">
        <f t="shared" si="28"/>
        <v>0</v>
      </c>
      <c r="EW17" s="4125">
        <f t="shared" si="29"/>
        <v>1288573.8600000001</v>
      </c>
      <c r="EX17" s="4126">
        <v>1151</v>
      </c>
      <c r="EY17" s="4125">
        <f t="shared" si="30"/>
        <v>1158472.1400000001</v>
      </c>
      <c r="EZ17" s="4125">
        <f t="shared" si="31"/>
        <v>0</v>
      </c>
      <c r="FA17" s="4125">
        <f t="shared" si="32"/>
        <v>1442647.51</v>
      </c>
      <c r="FB17" s="4125">
        <f t="shared" si="33"/>
        <v>0</v>
      </c>
      <c r="FC17" s="4125">
        <f t="shared" si="34"/>
        <v>1217243.53</v>
      </c>
      <c r="FD17" s="4125">
        <f t="shared" si="35"/>
        <v>0</v>
      </c>
      <c r="FE17" s="4125">
        <f t="shared" si="36"/>
        <v>1348111.0999999999</v>
      </c>
      <c r="FF17" s="4125">
        <f t="shared" si="37"/>
        <v>30</v>
      </c>
      <c r="FG17" s="4125">
        <f t="shared" si="38"/>
        <v>1384442.53</v>
      </c>
      <c r="FH17" s="4125">
        <f t="shared" si="39"/>
        <v>0</v>
      </c>
      <c r="FI17" s="4125">
        <f t="shared" si="40"/>
        <v>1347375.02</v>
      </c>
      <c r="FJ17" s="4125">
        <f t="shared" si="41"/>
        <v>0</v>
      </c>
      <c r="FK17" s="4125">
        <f t="shared" si="42"/>
        <v>1375878.37</v>
      </c>
      <c r="FL17" s="4125">
        <f t="shared" si="43"/>
        <v>0</v>
      </c>
      <c r="FM17" s="4125">
        <f t="shared" si="44"/>
        <v>2659269.91</v>
      </c>
      <c r="FN17" s="4125">
        <f t="shared" si="45"/>
        <v>0</v>
      </c>
      <c r="FO17" s="4125">
        <f t="shared" si="46"/>
        <v>1268563.27</v>
      </c>
      <c r="FP17" s="4125">
        <f t="shared" si="47"/>
        <v>0</v>
      </c>
      <c r="FQ17" s="4125">
        <f t="shared" si="48"/>
        <v>1524213.37</v>
      </c>
      <c r="FR17" s="4125">
        <f t="shared" si="49"/>
        <v>0</v>
      </c>
      <c r="FS17" s="4125">
        <f t="shared" si="50"/>
        <v>1673053.53</v>
      </c>
      <c r="FT17" s="4125">
        <f t="shared" si="51"/>
        <v>0</v>
      </c>
      <c r="FU17" s="4125">
        <f t="shared" si="52"/>
        <v>1535889.2799999998</v>
      </c>
      <c r="FV17" s="4125">
        <f t="shared" si="53"/>
        <v>0</v>
      </c>
      <c r="FW17" s="4125">
        <f t="shared" si="85"/>
        <v>1394335.97</v>
      </c>
      <c r="FX17" s="4127">
        <f t="shared" si="86"/>
        <v>0</v>
      </c>
      <c r="FY17" s="4128">
        <f t="shared" si="54"/>
        <v>2840664.76</v>
      </c>
      <c r="FZ17" s="4125">
        <f t="shared" si="55"/>
        <v>3284095.73</v>
      </c>
      <c r="GA17" s="4125">
        <f t="shared" si="56"/>
        <v>3136088.13</v>
      </c>
      <c r="GB17" s="4125">
        <f t="shared" si="57"/>
        <v>2923606.42</v>
      </c>
      <c r="GC17" s="4125">
        <f t="shared" si="58"/>
        <v>2916239.75</v>
      </c>
      <c r="GD17" s="4125">
        <f t="shared" si="59"/>
        <v>3258926.44</v>
      </c>
      <c r="GE17" s="4125">
        <f t="shared" si="60"/>
        <v>3088384.08</v>
      </c>
      <c r="GF17" s="4125">
        <f t="shared" si="61"/>
        <v>3404580.25</v>
      </c>
      <c r="GG17" s="4125">
        <f t="shared" si="62"/>
        <v>3071224.1</v>
      </c>
      <c r="GH17" s="4125">
        <f t="shared" si="63"/>
        <v>2844135.4699999997</v>
      </c>
      <c r="GI17" s="4125">
        <f t="shared" si="64"/>
        <v>3420063.07</v>
      </c>
      <c r="GJ17" s="4127">
        <f t="shared" si="65"/>
        <v>4071400.25</v>
      </c>
      <c r="GK17" s="4129">
        <f t="shared" si="66"/>
        <v>2685066.98</v>
      </c>
      <c r="GL17" s="4125">
        <f t="shared" si="67"/>
        <v>2678622.56</v>
      </c>
      <c r="GM17" s="4125">
        <f t="shared" si="68"/>
        <v>2026914.92</v>
      </c>
      <c r="GN17" s="4125">
        <f t="shared" si="69"/>
        <v>1289724.8600000001</v>
      </c>
      <c r="GO17" s="4125">
        <f t="shared" si="70"/>
        <v>1158472.1400000001</v>
      </c>
      <c r="GP17" s="4125">
        <f t="shared" si="71"/>
        <v>1442647.51</v>
      </c>
      <c r="GQ17" s="4125">
        <f t="shared" si="72"/>
        <v>1217243.53</v>
      </c>
      <c r="GR17" s="4125">
        <f t="shared" si="73"/>
        <v>1348141.0999999999</v>
      </c>
      <c r="GS17" s="4125">
        <f t="shared" si="74"/>
        <v>1384442.53</v>
      </c>
      <c r="GT17" s="4125">
        <f t="shared" si="75"/>
        <v>1347375.02</v>
      </c>
      <c r="GU17" s="4125">
        <f t="shared" si="76"/>
        <v>1375878.37</v>
      </c>
      <c r="GV17" s="4127">
        <f t="shared" si="77"/>
        <v>2659269.91</v>
      </c>
      <c r="GW17" s="4129">
        <f t="shared" si="78"/>
        <v>1268563.27</v>
      </c>
      <c r="GX17" s="4125">
        <f t="shared" si="79"/>
        <v>1524213.37</v>
      </c>
      <c r="GY17" s="4125">
        <f t="shared" si="80"/>
        <v>1673053.53</v>
      </c>
      <c r="GZ17" s="4125">
        <f t="shared" si="81"/>
        <v>1535889.2799999998</v>
      </c>
      <c r="HA17" s="4125">
        <f t="shared" si="87"/>
        <v>1394335.97</v>
      </c>
      <c r="HB17" s="4089">
        <f t="shared" si="90"/>
        <v>1479211.0839999998</v>
      </c>
      <c r="HC17" s="4089">
        <f t="shared" si="88"/>
        <v>1521340.6467999998</v>
      </c>
      <c r="HD17" s="4089">
        <f t="shared" si="88"/>
        <v>1520766.1021599998</v>
      </c>
      <c r="HE17" s="4089">
        <f t="shared" si="88"/>
        <v>1490308.6165919998</v>
      </c>
      <c r="HF17" s="4089">
        <f t="shared" si="88"/>
        <v>1481192.4839103997</v>
      </c>
      <c r="HG17" s="4089">
        <f t="shared" si="88"/>
        <v>1498563.7866924799</v>
      </c>
      <c r="HH17" s="4090">
        <f t="shared" si="88"/>
        <v>1502434.3272309755</v>
      </c>
      <c r="HI17" s="4130">
        <f t="shared" si="83"/>
        <v>38259408.450000003</v>
      </c>
      <c r="HJ17" s="4131">
        <f t="shared" si="84"/>
        <v>20613799.43</v>
      </c>
      <c r="HK17" s="4131">
        <f t="shared" si="91"/>
        <v>7396055.419999999</v>
      </c>
      <c r="HL17" s="4093">
        <f t="shared" si="89"/>
        <v>17889872.467385855</v>
      </c>
      <c r="HM17" s="4132"/>
    </row>
    <row r="18" spans="1:221">
      <c r="A18" s="4095" t="s">
        <v>1672</v>
      </c>
      <c r="B18" s="4096" t="s">
        <v>1700</v>
      </c>
      <c r="C18" s="4096" t="s">
        <v>1701</v>
      </c>
      <c r="D18" s="4096" t="s">
        <v>1702</v>
      </c>
      <c r="E18" s="4097" t="s">
        <v>1703</v>
      </c>
      <c r="F18" s="4098">
        <v>6429500.1399999997</v>
      </c>
      <c r="G18" s="4098">
        <v>2088502.93</v>
      </c>
      <c r="H18" s="4098">
        <v>45211.61</v>
      </c>
      <c r="I18" s="4098">
        <v>432634.49</v>
      </c>
      <c r="J18" s="4098">
        <v>6753883.3499999996</v>
      </c>
      <c r="K18" s="4098">
        <v>2771350.48</v>
      </c>
      <c r="L18" s="4098">
        <v>1</v>
      </c>
      <c r="M18" s="4098">
        <v>1736346.79</v>
      </c>
      <c r="N18" s="4098">
        <v>6666022.7699999996</v>
      </c>
      <c r="O18" s="4098">
        <v>2942449.21</v>
      </c>
      <c r="P18" s="4098">
        <v>18694.240000000002</v>
      </c>
      <c r="Q18" s="4098">
        <v>697074.17</v>
      </c>
      <c r="R18" s="4098">
        <v>6640838.5</v>
      </c>
      <c r="S18" s="4098">
        <v>3128648.36</v>
      </c>
      <c r="T18" s="4098">
        <v>0</v>
      </c>
      <c r="U18" s="4098">
        <v>500565.27</v>
      </c>
      <c r="V18" s="4098">
        <v>7661771.21</v>
      </c>
      <c r="W18" s="4098">
        <v>2989458.37</v>
      </c>
      <c r="X18" s="4098">
        <v>4730.68</v>
      </c>
      <c r="Y18" s="4098">
        <v>548995.18999999994</v>
      </c>
      <c r="Z18" s="4098">
        <v>7531762.0199999996</v>
      </c>
      <c r="AA18" s="4098">
        <v>3467994.51</v>
      </c>
      <c r="AB18" s="4098">
        <v>3240</v>
      </c>
      <c r="AC18" s="4098">
        <v>838883.36</v>
      </c>
      <c r="AD18" s="4098">
        <v>8554851.5600000005</v>
      </c>
      <c r="AE18" s="4098">
        <v>4513585.5199999996</v>
      </c>
      <c r="AF18" s="4098">
        <v>0</v>
      </c>
      <c r="AG18" s="4098">
        <v>340379.48</v>
      </c>
      <c r="AH18" s="4098">
        <v>8022949.5499999998</v>
      </c>
      <c r="AI18" s="4098">
        <v>4361051.91</v>
      </c>
      <c r="AJ18" s="4098">
        <v>110201.89</v>
      </c>
      <c r="AK18" s="4098">
        <v>394713.3</v>
      </c>
      <c r="AL18" s="4098">
        <v>6731182.5</v>
      </c>
      <c r="AM18" s="4098">
        <v>3057676.94</v>
      </c>
      <c r="AN18" s="4098">
        <v>76058.929999999993</v>
      </c>
      <c r="AO18" s="4098">
        <v>556779.89</v>
      </c>
      <c r="AP18" s="4098">
        <v>6776681.5300000003</v>
      </c>
      <c r="AQ18" s="4098">
        <v>3070814.2</v>
      </c>
      <c r="AR18" s="4098">
        <v>70158.05</v>
      </c>
      <c r="AS18" s="4098">
        <v>999831.19</v>
      </c>
      <c r="AT18" s="4098">
        <v>6697942.5800000001</v>
      </c>
      <c r="AU18" s="4098">
        <v>3422223.81</v>
      </c>
      <c r="AV18" s="4098">
        <v>33612.19</v>
      </c>
      <c r="AW18" s="4098">
        <v>550473.03</v>
      </c>
      <c r="AX18" s="4098">
        <v>7339890.1399999997</v>
      </c>
      <c r="AY18" s="4098">
        <v>4199505.4800000004</v>
      </c>
      <c r="AZ18" s="4098">
        <v>33182.35</v>
      </c>
      <c r="BA18" s="4098">
        <v>895840.34</v>
      </c>
      <c r="BB18" s="4098">
        <v>7348086.1500000004</v>
      </c>
      <c r="BC18" s="4098">
        <v>3051045.8</v>
      </c>
      <c r="BD18" s="4098">
        <v>9278.18</v>
      </c>
      <c r="BE18" s="4098">
        <v>649511.07999999996</v>
      </c>
      <c r="BF18" s="4098">
        <v>5792304.2199999997</v>
      </c>
      <c r="BG18" s="4098">
        <v>2027759.96</v>
      </c>
      <c r="BH18" s="4098">
        <v>0</v>
      </c>
      <c r="BI18" s="4098">
        <v>535150.37</v>
      </c>
      <c r="BJ18" s="4098">
        <v>3481595.08</v>
      </c>
      <c r="BK18" s="4098">
        <v>1017320.95</v>
      </c>
      <c r="BL18" s="4098">
        <v>0</v>
      </c>
      <c r="BM18" s="4098">
        <v>346690.44</v>
      </c>
      <c r="BN18" s="4098">
        <v>1671581.81</v>
      </c>
      <c r="BO18" s="4098">
        <v>298360.07</v>
      </c>
      <c r="BP18" s="4098">
        <v>0</v>
      </c>
      <c r="BQ18" s="4098">
        <v>270</v>
      </c>
      <c r="BR18" s="4098">
        <v>1409391.17</v>
      </c>
      <c r="BS18" s="4098">
        <v>228231.42</v>
      </c>
      <c r="BT18" s="4098">
        <v>0</v>
      </c>
      <c r="BU18" s="4098">
        <v>172199.57</v>
      </c>
      <c r="BV18" s="4098">
        <v>1738420.39</v>
      </c>
      <c r="BW18" s="4098">
        <v>334073.03999999998</v>
      </c>
      <c r="BX18" s="4098">
        <v>0</v>
      </c>
      <c r="BY18" s="4098">
        <v>186953.75</v>
      </c>
      <c r="BZ18" s="4098">
        <v>1893681.75</v>
      </c>
      <c r="CA18" s="4098">
        <v>336438.04</v>
      </c>
      <c r="CB18" s="4098">
        <v>0</v>
      </c>
      <c r="CC18" s="4098">
        <v>55883.45</v>
      </c>
      <c r="CD18" s="4098">
        <v>1929883.56</v>
      </c>
      <c r="CE18" s="4098">
        <v>501163.36</v>
      </c>
      <c r="CF18" s="4098">
        <v>0</v>
      </c>
      <c r="CG18" s="4098">
        <v>72927.149999999994</v>
      </c>
      <c r="CH18" s="4098">
        <v>2747135.83</v>
      </c>
      <c r="CI18" s="4098">
        <v>573464.53</v>
      </c>
      <c r="CJ18" s="4098">
        <v>0</v>
      </c>
      <c r="CK18" s="4098">
        <v>25315.23</v>
      </c>
      <c r="CL18" s="4098">
        <v>3040113.75</v>
      </c>
      <c r="CM18" s="4098">
        <v>837840.83</v>
      </c>
      <c r="CN18" s="4098">
        <v>0</v>
      </c>
      <c r="CO18" s="4098">
        <v>134588.38</v>
      </c>
      <c r="CP18" s="4098">
        <v>3454189.61</v>
      </c>
      <c r="CQ18" s="4098">
        <v>808960.96</v>
      </c>
      <c r="CR18" s="4098">
        <v>0</v>
      </c>
      <c r="CS18" s="4098">
        <v>191372.11</v>
      </c>
      <c r="CT18" s="4098">
        <v>4735776.21</v>
      </c>
      <c r="CU18" s="4098">
        <v>1503807.97</v>
      </c>
      <c r="CV18" s="4098">
        <v>1</v>
      </c>
      <c r="CW18" s="4098">
        <v>199862.11</v>
      </c>
      <c r="CX18" s="4098">
        <v>3616767.4</v>
      </c>
      <c r="CY18" s="4098">
        <v>1014685.41</v>
      </c>
      <c r="CZ18" s="4098">
        <v>2337.11</v>
      </c>
      <c r="DA18" s="4098">
        <v>206225.07</v>
      </c>
      <c r="DB18" s="4098">
        <v>3132817.53</v>
      </c>
      <c r="DC18" s="4098">
        <v>619506.59</v>
      </c>
      <c r="DD18" s="4098">
        <v>0</v>
      </c>
      <c r="DE18" s="4098">
        <v>52461.01</v>
      </c>
      <c r="DF18" s="4098">
        <v>3505859.95</v>
      </c>
      <c r="DG18" s="4098">
        <v>1013206.11</v>
      </c>
      <c r="DH18" s="4098">
        <v>1000</v>
      </c>
      <c r="DI18" s="4098">
        <v>103711.91</v>
      </c>
      <c r="DJ18" s="4098">
        <v>3152557.07</v>
      </c>
      <c r="DK18" s="4098">
        <v>841360.73</v>
      </c>
      <c r="DL18" s="4098">
        <v>0</v>
      </c>
      <c r="DM18" s="4098">
        <v>56689.05</v>
      </c>
      <c r="DN18" s="4098">
        <v>3562957.2</v>
      </c>
      <c r="DO18" s="4098">
        <v>1572595.56</v>
      </c>
      <c r="DP18" s="4098">
        <v>0</v>
      </c>
      <c r="DQ18" s="4098">
        <v>267592.06</v>
      </c>
      <c r="DR18" s="4099"/>
      <c r="DS18" s="4100">
        <f t="shared" si="0"/>
        <v>8518003.0700000003</v>
      </c>
      <c r="DT18" s="4100">
        <f t="shared" si="1"/>
        <v>477846.1</v>
      </c>
      <c r="DU18" s="4100">
        <f t="shared" si="2"/>
        <v>9525233.8300000001</v>
      </c>
      <c r="DV18" s="4100">
        <f t="shared" si="3"/>
        <v>1736347.79</v>
      </c>
      <c r="DW18" s="4100">
        <f t="shared" si="4"/>
        <v>9608471.9800000004</v>
      </c>
      <c r="DX18" s="4100">
        <f t="shared" si="5"/>
        <v>715768.41</v>
      </c>
      <c r="DY18" s="4100">
        <f t="shared" si="6"/>
        <v>9769486.8599999994</v>
      </c>
      <c r="DZ18" s="4100">
        <f t="shared" si="7"/>
        <v>500565.27</v>
      </c>
      <c r="EA18" s="4100">
        <f t="shared" si="8"/>
        <v>10651229.58</v>
      </c>
      <c r="EB18" s="4100">
        <f t="shared" si="9"/>
        <v>553725.87</v>
      </c>
      <c r="EC18" s="4100">
        <f t="shared" si="10"/>
        <v>10999756.529999999</v>
      </c>
      <c r="ED18" s="4100">
        <f t="shared" si="11"/>
        <v>842123.36</v>
      </c>
      <c r="EE18" s="4100">
        <f t="shared" si="12"/>
        <v>13068437.08</v>
      </c>
      <c r="EF18" s="4100">
        <f t="shared" si="13"/>
        <v>340379.48</v>
      </c>
      <c r="EG18" s="4100">
        <f t="shared" si="14"/>
        <v>12384001.460000001</v>
      </c>
      <c r="EH18" s="4101">
        <v>1361</v>
      </c>
      <c r="EI18" s="4100">
        <f t="shared" si="15"/>
        <v>9788859.4399999995</v>
      </c>
      <c r="EJ18" s="4100">
        <f t="shared" si="16"/>
        <v>632838.82000000007</v>
      </c>
      <c r="EK18" s="4100">
        <f t="shared" si="17"/>
        <v>9847495.7300000004</v>
      </c>
      <c r="EL18" s="4100">
        <f t="shared" si="18"/>
        <v>1069989.24</v>
      </c>
      <c r="EM18" s="4100">
        <f t="shared" si="19"/>
        <v>10120166.390000001</v>
      </c>
      <c r="EN18" s="4100">
        <f t="shared" si="20"/>
        <v>584085.22</v>
      </c>
      <c r="EO18" s="4100">
        <f t="shared" si="21"/>
        <v>11539395.620000001</v>
      </c>
      <c r="EP18" s="4100">
        <f t="shared" si="22"/>
        <v>929022.69</v>
      </c>
      <c r="EQ18" s="4100">
        <f t="shared" si="23"/>
        <v>10399131.949999999</v>
      </c>
      <c r="ER18" s="4100">
        <f t="shared" si="24"/>
        <v>658789.26</v>
      </c>
      <c r="ES18" s="4100">
        <f t="shared" si="25"/>
        <v>7820064.1799999997</v>
      </c>
      <c r="ET18" s="4100">
        <f t="shared" si="26"/>
        <v>535150.37</v>
      </c>
      <c r="EU18" s="4100">
        <f t="shared" si="27"/>
        <v>4498916.03</v>
      </c>
      <c r="EV18" s="4100">
        <f t="shared" si="28"/>
        <v>346690.44</v>
      </c>
      <c r="EW18" s="4100">
        <f t="shared" si="29"/>
        <v>1969941.8800000001</v>
      </c>
      <c r="EX18" s="4101">
        <v>1361</v>
      </c>
      <c r="EY18" s="4100">
        <f t="shared" si="30"/>
        <v>1637622.5899999999</v>
      </c>
      <c r="EZ18" s="4100">
        <f t="shared" si="31"/>
        <v>172199.57</v>
      </c>
      <c r="FA18" s="4100">
        <f t="shared" si="32"/>
        <v>2072493.43</v>
      </c>
      <c r="FB18" s="4100">
        <f t="shared" si="33"/>
        <v>186953.75</v>
      </c>
      <c r="FC18" s="4100">
        <f t="shared" si="34"/>
        <v>2230119.79</v>
      </c>
      <c r="FD18" s="4100">
        <f t="shared" si="35"/>
        <v>55883.45</v>
      </c>
      <c r="FE18" s="4100">
        <f t="shared" si="36"/>
        <v>2431046.92</v>
      </c>
      <c r="FF18" s="4100">
        <f t="shared" si="37"/>
        <v>72927.149999999994</v>
      </c>
      <c r="FG18" s="4100">
        <f t="shared" si="38"/>
        <v>3320600.3600000003</v>
      </c>
      <c r="FH18" s="4100">
        <f t="shared" si="39"/>
        <v>25315.23</v>
      </c>
      <c r="FI18" s="4100">
        <f t="shared" si="40"/>
        <v>3877954.58</v>
      </c>
      <c r="FJ18" s="4100">
        <f t="shared" si="41"/>
        <v>134588.38</v>
      </c>
      <c r="FK18" s="4100">
        <f t="shared" si="42"/>
        <v>4263150.57</v>
      </c>
      <c r="FL18" s="4100">
        <f t="shared" si="43"/>
        <v>191372.11</v>
      </c>
      <c r="FM18" s="4100">
        <f t="shared" si="44"/>
        <v>6239584.1799999997</v>
      </c>
      <c r="FN18" s="4100">
        <f t="shared" si="45"/>
        <v>199863.11</v>
      </c>
      <c r="FO18" s="4100">
        <f t="shared" si="46"/>
        <v>4631452.8099999996</v>
      </c>
      <c r="FP18" s="4100">
        <f t="shared" si="47"/>
        <v>208562.18</v>
      </c>
      <c r="FQ18" s="4100">
        <f t="shared" si="48"/>
        <v>3752324.1199999996</v>
      </c>
      <c r="FR18" s="4100">
        <f t="shared" si="49"/>
        <v>52461.01</v>
      </c>
      <c r="FS18" s="4100">
        <f t="shared" si="50"/>
        <v>4519066.0600000005</v>
      </c>
      <c r="FT18" s="4100">
        <f t="shared" si="51"/>
        <v>104711.91</v>
      </c>
      <c r="FU18" s="4100">
        <f t="shared" si="52"/>
        <v>3993917.8</v>
      </c>
      <c r="FV18" s="4100">
        <f t="shared" si="53"/>
        <v>56689.05</v>
      </c>
      <c r="FW18" s="4100">
        <f t="shared" si="85"/>
        <v>5135552.76</v>
      </c>
      <c r="FX18" s="4102">
        <f t="shared" si="86"/>
        <v>267592.06</v>
      </c>
      <c r="FY18" s="4103">
        <f t="shared" si="54"/>
        <v>8995849.1699999999</v>
      </c>
      <c r="FZ18" s="4100">
        <f t="shared" si="55"/>
        <v>11261581.620000001</v>
      </c>
      <c r="GA18" s="4100">
        <f t="shared" si="56"/>
        <v>10324240.390000001</v>
      </c>
      <c r="GB18" s="4100">
        <f t="shared" si="57"/>
        <v>10270052.129999999</v>
      </c>
      <c r="GC18" s="4100">
        <f t="shared" si="58"/>
        <v>11204955.449999999</v>
      </c>
      <c r="GD18" s="4100">
        <f t="shared" si="59"/>
        <v>11841879.889999999</v>
      </c>
      <c r="GE18" s="4100">
        <f t="shared" si="60"/>
        <v>13408816.560000001</v>
      </c>
      <c r="GF18" s="4100">
        <f t="shared" si="61"/>
        <v>12385362.460000001</v>
      </c>
      <c r="GG18" s="4100">
        <f t="shared" si="62"/>
        <v>10421698.26</v>
      </c>
      <c r="GH18" s="4100">
        <f t="shared" si="63"/>
        <v>10917484.970000001</v>
      </c>
      <c r="GI18" s="4100">
        <f t="shared" si="64"/>
        <v>10704251.610000001</v>
      </c>
      <c r="GJ18" s="4102">
        <f t="shared" si="65"/>
        <v>12468418.310000001</v>
      </c>
      <c r="GK18" s="4104">
        <f t="shared" si="66"/>
        <v>11057921.209999999</v>
      </c>
      <c r="GL18" s="4100">
        <f t="shared" si="67"/>
        <v>8355214.5499999998</v>
      </c>
      <c r="GM18" s="4100">
        <f t="shared" si="68"/>
        <v>4845606.4700000007</v>
      </c>
      <c r="GN18" s="4100">
        <f t="shared" si="69"/>
        <v>1971302.8800000001</v>
      </c>
      <c r="GO18" s="4100">
        <f t="shared" si="70"/>
        <v>1809822.16</v>
      </c>
      <c r="GP18" s="4100">
        <f t="shared" si="71"/>
        <v>2259447.1799999997</v>
      </c>
      <c r="GQ18" s="4100">
        <f t="shared" si="72"/>
        <v>2286003.2400000002</v>
      </c>
      <c r="GR18" s="4100">
        <f t="shared" si="73"/>
        <v>2503974.0699999998</v>
      </c>
      <c r="GS18" s="4100">
        <f t="shared" si="74"/>
        <v>3345915.5900000003</v>
      </c>
      <c r="GT18" s="4100">
        <f t="shared" si="75"/>
        <v>4012542.96</v>
      </c>
      <c r="GU18" s="4100">
        <f t="shared" si="76"/>
        <v>4454522.6800000006</v>
      </c>
      <c r="GV18" s="4102">
        <f t="shared" si="77"/>
        <v>6439447.29</v>
      </c>
      <c r="GW18" s="4104">
        <f t="shared" si="78"/>
        <v>4840014.9899999993</v>
      </c>
      <c r="GX18" s="4100">
        <f t="shared" si="79"/>
        <v>3804785.1299999994</v>
      </c>
      <c r="GY18" s="4100">
        <f t="shared" si="80"/>
        <v>4623777.9700000007</v>
      </c>
      <c r="GZ18" s="4100">
        <f t="shared" si="81"/>
        <v>4050606.8499999996</v>
      </c>
      <c r="HA18" s="4100">
        <f t="shared" si="87"/>
        <v>5403144.8199999994</v>
      </c>
      <c r="HB18" s="4089">
        <f t="shared" si="90"/>
        <v>4544465.9519999996</v>
      </c>
      <c r="HC18" s="4089">
        <f t="shared" si="88"/>
        <v>4485356.1443999996</v>
      </c>
      <c r="HD18" s="4089">
        <f t="shared" si="88"/>
        <v>4621470.3472800003</v>
      </c>
      <c r="HE18" s="4089">
        <f t="shared" si="88"/>
        <v>4621008.8227359997</v>
      </c>
      <c r="HF18" s="4089">
        <f t="shared" si="88"/>
        <v>4735089.2172831995</v>
      </c>
      <c r="HG18" s="4089">
        <f t="shared" si="88"/>
        <v>4601478.0967398398</v>
      </c>
      <c r="HH18" s="4090">
        <f t="shared" si="88"/>
        <v>4612880.5256878082</v>
      </c>
      <c r="HI18" s="4105">
        <f t="shared" si="83"/>
        <v>134204590.82000002</v>
      </c>
      <c r="HJ18" s="4106">
        <f t="shared" si="84"/>
        <v>53341720.280000001</v>
      </c>
      <c r="HK18" s="4106">
        <f t="shared" si="91"/>
        <v>22722329.759999998</v>
      </c>
      <c r="HL18" s="4093">
        <f t="shared" si="89"/>
        <v>54944078.866126843</v>
      </c>
      <c r="HM18" s="4107"/>
    </row>
    <row r="19" spans="1:221">
      <c r="A19" s="4095" t="s">
        <v>1672</v>
      </c>
      <c r="B19" s="4096" t="s">
        <v>1700</v>
      </c>
      <c r="C19" s="4096" t="s">
        <v>1701</v>
      </c>
      <c r="D19" s="4096" t="s">
        <v>1704</v>
      </c>
      <c r="E19" s="4097" t="s">
        <v>1705</v>
      </c>
      <c r="F19" s="4098">
        <v>971767</v>
      </c>
      <c r="G19" s="4098">
        <v>259336.84</v>
      </c>
      <c r="H19" s="4098">
        <v>0</v>
      </c>
      <c r="I19" s="4098">
        <v>109326.65</v>
      </c>
      <c r="J19" s="4098">
        <v>1008285.4</v>
      </c>
      <c r="K19" s="4098">
        <v>159641.69</v>
      </c>
      <c r="L19" s="4098">
        <v>0</v>
      </c>
      <c r="M19" s="4098">
        <v>90875.01</v>
      </c>
      <c r="N19" s="4098">
        <v>930933.62</v>
      </c>
      <c r="O19" s="4098">
        <v>226200.94</v>
      </c>
      <c r="P19" s="4098">
        <v>0</v>
      </c>
      <c r="Q19" s="4098">
        <v>71786.070000000007</v>
      </c>
      <c r="R19" s="4098">
        <v>1099463.6499999999</v>
      </c>
      <c r="S19" s="4098">
        <v>171711.82</v>
      </c>
      <c r="T19" s="4098">
        <v>0</v>
      </c>
      <c r="U19" s="4098">
        <v>258739.67</v>
      </c>
      <c r="V19" s="4098">
        <v>1075998.6599999999</v>
      </c>
      <c r="W19" s="4098">
        <v>271326.58</v>
      </c>
      <c r="X19" s="4098">
        <v>0</v>
      </c>
      <c r="Y19" s="4098">
        <v>111850.59</v>
      </c>
      <c r="Z19" s="4098">
        <v>1233043.5</v>
      </c>
      <c r="AA19" s="4098">
        <v>319295.61</v>
      </c>
      <c r="AB19" s="4098">
        <v>0</v>
      </c>
      <c r="AC19" s="4098">
        <v>109779.3</v>
      </c>
      <c r="AD19" s="4098">
        <v>1142471.1299999999</v>
      </c>
      <c r="AE19" s="4098">
        <v>346074.04</v>
      </c>
      <c r="AF19" s="4098">
        <v>0</v>
      </c>
      <c r="AG19" s="4098">
        <v>281722.68</v>
      </c>
      <c r="AH19" s="4098">
        <v>1566923.82</v>
      </c>
      <c r="AI19" s="4098">
        <v>563356.37</v>
      </c>
      <c r="AJ19" s="4098">
        <v>0</v>
      </c>
      <c r="AK19" s="4098">
        <v>122154.95</v>
      </c>
      <c r="AL19" s="4098">
        <v>2180095.7999999998</v>
      </c>
      <c r="AM19" s="4098">
        <v>307986.81</v>
      </c>
      <c r="AN19" s="4098">
        <v>0</v>
      </c>
      <c r="AO19" s="4098">
        <v>109942.08</v>
      </c>
      <c r="AP19" s="4098">
        <v>1014201.85</v>
      </c>
      <c r="AQ19" s="4098">
        <v>362489.7</v>
      </c>
      <c r="AR19" s="4098">
        <v>0</v>
      </c>
      <c r="AS19" s="4098">
        <v>90575.58</v>
      </c>
      <c r="AT19" s="4098">
        <v>1043344.94</v>
      </c>
      <c r="AU19" s="4098">
        <v>252317.91</v>
      </c>
      <c r="AV19" s="4098">
        <v>0</v>
      </c>
      <c r="AW19" s="4098">
        <v>185213.46</v>
      </c>
      <c r="AX19" s="4098">
        <v>1097586.05</v>
      </c>
      <c r="AY19" s="4098">
        <v>361404.07</v>
      </c>
      <c r="AZ19" s="4098">
        <v>9600</v>
      </c>
      <c r="BA19" s="4098">
        <v>111854.65</v>
      </c>
      <c r="BB19" s="4098">
        <v>1077370.8799999999</v>
      </c>
      <c r="BC19" s="4098">
        <v>437959.83</v>
      </c>
      <c r="BD19" s="4098">
        <v>0</v>
      </c>
      <c r="BE19" s="4098">
        <v>107579.83</v>
      </c>
      <c r="BF19" s="4098">
        <v>1099195.8400000001</v>
      </c>
      <c r="BG19" s="4098">
        <v>223780.75</v>
      </c>
      <c r="BH19" s="4098">
        <v>0</v>
      </c>
      <c r="BI19" s="4098">
        <v>99389.49</v>
      </c>
      <c r="BJ19" s="4098">
        <v>695950.43</v>
      </c>
      <c r="BK19" s="4098">
        <v>180836.6</v>
      </c>
      <c r="BL19" s="4098">
        <v>0</v>
      </c>
      <c r="BM19" s="4098">
        <v>75659.12</v>
      </c>
      <c r="BN19" s="4098">
        <v>77606.880000000005</v>
      </c>
      <c r="BO19" s="4098">
        <v>51664</v>
      </c>
      <c r="BP19" s="4098">
        <v>0</v>
      </c>
      <c r="BQ19" s="4098">
        <v>0</v>
      </c>
      <c r="BR19" s="4098">
        <v>152271.45000000001</v>
      </c>
      <c r="BS19" s="4098">
        <v>13415.18</v>
      </c>
      <c r="BT19" s="4098">
        <v>0</v>
      </c>
      <c r="BU19" s="4098">
        <v>69590.45</v>
      </c>
      <c r="BV19" s="4098">
        <v>114177.58</v>
      </c>
      <c r="BW19" s="4098">
        <v>187151.42</v>
      </c>
      <c r="BX19" s="4098">
        <v>0</v>
      </c>
      <c r="BY19" s="4098">
        <v>0</v>
      </c>
      <c r="BZ19" s="4098">
        <v>165108.15</v>
      </c>
      <c r="CA19" s="4098">
        <v>42527.39</v>
      </c>
      <c r="CB19" s="4098">
        <v>0</v>
      </c>
      <c r="CC19" s="4098">
        <v>0</v>
      </c>
      <c r="CD19" s="4098">
        <v>254911.34</v>
      </c>
      <c r="CE19" s="4098">
        <v>73530.33</v>
      </c>
      <c r="CF19" s="4098">
        <v>0</v>
      </c>
      <c r="CG19" s="4098">
        <v>0</v>
      </c>
      <c r="CH19" s="4098">
        <v>362030.04</v>
      </c>
      <c r="CI19" s="4098">
        <v>88362.18</v>
      </c>
      <c r="CJ19" s="4098">
        <v>0</v>
      </c>
      <c r="CK19" s="4098">
        <v>0</v>
      </c>
      <c r="CL19" s="4098">
        <v>339899.72</v>
      </c>
      <c r="CM19" s="4098">
        <v>36817.599999999999</v>
      </c>
      <c r="CN19" s="4098">
        <v>0</v>
      </c>
      <c r="CO19" s="4098">
        <v>2312.34</v>
      </c>
      <c r="CP19" s="4098">
        <v>447268.19</v>
      </c>
      <c r="CQ19" s="4098">
        <v>32893.879999999997</v>
      </c>
      <c r="CR19" s="4098">
        <v>1485.12</v>
      </c>
      <c r="CS19" s="4098">
        <v>2846.68</v>
      </c>
      <c r="CT19" s="4098">
        <v>739482.75</v>
      </c>
      <c r="CU19" s="4098">
        <v>202907.06</v>
      </c>
      <c r="CV19" s="4098">
        <v>0</v>
      </c>
      <c r="CW19" s="4098">
        <v>1938.3</v>
      </c>
      <c r="CX19" s="4098">
        <v>455184.56</v>
      </c>
      <c r="CY19" s="4098">
        <v>82050.14</v>
      </c>
      <c r="CZ19" s="4098">
        <v>0</v>
      </c>
      <c r="DA19" s="4098">
        <v>19610</v>
      </c>
      <c r="DB19" s="4098">
        <v>467305.22</v>
      </c>
      <c r="DC19" s="4098">
        <v>119135.28</v>
      </c>
      <c r="DD19" s="4098">
        <v>0</v>
      </c>
      <c r="DE19" s="4098">
        <v>11250</v>
      </c>
      <c r="DF19" s="4098">
        <v>648852.72</v>
      </c>
      <c r="DG19" s="4098">
        <v>84789.47</v>
      </c>
      <c r="DH19" s="4098">
        <v>0</v>
      </c>
      <c r="DI19" s="4098">
        <v>4350</v>
      </c>
      <c r="DJ19" s="4098">
        <v>693334.84</v>
      </c>
      <c r="DK19" s="4098">
        <v>85379.1</v>
      </c>
      <c r="DL19" s="4098">
        <v>0</v>
      </c>
      <c r="DM19" s="4098">
        <v>0</v>
      </c>
      <c r="DN19" s="4098">
        <v>1058150.8799999999</v>
      </c>
      <c r="DO19" s="4098">
        <v>74181.08</v>
      </c>
      <c r="DP19" s="4098">
        <v>52244.24</v>
      </c>
      <c r="DQ19" s="4098">
        <v>0</v>
      </c>
      <c r="DR19" s="4099"/>
      <c r="DS19" s="4100">
        <f t="shared" si="0"/>
        <v>1231103.8400000001</v>
      </c>
      <c r="DT19" s="4100">
        <f t="shared" si="1"/>
        <v>109326.65</v>
      </c>
      <c r="DU19" s="4100">
        <f t="shared" si="2"/>
        <v>1167927.0900000001</v>
      </c>
      <c r="DV19" s="4100">
        <f t="shared" si="3"/>
        <v>90875.01</v>
      </c>
      <c r="DW19" s="4100">
        <f t="shared" si="4"/>
        <v>1157134.56</v>
      </c>
      <c r="DX19" s="4100">
        <f t="shared" si="5"/>
        <v>71786.070000000007</v>
      </c>
      <c r="DY19" s="4100">
        <f t="shared" si="6"/>
        <v>1271175.47</v>
      </c>
      <c r="DZ19" s="4100">
        <f t="shared" si="7"/>
        <v>258739.67</v>
      </c>
      <c r="EA19" s="4100">
        <f t="shared" si="8"/>
        <v>1347325.24</v>
      </c>
      <c r="EB19" s="4100">
        <f t="shared" si="9"/>
        <v>111850.59</v>
      </c>
      <c r="EC19" s="4100">
        <f t="shared" si="10"/>
        <v>1552339.1099999999</v>
      </c>
      <c r="ED19" s="4100">
        <f t="shared" si="11"/>
        <v>109779.3</v>
      </c>
      <c r="EE19" s="4100">
        <f t="shared" si="12"/>
        <v>1488545.17</v>
      </c>
      <c r="EF19" s="4100">
        <f t="shared" si="13"/>
        <v>281722.68</v>
      </c>
      <c r="EG19" s="4100">
        <f t="shared" si="14"/>
        <v>2130280.19</v>
      </c>
      <c r="EH19" s="4101">
        <v>1362</v>
      </c>
      <c r="EI19" s="4100">
        <f t="shared" si="15"/>
        <v>2488082.61</v>
      </c>
      <c r="EJ19" s="4100">
        <f t="shared" si="16"/>
        <v>109942.08</v>
      </c>
      <c r="EK19" s="4100">
        <f t="shared" si="17"/>
        <v>1376691.55</v>
      </c>
      <c r="EL19" s="4100">
        <f t="shared" si="18"/>
        <v>90575.58</v>
      </c>
      <c r="EM19" s="4100">
        <f t="shared" si="19"/>
        <v>1295662.8499999999</v>
      </c>
      <c r="EN19" s="4100">
        <f t="shared" si="20"/>
        <v>185213.46</v>
      </c>
      <c r="EO19" s="4100">
        <f t="shared" si="21"/>
        <v>1458990.12</v>
      </c>
      <c r="EP19" s="4100">
        <f t="shared" si="22"/>
        <v>121454.65</v>
      </c>
      <c r="EQ19" s="4100">
        <f t="shared" si="23"/>
        <v>1515330.71</v>
      </c>
      <c r="ER19" s="4100">
        <f t="shared" si="24"/>
        <v>107579.83</v>
      </c>
      <c r="ES19" s="4100">
        <f t="shared" si="25"/>
        <v>1322976.5900000001</v>
      </c>
      <c r="ET19" s="4100">
        <f t="shared" si="26"/>
        <v>99389.49</v>
      </c>
      <c r="EU19" s="4100">
        <f t="shared" si="27"/>
        <v>876787.03</v>
      </c>
      <c r="EV19" s="4100">
        <f t="shared" si="28"/>
        <v>75659.12</v>
      </c>
      <c r="EW19" s="4100">
        <f t="shared" si="29"/>
        <v>129270.88</v>
      </c>
      <c r="EX19" s="4101">
        <v>1362</v>
      </c>
      <c r="EY19" s="4100">
        <f t="shared" si="30"/>
        <v>165686.63</v>
      </c>
      <c r="EZ19" s="4100">
        <f t="shared" si="31"/>
        <v>69590.45</v>
      </c>
      <c r="FA19" s="4100">
        <f t="shared" si="32"/>
        <v>301329</v>
      </c>
      <c r="FB19" s="4100">
        <f t="shared" si="33"/>
        <v>0</v>
      </c>
      <c r="FC19" s="4100">
        <f t="shared" si="34"/>
        <v>207635.53999999998</v>
      </c>
      <c r="FD19" s="4100">
        <f t="shared" si="35"/>
        <v>0</v>
      </c>
      <c r="FE19" s="4100">
        <f t="shared" si="36"/>
        <v>328441.67</v>
      </c>
      <c r="FF19" s="4100">
        <f t="shared" si="37"/>
        <v>0</v>
      </c>
      <c r="FG19" s="4100">
        <f t="shared" si="38"/>
        <v>450392.22</v>
      </c>
      <c r="FH19" s="4100">
        <f t="shared" si="39"/>
        <v>0</v>
      </c>
      <c r="FI19" s="4100">
        <f t="shared" si="40"/>
        <v>376717.31999999995</v>
      </c>
      <c r="FJ19" s="4100">
        <f t="shared" si="41"/>
        <v>2312.34</v>
      </c>
      <c r="FK19" s="4100">
        <f t="shared" si="42"/>
        <v>480162.07</v>
      </c>
      <c r="FL19" s="4100">
        <f t="shared" si="43"/>
        <v>4331.7999999999993</v>
      </c>
      <c r="FM19" s="4100">
        <f t="shared" si="44"/>
        <v>942389.81</v>
      </c>
      <c r="FN19" s="4100">
        <f t="shared" si="45"/>
        <v>1938.3</v>
      </c>
      <c r="FO19" s="4100">
        <f t="shared" si="46"/>
        <v>537234.69999999995</v>
      </c>
      <c r="FP19" s="4100">
        <f t="shared" si="47"/>
        <v>19610</v>
      </c>
      <c r="FQ19" s="4100">
        <f t="shared" si="48"/>
        <v>586440.5</v>
      </c>
      <c r="FR19" s="4100">
        <f t="shared" si="49"/>
        <v>11250</v>
      </c>
      <c r="FS19" s="4100">
        <f t="shared" si="50"/>
        <v>733642.19</v>
      </c>
      <c r="FT19" s="4100">
        <f t="shared" si="51"/>
        <v>4350</v>
      </c>
      <c r="FU19" s="4100">
        <f t="shared" si="52"/>
        <v>778713.94</v>
      </c>
      <c r="FV19" s="4100">
        <f t="shared" si="53"/>
        <v>0</v>
      </c>
      <c r="FW19" s="4100">
        <f t="shared" si="85"/>
        <v>1132331.96</v>
      </c>
      <c r="FX19" s="4102">
        <f t="shared" si="86"/>
        <v>52244.24</v>
      </c>
      <c r="FY19" s="4103">
        <f t="shared" si="54"/>
        <v>1340430.49</v>
      </c>
      <c r="FZ19" s="4100">
        <f t="shared" si="55"/>
        <v>1258802.1000000001</v>
      </c>
      <c r="GA19" s="4100">
        <f t="shared" si="56"/>
        <v>1228920.6300000001</v>
      </c>
      <c r="GB19" s="4100">
        <f t="shared" si="57"/>
        <v>1529915.14</v>
      </c>
      <c r="GC19" s="4100">
        <f t="shared" si="58"/>
        <v>1459175.83</v>
      </c>
      <c r="GD19" s="4100">
        <f t="shared" si="59"/>
        <v>1662118.41</v>
      </c>
      <c r="GE19" s="4100">
        <f t="shared" si="60"/>
        <v>1770267.8499999999</v>
      </c>
      <c r="GF19" s="4100">
        <f t="shared" si="61"/>
        <v>2131642.19</v>
      </c>
      <c r="GG19" s="4100">
        <f t="shared" si="62"/>
        <v>2598024.69</v>
      </c>
      <c r="GH19" s="4100">
        <f t="shared" si="63"/>
        <v>1467267.1300000001</v>
      </c>
      <c r="GI19" s="4100">
        <f t="shared" si="64"/>
        <v>1480876.3099999998</v>
      </c>
      <c r="GJ19" s="4102">
        <f t="shared" si="65"/>
        <v>1580444.77</v>
      </c>
      <c r="GK19" s="4104">
        <f t="shared" si="66"/>
        <v>1622910.54</v>
      </c>
      <c r="GL19" s="4100">
        <f t="shared" si="67"/>
        <v>1422366.08</v>
      </c>
      <c r="GM19" s="4100">
        <f t="shared" si="68"/>
        <v>952446.15</v>
      </c>
      <c r="GN19" s="4100">
        <f t="shared" si="69"/>
        <v>130632.88</v>
      </c>
      <c r="GO19" s="4100">
        <f t="shared" si="70"/>
        <v>235277.08000000002</v>
      </c>
      <c r="GP19" s="4100">
        <f t="shared" si="71"/>
        <v>301329</v>
      </c>
      <c r="GQ19" s="4100">
        <f t="shared" si="72"/>
        <v>207635.53999999998</v>
      </c>
      <c r="GR19" s="4100">
        <f t="shared" si="73"/>
        <v>328441.67</v>
      </c>
      <c r="GS19" s="4100">
        <f t="shared" si="74"/>
        <v>450392.22</v>
      </c>
      <c r="GT19" s="4100">
        <f t="shared" si="75"/>
        <v>379029.66</v>
      </c>
      <c r="GU19" s="4100">
        <f t="shared" si="76"/>
        <v>484493.87</v>
      </c>
      <c r="GV19" s="4102">
        <f t="shared" si="77"/>
        <v>944328.1100000001</v>
      </c>
      <c r="GW19" s="4104">
        <f t="shared" si="78"/>
        <v>556844.69999999995</v>
      </c>
      <c r="GX19" s="4100">
        <f t="shared" si="79"/>
        <v>597690.5</v>
      </c>
      <c r="GY19" s="4100">
        <f t="shared" si="80"/>
        <v>737992.19</v>
      </c>
      <c r="GZ19" s="4100">
        <f t="shared" si="81"/>
        <v>778713.94</v>
      </c>
      <c r="HA19" s="4100">
        <f t="shared" si="87"/>
        <v>1184576.2</v>
      </c>
      <c r="HB19" s="4089">
        <f t="shared" si="90"/>
        <v>771163.50600000005</v>
      </c>
      <c r="HC19" s="4089">
        <f t="shared" si="88"/>
        <v>814027.2672</v>
      </c>
      <c r="HD19" s="4089">
        <f t="shared" si="88"/>
        <v>857294.62063999998</v>
      </c>
      <c r="HE19" s="4089">
        <f t="shared" si="88"/>
        <v>881155.10676799994</v>
      </c>
      <c r="HF19" s="4089">
        <f t="shared" si="88"/>
        <v>901643.34012160008</v>
      </c>
      <c r="HG19" s="4089">
        <f t="shared" si="88"/>
        <v>845056.76814592001</v>
      </c>
      <c r="HH19" s="4090">
        <f t="shared" si="88"/>
        <v>859835.42057510396</v>
      </c>
      <c r="HI19" s="4105">
        <f t="shared" si="83"/>
        <v>19507885.539999999</v>
      </c>
      <c r="HJ19" s="4106">
        <f t="shared" si="84"/>
        <v>7459282.7999999998</v>
      </c>
      <c r="HK19" s="4106">
        <f t="shared" si="91"/>
        <v>3855817.5300000003</v>
      </c>
      <c r="HL19" s="4093">
        <f t="shared" si="89"/>
        <v>9785993.5594506245</v>
      </c>
      <c r="HM19" s="4107"/>
    </row>
    <row r="20" spans="1:221">
      <c r="A20" s="4095" t="s">
        <v>1672</v>
      </c>
      <c r="B20" s="4096" t="s">
        <v>1700</v>
      </c>
      <c r="C20" s="4096" t="s">
        <v>1701</v>
      </c>
      <c r="D20" s="4096" t="s">
        <v>1706</v>
      </c>
      <c r="E20" s="4097" t="s">
        <v>1707</v>
      </c>
      <c r="F20" s="4098">
        <v>81469.570000000007</v>
      </c>
      <c r="G20" s="4098">
        <v>117.25</v>
      </c>
      <c r="H20" s="4098">
        <v>0</v>
      </c>
      <c r="I20" s="4098">
        <v>0</v>
      </c>
      <c r="J20" s="4098">
        <v>34661.85</v>
      </c>
      <c r="K20" s="4098">
        <v>85.5</v>
      </c>
      <c r="L20" s="4098">
        <v>0</v>
      </c>
      <c r="M20" s="4098">
        <v>8524.06</v>
      </c>
      <c r="N20" s="4098">
        <v>67588.570000000007</v>
      </c>
      <c r="O20" s="4098">
        <v>224.5</v>
      </c>
      <c r="P20" s="4098">
        <v>0</v>
      </c>
      <c r="Q20" s="4098">
        <v>2127.7199999999998</v>
      </c>
      <c r="R20" s="4098">
        <v>58347.85</v>
      </c>
      <c r="S20" s="4098">
        <v>3131.1</v>
      </c>
      <c r="T20" s="4098">
        <v>0</v>
      </c>
      <c r="U20" s="4098">
        <v>12425.77</v>
      </c>
      <c r="V20" s="4098">
        <v>81540.460000000006</v>
      </c>
      <c r="W20" s="4098">
        <v>4415.78</v>
      </c>
      <c r="X20" s="4098">
        <v>0</v>
      </c>
      <c r="Y20" s="4098">
        <v>11431.65</v>
      </c>
      <c r="Z20" s="4098">
        <v>99559.92</v>
      </c>
      <c r="AA20" s="4098">
        <v>14559.01</v>
      </c>
      <c r="AB20" s="4098">
        <v>0</v>
      </c>
      <c r="AC20" s="4098">
        <v>25852.2</v>
      </c>
      <c r="AD20" s="4098">
        <v>56316.98</v>
      </c>
      <c r="AE20" s="4098">
        <v>8716.9</v>
      </c>
      <c r="AF20" s="4098">
        <v>0</v>
      </c>
      <c r="AG20" s="4098">
        <v>68453.2</v>
      </c>
      <c r="AH20" s="4098">
        <v>91682.29</v>
      </c>
      <c r="AI20" s="4098">
        <v>9989.36</v>
      </c>
      <c r="AJ20" s="4098">
        <v>0</v>
      </c>
      <c r="AK20" s="4098">
        <v>15372.43</v>
      </c>
      <c r="AL20" s="4098">
        <v>62463.17</v>
      </c>
      <c r="AM20" s="4098">
        <v>10947.04</v>
      </c>
      <c r="AN20" s="4098">
        <v>0</v>
      </c>
      <c r="AO20" s="4098">
        <v>11731.88</v>
      </c>
      <c r="AP20" s="4098">
        <v>93427.82</v>
      </c>
      <c r="AQ20" s="4098">
        <v>51187.88</v>
      </c>
      <c r="AR20" s="4098">
        <v>0</v>
      </c>
      <c r="AS20" s="4098">
        <v>5873.19</v>
      </c>
      <c r="AT20" s="4098">
        <v>99289.25</v>
      </c>
      <c r="AU20" s="4098">
        <v>8624.49</v>
      </c>
      <c r="AV20" s="4098">
        <v>0</v>
      </c>
      <c r="AW20" s="4098">
        <v>6476.97</v>
      </c>
      <c r="AX20" s="4098">
        <v>88413.93</v>
      </c>
      <c r="AY20" s="4098">
        <v>12719.83</v>
      </c>
      <c r="AZ20" s="4098">
        <v>0</v>
      </c>
      <c r="BA20" s="4098">
        <v>8337.2999999999993</v>
      </c>
      <c r="BB20" s="4098">
        <v>67110.39</v>
      </c>
      <c r="BC20" s="4098">
        <v>16983.84</v>
      </c>
      <c r="BD20" s="4098">
        <v>0</v>
      </c>
      <c r="BE20" s="4098">
        <v>1165.07</v>
      </c>
      <c r="BF20" s="4098">
        <v>67645.759999999995</v>
      </c>
      <c r="BG20" s="4098">
        <v>15367.91</v>
      </c>
      <c r="BH20" s="4098">
        <v>0</v>
      </c>
      <c r="BI20" s="4098">
        <v>3939.77</v>
      </c>
      <c r="BJ20" s="4098">
        <v>46074.57</v>
      </c>
      <c r="BK20" s="4098">
        <v>8507.81</v>
      </c>
      <c r="BL20" s="4098">
        <v>0</v>
      </c>
      <c r="BM20" s="4098">
        <v>1538.18</v>
      </c>
      <c r="BN20" s="4098">
        <v>39713.879999999997</v>
      </c>
      <c r="BO20" s="4098">
        <v>2589</v>
      </c>
      <c r="BP20" s="4098">
        <v>0</v>
      </c>
      <c r="BQ20" s="4098">
        <v>0</v>
      </c>
      <c r="BR20" s="4098">
        <v>24084.07</v>
      </c>
      <c r="BS20" s="4098">
        <v>5339.27</v>
      </c>
      <c r="BT20" s="4098">
        <v>0</v>
      </c>
      <c r="BU20" s="4098">
        <v>4181</v>
      </c>
      <c r="BV20" s="4098">
        <v>36006.39</v>
      </c>
      <c r="BW20" s="4098">
        <v>2727.21</v>
      </c>
      <c r="BX20" s="4098">
        <v>0</v>
      </c>
      <c r="BY20" s="4098">
        <v>0</v>
      </c>
      <c r="BZ20" s="4098">
        <v>26067.37</v>
      </c>
      <c r="CA20" s="4098">
        <v>3906.5</v>
      </c>
      <c r="CB20" s="4098">
        <v>0</v>
      </c>
      <c r="CC20" s="4098">
        <v>0</v>
      </c>
      <c r="CD20" s="4098">
        <v>41029.910000000003</v>
      </c>
      <c r="CE20" s="4098">
        <v>2238.65</v>
      </c>
      <c r="CF20" s="4098">
        <v>0</v>
      </c>
      <c r="CG20" s="4098">
        <v>0</v>
      </c>
      <c r="CH20" s="4098">
        <v>20255.46</v>
      </c>
      <c r="CI20" s="4098">
        <v>2042</v>
      </c>
      <c r="CJ20" s="4098">
        <v>0</v>
      </c>
      <c r="CK20" s="4098">
        <v>0</v>
      </c>
      <c r="CL20" s="4098">
        <v>20381.43</v>
      </c>
      <c r="CM20" s="4098">
        <v>2568</v>
      </c>
      <c r="CN20" s="4098">
        <v>0</v>
      </c>
      <c r="CO20" s="4098">
        <v>0</v>
      </c>
      <c r="CP20" s="4098">
        <v>45928.23</v>
      </c>
      <c r="CQ20" s="4098">
        <v>1803.85</v>
      </c>
      <c r="CR20" s="4098">
        <v>0</v>
      </c>
      <c r="CS20" s="4098">
        <v>0</v>
      </c>
      <c r="CT20" s="4098">
        <v>141798.82999999999</v>
      </c>
      <c r="CU20" s="4098">
        <v>5863.72</v>
      </c>
      <c r="CV20" s="4098">
        <v>0</v>
      </c>
      <c r="CW20" s="4098">
        <v>20530.84</v>
      </c>
      <c r="CX20" s="4098">
        <v>37626.61</v>
      </c>
      <c r="CY20" s="4098">
        <v>520</v>
      </c>
      <c r="CZ20" s="4098">
        <v>0</v>
      </c>
      <c r="DA20" s="4098">
        <v>0</v>
      </c>
      <c r="DB20" s="4098">
        <v>39112.11</v>
      </c>
      <c r="DC20" s="4098">
        <v>702</v>
      </c>
      <c r="DD20" s="4098">
        <v>0</v>
      </c>
      <c r="DE20" s="4098">
        <v>0</v>
      </c>
      <c r="DF20" s="4098">
        <v>39439.56</v>
      </c>
      <c r="DG20" s="4098">
        <v>1500</v>
      </c>
      <c r="DH20" s="4098">
        <v>0</v>
      </c>
      <c r="DI20" s="4098">
        <v>0</v>
      </c>
      <c r="DJ20" s="4098">
        <v>24638.58</v>
      </c>
      <c r="DK20" s="4098">
        <v>1800</v>
      </c>
      <c r="DL20" s="4098">
        <v>0</v>
      </c>
      <c r="DM20" s="4098">
        <v>0</v>
      </c>
      <c r="DN20" s="4098">
        <v>37509.85</v>
      </c>
      <c r="DO20" s="4098">
        <v>1300</v>
      </c>
      <c r="DP20" s="4098">
        <v>0</v>
      </c>
      <c r="DQ20" s="4098">
        <v>0</v>
      </c>
      <c r="DR20" s="4099"/>
      <c r="DS20" s="4100">
        <f t="shared" si="0"/>
        <v>81586.820000000007</v>
      </c>
      <c r="DT20" s="4100">
        <f t="shared" si="1"/>
        <v>0</v>
      </c>
      <c r="DU20" s="4100">
        <f t="shared" si="2"/>
        <v>34747.35</v>
      </c>
      <c r="DV20" s="4100">
        <f t="shared" si="3"/>
        <v>8524.06</v>
      </c>
      <c r="DW20" s="4100">
        <f t="shared" si="4"/>
        <v>67813.070000000007</v>
      </c>
      <c r="DX20" s="4100">
        <f t="shared" si="5"/>
        <v>2127.7199999999998</v>
      </c>
      <c r="DY20" s="4100">
        <f t="shared" si="6"/>
        <v>61478.95</v>
      </c>
      <c r="DZ20" s="4100">
        <f t="shared" si="7"/>
        <v>12425.77</v>
      </c>
      <c r="EA20" s="4100">
        <f t="shared" si="8"/>
        <v>85956.24</v>
      </c>
      <c r="EB20" s="4100">
        <f t="shared" si="9"/>
        <v>11431.65</v>
      </c>
      <c r="EC20" s="4100">
        <f t="shared" si="10"/>
        <v>114118.93</v>
      </c>
      <c r="ED20" s="4100">
        <f t="shared" si="11"/>
        <v>25852.2</v>
      </c>
      <c r="EE20" s="4100">
        <f t="shared" si="12"/>
        <v>65033.880000000005</v>
      </c>
      <c r="EF20" s="4100">
        <f t="shared" si="13"/>
        <v>68453.2</v>
      </c>
      <c r="EG20" s="4100">
        <f t="shared" si="14"/>
        <v>101671.65</v>
      </c>
      <c r="EH20" s="4101">
        <v>1363</v>
      </c>
      <c r="EI20" s="4100">
        <f t="shared" si="15"/>
        <v>73410.209999999992</v>
      </c>
      <c r="EJ20" s="4100">
        <f t="shared" si="16"/>
        <v>11731.88</v>
      </c>
      <c r="EK20" s="4100">
        <f t="shared" si="17"/>
        <v>144615.70000000001</v>
      </c>
      <c r="EL20" s="4100">
        <f t="shared" si="18"/>
        <v>5873.19</v>
      </c>
      <c r="EM20" s="4100">
        <f t="shared" si="19"/>
        <v>107913.74</v>
      </c>
      <c r="EN20" s="4100">
        <f t="shared" si="20"/>
        <v>6476.97</v>
      </c>
      <c r="EO20" s="4100">
        <f t="shared" si="21"/>
        <v>101133.75999999999</v>
      </c>
      <c r="EP20" s="4100">
        <f t="shared" si="22"/>
        <v>8337.2999999999993</v>
      </c>
      <c r="EQ20" s="4100">
        <f t="shared" si="23"/>
        <v>84094.23</v>
      </c>
      <c r="ER20" s="4100">
        <f t="shared" si="24"/>
        <v>1165.07</v>
      </c>
      <c r="ES20" s="4100">
        <f t="shared" si="25"/>
        <v>83013.67</v>
      </c>
      <c r="ET20" s="4100">
        <f t="shared" si="26"/>
        <v>3939.77</v>
      </c>
      <c r="EU20" s="4100">
        <f t="shared" si="27"/>
        <v>54582.38</v>
      </c>
      <c r="EV20" s="4100">
        <f t="shared" si="28"/>
        <v>1538.18</v>
      </c>
      <c r="EW20" s="4100">
        <f t="shared" si="29"/>
        <v>42302.879999999997</v>
      </c>
      <c r="EX20" s="4101">
        <v>1363</v>
      </c>
      <c r="EY20" s="4100">
        <f t="shared" si="30"/>
        <v>29423.34</v>
      </c>
      <c r="EZ20" s="4100">
        <f t="shared" si="31"/>
        <v>4181</v>
      </c>
      <c r="FA20" s="4100">
        <f t="shared" si="32"/>
        <v>38733.599999999999</v>
      </c>
      <c r="FB20" s="4100">
        <f t="shared" si="33"/>
        <v>0</v>
      </c>
      <c r="FC20" s="4100">
        <f t="shared" si="34"/>
        <v>29973.87</v>
      </c>
      <c r="FD20" s="4100">
        <f t="shared" si="35"/>
        <v>0</v>
      </c>
      <c r="FE20" s="4100">
        <f t="shared" si="36"/>
        <v>43268.560000000005</v>
      </c>
      <c r="FF20" s="4100">
        <f t="shared" si="37"/>
        <v>0</v>
      </c>
      <c r="FG20" s="4100">
        <f t="shared" si="38"/>
        <v>22297.46</v>
      </c>
      <c r="FH20" s="4100">
        <f t="shared" si="39"/>
        <v>0</v>
      </c>
      <c r="FI20" s="4100">
        <f t="shared" si="40"/>
        <v>22949.43</v>
      </c>
      <c r="FJ20" s="4100">
        <f t="shared" si="41"/>
        <v>0</v>
      </c>
      <c r="FK20" s="4100">
        <f t="shared" si="42"/>
        <v>47732.08</v>
      </c>
      <c r="FL20" s="4100">
        <f t="shared" si="43"/>
        <v>0</v>
      </c>
      <c r="FM20" s="4100">
        <f t="shared" si="44"/>
        <v>147662.54999999999</v>
      </c>
      <c r="FN20" s="4100">
        <f t="shared" si="45"/>
        <v>20530.84</v>
      </c>
      <c r="FO20" s="4100">
        <f t="shared" si="46"/>
        <v>38146.61</v>
      </c>
      <c r="FP20" s="4100">
        <f t="shared" si="47"/>
        <v>0</v>
      </c>
      <c r="FQ20" s="4100">
        <f t="shared" si="48"/>
        <v>39814.11</v>
      </c>
      <c r="FR20" s="4100">
        <f t="shared" si="49"/>
        <v>0</v>
      </c>
      <c r="FS20" s="4100">
        <f t="shared" si="50"/>
        <v>40939.56</v>
      </c>
      <c r="FT20" s="4100">
        <f t="shared" si="51"/>
        <v>0</v>
      </c>
      <c r="FU20" s="4100">
        <f t="shared" si="52"/>
        <v>26438.58</v>
      </c>
      <c r="FV20" s="4100">
        <f t="shared" si="53"/>
        <v>0</v>
      </c>
      <c r="FW20" s="4100">
        <f t="shared" si="85"/>
        <v>38809.85</v>
      </c>
      <c r="FX20" s="4102">
        <f t="shared" si="86"/>
        <v>0</v>
      </c>
      <c r="FY20" s="4103">
        <f t="shared" si="54"/>
        <v>81586.820000000007</v>
      </c>
      <c r="FZ20" s="4100">
        <f t="shared" si="55"/>
        <v>43271.409999999996</v>
      </c>
      <c r="GA20" s="4100">
        <f t="shared" si="56"/>
        <v>69940.790000000008</v>
      </c>
      <c r="GB20" s="4100">
        <f t="shared" si="57"/>
        <v>73904.72</v>
      </c>
      <c r="GC20" s="4100">
        <f t="shared" si="58"/>
        <v>97387.89</v>
      </c>
      <c r="GD20" s="4100">
        <f t="shared" si="59"/>
        <v>139971.13</v>
      </c>
      <c r="GE20" s="4100">
        <f t="shared" si="60"/>
        <v>133487.08000000002</v>
      </c>
      <c r="GF20" s="4100">
        <f t="shared" si="61"/>
        <v>103034.65</v>
      </c>
      <c r="GG20" s="4100">
        <f t="shared" si="62"/>
        <v>85142.09</v>
      </c>
      <c r="GH20" s="4100">
        <f t="shared" si="63"/>
        <v>150488.89000000001</v>
      </c>
      <c r="GI20" s="4100">
        <f t="shared" si="64"/>
        <v>114390.71</v>
      </c>
      <c r="GJ20" s="4102">
        <f t="shared" si="65"/>
        <v>109471.06</v>
      </c>
      <c r="GK20" s="4104">
        <f t="shared" si="66"/>
        <v>85259.3</v>
      </c>
      <c r="GL20" s="4100">
        <f t="shared" si="67"/>
        <v>86953.44</v>
      </c>
      <c r="GM20" s="4100">
        <f t="shared" si="68"/>
        <v>56120.56</v>
      </c>
      <c r="GN20" s="4100">
        <f t="shared" si="69"/>
        <v>43665.88</v>
      </c>
      <c r="GO20" s="4100">
        <f t="shared" si="70"/>
        <v>33604.339999999997</v>
      </c>
      <c r="GP20" s="4100">
        <f t="shared" si="71"/>
        <v>38733.599999999999</v>
      </c>
      <c r="GQ20" s="4100">
        <f t="shared" si="72"/>
        <v>29973.87</v>
      </c>
      <c r="GR20" s="4100">
        <f t="shared" si="73"/>
        <v>43268.560000000005</v>
      </c>
      <c r="GS20" s="4100">
        <f t="shared" si="74"/>
        <v>22297.46</v>
      </c>
      <c r="GT20" s="4100">
        <f t="shared" si="75"/>
        <v>22949.43</v>
      </c>
      <c r="GU20" s="4100">
        <f t="shared" si="76"/>
        <v>47732.08</v>
      </c>
      <c r="GV20" s="4102">
        <f t="shared" si="77"/>
        <v>168193.38999999998</v>
      </c>
      <c r="GW20" s="4104">
        <f t="shared" si="78"/>
        <v>38146.61</v>
      </c>
      <c r="GX20" s="4100">
        <f t="shared" si="79"/>
        <v>39814.11</v>
      </c>
      <c r="GY20" s="4100">
        <f t="shared" si="80"/>
        <v>40939.56</v>
      </c>
      <c r="GZ20" s="4100">
        <f t="shared" si="81"/>
        <v>26438.58</v>
      </c>
      <c r="HA20" s="4100">
        <f t="shared" si="87"/>
        <v>38809.85</v>
      </c>
      <c r="HB20" s="4089">
        <f t="shared" si="90"/>
        <v>36829.741999999998</v>
      </c>
      <c r="HC20" s="4089">
        <f t="shared" si="88"/>
        <v>36566.368399999999</v>
      </c>
      <c r="HD20" s="4089">
        <f t="shared" si="88"/>
        <v>35916.820079999998</v>
      </c>
      <c r="HE20" s="4089">
        <f t="shared" si="88"/>
        <v>34912.272096000001</v>
      </c>
      <c r="HF20" s="4089">
        <f t="shared" si="88"/>
        <v>36607.010515200003</v>
      </c>
      <c r="HG20" s="4089">
        <f t="shared" si="88"/>
        <v>36166.442618240006</v>
      </c>
      <c r="HH20" s="4090">
        <f t="shared" si="88"/>
        <v>36033.782741888004</v>
      </c>
      <c r="HI20" s="4105">
        <f t="shared" si="83"/>
        <v>1202077.2400000002</v>
      </c>
      <c r="HJ20" s="4106">
        <f t="shared" si="84"/>
        <v>678751.91</v>
      </c>
      <c r="HK20" s="4106">
        <f t="shared" si="91"/>
        <v>184148.71</v>
      </c>
      <c r="HL20" s="4093">
        <f t="shared" si="89"/>
        <v>437181.14845132799</v>
      </c>
      <c r="HM20" s="4107"/>
    </row>
    <row r="21" spans="1:221">
      <c r="A21" s="4095" t="s">
        <v>1672</v>
      </c>
      <c r="B21" s="4096" t="s">
        <v>1700</v>
      </c>
      <c r="C21" s="4096" t="s">
        <v>1701</v>
      </c>
      <c r="D21" s="4096" t="s">
        <v>1708</v>
      </c>
      <c r="E21" s="4097" t="s">
        <v>1709</v>
      </c>
      <c r="F21" s="4098">
        <v>90.71</v>
      </c>
      <c r="G21" s="4098">
        <v>0</v>
      </c>
      <c r="H21" s="4098">
        <v>0</v>
      </c>
      <c r="I21" s="4098">
        <v>0</v>
      </c>
      <c r="J21" s="4098">
        <v>481.51</v>
      </c>
      <c r="K21" s="4098">
        <v>0</v>
      </c>
      <c r="L21" s="4098">
        <v>0</v>
      </c>
      <c r="M21" s="4098">
        <v>0</v>
      </c>
      <c r="N21" s="4098">
        <v>96.42</v>
      </c>
      <c r="O21" s="4098">
        <v>0</v>
      </c>
      <c r="P21" s="4098">
        <v>0</v>
      </c>
      <c r="Q21" s="4098">
        <v>0</v>
      </c>
      <c r="R21" s="4098">
        <v>696.89</v>
      </c>
      <c r="S21" s="4098">
        <v>0</v>
      </c>
      <c r="T21" s="4098">
        <v>0</v>
      </c>
      <c r="U21" s="4098">
        <v>0</v>
      </c>
      <c r="V21" s="4098">
        <v>121.27</v>
      </c>
      <c r="W21" s="4098">
        <v>0</v>
      </c>
      <c r="X21" s="4098">
        <v>0</v>
      </c>
      <c r="Y21" s="4098">
        <v>0</v>
      </c>
      <c r="Z21" s="4098">
        <v>59.27</v>
      </c>
      <c r="AA21" s="4098">
        <v>0</v>
      </c>
      <c r="AB21" s="4098">
        <v>0</v>
      </c>
      <c r="AC21" s="4098">
        <v>0</v>
      </c>
      <c r="AD21" s="4098">
        <v>68.45</v>
      </c>
      <c r="AE21" s="4098">
        <v>0</v>
      </c>
      <c r="AF21" s="4098">
        <v>0</v>
      </c>
      <c r="AG21" s="4098">
        <v>0</v>
      </c>
      <c r="AH21" s="4098">
        <v>25.45</v>
      </c>
      <c r="AI21" s="4098">
        <v>0</v>
      </c>
      <c r="AJ21" s="4098">
        <v>0</v>
      </c>
      <c r="AK21" s="4098">
        <v>0</v>
      </c>
      <c r="AL21" s="4098">
        <v>15.56</v>
      </c>
      <c r="AM21" s="4098">
        <v>0</v>
      </c>
      <c r="AN21" s="4098">
        <v>0</v>
      </c>
      <c r="AO21" s="4098">
        <v>0</v>
      </c>
      <c r="AP21" s="4098">
        <v>0.01</v>
      </c>
      <c r="AQ21" s="4098">
        <v>0</v>
      </c>
      <c r="AR21" s="4098">
        <v>0</v>
      </c>
      <c r="AS21" s="4098">
        <v>0</v>
      </c>
      <c r="AT21" s="4098">
        <v>0.01</v>
      </c>
      <c r="AU21" s="4098">
        <v>0</v>
      </c>
      <c r="AV21" s="4098">
        <v>0</v>
      </c>
      <c r="AW21" s="4098">
        <v>0</v>
      </c>
      <c r="AX21" s="4098">
        <v>158.94</v>
      </c>
      <c r="AY21" s="4098">
        <v>0</v>
      </c>
      <c r="AZ21" s="4098">
        <v>0</v>
      </c>
      <c r="BA21" s="4098">
        <v>0</v>
      </c>
      <c r="BB21" s="4098">
        <v>795.25</v>
      </c>
      <c r="BC21" s="4098">
        <v>2557.7199999999998</v>
      </c>
      <c r="BD21" s="4098">
        <v>0</v>
      </c>
      <c r="BE21" s="4098">
        <v>0</v>
      </c>
      <c r="BF21" s="4098">
        <v>852.02</v>
      </c>
      <c r="BG21" s="4098">
        <v>0</v>
      </c>
      <c r="BH21" s="4098">
        <v>0</v>
      </c>
      <c r="BI21" s="4098">
        <v>0</v>
      </c>
      <c r="BJ21" s="4098">
        <v>505.01</v>
      </c>
      <c r="BK21" s="4098">
        <v>0</v>
      </c>
      <c r="BL21" s="4098">
        <v>0</v>
      </c>
      <c r="BM21" s="4098">
        <v>0</v>
      </c>
      <c r="BN21" s="4098">
        <v>12.56</v>
      </c>
      <c r="BO21" s="4098">
        <v>0</v>
      </c>
      <c r="BP21" s="4098">
        <v>0</v>
      </c>
      <c r="BQ21" s="4098">
        <v>0</v>
      </c>
      <c r="BR21" s="4098">
        <v>436.44</v>
      </c>
      <c r="BS21" s="4098">
        <v>0</v>
      </c>
      <c r="BT21" s="4098">
        <v>0</v>
      </c>
      <c r="BU21" s="4098">
        <v>0</v>
      </c>
      <c r="BV21" s="4098">
        <v>1367.5</v>
      </c>
      <c r="BW21" s="4098">
        <v>22304.12</v>
      </c>
      <c r="BX21" s="4098">
        <v>0</v>
      </c>
      <c r="BY21" s="4098">
        <v>0</v>
      </c>
      <c r="BZ21" s="4098">
        <v>50.27</v>
      </c>
      <c r="CA21" s="4098">
        <v>0</v>
      </c>
      <c r="CB21" s="4098">
        <v>0</v>
      </c>
      <c r="CC21" s="4098">
        <v>0</v>
      </c>
      <c r="CD21" s="4098">
        <v>318.27</v>
      </c>
      <c r="CE21" s="4098">
        <v>0</v>
      </c>
      <c r="CF21" s="4098">
        <v>0</v>
      </c>
      <c r="CG21" s="4098">
        <v>0</v>
      </c>
      <c r="CH21" s="4098">
        <v>560.80999999999995</v>
      </c>
      <c r="CI21" s="4098">
        <v>0</v>
      </c>
      <c r="CJ21" s="4098">
        <v>0</v>
      </c>
      <c r="CK21" s="4098">
        <v>0</v>
      </c>
      <c r="CL21" s="4098">
        <v>560.80999999999995</v>
      </c>
      <c r="CM21" s="4098">
        <v>0</v>
      </c>
      <c r="CN21" s="4098">
        <v>0</v>
      </c>
      <c r="CO21" s="4098">
        <v>0</v>
      </c>
      <c r="CP21" s="4098">
        <v>234.56</v>
      </c>
      <c r="CQ21" s="4098">
        <v>0</v>
      </c>
      <c r="CR21" s="4098">
        <v>0</v>
      </c>
      <c r="CS21" s="4098">
        <v>0</v>
      </c>
      <c r="CT21" s="4098">
        <v>1526.22</v>
      </c>
      <c r="CU21" s="4098">
        <v>8792.9699999999993</v>
      </c>
      <c r="CV21" s="4098">
        <v>0</v>
      </c>
      <c r="CW21" s="4098">
        <v>0</v>
      </c>
      <c r="CX21" s="4098">
        <v>57.22</v>
      </c>
      <c r="CY21" s="4098">
        <v>0</v>
      </c>
      <c r="CZ21" s="4098">
        <v>0</v>
      </c>
      <c r="DA21" s="4098">
        <v>0</v>
      </c>
      <c r="DB21" s="4098">
        <v>0</v>
      </c>
      <c r="DC21" s="4098">
        <v>0</v>
      </c>
      <c r="DD21" s="4098">
        <v>0</v>
      </c>
      <c r="DE21" s="4098">
        <v>0</v>
      </c>
      <c r="DF21" s="4098">
        <v>0.01</v>
      </c>
      <c r="DG21" s="4098">
        <v>0</v>
      </c>
      <c r="DH21" s="4098">
        <v>0</v>
      </c>
      <c r="DI21" s="4098">
        <v>0</v>
      </c>
      <c r="DJ21" s="4098">
        <v>592</v>
      </c>
      <c r="DK21" s="4098">
        <v>0</v>
      </c>
      <c r="DL21" s="4098">
        <v>0</v>
      </c>
      <c r="DM21" s="4098">
        <v>0</v>
      </c>
      <c r="DN21" s="4098">
        <v>0.01</v>
      </c>
      <c r="DO21" s="4098">
        <v>0</v>
      </c>
      <c r="DP21" s="4098">
        <v>0</v>
      </c>
      <c r="DQ21" s="4098">
        <v>0</v>
      </c>
      <c r="DR21" s="4099"/>
      <c r="DS21" s="4100">
        <f t="shared" si="0"/>
        <v>90.71</v>
      </c>
      <c r="DT21" s="4100">
        <f t="shared" si="1"/>
        <v>0</v>
      </c>
      <c r="DU21" s="4100">
        <f t="shared" si="2"/>
        <v>481.51</v>
      </c>
      <c r="DV21" s="4100">
        <f t="shared" si="3"/>
        <v>0</v>
      </c>
      <c r="DW21" s="4100">
        <f t="shared" si="4"/>
        <v>96.42</v>
      </c>
      <c r="DX21" s="4100">
        <f t="shared" si="5"/>
        <v>0</v>
      </c>
      <c r="DY21" s="4100">
        <f t="shared" si="6"/>
        <v>696.89</v>
      </c>
      <c r="DZ21" s="4100">
        <f t="shared" si="7"/>
        <v>0</v>
      </c>
      <c r="EA21" s="4100">
        <f t="shared" si="8"/>
        <v>121.27</v>
      </c>
      <c r="EB21" s="4100">
        <f t="shared" si="9"/>
        <v>0</v>
      </c>
      <c r="EC21" s="4100">
        <f t="shared" si="10"/>
        <v>59.27</v>
      </c>
      <c r="ED21" s="4100">
        <f t="shared" si="11"/>
        <v>0</v>
      </c>
      <c r="EE21" s="4100">
        <f t="shared" si="12"/>
        <v>68.45</v>
      </c>
      <c r="EF21" s="4100">
        <f t="shared" si="13"/>
        <v>0</v>
      </c>
      <c r="EG21" s="4100">
        <f t="shared" si="14"/>
        <v>25.45</v>
      </c>
      <c r="EH21" s="4101">
        <v>1364</v>
      </c>
      <c r="EI21" s="4100">
        <f t="shared" si="15"/>
        <v>15.56</v>
      </c>
      <c r="EJ21" s="4100">
        <f t="shared" si="16"/>
        <v>0</v>
      </c>
      <c r="EK21" s="4100">
        <f t="shared" si="17"/>
        <v>0.01</v>
      </c>
      <c r="EL21" s="4100">
        <f t="shared" si="18"/>
        <v>0</v>
      </c>
      <c r="EM21" s="4100">
        <f t="shared" si="19"/>
        <v>0.01</v>
      </c>
      <c r="EN21" s="4100">
        <f t="shared" si="20"/>
        <v>0</v>
      </c>
      <c r="EO21" s="4100">
        <f t="shared" si="21"/>
        <v>158.94</v>
      </c>
      <c r="EP21" s="4100">
        <f t="shared" si="22"/>
        <v>0</v>
      </c>
      <c r="EQ21" s="4100">
        <f t="shared" si="23"/>
        <v>3352.97</v>
      </c>
      <c r="ER21" s="4100">
        <f t="shared" si="24"/>
        <v>0</v>
      </c>
      <c r="ES21" s="4100">
        <f t="shared" si="25"/>
        <v>852.02</v>
      </c>
      <c r="ET21" s="4100">
        <f t="shared" si="26"/>
        <v>0</v>
      </c>
      <c r="EU21" s="4100">
        <f t="shared" si="27"/>
        <v>505.01</v>
      </c>
      <c r="EV21" s="4100">
        <f t="shared" si="28"/>
        <v>0</v>
      </c>
      <c r="EW21" s="4100">
        <f t="shared" si="29"/>
        <v>12.56</v>
      </c>
      <c r="EX21" s="4101">
        <v>1364</v>
      </c>
      <c r="EY21" s="4100">
        <f t="shared" si="30"/>
        <v>436.44</v>
      </c>
      <c r="EZ21" s="4100">
        <f t="shared" si="31"/>
        <v>0</v>
      </c>
      <c r="FA21" s="4100">
        <f t="shared" si="32"/>
        <v>23671.62</v>
      </c>
      <c r="FB21" s="4100">
        <f t="shared" si="33"/>
        <v>0</v>
      </c>
      <c r="FC21" s="4100">
        <f t="shared" si="34"/>
        <v>50.27</v>
      </c>
      <c r="FD21" s="4100">
        <f t="shared" si="35"/>
        <v>0</v>
      </c>
      <c r="FE21" s="4100">
        <f t="shared" si="36"/>
        <v>318.27</v>
      </c>
      <c r="FF21" s="4100">
        <f t="shared" si="37"/>
        <v>0</v>
      </c>
      <c r="FG21" s="4100">
        <f t="shared" si="38"/>
        <v>560.80999999999995</v>
      </c>
      <c r="FH21" s="4100">
        <f t="shared" si="39"/>
        <v>0</v>
      </c>
      <c r="FI21" s="4100">
        <f t="shared" si="40"/>
        <v>560.80999999999995</v>
      </c>
      <c r="FJ21" s="4100">
        <f t="shared" si="41"/>
        <v>0</v>
      </c>
      <c r="FK21" s="4100">
        <f t="shared" si="42"/>
        <v>234.56</v>
      </c>
      <c r="FL21" s="4100">
        <f t="shared" si="43"/>
        <v>0</v>
      </c>
      <c r="FM21" s="4100">
        <f t="shared" si="44"/>
        <v>10319.189999999999</v>
      </c>
      <c r="FN21" s="4100">
        <f t="shared" si="45"/>
        <v>0</v>
      </c>
      <c r="FO21" s="4100">
        <f t="shared" si="46"/>
        <v>57.22</v>
      </c>
      <c r="FP21" s="4100">
        <f t="shared" si="47"/>
        <v>0</v>
      </c>
      <c r="FQ21" s="4100">
        <f t="shared" si="48"/>
        <v>0</v>
      </c>
      <c r="FR21" s="4100">
        <f t="shared" si="49"/>
        <v>0</v>
      </c>
      <c r="FS21" s="4100">
        <f t="shared" si="50"/>
        <v>0.01</v>
      </c>
      <c r="FT21" s="4100">
        <f t="shared" si="51"/>
        <v>0</v>
      </c>
      <c r="FU21" s="4100">
        <f t="shared" si="52"/>
        <v>592</v>
      </c>
      <c r="FV21" s="4100">
        <f t="shared" si="53"/>
        <v>0</v>
      </c>
      <c r="FW21" s="4100">
        <f t="shared" si="85"/>
        <v>0.01</v>
      </c>
      <c r="FX21" s="4102">
        <f t="shared" si="86"/>
        <v>0</v>
      </c>
      <c r="FY21" s="4103">
        <f t="shared" si="54"/>
        <v>90.71</v>
      </c>
      <c r="FZ21" s="4100">
        <f t="shared" si="55"/>
        <v>481.51</v>
      </c>
      <c r="GA21" s="4100">
        <f t="shared" si="56"/>
        <v>96.42</v>
      </c>
      <c r="GB21" s="4100">
        <f t="shared" si="57"/>
        <v>696.89</v>
      </c>
      <c r="GC21" s="4100">
        <f t="shared" si="58"/>
        <v>121.27</v>
      </c>
      <c r="GD21" s="4100">
        <f t="shared" si="59"/>
        <v>59.27</v>
      </c>
      <c r="GE21" s="4100">
        <f t="shared" si="60"/>
        <v>68.45</v>
      </c>
      <c r="GF21" s="4100">
        <f t="shared" si="61"/>
        <v>1389.45</v>
      </c>
      <c r="GG21" s="4100">
        <f t="shared" si="62"/>
        <v>15.56</v>
      </c>
      <c r="GH21" s="4100">
        <f t="shared" si="63"/>
        <v>0.01</v>
      </c>
      <c r="GI21" s="4100">
        <f t="shared" si="64"/>
        <v>0.01</v>
      </c>
      <c r="GJ21" s="4102">
        <f t="shared" si="65"/>
        <v>158.94</v>
      </c>
      <c r="GK21" s="4104">
        <f t="shared" si="66"/>
        <v>3352.97</v>
      </c>
      <c r="GL21" s="4100">
        <f t="shared" si="67"/>
        <v>852.02</v>
      </c>
      <c r="GM21" s="4100">
        <f t="shared" si="68"/>
        <v>505.01</v>
      </c>
      <c r="GN21" s="4100">
        <f t="shared" si="69"/>
        <v>1376.56</v>
      </c>
      <c r="GO21" s="4100">
        <f t="shared" si="70"/>
        <v>436.44</v>
      </c>
      <c r="GP21" s="4100">
        <f t="shared" si="71"/>
        <v>23671.62</v>
      </c>
      <c r="GQ21" s="4100">
        <f t="shared" si="72"/>
        <v>50.27</v>
      </c>
      <c r="GR21" s="4100">
        <f t="shared" si="73"/>
        <v>318.27</v>
      </c>
      <c r="GS21" s="4100">
        <f t="shared" si="74"/>
        <v>560.80999999999995</v>
      </c>
      <c r="GT21" s="4100">
        <f t="shared" si="75"/>
        <v>560.80999999999995</v>
      </c>
      <c r="GU21" s="4100">
        <f t="shared" si="76"/>
        <v>234.56</v>
      </c>
      <c r="GV21" s="4102">
        <f t="shared" si="77"/>
        <v>10319.189999999999</v>
      </c>
      <c r="GW21" s="4104">
        <f t="shared" si="78"/>
        <v>57.22</v>
      </c>
      <c r="GX21" s="4100">
        <f t="shared" si="79"/>
        <v>0</v>
      </c>
      <c r="GY21" s="4100">
        <f t="shared" si="80"/>
        <v>0.01</v>
      </c>
      <c r="GZ21" s="4100">
        <f t="shared" si="81"/>
        <v>592</v>
      </c>
      <c r="HA21" s="4100">
        <f t="shared" si="87"/>
        <v>0.01</v>
      </c>
      <c r="HB21" s="4089">
        <f t="shared" si="90"/>
        <v>129.84800000000001</v>
      </c>
      <c r="HC21" s="4089">
        <f t="shared" si="90"/>
        <v>144.37359999999998</v>
      </c>
      <c r="HD21" s="4089">
        <f t="shared" si="90"/>
        <v>173.24831999999998</v>
      </c>
      <c r="HE21" s="4089">
        <f t="shared" si="90"/>
        <v>207.895984</v>
      </c>
      <c r="HF21" s="4089">
        <f t="shared" si="90"/>
        <v>131.0751808</v>
      </c>
      <c r="HG21" s="4089">
        <f t="shared" si="90"/>
        <v>157.28821696</v>
      </c>
      <c r="HH21" s="4090">
        <f t="shared" si="90"/>
        <v>162.77626035199998</v>
      </c>
      <c r="HI21" s="4105">
        <f t="shared" si="83"/>
        <v>3178.4900000000007</v>
      </c>
      <c r="HJ21" s="4106">
        <f t="shared" si="84"/>
        <v>42238.53</v>
      </c>
      <c r="HK21" s="4106">
        <f t="shared" si="91"/>
        <v>649.24</v>
      </c>
      <c r="HL21" s="4093">
        <f t="shared" si="89"/>
        <v>1755.745562112</v>
      </c>
      <c r="HM21" s="4107"/>
    </row>
    <row r="22" spans="1:221">
      <c r="A22" s="4095" t="s">
        <v>1672</v>
      </c>
      <c r="B22" s="4096" t="s">
        <v>1700</v>
      </c>
      <c r="C22" s="4096" t="s">
        <v>1701</v>
      </c>
      <c r="D22" s="4096" t="s">
        <v>1710</v>
      </c>
      <c r="E22" s="4097" t="s">
        <v>1711</v>
      </c>
      <c r="F22" s="4098">
        <v>816147.97</v>
      </c>
      <c r="G22" s="4098">
        <v>33566.800000000003</v>
      </c>
      <c r="H22" s="4098">
        <v>0</v>
      </c>
      <c r="I22" s="4098">
        <v>0</v>
      </c>
      <c r="J22" s="4098">
        <v>859212.68</v>
      </c>
      <c r="K22" s="4098">
        <v>31295.119999999999</v>
      </c>
      <c r="L22" s="4098">
        <v>0</v>
      </c>
      <c r="M22" s="4098">
        <v>0</v>
      </c>
      <c r="N22" s="4098">
        <v>926981.58</v>
      </c>
      <c r="O22" s="4098">
        <v>43107.98</v>
      </c>
      <c r="P22" s="4098">
        <v>0</v>
      </c>
      <c r="Q22" s="4098">
        <v>0</v>
      </c>
      <c r="R22" s="4098">
        <v>1062019.24</v>
      </c>
      <c r="S22" s="4098">
        <v>90748.49</v>
      </c>
      <c r="T22" s="4098">
        <v>0</v>
      </c>
      <c r="U22" s="4098">
        <v>0</v>
      </c>
      <c r="V22" s="4098">
        <v>1031151.34</v>
      </c>
      <c r="W22" s="4098">
        <v>43766.81</v>
      </c>
      <c r="X22" s="4098">
        <v>0</v>
      </c>
      <c r="Y22" s="4098">
        <v>0</v>
      </c>
      <c r="Z22" s="4098">
        <v>1002861.44</v>
      </c>
      <c r="AA22" s="4098">
        <v>196147.69</v>
      </c>
      <c r="AB22" s="4098">
        <v>0</v>
      </c>
      <c r="AC22" s="4098">
        <v>0</v>
      </c>
      <c r="AD22" s="4098">
        <v>1075121.21</v>
      </c>
      <c r="AE22" s="4098">
        <v>55364.5</v>
      </c>
      <c r="AF22" s="4098">
        <v>0</v>
      </c>
      <c r="AG22" s="4098">
        <v>0</v>
      </c>
      <c r="AH22" s="4098">
        <v>1062169.4099999999</v>
      </c>
      <c r="AI22" s="4098">
        <v>86849.38</v>
      </c>
      <c r="AJ22" s="4098">
        <v>0</v>
      </c>
      <c r="AK22" s="4098">
        <v>0</v>
      </c>
      <c r="AL22" s="4098">
        <v>1039109.97</v>
      </c>
      <c r="AM22" s="4098">
        <v>63969.35</v>
      </c>
      <c r="AN22" s="4098">
        <v>0</v>
      </c>
      <c r="AO22" s="4098">
        <v>0</v>
      </c>
      <c r="AP22" s="4098">
        <v>950429.69</v>
      </c>
      <c r="AQ22" s="4098">
        <v>61456.79</v>
      </c>
      <c r="AR22" s="4098">
        <v>0</v>
      </c>
      <c r="AS22" s="4098">
        <v>0</v>
      </c>
      <c r="AT22" s="4098">
        <v>1017590.51</v>
      </c>
      <c r="AU22" s="4098">
        <v>152715.85</v>
      </c>
      <c r="AV22" s="4098">
        <v>0</v>
      </c>
      <c r="AW22" s="4098">
        <v>0</v>
      </c>
      <c r="AX22" s="4098">
        <v>1172672.17</v>
      </c>
      <c r="AY22" s="4098">
        <v>116344.4</v>
      </c>
      <c r="AZ22" s="4098">
        <v>0</v>
      </c>
      <c r="BA22" s="4098">
        <v>0</v>
      </c>
      <c r="BB22" s="4098">
        <v>848047.25</v>
      </c>
      <c r="BC22" s="4098">
        <v>44528.75</v>
      </c>
      <c r="BD22" s="4098">
        <v>0</v>
      </c>
      <c r="BE22" s="4098">
        <v>0</v>
      </c>
      <c r="BF22" s="4098">
        <v>893193.53</v>
      </c>
      <c r="BG22" s="4098">
        <v>112610.18</v>
      </c>
      <c r="BH22" s="4098">
        <v>0</v>
      </c>
      <c r="BI22" s="4098">
        <v>0</v>
      </c>
      <c r="BJ22" s="4098">
        <v>510727.19</v>
      </c>
      <c r="BK22" s="4098">
        <v>13528.47</v>
      </c>
      <c r="BL22" s="4098">
        <v>0</v>
      </c>
      <c r="BM22" s="4098">
        <v>0</v>
      </c>
      <c r="BN22" s="4098">
        <v>38471.379999999997</v>
      </c>
      <c r="BO22" s="4098">
        <v>1546.25</v>
      </c>
      <c r="BP22" s="4098">
        <v>0</v>
      </c>
      <c r="BQ22" s="4098">
        <v>0</v>
      </c>
      <c r="BR22" s="4098">
        <v>119085.94</v>
      </c>
      <c r="BS22" s="4098">
        <v>1907.32</v>
      </c>
      <c r="BT22" s="4098">
        <v>0</v>
      </c>
      <c r="BU22" s="4098">
        <v>0</v>
      </c>
      <c r="BV22" s="4098">
        <v>105533.2</v>
      </c>
      <c r="BW22" s="4098">
        <v>15836.64</v>
      </c>
      <c r="BX22" s="4098">
        <v>0</v>
      </c>
      <c r="BY22" s="4098">
        <v>0</v>
      </c>
      <c r="BZ22" s="4098">
        <v>115883.92</v>
      </c>
      <c r="CA22" s="4098">
        <v>4960.6400000000003</v>
      </c>
      <c r="CB22" s="4098">
        <v>0</v>
      </c>
      <c r="CC22" s="4098">
        <v>0</v>
      </c>
      <c r="CD22" s="4098">
        <v>186633.53</v>
      </c>
      <c r="CE22" s="4098">
        <v>3464.95</v>
      </c>
      <c r="CF22" s="4098">
        <v>0</v>
      </c>
      <c r="CG22" s="4098">
        <v>0</v>
      </c>
      <c r="CH22" s="4098">
        <v>155870.46</v>
      </c>
      <c r="CI22" s="4098">
        <v>11989.17</v>
      </c>
      <c r="CJ22" s="4098">
        <v>0</v>
      </c>
      <c r="CK22" s="4098">
        <v>0</v>
      </c>
      <c r="CL22" s="4098">
        <v>226319.56</v>
      </c>
      <c r="CM22" s="4098">
        <v>77536.320000000007</v>
      </c>
      <c r="CN22" s="4098">
        <v>0</v>
      </c>
      <c r="CO22" s="4098">
        <v>0</v>
      </c>
      <c r="CP22" s="4098">
        <v>228142.65</v>
      </c>
      <c r="CQ22" s="4098">
        <v>32746.09</v>
      </c>
      <c r="CR22" s="4098">
        <v>0</v>
      </c>
      <c r="CS22" s="4098">
        <v>0</v>
      </c>
      <c r="CT22" s="4098">
        <v>415044.18</v>
      </c>
      <c r="CU22" s="4098">
        <v>19096.98</v>
      </c>
      <c r="CV22" s="4098">
        <v>0</v>
      </c>
      <c r="CW22" s="4098">
        <v>0</v>
      </c>
      <c r="CX22" s="4098">
        <v>251666.19</v>
      </c>
      <c r="CY22" s="4098">
        <v>33322.730000000003</v>
      </c>
      <c r="CZ22" s="4098">
        <v>0</v>
      </c>
      <c r="DA22" s="4098">
        <v>0</v>
      </c>
      <c r="DB22" s="4098">
        <v>220311.59</v>
      </c>
      <c r="DC22" s="4098">
        <v>17167.75</v>
      </c>
      <c r="DD22" s="4098">
        <v>0</v>
      </c>
      <c r="DE22" s="4098">
        <v>0</v>
      </c>
      <c r="DF22" s="4098">
        <v>310033.96999999997</v>
      </c>
      <c r="DG22" s="4098">
        <v>24470.57</v>
      </c>
      <c r="DH22" s="4098">
        <v>0</v>
      </c>
      <c r="DI22" s="4098">
        <v>0</v>
      </c>
      <c r="DJ22" s="4098">
        <v>237794.72</v>
      </c>
      <c r="DK22" s="4098">
        <v>10220.82</v>
      </c>
      <c r="DL22" s="4098">
        <v>0</v>
      </c>
      <c r="DM22" s="4098">
        <v>0</v>
      </c>
      <c r="DN22" s="4098">
        <v>292327.65000000002</v>
      </c>
      <c r="DO22" s="4098">
        <v>17793.419999999998</v>
      </c>
      <c r="DP22" s="4098">
        <v>0</v>
      </c>
      <c r="DQ22" s="4098">
        <v>0</v>
      </c>
      <c r="DR22" s="4099"/>
      <c r="DS22" s="4100">
        <f t="shared" si="0"/>
        <v>849714.77</v>
      </c>
      <c r="DT22" s="4100">
        <f t="shared" si="1"/>
        <v>0</v>
      </c>
      <c r="DU22" s="4100">
        <f t="shared" si="2"/>
        <v>890507.8</v>
      </c>
      <c r="DV22" s="4100">
        <f t="shared" si="3"/>
        <v>0</v>
      </c>
      <c r="DW22" s="4100">
        <f t="shared" si="4"/>
        <v>970089.55999999994</v>
      </c>
      <c r="DX22" s="4100">
        <f t="shared" si="5"/>
        <v>0</v>
      </c>
      <c r="DY22" s="4100">
        <f t="shared" si="6"/>
        <v>1152767.73</v>
      </c>
      <c r="DZ22" s="4100">
        <f t="shared" si="7"/>
        <v>0</v>
      </c>
      <c r="EA22" s="4100">
        <f t="shared" si="8"/>
        <v>1074918.1499999999</v>
      </c>
      <c r="EB22" s="4100">
        <f t="shared" si="9"/>
        <v>0</v>
      </c>
      <c r="EC22" s="4100">
        <f t="shared" si="10"/>
        <v>1199009.1299999999</v>
      </c>
      <c r="ED22" s="4100">
        <f t="shared" si="11"/>
        <v>0</v>
      </c>
      <c r="EE22" s="4100">
        <f t="shared" si="12"/>
        <v>1130485.71</v>
      </c>
      <c r="EF22" s="4100">
        <f t="shared" si="13"/>
        <v>0</v>
      </c>
      <c r="EG22" s="4100">
        <f t="shared" si="14"/>
        <v>1149018.79</v>
      </c>
      <c r="EH22" s="4101">
        <v>1366</v>
      </c>
      <c r="EI22" s="4100">
        <f t="shared" si="15"/>
        <v>1103079.32</v>
      </c>
      <c r="EJ22" s="4100">
        <f t="shared" si="16"/>
        <v>0</v>
      </c>
      <c r="EK22" s="4100">
        <f t="shared" si="17"/>
        <v>1011886.48</v>
      </c>
      <c r="EL22" s="4100">
        <f t="shared" si="18"/>
        <v>0</v>
      </c>
      <c r="EM22" s="4100">
        <f t="shared" si="19"/>
        <v>1170306.3600000001</v>
      </c>
      <c r="EN22" s="4100">
        <f t="shared" si="20"/>
        <v>0</v>
      </c>
      <c r="EO22" s="4100">
        <f t="shared" si="21"/>
        <v>1289016.5699999998</v>
      </c>
      <c r="EP22" s="4100">
        <f t="shared" si="22"/>
        <v>0</v>
      </c>
      <c r="EQ22" s="4100">
        <f t="shared" si="23"/>
        <v>892576</v>
      </c>
      <c r="ER22" s="4100">
        <f t="shared" si="24"/>
        <v>0</v>
      </c>
      <c r="ES22" s="4100">
        <f t="shared" si="25"/>
        <v>1005803.71</v>
      </c>
      <c r="ET22" s="4100">
        <f t="shared" si="26"/>
        <v>0</v>
      </c>
      <c r="EU22" s="4100">
        <f t="shared" si="27"/>
        <v>524255.66</v>
      </c>
      <c r="EV22" s="4100">
        <f t="shared" si="28"/>
        <v>0</v>
      </c>
      <c r="EW22" s="4100">
        <f t="shared" si="29"/>
        <v>40017.629999999997</v>
      </c>
      <c r="EX22" s="4101">
        <v>1366</v>
      </c>
      <c r="EY22" s="4100">
        <f t="shared" si="30"/>
        <v>120993.26000000001</v>
      </c>
      <c r="EZ22" s="4100">
        <f t="shared" si="31"/>
        <v>0</v>
      </c>
      <c r="FA22" s="4100">
        <f t="shared" si="32"/>
        <v>121369.84</v>
      </c>
      <c r="FB22" s="4100">
        <f t="shared" si="33"/>
        <v>0</v>
      </c>
      <c r="FC22" s="4100">
        <f t="shared" si="34"/>
        <v>120844.56</v>
      </c>
      <c r="FD22" s="4100">
        <f t="shared" si="35"/>
        <v>0</v>
      </c>
      <c r="FE22" s="4100">
        <f t="shared" si="36"/>
        <v>190098.48</v>
      </c>
      <c r="FF22" s="4100">
        <f t="shared" si="37"/>
        <v>0</v>
      </c>
      <c r="FG22" s="4100">
        <f t="shared" si="38"/>
        <v>167859.63</v>
      </c>
      <c r="FH22" s="4100">
        <f t="shared" si="39"/>
        <v>0</v>
      </c>
      <c r="FI22" s="4100">
        <f t="shared" si="40"/>
        <v>303855.88</v>
      </c>
      <c r="FJ22" s="4100">
        <f t="shared" si="41"/>
        <v>0</v>
      </c>
      <c r="FK22" s="4100">
        <f t="shared" si="42"/>
        <v>260888.74</v>
      </c>
      <c r="FL22" s="4100">
        <f t="shared" si="43"/>
        <v>0</v>
      </c>
      <c r="FM22" s="4100">
        <f t="shared" si="44"/>
        <v>434141.16</v>
      </c>
      <c r="FN22" s="4100">
        <f t="shared" si="45"/>
        <v>0</v>
      </c>
      <c r="FO22" s="4100">
        <f t="shared" si="46"/>
        <v>284988.92</v>
      </c>
      <c r="FP22" s="4100">
        <f t="shared" si="47"/>
        <v>0</v>
      </c>
      <c r="FQ22" s="4100">
        <f t="shared" si="48"/>
        <v>237479.34</v>
      </c>
      <c r="FR22" s="4100">
        <f t="shared" si="49"/>
        <v>0</v>
      </c>
      <c r="FS22" s="4100">
        <f t="shared" si="50"/>
        <v>334504.53999999998</v>
      </c>
      <c r="FT22" s="4100">
        <f t="shared" si="51"/>
        <v>0</v>
      </c>
      <c r="FU22" s="4100">
        <f t="shared" si="52"/>
        <v>248015.54</v>
      </c>
      <c r="FV22" s="4100">
        <f t="shared" si="53"/>
        <v>0</v>
      </c>
      <c r="FW22" s="4100">
        <f t="shared" si="85"/>
        <v>310121.07</v>
      </c>
      <c r="FX22" s="4102">
        <f t="shared" si="86"/>
        <v>0</v>
      </c>
      <c r="FY22" s="4103">
        <f t="shared" si="54"/>
        <v>849714.77</v>
      </c>
      <c r="FZ22" s="4100">
        <f t="shared" si="55"/>
        <v>890507.8</v>
      </c>
      <c r="GA22" s="4100">
        <f t="shared" si="56"/>
        <v>970089.55999999994</v>
      </c>
      <c r="GB22" s="4100">
        <f t="shared" si="57"/>
        <v>1152767.73</v>
      </c>
      <c r="GC22" s="4100">
        <f t="shared" si="58"/>
        <v>1074918.1499999999</v>
      </c>
      <c r="GD22" s="4100">
        <f t="shared" si="59"/>
        <v>1199009.1299999999</v>
      </c>
      <c r="GE22" s="4100">
        <f t="shared" si="60"/>
        <v>1130485.71</v>
      </c>
      <c r="GF22" s="4100">
        <f t="shared" si="61"/>
        <v>1150384.79</v>
      </c>
      <c r="GG22" s="4100">
        <f t="shared" si="62"/>
        <v>1103079.32</v>
      </c>
      <c r="GH22" s="4100">
        <f t="shared" si="63"/>
        <v>1011886.48</v>
      </c>
      <c r="GI22" s="4100">
        <f t="shared" si="64"/>
        <v>1170306.3600000001</v>
      </c>
      <c r="GJ22" s="4102">
        <f t="shared" si="65"/>
        <v>1289016.5699999998</v>
      </c>
      <c r="GK22" s="4104">
        <f t="shared" si="66"/>
        <v>892576</v>
      </c>
      <c r="GL22" s="4100">
        <f t="shared" si="67"/>
        <v>1005803.71</v>
      </c>
      <c r="GM22" s="4100">
        <f t="shared" si="68"/>
        <v>524255.66</v>
      </c>
      <c r="GN22" s="4100">
        <f t="shared" si="69"/>
        <v>41383.629999999997</v>
      </c>
      <c r="GO22" s="4100">
        <f t="shared" si="70"/>
        <v>120993.26000000001</v>
      </c>
      <c r="GP22" s="4100">
        <f t="shared" si="71"/>
        <v>121369.84</v>
      </c>
      <c r="GQ22" s="4100">
        <f t="shared" si="72"/>
        <v>120844.56</v>
      </c>
      <c r="GR22" s="4100">
        <f t="shared" si="73"/>
        <v>190098.48</v>
      </c>
      <c r="GS22" s="4100">
        <f t="shared" si="74"/>
        <v>167859.63</v>
      </c>
      <c r="GT22" s="4100">
        <f t="shared" si="75"/>
        <v>303855.88</v>
      </c>
      <c r="GU22" s="4100">
        <f t="shared" si="76"/>
        <v>260888.74</v>
      </c>
      <c r="GV22" s="4102">
        <f t="shared" si="77"/>
        <v>434141.16</v>
      </c>
      <c r="GW22" s="4104">
        <f t="shared" si="78"/>
        <v>284988.92</v>
      </c>
      <c r="GX22" s="4100">
        <f t="shared" si="79"/>
        <v>237479.34</v>
      </c>
      <c r="GY22" s="4100">
        <f t="shared" si="80"/>
        <v>334504.53999999998</v>
      </c>
      <c r="GZ22" s="4100">
        <f t="shared" si="81"/>
        <v>248015.54</v>
      </c>
      <c r="HA22" s="4100">
        <f t="shared" si="87"/>
        <v>310121.07</v>
      </c>
      <c r="HB22" s="4089">
        <f t="shared" si="90"/>
        <v>283021.88200000004</v>
      </c>
      <c r="HC22" s="4089">
        <f t="shared" si="90"/>
        <v>282628.47440000001</v>
      </c>
      <c r="HD22" s="4089">
        <f t="shared" si="90"/>
        <v>291658.30127999996</v>
      </c>
      <c r="HE22" s="4089">
        <f t="shared" si="90"/>
        <v>283089.05353600002</v>
      </c>
      <c r="HF22" s="4089">
        <f t="shared" si="90"/>
        <v>290103.75624319998</v>
      </c>
      <c r="HG22" s="4089">
        <f t="shared" si="90"/>
        <v>286100.29349184001</v>
      </c>
      <c r="HH22" s="4090">
        <f t="shared" si="90"/>
        <v>286715.97579020803</v>
      </c>
      <c r="HI22" s="4105">
        <f t="shared" si="83"/>
        <v>12992166.370000001</v>
      </c>
      <c r="HJ22" s="4106">
        <f t="shared" si="84"/>
        <v>4184070.55</v>
      </c>
      <c r="HK22" s="4106">
        <f t="shared" si="91"/>
        <v>1415109.4100000001</v>
      </c>
      <c r="HL22" s="4093">
        <f t="shared" si="89"/>
        <v>3418427.1467412482</v>
      </c>
      <c r="HM22" s="4107"/>
    </row>
    <row r="23" spans="1:221">
      <c r="A23" s="4095" t="s">
        <v>1672</v>
      </c>
      <c r="B23" s="4096" t="s">
        <v>1700</v>
      </c>
      <c r="C23" s="4096" t="s">
        <v>1701</v>
      </c>
      <c r="D23" s="4096" t="s">
        <v>1712</v>
      </c>
      <c r="E23" s="4097" t="s">
        <v>1713</v>
      </c>
      <c r="F23" s="4098">
        <v>6833.07</v>
      </c>
      <c r="G23" s="4098">
        <v>3267.05</v>
      </c>
      <c r="H23" s="4098">
        <v>0</v>
      </c>
      <c r="I23" s="4098">
        <v>88448</v>
      </c>
      <c r="J23" s="4098">
        <v>3568.24</v>
      </c>
      <c r="K23" s="4098">
        <v>0</v>
      </c>
      <c r="L23" s="4098">
        <v>0</v>
      </c>
      <c r="M23" s="4098">
        <v>111762</v>
      </c>
      <c r="N23" s="4098">
        <v>5513.82</v>
      </c>
      <c r="O23" s="4098">
        <v>0</v>
      </c>
      <c r="P23" s="4098">
        <v>0</v>
      </c>
      <c r="Q23" s="4098">
        <v>76716</v>
      </c>
      <c r="R23" s="4098">
        <v>10479.209999999999</v>
      </c>
      <c r="S23" s="4098">
        <v>0</v>
      </c>
      <c r="T23" s="4098">
        <v>0</v>
      </c>
      <c r="U23" s="4098">
        <v>77784</v>
      </c>
      <c r="V23" s="4098">
        <v>12599.65</v>
      </c>
      <c r="W23" s="4098">
        <v>0</v>
      </c>
      <c r="X23" s="4098">
        <v>0</v>
      </c>
      <c r="Y23" s="4098">
        <v>66500</v>
      </c>
      <c r="Z23" s="4098">
        <v>16015.98</v>
      </c>
      <c r="AA23" s="4098">
        <v>129</v>
      </c>
      <c r="AB23" s="4098">
        <v>0</v>
      </c>
      <c r="AC23" s="4098">
        <v>79420</v>
      </c>
      <c r="AD23" s="4098">
        <v>10970.78</v>
      </c>
      <c r="AE23" s="4098">
        <v>2374.38</v>
      </c>
      <c r="AF23" s="4098">
        <v>0</v>
      </c>
      <c r="AG23" s="4098">
        <v>60126</v>
      </c>
      <c r="AH23" s="4098">
        <v>6406.73</v>
      </c>
      <c r="AI23" s="4098">
        <v>2838.27</v>
      </c>
      <c r="AJ23" s="4098">
        <v>0</v>
      </c>
      <c r="AK23" s="4098">
        <v>63572</v>
      </c>
      <c r="AL23" s="4098">
        <v>20448.150000000001</v>
      </c>
      <c r="AM23" s="4098">
        <v>146067.31</v>
      </c>
      <c r="AN23" s="4098">
        <v>0</v>
      </c>
      <c r="AO23" s="4098">
        <v>74324</v>
      </c>
      <c r="AP23" s="4098">
        <v>8056.81</v>
      </c>
      <c r="AQ23" s="4098">
        <v>24694.65</v>
      </c>
      <c r="AR23" s="4098">
        <v>0</v>
      </c>
      <c r="AS23" s="4098">
        <v>57409</v>
      </c>
      <c r="AT23" s="4098">
        <v>32219.14</v>
      </c>
      <c r="AU23" s="4098">
        <v>86288.75</v>
      </c>
      <c r="AV23" s="4098">
        <v>0</v>
      </c>
      <c r="AW23" s="4098">
        <v>0</v>
      </c>
      <c r="AX23" s="4098">
        <v>27284.400000000001</v>
      </c>
      <c r="AY23" s="4098">
        <v>67800.710000000006</v>
      </c>
      <c r="AZ23" s="4098">
        <v>0</v>
      </c>
      <c r="BA23" s="4098">
        <v>90513</v>
      </c>
      <c r="BB23" s="4098">
        <v>27968.23</v>
      </c>
      <c r="BC23" s="4098">
        <v>165128.12</v>
      </c>
      <c r="BD23" s="4098">
        <v>0</v>
      </c>
      <c r="BE23" s="4098">
        <v>57010</v>
      </c>
      <c r="BF23" s="4098">
        <v>13179.51</v>
      </c>
      <c r="BG23" s="4098">
        <v>78321.23</v>
      </c>
      <c r="BH23" s="4098">
        <v>0</v>
      </c>
      <c r="BI23" s="4098">
        <v>58850</v>
      </c>
      <c r="BJ23" s="4098">
        <v>9997.52</v>
      </c>
      <c r="BK23" s="4098">
        <v>55723.94</v>
      </c>
      <c r="BL23" s="4098">
        <v>0</v>
      </c>
      <c r="BM23" s="4098">
        <v>51610</v>
      </c>
      <c r="BN23" s="4098">
        <v>956.44</v>
      </c>
      <c r="BO23" s="4098">
        <v>28.8</v>
      </c>
      <c r="BP23" s="4098">
        <v>0</v>
      </c>
      <c r="BQ23" s="4098">
        <v>58344</v>
      </c>
      <c r="BR23" s="4098">
        <v>1665.38</v>
      </c>
      <c r="BS23" s="4098">
        <v>534.5</v>
      </c>
      <c r="BT23" s="4098">
        <v>0</v>
      </c>
      <c r="BU23" s="4098">
        <v>33382</v>
      </c>
      <c r="BV23" s="4098">
        <v>13964.3</v>
      </c>
      <c r="BW23" s="4098">
        <v>494.32</v>
      </c>
      <c r="BX23" s="4098">
        <v>0</v>
      </c>
      <c r="BY23" s="4098">
        <v>32760</v>
      </c>
      <c r="BZ23" s="4098">
        <v>710.9</v>
      </c>
      <c r="CA23" s="4098">
        <v>689</v>
      </c>
      <c r="CB23" s="4098">
        <v>0</v>
      </c>
      <c r="CC23" s="4098">
        <v>32403</v>
      </c>
      <c r="CD23" s="4098">
        <v>2311.4899999999998</v>
      </c>
      <c r="CE23" s="4098">
        <v>2100.52</v>
      </c>
      <c r="CF23" s="4098">
        <v>0</v>
      </c>
      <c r="CG23" s="4098">
        <v>33670</v>
      </c>
      <c r="CH23" s="4098">
        <v>2991.07</v>
      </c>
      <c r="CI23" s="4098">
        <v>5943.26</v>
      </c>
      <c r="CJ23" s="4098">
        <v>0</v>
      </c>
      <c r="CK23" s="4098">
        <v>39046</v>
      </c>
      <c r="CL23" s="4098">
        <v>37258.42</v>
      </c>
      <c r="CM23" s="4098">
        <v>16233.65</v>
      </c>
      <c r="CN23" s="4098">
        <v>0</v>
      </c>
      <c r="CO23" s="4098">
        <v>32920</v>
      </c>
      <c r="CP23" s="4098">
        <v>43910.15</v>
      </c>
      <c r="CQ23" s="4098">
        <v>18205.32</v>
      </c>
      <c r="CR23" s="4098">
        <v>0</v>
      </c>
      <c r="CS23" s="4098">
        <v>32078</v>
      </c>
      <c r="CT23" s="4098">
        <v>48492.92</v>
      </c>
      <c r="CU23" s="4098">
        <v>1736.17</v>
      </c>
      <c r="CV23" s="4098">
        <v>0</v>
      </c>
      <c r="CW23" s="4098">
        <v>112684</v>
      </c>
      <c r="CX23" s="4098">
        <v>41113.699999999997</v>
      </c>
      <c r="CY23" s="4098">
        <v>15357.11</v>
      </c>
      <c r="CZ23" s="4098">
        <v>0</v>
      </c>
      <c r="DA23" s="4098">
        <v>33864</v>
      </c>
      <c r="DB23" s="4098">
        <v>52042.400000000001</v>
      </c>
      <c r="DC23" s="4098">
        <v>21334.9</v>
      </c>
      <c r="DD23" s="4098">
        <v>0</v>
      </c>
      <c r="DE23" s="4098">
        <v>33815</v>
      </c>
      <c r="DF23" s="4098">
        <v>52984.800000000003</v>
      </c>
      <c r="DG23" s="4098">
        <v>35417.300000000003</v>
      </c>
      <c r="DH23" s="4098">
        <v>0</v>
      </c>
      <c r="DI23" s="4098">
        <v>33112</v>
      </c>
      <c r="DJ23" s="4098">
        <v>34595.57</v>
      </c>
      <c r="DK23" s="4098">
        <v>34035.74</v>
      </c>
      <c r="DL23" s="4098">
        <v>0</v>
      </c>
      <c r="DM23" s="4098">
        <v>38850</v>
      </c>
      <c r="DN23" s="4098">
        <v>45151.45</v>
      </c>
      <c r="DO23" s="4098">
        <v>43143.21</v>
      </c>
      <c r="DP23" s="4098">
        <v>0</v>
      </c>
      <c r="DQ23" s="4098">
        <v>34255</v>
      </c>
      <c r="DR23" s="4099"/>
      <c r="DS23" s="4100">
        <f t="shared" si="0"/>
        <v>10100.119999999999</v>
      </c>
      <c r="DT23" s="4100">
        <f t="shared" si="1"/>
        <v>88448</v>
      </c>
      <c r="DU23" s="4100">
        <f t="shared" si="2"/>
        <v>3568.24</v>
      </c>
      <c r="DV23" s="4100">
        <f t="shared" si="3"/>
        <v>111762</v>
      </c>
      <c r="DW23" s="4100">
        <f t="shared" si="4"/>
        <v>5513.82</v>
      </c>
      <c r="DX23" s="4100">
        <f t="shared" si="5"/>
        <v>76716</v>
      </c>
      <c r="DY23" s="4100">
        <f t="shared" si="6"/>
        <v>10479.209999999999</v>
      </c>
      <c r="DZ23" s="4100">
        <f t="shared" si="7"/>
        <v>77784</v>
      </c>
      <c r="EA23" s="4100">
        <f t="shared" si="8"/>
        <v>12599.65</v>
      </c>
      <c r="EB23" s="4100">
        <f t="shared" si="9"/>
        <v>66500</v>
      </c>
      <c r="EC23" s="4100">
        <f t="shared" si="10"/>
        <v>16144.98</v>
      </c>
      <c r="ED23" s="4100">
        <f t="shared" si="11"/>
        <v>79420</v>
      </c>
      <c r="EE23" s="4100">
        <f t="shared" si="12"/>
        <v>13345.16</v>
      </c>
      <c r="EF23" s="4100">
        <f t="shared" si="13"/>
        <v>60126</v>
      </c>
      <c r="EG23" s="4100">
        <f t="shared" si="14"/>
        <v>9245</v>
      </c>
      <c r="EH23" s="4101">
        <v>1367</v>
      </c>
      <c r="EI23" s="4100">
        <f t="shared" si="15"/>
        <v>166515.46</v>
      </c>
      <c r="EJ23" s="4100">
        <f t="shared" si="16"/>
        <v>74324</v>
      </c>
      <c r="EK23" s="4100">
        <f t="shared" si="17"/>
        <v>32751.460000000003</v>
      </c>
      <c r="EL23" s="4100">
        <f t="shared" si="18"/>
        <v>57409</v>
      </c>
      <c r="EM23" s="4100">
        <f t="shared" si="19"/>
        <v>118507.89</v>
      </c>
      <c r="EN23" s="4100">
        <f t="shared" si="20"/>
        <v>0</v>
      </c>
      <c r="EO23" s="4100">
        <f t="shared" si="21"/>
        <v>95085.110000000015</v>
      </c>
      <c r="EP23" s="4100">
        <f t="shared" si="22"/>
        <v>90513</v>
      </c>
      <c r="EQ23" s="4100">
        <f t="shared" si="23"/>
        <v>193096.35</v>
      </c>
      <c r="ER23" s="4100">
        <f t="shared" si="24"/>
        <v>57010</v>
      </c>
      <c r="ES23" s="4100">
        <f t="shared" si="25"/>
        <v>91500.739999999991</v>
      </c>
      <c r="ET23" s="4100">
        <f t="shared" si="26"/>
        <v>58850</v>
      </c>
      <c r="EU23" s="4100">
        <f t="shared" si="27"/>
        <v>65721.460000000006</v>
      </c>
      <c r="EV23" s="4100">
        <f t="shared" si="28"/>
        <v>51610</v>
      </c>
      <c r="EW23" s="4100">
        <f t="shared" si="29"/>
        <v>985.24</v>
      </c>
      <c r="EX23" s="4101">
        <v>1367</v>
      </c>
      <c r="EY23" s="4100">
        <f t="shared" si="30"/>
        <v>2199.88</v>
      </c>
      <c r="EZ23" s="4100">
        <f t="shared" si="31"/>
        <v>33382</v>
      </c>
      <c r="FA23" s="4100">
        <f t="shared" si="32"/>
        <v>14458.619999999999</v>
      </c>
      <c r="FB23" s="4100">
        <f t="shared" si="33"/>
        <v>32760</v>
      </c>
      <c r="FC23" s="4100">
        <f t="shared" si="34"/>
        <v>1399.9</v>
      </c>
      <c r="FD23" s="4100">
        <f t="shared" si="35"/>
        <v>32403</v>
      </c>
      <c r="FE23" s="4100">
        <f t="shared" si="36"/>
        <v>4412.01</v>
      </c>
      <c r="FF23" s="4100">
        <f t="shared" si="37"/>
        <v>33670</v>
      </c>
      <c r="FG23" s="4100">
        <f t="shared" si="38"/>
        <v>8934.33</v>
      </c>
      <c r="FH23" s="4100">
        <f t="shared" si="39"/>
        <v>39046</v>
      </c>
      <c r="FI23" s="4100">
        <f t="shared" si="40"/>
        <v>53492.07</v>
      </c>
      <c r="FJ23" s="4100">
        <f t="shared" si="41"/>
        <v>32920</v>
      </c>
      <c r="FK23" s="4100">
        <f t="shared" si="42"/>
        <v>62115.47</v>
      </c>
      <c r="FL23" s="4100">
        <f t="shared" si="43"/>
        <v>32078</v>
      </c>
      <c r="FM23" s="4100">
        <f t="shared" si="44"/>
        <v>50229.09</v>
      </c>
      <c r="FN23" s="4100">
        <f t="shared" si="45"/>
        <v>112684</v>
      </c>
      <c r="FO23" s="4100">
        <f t="shared" si="46"/>
        <v>56470.81</v>
      </c>
      <c r="FP23" s="4100">
        <f t="shared" si="47"/>
        <v>33864</v>
      </c>
      <c r="FQ23" s="4100">
        <f t="shared" si="48"/>
        <v>73377.3</v>
      </c>
      <c r="FR23" s="4100">
        <f t="shared" si="49"/>
        <v>33815</v>
      </c>
      <c r="FS23" s="4100">
        <f t="shared" si="50"/>
        <v>88402.1</v>
      </c>
      <c r="FT23" s="4100">
        <f t="shared" si="51"/>
        <v>33112</v>
      </c>
      <c r="FU23" s="4100">
        <f t="shared" si="52"/>
        <v>68631.31</v>
      </c>
      <c r="FV23" s="4100">
        <f t="shared" si="53"/>
        <v>38850</v>
      </c>
      <c r="FW23" s="4100">
        <f t="shared" si="85"/>
        <v>88294.66</v>
      </c>
      <c r="FX23" s="4102">
        <f t="shared" si="86"/>
        <v>34255</v>
      </c>
      <c r="FY23" s="4103">
        <f t="shared" si="54"/>
        <v>98548.12</v>
      </c>
      <c r="FZ23" s="4100">
        <f t="shared" si="55"/>
        <v>115330.24000000001</v>
      </c>
      <c r="GA23" s="4100">
        <f t="shared" si="56"/>
        <v>82229.820000000007</v>
      </c>
      <c r="GB23" s="4100">
        <f t="shared" si="57"/>
        <v>88263.209999999992</v>
      </c>
      <c r="GC23" s="4100">
        <f t="shared" si="58"/>
        <v>79099.649999999994</v>
      </c>
      <c r="GD23" s="4100">
        <f t="shared" si="59"/>
        <v>95564.98</v>
      </c>
      <c r="GE23" s="4100">
        <f t="shared" si="60"/>
        <v>73471.16</v>
      </c>
      <c r="GF23" s="4100">
        <f t="shared" si="61"/>
        <v>10612</v>
      </c>
      <c r="GG23" s="4100">
        <f t="shared" si="62"/>
        <v>240839.46</v>
      </c>
      <c r="GH23" s="4100">
        <f t="shared" si="63"/>
        <v>90160.46</v>
      </c>
      <c r="GI23" s="4100">
        <f t="shared" si="64"/>
        <v>118507.89</v>
      </c>
      <c r="GJ23" s="4102">
        <f t="shared" si="65"/>
        <v>185598.11000000002</v>
      </c>
      <c r="GK23" s="4104">
        <f t="shared" si="66"/>
        <v>250106.35</v>
      </c>
      <c r="GL23" s="4100">
        <f t="shared" si="67"/>
        <v>150350.74</v>
      </c>
      <c r="GM23" s="4100">
        <f t="shared" si="68"/>
        <v>117331.46</v>
      </c>
      <c r="GN23" s="4100">
        <f t="shared" si="69"/>
        <v>2352.2399999999998</v>
      </c>
      <c r="GO23" s="4100">
        <f t="shared" si="70"/>
        <v>35581.879999999997</v>
      </c>
      <c r="GP23" s="4100">
        <f t="shared" si="71"/>
        <v>47218.619999999995</v>
      </c>
      <c r="GQ23" s="4100">
        <f t="shared" si="72"/>
        <v>33802.9</v>
      </c>
      <c r="GR23" s="4100">
        <f t="shared" si="73"/>
        <v>38082.01</v>
      </c>
      <c r="GS23" s="4100">
        <f t="shared" si="74"/>
        <v>47980.33</v>
      </c>
      <c r="GT23" s="4100">
        <f t="shared" si="75"/>
        <v>86412.07</v>
      </c>
      <c r="GU23" s="4100">
        <f t="shared" si="76"/>
        <v>94193.47</v>
      </c>
      <c r="GV23" s="4102">
        <f t="shared" si="77"/>
        <v>162913.09</v>
      </c>
      <c r="GW23" s="4104">
        <f t="shared" si="78"/>
        <v>90334.81</v>
      </c>
      <c r="GX23" s="4100">
        <f t="shared" si="79"/>
        <v>107192.3</v>
      </c>
      <c r="GY23" s="4100">
        <f t="shared" si="80"/>
        <v>121514.1</v>
      </c>
      <c r="GZ23" s="4100">
        <f t="shared" si="81"/>
        <v>107481.31</v>
      </c>
      <c r="HA23" s="4100">
        <f t="shared" si="87"/>
        <v>122549.66</v>
      </c>
      <c r="HB23" s="4089">
        <f t="shared" si="90"/>
        <v>109814.43599999999</v>
      </c>
      <c r="HC23" s="4089">
        <f t="shared" si="90"/>
        <v>113710.3612</v>
      </c>
      <c r="HD23" s="4089">
        <f t="shared" si="90"/>
        <v>115013.97344</v>
      </c>
      <c r="HE23" s="4089">
        <f t="shared" si="90"/>
        <v>113713.94812799999</v>
      </c>
      <c r="HF23" s="4089">
        <f t="shared" si="90"/>
        <v>114960.47575360001</v>
      </c>
      <c r="HG23" s="4089">
        <f t="shared" si="90"/>
        <v>113442.63890432</v>
      </c>
      <c r="HH23" s="4090">
        <f t="shared" si="90"/>
        <v>114168.279485184</v>
      </c>
      <c r="HI23" s="4105">
        <f t="shared" si="83"/>
        <v>1278225.1000000001</v>
      </c>
      <c r="HJ23" s="4106">
        <f t="shared" si="84"/>
        <v>1066325.1599999999</v>
      </c>
      <c r="HK23" s="4106">
        <f t="shared" si="91"/>
        <v>549072.17999999993</v>
      </c>
      <c r="HL23" s="4093">
        <f t="shared" si="89"/>
        <v>1343896.2929111042</v>
      </c>
      <c r="HM23" s="4107"/>
    </row>
    <row r="24" spans="1:221" ht="15" thickBot="1">
      <c r="A24" s="4133"/>
      <c r="B24" s="4134"/>
      <c r="C24" s="4134"/>
      <c r="D24" s="4133"/>
      <c r="E24" s="4133" t="s">
        <v>151</v>
      </c>
      <c r="F24" s="4135">
        <f t="shared" ref="F24:BQ24" si="92">SUM(F4:F23)</f>
        <v>171654066.27999997</v>
      </c>
      <c r="G24" s="4135">
        <f t="shared" si="92"/>
        <v>12917771.739999998</v>
      </c>
      <c r="H24" s="4135">
        <f t="shared" si="92"/>
        <v>49965.96</v>
      </c>
      <c r="I24" s="4135">
        <f t="shared" si="92"/>
        <v>1314034.42</v>
      </c>
      <c r="J24" s="4135">
        <f t="shared" si="92"/>
        <v>162634781.34</v>
      </c>
      <c r="K24" s="4135">
        <f t="shared" si="92"/>
        <v>12218235.210000001</v>
      </c>
      <c r="L24" s="4135">
        <f t="shared" si="92"/>
        <v>3934.19</v>
      </c>
      <c r="M24" s="4135">
        <f t="shared" si="92"/>
        <v>2636521.6599999997</v>
      </c>
      <c r="N24" s="4135">
        <f t="shared" si="92"/>
        <v>175389958.36000004</v>
      </c>
      <c r="O24" s="4135">
        <f t="shared" si="92"/>
        <v>13721583.570000002</v>
      </c>
      <c r="P24" s="4135">
        <f t="shared" si="92"/>
        <v>21711.040000000001</v>
      </c>
      <c r="Q24" s="4135">
        <f t="shared" si="92"/>
        <v>1565566.57</v>
      </c>
      <c r="R24" s="4135">
        <f t="shared" si="92"/>
        <v>173617667.00000006</v>
      </c>
      <c r="S24" s="4135">
        <f t="shared" si="92"/>
        <v>13555138.66</v>
      </c>
      <c r="T24" s="4135">
        <f t="shared" si="92"/>
        <v>0</v>
      </c>
      <c r="U24" s="4135">
        <f t="shared" si="92"/>
        <v>1707038.14</v>
      </c>
      <c r="V24" s="4135">
        <f t="shared" si="92"/>
        <v>178365074.59</v>
      </c>
      <c r="W24" s="4135">
        <f t="shared" si="92"/>
        <v>13546046.4</v>
      </c>
      <c r="X24" s="4135">
        <f t="shared" si="92"/>
        <v>8751.0499999999993</v>
      </c>
      <c r="Y24" s="4135">
        <f t="shared" si="92"/>
        <v>1339946.8800000001</v>
      </c>
      <c r="Z24" s="4135">
        <f t="shared" si="92"/>
        <v>174960949.12</v>
      </c>
      <c r="AA24" s="4135">
        <f t="shared" si="92"/>
        <v>17277014.280000005</v>
      </c>
      <c r="AB24" s="4135">
        <f t="shared" si="92"/>
        <v>113039.84</v>
      </c>
      <c r="AC24" s="4135">
        <f t="shared" si="92"/>
        <v>1566345.95</v>
      </c>
      <c r="AD24" s="4135">
        <f t="shared" si="92"/>
        <v>184549828.16999993</v>
      </c>
      <c r="AE24" s="4135">
        <f t="shared" si="92"/>
        <v>15271605.25</v>
      </c>
      <c r="AF24" s="4135">
        <f t="shared" si="92"/>
        <v>2260.0700000000002</v>
      </c>
      <c r="AG24" s="4135">
        <f t="shared" si="92"/>
        <v>1287525.77</v>
      </c>
      <c r="AH24" s="4135">
        <f t="shared" si="92"/>
        <v>181587530.50999993</v>
      </c>
      <c r="AI24" s="4135">
        <f t="shared" si="92"/>
        <v>14888849.039999999</v>
      </c>
      <c r="AJ24" s="4135">
        <f t="shared" si="92"/>
        <v>238226.57</v>
      </c>
      <c r="AK24" s="4135">
        <f t="shared" si="92"/>
        <v>1244269.22</v>
      </c>
      <c r="AL24" s="4135">
        <f t="shared" si="92"/>
        <v>169331686.17000002</v>
      </c>
      <c r="AM24" s="4135">
        <f t="shared" si="92"/>
        <v>12540182.98</v>
      </c>
      <c r="AN24" s="4135">
        <f t="shared" si="92"/>
        <v>76979.03</v>
      </c>
      <c r="AO24" s="4135">
        <f t="shared" si="92"/>
        <v>1443925.4100000001</v>
      </c>
      <c r="AP24" s="4135">
        <f t="shared" si="92"/>
        <v>150548044.42999998</v>
      </c>
      <c r="AQ24" s="4135">
        <f t="shared" si="92"/>
        <v>14213422.059999999</v>
      </c>
      <c r="AR24" s="4135">
        <f t="shared" si="92"/>
        <v>70256.08</v>
      </c>
      <c r="AS24" s="4135">
        <f t="shared" si="92"/>
        <v>1723475.7</v>
      </c>
      <c r="AT24" s="4135">
        <f t="shared" si="92"/>
        <v>167675583.77999997</v>
      </c>
      <c r="AU24" s="4135">
        <f t="shared" si="92"/>
        <v>13414889.649999999</v>
      </c>
      <c r="AV24" s="4135">
        <f t="shared" si="92"/>
        <v>110322.55</v>
      </c>
      <c r="AW24" s="4135">
        <f t="shared" si="92"/>
        <v>1902971.56</v>
      </c>
      <c r="AX24" s="4135">
        <f t="shared" si="92"/>
        <v>188631769.37</v>
      </c>
      <c r="AY24" s="4135">
        <f t="shared" si="92"/>
        <v>20798248.079999998</v>
      </c>
      <c r="AZ24" s="4135">
        <f t="shared" si="92"/>
        <v>104382.59</v>
      </c>
      <c r="BA24" s="4135">
        <f t="shared" si="92"/>
        <v>1975580.8299999998</v>
      </c>
      <c r="BB24" s="4135">
        <f t="shared" si="92"/>
        <v>170106459.31999996</v>
      </c>
      <c r="BC24" s="4135">
        <f t="shared" si="92"/>
        <v>15313748.35</v>
      </c>
      <c r="BD24" s="4135">
        <f t="shared" si="92"/>
        <v>151698.81</v>
      </c>
      <c r="BE24" s="4135">
        <f t="shared" si="92"/>
        <v>1763848.2</v>
      </c>
      <c r="BF24" s="4135">
        <f t="shared" si="92"/>
        <v>160918323.78999999</v>
      </c>
      <c r="BG24" s="4135">
        <f t="shared" si="92"/>
        <v>12296608.510000002</v>
      </c>
      <c r="BH24" s="4135">
        <f t="shared" si="92"/>
        <v>61065.06</v>
      </c>
      <c r="BI24" s="4135">
        <f t="shared" si="92"/>
        <v>1697531.25</v>
      </c>
      <c r="BJ24" s="4135">
        <f t="shared" si="92"/>
        <v>87952243.730000004</v>
      </c>
      <c r="BK24" s="4135">
        <f t="shared" si="92"/>
        <v>7916862.7199999997</v>
      </c>
      <c r="BL24" s="4135">
        <f t="shared" si="92"/>
        <v>17807.990000000002</v>
      </c>
      <c r="BM24" s="4135">
        <f t="shared" si="92"/>
        <v>1399169.76</v>
      </c>
      <c r="BN24" s="4135">
        <f t="shared" si="92"/>
        <v>29777901.739999995</v>
      </c>
      <c r="BO24" s="4135">
        <f t="shared" si="92"/>
        <v>3085082.18</v>
      </c>
      <c r="BP24" s="4135">
        <f t="shared" si="92"/>
        <v>7352.33</v>
      </c>
      <c r="BQ24" s="4135">
        <f t="shared" si="92"/>
        <v>167530.59</v>
      </c>
      <c r="BR24" s="4135">
        <f t="shared" ref="BR24:DQ24" si="93">SUM(BR4:BR23)</f>
        <v>37233209.969999999</v>
      </c>
      <c r="BS24" s="4135">
        <f t="shared" si="93"/>
        <v>6254140.3700000001</v>
      </c>
      <c r="BT24" s="4135">
        <f t="shared" si="93"/>
        <v>64855.62</v>
      </c>
      <c r="BU24" s="4135">
        <f t="shared" si="93"/>
        <v>330909.57</v>
      </c>
      <c r="BV24" s="4135">
        <f t="shared" si="93"/>
        <v>51135054.699999996</v>
      </c>
      <c r="BW24" s="4135">
        <f t="shared" si="93"/>
        <v>7470729.2899999991</v>
      </c>
      <c r="BX24" s="4135">
        <f t="shared" si="93"/>
        <v>19260.47</v>
      </c>
      <c r="BY24" s="4135">
        <f t="shared" si="93"/>
        <v>1204030.0699999998</v>
      </c>
      <c r="BZ24" s="4135">
        <f t="shared" si="93"/>
        <v>51558510.810000002</v>
      </c>
      <c r="CA24" s="4135">
        <f t="shared" si="93"/>
        <v>5113826.419999999</v>
      </c>
      <c r="CB24" s="4135">
        <f t="shared" si="93"/>
        <v>29144.7</v>
      </c>
      <c r="CC24" s="4135">
        <f t="shared" si="93"/>
        <v>269989.01</v>
      </c>
      <c r="CD24" s="4135">
        <f t="shared" si="93"/>
        <v>60100317.840000018</v>
      </c>
      <c r="CE24" s="4135">
        <f t="shared" si="93"/>
        <v>7124785.0800000001</v>
      </c>
      <c r="CF24" s="4135">
        <f t="shared" si="93"/>
        <v>52636.92</v>
      </c>
      <c r="CG24" s="4135">
        <f t="shared" si="93"/>
        <v>172479.3</v>
      </c>
      <c r="CH24" s="4135">
        <f t="shared" si="93"/>
        <v>71059791.179999977</v>
      </c>
      <c r="CI24" s="4135">
        <f t="shared" si="93"/>
        <v>7406048.5399999991</v>
      </c>
      <c r="CJ24" s="4135">
        <f t="shared" si="93"/>
        <v>0</v>
      </c>
      <c r="CK24" s="4135">
        <f t="shared" si="93"/>
        <v>180139.09</v>
      </c>
      <c r="CL24" s="4135">
        <f t="shared" si="93"/>
        <v>82585587.480000019</v>
      </c>
      <c r="CM24" s="4135">
        <f t="shared" si="93"/>
        <v>10437647.469999999</v>
      </c>
      <c r="CN24" s="4135">
        <f t="shared" si="93"/>
        <v>86.5</v>
      </c>
      <c r="CO24" s="4135">
        <f t="shared" si="93"/>
        <v>387248.51</v>
      </c>
      <c r="CP24" s="4135">
        <f t="shared" si="93"/>
        <v>83173484.710000023</v>
      </c>
      <c r="CQ24" s="4135">
        <f t="shared" si="93"/>
        <v>8653922.9499999993</v>
      </c>
      <c r="CR24" s="4135">
        <f t="shared" si="93"/>
        <v>19141.71</v>
      </c>
      <c r="CS24" s="4135">
        <f t="shared" si="93"/>
        <v>738058.87</v>
      </c>
      <c r="CT24" s="4135">
        <f t="shared" si="93"/>
        <v>108204454.26000004</v>
      </c>
      <c r="CU24" s="4135">
        <f t="shared" si="93"/>
        <v>13698113.580000004</v>
      </c>
      <c r="CV24" s="4135">
        <f t="shared" si="93"/>
        <v>25227.78</v>
      </c>
      <c r="CW24" s="4135">
        <f t="shared" si="93"/>
        <v>1783624.02</v>
      </c>
      <c r="CX24" s="4135">
        <f t="shared" si="93"/>
        <v>78979742.490000024</v>
      </c>
      <c r="CY24" s="4135">
        <f t="shared" si="93"/>
        <v>5230588.3100000005</v>
      </c>
      <c r="CZ24" s="4135">
        <f t="shared" si="93"/>
        <v>2337.11</v>
      </c>
      <c r="DA24" s="4135">
        <f t="shared" si="93"/>
        <v>839502.60000000009</v>
      </c>
      <c r="DB24" s="4135">
        <f t="shared" si="93"/>
        <v>78361368.760000005</v>
      </c>
      <c r="DC24" s="4135">
        <f t="shared" si="93"/>
        <v>5027833.5000000009</v>
      </c>
      <c r="DD24" s="4135">
        <f t="shared" si="93"/>
        <v>1967.32</v>
      </c>
      <c r="DE24" s="4135">
        <f t="shared" si="93"/>
        <v>590755.35</v>
      </c>
      <c r="DF24" s="4135">
        <f t="shared" si="93"/>
        <v>102199291.29000001</v>
      </c>
      <c r="DG24" s="4135">
        <f t="shared" si="93"/>
        <v>5614960.71</v>
      </c>
      <c r="DH24" s="4135">
        <f t="shared" si="93"/>
        <v>1409.68</v>
      </c>
      <c r="DI24" s="4135">
        <f t="shared" si="93"/>
        <v>1021433.09</v>
      </c>
      <c r="DJ24" s="4135">
        <f t="shared" si="93"/>
        <v>95676113.839999974</v>
      </c>
      <c r="DK24" s="4135">
        <f t="shared" si="93"/>
        <v>5378278.6899999995</v>
      </c>
      <c r="DL24" s="4135">
        <f t="shared" si="93"/>
        <v>25900.959999999999</v>
      </c>
      <c r="DM24" s="4135">
        <f t="shared" si="93"/>
        <v>470226.36999999994</v>
      </c>
      <c r="DN24" s="4135">
        <f t="shared" si="93"/>
        <v>115216645.66000001</v>
      </c>
      <c r="DO24" s="4135">
        <f t="shared" si="93"/>
        <v>6058712.8400000008</v>
      </c>
      <c r="DP24" s="4135">
        <f t="shared" si="93"/>
        <v>52244.24</v>
      </c>
      <c r="DQ24" s="4135">
        <f t="shared" si="93"/>
        <v>873973.15000000014</v>
      </c>
      <c r="DR24" s="4136"/>
      <c r="DS24" s="4135">
        <f t="shared" ref="DS24:GD24" si="94">SUM(DS4:DS23)</f>
        <v>184571838.02000001</v>
      </c>
      <c r="DT24" s="4135">
        <f t="shared" si="94"/>
        <v>1364000.38</v>
      </c>
      <c r="DU24" s="4135">
        <f t="shared" si="94"/>
        <v>174853016.55000001</v>
      </c>
      <c r="DV24" s="4135">
        <f t="shared" si="94"/>
        <v>2640455.85</v>
      </c>
      <c r="DW24" s="4135">
        <f t="shared" si="94"/>
        <v>189111541.92999998</v>
      </c>
      <c r="DX24" s="4135">
        <f t="shared" si="94"/>
        <v>1587277.6099999999</v>
      </c>
      <c r="DY24" s="4135">
        <f t="shared" si="94"/>
        <v>187172805.66</v>
      </c>
      <c r="DZ24" s="4135">
        <f t="shared" si="94"/>
        <v>1707038.14</v>
      </c>
      <c r="EA24" s="4135">
        <f t="shared" si="94"/>
        <v>191911120.99000007</v>
      </c>
      <c r="EB24" s="4135">
        <f t="shared" si="94"/>
        <v>1348697.93</v>
      </c>
      <c r="EC24" s="4135">
        <f t="shared" si="94"/>
        <v>192237963.40000007</v>
      </c>
      <c r="ED24" s="4135">
        <f t="shared" si="94"/>
        <v>1679385.79</v>
      </c>
      <c r="EE24" s="4135">
        <f t="shared" si="94"/>
        <v>199821433.41999996</v>
      </c>
      <c r="EF24" s="4135">
        <f t="shared" si="94"/>
        <v>1289785.8399999999</v>
      </c>
      <c r="EG24" s="4135">
        <f t="shared" si="94"/>
        <v>196476379.55000004</v>
      </c>
      <c r="EH24" s="4135">
        <f t="shared" si="94"/>
        <v>24092</v>
      </c>
      <c r="EI24" s="4135">
        <f t="shared" si="94"/>
        <v>181871869.15000001</v>
      </c>
      <c r="EJ24" s="4135">
        <f t="shared" si="94"/>
        <v>1520904.44</v>
      </c>
      <c r="EK24" s="4135">
        <f t="shared" si="94"/>
        <v>164761466.48999998</v>
      </c>
      <c r="EL24" s="4135">
        <f t="shared" si="94"/>
        <v>1793731.78</v>
      </c>
      <c r="EM24" s="4135">
        <f t="shared" si="94"/>
        <v>181090473.42999998</v>
      </c>
      <c r="EN24" s="4135">
        <f t="shared" si="94"/>
        <v>2013294.11</v>
      </c>
      <c r="EO24" s="4135">
        <f t="shared" si="94"/>
        <v>209430017.45000002</v>
      </c>
      <c r="EP24" s="4135">
        <f t="shared" si="94"/>
        <v>2079963.4199999997</v>
      </c>
      <c r="EQ24" s="4135">
        <f t="shared" si="94"/>
        <v>185420207.66999999</v>
      </c>
      <c r="ER24" s="4135">
        <f t="shared" si="94"/>
        <v>1915547.0100000002</v>
      </c>
      <c r="ES24" s="4135">
        <f t="shared" si="94"/>
        <v>173214932.30000001</v>
      </c>
      <c r="ET24" s="4135">
        <f t="shared" si="94"/>
        <v>1758596.3100000003</v>
      </c>
      <c r="EU24" s="4135">
        <f t="shared" si="94"/>
        <v>95869106.450000018</v>
      </c>
      <c r="EV24" s="4135">
        <f t="shared" si="94"/>
        <v>1416977.7499999998</v>
      </c>
      <c r="EW24" s="4135">
        <f t="shared" si="94"/>
        <v>32862983.919999991</v>
      </c>
      <c r="EX24" s="4135">
        <f t="shared" si="94"/>
        <v>24092</v>
      </c>
      <c r="EY24" s="4135">
        <f t="shared" si="94"/>
        <v>43487350.339999996</v>
      </c>
      <c r="EZ24" s="4135">
        <f t="shared" si="94"/>
        <v>395765.19</v>
      </c>
      <c r="FA24" s="4135">
        <f t="shared" si="94"/>
        <v>58605783.989999995</v>
      </c>
      <c r="FB24" s="4135">
        <f t="shared" si="94"/>
        <v>1223290.54</v>
      </c>
      <c r="FC24" s="4135">
        <f t="shared" si="94"/>
        <v>56672337.229999997</v>
      </c>
      <c r="FD24" s="4135">
        <f t="shared" si="94"/>
        <v>299133.70999999996</v>
      </c>
      <c r="FE24" s="4135">
        <f t="shared" si="94"/>
        <v>67225102.920000017</v>
      </c>
      <c r="FF24" s="4135">
        <f t="shared" si="94"/>
        <v>225116.22</v>
      </c>
      <c r="FG24" s="4135">
        <f t="shared" si="94"/>
        <v>78465839.719999984</v>
      </c>
      <c r="FH24" s="4135">
        <f t="shared" si="94"/>
        <v>180139.09</v>
      </c>
      <c r="FI24" s="4135">
        <f t="shared" si="94"/>
        <v>93023234.949999988</v>
      </c>
      <c r="FJ24" s="4135">
        <f t="shared" si="94"/>
        <v>387335.01</v>
      </c>
      <c r="FK24" s="4135">
        <f t="shared" si="94"/>
        <v>91827407.659999996</v>
      </c>
      <c r="FL24" s="4135">
        <f t="shared" si="94"/>
        <v>757200.58</v>
      </c>
      <c r="FM24" s="4135">
        <f t="shared" si="94"/>
        <v>121902567.83999999</v>
      </c>
      <c r="FN24" s="4135">
        <f t="shared" si="94"/>
        <v>1808851.8000000003</v>
      </c>
      <c r="FO24" s="4135">
        <f t="shared" si="94"/>
        <v>84210330.799999997</v>
      </c>
      <c r="FP24" s="4135">
        <f t="shared" si="94"/>
        <v>841839.71</v>
      </c>
      <c r="FQ24" s="4135">
        <f t="shared" si="94"/>
        <v>83389202.25999999</v>
      </c>
      <c r="FR24" s="4135">
        <f t="shared" si="94"/>
        <v>592722.66999999993</v>
      </c>
      <c r="FS24" s="4135">
        <f t="shared" si="94"/>
        <v>107814252</v>
      </c>
      <c r="FT24" s="4135">
        <f t="shared" si="94"/>
        <v>1022842.77</v>
      </c>
      <c r="FU24" s="4135">
        <f t="shared" si="94"/>
        <v>101054392.52999999</v>
      </c>
      <c r="FV24" s="4135">
        <f t="shared" si="94"/>
        <v>496127.32999999996</v>
      </c>
      <c r="FW24" s="4135">
        <f t="shared" si="94"/>
        <v>121275358.49999999</v>
      </c>
      <c r="FX24" s="4137">
        <f t="shared" si="94"/>
        <v>926217.39000000013</v>
      </c>
      <c r="FY24" s="4138">
        <f t="shared" si="94"/>
        <v>185935838.40000004</v>
      </c>
      <c r="FZ24" s="4139">
        <f t="shared" si="94"/>
        <v>177493472.39999998</v>
      </c>
      <c r="GA24" s="4139">
        <f t="shared" si="94"/>
        <v>190698819.53999996</v>
      </c>
      <c r="GB24" s="4139">
        <f t="shared" si="94"/>
        <v>188879843.79999998</v>
      </c>
      <c r="GC24" s="4139">
        <f t="shared" si="94"/>
        <v>193259818.92000002</v>
      </c>
      <c r="GD24" s="4139">
        <f t="shared" si="94"/>
        <v>193917349.18999997</v>
      </c>
      <c r="GE24" s="4139">
        <f t="shared" ref="GE24:HL24" si="95">SUM(GE4:GE23)</f>
        <v>201111219.25999999</v>
      </c>
      <c r="GF24" s="4139">
        <f t="shared" si="95"/>
        <v>196500471.55000004</v>
      </c>
      <c r="GG24" s="4139">
        <f t="shared" si="95"/>
        <v>183392773.59</v>
      </c>
      <c r="GH24" s="4139">
        <f t="shared" si="95"/>
        <v>166555198.26999998</v>
      </c>
      <c r="GI24" s="4139">
        <f t="shared" si="95"/>
        <v>183103767.54000002</v>
      </c>
      <c r="GJ24" s="4140">
        <f t="shared" si="95"/>
        <v>211509980.87000003</v>
      </c>
      <c r="GK24" s="4141">
        <f t="shared" si="95"/>
        <v>187335754.68000001</v>
      </c>
      <c r="GL24" s="4139">
        <f t="shared" si="95"/>
        <v>174973528.61000004</v>
      </c>
      <c r="GM24" s="4139">
        <f t="shared" si="95"/>
        <v>97286084.200000018</v>
      </c>
      <c r="GN24" s="4139">
        <f t="shared" si="95"/>
        <v>32887075.919999991</v>
      </c>
      <c r="GO24" s="4139">
        <f t="shared" si="95"/>
        <v>43883115.529999994</v>
      </c>
      <c r="GP24" s="4139">
        <f t="shared" si="95"/>
        <v>59829074.529999994</v>
      </c>
      <c r="GQ24" s="4139">
        <f t="shared" si="95"/>
        <v>56971470.939999998</v>
      </c>
      <c r="GR24" s="4139">
        <f t="shared" si="95"/>
        <v>67450219.140000015</v>
      </c>
      <c r="GS24" s="4139">
        <f t="shared" si="95"/>
        <v>78645978.809999987</v>
      </c>
      <c r="GT24" s="4139">
        <f t="shared" si="95"/>
        <v>93410569.959999993</v>
      </c>
      <c r="GU24" s="4139">
        <f t="shared" si="95"/>
        <v>92584608.24000001</v>
      </c>
      <c r="GV24" s="4140">
        <f t="shared" si="95"/>
        <v>123711419.64</v>
      </c>
      <c r="GW24" s="4141">
        <f t="shared" si="95"/>
        <v>85052170.50999999</v>
      </c>
      <c r="GX24" s="4139">
        <f t="shared" si="95"/>
        <v>83981924.929999977</v>
      </c>
      <c r="GY24" s="4139">
        <f t="shared" si="95"/>
        <v>108837094.76999998</v>
      </c>
      <c r="GZ24" s="4139">
        <f t="shared" si="95"/>
        <v>101550519.85999998</v>
      </c>
      <c r="HA24" s="4139">
        <f t="shared" si="95"/>
        <v>122201575.88999999</v>
      </c>
      <c r="HB24" s="4139">
        <f t="shared" si="95"/>
        <v>100324657.192</v>
      </c>
      <c r="HC24" s="4139">
        <f t="shared" si="95"/>
        <v>103379154.52839999</v>
      </c>
      <c r="HD24" s="4139">
        <f t="shared" si="95"/>
        <v>107258600.44807999</v>
      </c>
      <c r="HE24" s="4139">
        <f t="shared" si="95"/>
        <v>106942901.58369599</v>
      </c>
      <c r="HF24" s="4139">
        <f t="shared" si="95"/>
        <v>108021377.92843519</v>
      </c>
      <c r="HG24" s="4139">
        <f t="shared" si="95"/>
        <v>105185338.33612226</v>
      </c>
      <c r="HH24" s="4140">
        <f t="shared" si="95"/>
        <v>106157474.56494667</v>
      </c>
      <c r="HI24" s="4142">
        <f t="shared" si="95"/>
        <v>2272358553.3299994</v>
      </c>
      <c r="HJ24" s="4135">
        <f t="shared" si="95"/>
        <v>1108968900.1999998</v>
      </c>
      <c r="HK24" s="4135">
        <f t="shared" si="95"/>
        <v>501623285.95999998</v>
      </c>
      <c r="HL24" s="4135">
        <f t="shared" si="95"/>
        <v>1238892790.5416796</v>
      </c>
      <c r="HM24" s="4143"/>
    </row>
    <row r="25" spans="1:221">
      <c r="A25" s="1042"/>
      <c r="B25" s="4051"/>
      <c r="C25" s="4051"/>
      <c r="D25" s="1042"/>
      <c r="E25" s="1042"/>
      <c r="F25" s="1042"/>
      <c r="G25" s="1042"/>
      <c r="H25" s="1042"/>
      <c r="I25" s="1042"/>
      <c r="J25" s="1042"/>
      <c r="K25" s="1042"/>
      <c r="L25" s="1042"/>
      <c r="M25" s="1042"/>
      <c r="N25" s="1042"/>
      <c r="O25" s="1042"/>
      <c r="P25" s="1042"/>
      <c r="Q25" s="1042"/>
      <c r="R25" s="1042"/>
      <c r="S25" s="1042"/>
      <c r="T25" s="1042"/>
      <c r="U25" s="1042"/>
      <c r="V25" s="1042"/>
      <c r="W25" s="1042"/>
      <c r="X25" s="1042"/>
      <c r="Y25" s="1042"/>
      <c r="Z25" s="1042"/>
      <c r="AA25" s="1042"/>
      <c r="AB25" s="1042"/>
      <c r="AC25" s="1042"/>
      <c r="AD25" s="1042"/>
      <c r="AE25" s="1042"/>
      <c r="AF25" s="1042"/>
      <c r="AG25" s="1042"/>
      <c r="AH25" s="1042"/>
      <c r="AI25" s="1042"/>
      <c r="AJ25" s="1042"/>
      <c r="AK25" s="1042"/>
      <c r="AL25" s="1042"/>
      <c r="AM25" s="1042"/>
      <c r="AN25" s="1042"/>
      <c r="AO25" s="1042"/>
      <c r="AP25" s="1042"/>
      <c r="AQ25" s="1042"/>
      <c r="AR25" s="1042"/>
      <c r="AS25" s="1042"/>
      <c r="AT25" s="1042"/>
      <c r="AU25" s="1042"/>
      <c r="AV25" s="1042"/>
      <c r="AW25" s="1042"/>
      <c r="AX25" s="1042"/>
      <c r="AY25" s="1042"/>
      <c r="AZ25" s="1042"/>
      <c r="BA25" s="1042"/>
      <c r="BB25" s="1042"/>
      <c r="BC25" s="1042"/>
      <c r="BD25" s="1042"/>
      <c r="BE25" s="1042"/>
      <c r="BF25" s="1042"/>
      <c r="BG25" s="1042"/>
      <c r="BH25" s="1042"/>
      <c r="BI25" s="1042"/>
      <c r="BJ25" s="1042"/>
      <c r="BK25" s="1042"/>
      <c r="BL25" s="1042"/>
      <c r="BM25" s="1042"/>
      <c r="BN25" s="1042"/>
      <c r="BO25" s="1042"/>
      <c r="BP25" s="1042"/>
      <c r="BQ25" s="1042"/>
      <c r="BR25" s="1042"/>
      <c r="BS25" s="1042"/>
      <c r="BT25" s="1042"/>
      <c r="BU25" s="1042"/>
      <c r="BV25" s="1042"/>
      <c r="BW25" s="1042"/>
      <c r="BX25" s="1042"/>
      <c r="BY25" s="1042"/>
      <c r="BZ25" s="1042"/>
      <c r="CA25" s="1042"/>
      <c r="CB25" s="1042"/>
      <c r="CC25" s="1042"/>
      <c r="CD25" s="1042"/>
      <c r="CE25" s="1042"/>
      <c r="CF25" s="1042"/>
      <c r="CG25" s="1042"/>
      <c r="CH25" s="1042"/>
      <c r="CI25" s="1042"/>
      <c r="CJ25" s="1042"/>
      <c r="CK25" s="1042"/>
      <c r="CL25" s="1042"/>
      <c r="CM25" s="1042"/>
      <c r="CN25" s="1042"/>
      <c r="CO25" s="1042"/>
      <c r="CP25" s="1042"/>
      <c r="CQ25" s="1042"/>
      <c r="CR25" s="1042"/>
      <c r="CS25" s="1042"/>
      <c r="CT25" s="1042"/>
      <c r="CU25" s="1042"/>
      <c r="CV25" s="1042"/>
      <c r="CW25" s="1042"/>
      <c r="CX25" s="1042"/>
      <c r="CY25" s="1042"/>
      <c r="CZ25" s="1042"/>
      <c r="DA25" s="1042"/>
      <c r="DB25" s="1042"/>
      <c r="DC25" s="1042"/>
      <c r="DD25" s="1042"/>
      <c r="DE25" s="1042"/>
      <c r="DF25" s="1042"/>
      <c r="DG25" s="1042"/>
      <c r="DH25" s="1042"/>
      <c r="DI25" s="1042"/>
      <c r="DJ25" s="1042"/>
      <c r="DK25" s="1042"/>
      <c r="DL25" s="1042"/>
      <c r="DM25" s="1042"/>
      <c r="DN25" s="1042"/>
      <c r="DO25" s="1042"/>
      <c r="DP25" s="1042"/>
      <c r="DQ25" s="1042"/>
      <c r="DR25" s="1042"/>
      <c r="DS25" s="1042"/>
      <c r="DT25" s="1042"/>
      <c r="DU25" s="1042"/>
      <c r="DV25" s="1042"/>
      <c r="DW25" s="1042"/>
      <c r="DX25" s="1042"/>
      <c r="DY25" s="1042"/>
      <c r="DZ25" s="1042"/>
      <c r="EA25" s="1042"/>
      <c r="EB25" s="1042"/>
      <c r="EC25" s="1042"/>
      <c r="ED25" s="1042"/>
      <c r="EE25" s="1042"/>
      <c r="EF25" s="1042"/>
      <c r="EG25" s="1042"/>
      <c r="EH25" s="1042"/>
      <c r="EI25" s="1042"/>
      <c r="EJ25" s="1042"/>
      <c r="EK25" s="1042"/>
      <c r="EL25" s="1042"/>
      <c r="EM25" s="1042"/>
      <c r="EN25" s="1042"/>
      <c r="EO25" s="1042"/>
      <c r="EP25" s="1042"/>
      <c r="EQ25" s="1042"/>
      <c r="ER25" s="1042"/>
      <c r="ES25" s="1042"/>
      <c r="ET25" s="1042"/>
      <c r="EU25" s="1042"/>
      <c r="EV25" s="1042"/>
      <c r="EW25" s="1042"/>
      <c r="EX25" s="1042"/>
      <c r="EY25" s="1042"/>
      <c r="EZ25" s="1042"/>
      <c r="FA25" s="1042"/>
      <c r="FB25" s="1042"/>
      <c r="FC25" s="1042"/>
      <c r="FD25" s="1042"/>
      <c r="FE25" s="1042"/>
      <c r="FF25" s="1042"/>
      <c r="FG25" s="1042"/>
      <c r="FH25" s="1042"/>
      <c r="FI25" s="1042"/>
      <c r="FJ25" s="1042"/>
      <c r="FK25" s="1042"/>
      <c r="FL25" s="1042"/>
      <c r="FM25" s="1042"/>
      <c r="FN25" s="1042"/>
      <c r="FO25" s="1042"/>
      <c r="FP25" s="1042"/>
      <c r="FQ25" s="1042"/>
      <c r="FR25" s="1042"/>
      <c r="FS25" s="1042"/>
      <c r="FT25" s="1042"/>
      <c r="FU25" s="1042"/>
      <c r="FV25" s="1042"/>
      <c r="FW25" s="1042"/>
      <c r="FX25" s="1042"/>
      <c r="FY25" s="4144">
        <f>SUM(FY11:FY17)</f>
        <v>77480497.489999995</v>
      </c>
      <c r="FZ25" s="4144">
        <f t="shared" ref="FZ25:HH25" si="96">SUM(FZ11:FZ17)</f>
        <v>79466246.39000003</v>
      </c>
      <c r="GA25" s="4144">
        <f t="shared" si="96"/>
        <v>84918000.469999999</v>
      </c>
      <c r="GB25" s="4144">
        <f t="shared" si="96"/>
        <v>83199820.430000007</v>
      </c>
      <c r="GC25" s="4144">
        <f t="shared" si="96"/>
        <v>86468349.720000014</v>
      </c>
      <c r="GD25" s="4144">
        <f t="shared" si="96"/>
        <v>90205318.349999994</v>
      </c>
      <c r="GE25" s="4144">
        <f t="shared" si="96"/>
        <v>86819659.50999999</v>
      </c>
      <c r="GF25" s="4144">
        <f t="shared" si="96"/>
        <v>88807158.939999983</v>
      </c>
      <c r="GG25" s="4144">
        <f t="shared" si="96"/>
        <v>84190446.319999993</v>
      </c>
      <c r="GH25" s="4144">
        <f t="shared" si="96"/>
        <v>75004179.549999997</v>
      </c>
      <c r="GI25" s="4144">
        <f t="shared" si="96"/>
        <v>88230998.219999999</v>
      </c>
      <c r="GJ25" s="4144">
        <f t="shared" si="96"/>
        <v>115303938.23</v>
      </c>
      <c r="GK25" s="4145">
        <f t="shared" si="96"/>
        <v>85621346.050000012</v>
      </c>
      <c r="GL25" s="4144">
        <f t="shared" si="96"/>
        <v>84791058.519999996</v>
      </c>
      <c r="GM25" s="4144">
        <f t="shared" si="96"/>
        <v>48454795.090000004</v>
      </c>
      <c r="GN25" s="4144">
        <f t="shared" si="96"/>
        <v>23846138.349999994</v>
      </c>
      <c r="GO25" s="4144">
        <f t="shared" si="96"/>
        <v>31027276.779999997</v>
      </c>
      <c r="GP25" s="4144">
        <f t="shared" si="96"/>
        <v>43278821.909999996</v>
      </c>
      <c r="GQ25" s="4144">
        <f t="shared" si="96"/>
        <v>43202399.839999996</v>
      </c>
      <c r="GR25" s="4144">
        <f t="shared" si="96"/>
        <v>48012325.06000001</v>
      </c>
      <c r="GS25" s="4144">
        <f t="shared" si="96"/>
        <v>52157404.789999999</v>
      </c>
      <c r="GT25" s="4144">
        <f t="shared" si="96"/>
        <v>58920490.25</v>
      </c>
      <c r="GU25" s="4144">
        <f t="shared" si="96"/>
        <v>59319622.79999999</v>
      </c>
      <c r="GV25" s="4144">
        <f t="shared" si="96"/>
        <v>85804313.189999983</v>
      </c>
      <c r="GW25" s="4145">
        <f t="shared" si="96"/>
        <v>58212588.75</v>
      </c>
      <c r="GX25" s="4144">
        <f t="shared" si="96"/>
        <v>56519621.829999998</v>
      </c>
      <c r="GY25" s="4144">
        <f t="shared" si="96"/>
        <v>64424509.389999993</v>
      </c>
      <c r="GZ25" s="4144">
        <f t="shared" si="96"/>
        <v>55780973.019999996</v>
      </c>
      <c r="HA25" s="4144">
        <f t="shared" si="96"/>
        <v>58197840.490000002</v>
      </c>
      <c r="HB25" s="4146">
        <f t="shared" si="96"/>
        <v>58627106.695999995</v>
      </c>
      <c r="HC25" s="4146">
        <f t="shared" si="96"/>
        <v>58710010.2852</v>
      </c>
      <c r="HD25" s="4146">
        <f t="shared" si="96"/>
        <v>59148087.976239994</v>
      </c>
      <c r="HE25" s="4146">
        <f t="shared" si="96"/>
        <v>58092803.693488002</v>
      </c>
      <c r="HF25" s="4146">
        <f t="shared" si="96"/>
        <v>58555169.828185588</v>
      </c>
      <c r="HG25" s="4146">
        <f t="shared" si="96"/>
        <v>58626635.695822708</v>
      </c>
      <c r="HH25" s="4146">
        <f t="shared" si="96"/>
        <v>58626541.495787255</v>
      </c>
      <c r="HI25" s="4147"/>
      <c r="HJ25" s="1042"/>
      <c r="HK25" s="1042"/>
      <c r="HL25" s="1042"/>
      <c r="HM25" s="1042"/>
    </row>
    <row r="26" spans="1:221">
      <c r="A26" s="1042"/>
      <c r="B26" s="4051"/>
      <c r="C26" s="4051"/>
      <c r="D26" s="1042"/>
      <c r="E26" s="1042"/>
      <c r="F26" s="1042"/>
      <c r="G26" s="1042"/>
      <c r="H26" s="1042"/>
      <c r="I26" s="1042"/>
      <c r="J26" s="1042"/>
      <c r="K26" s="1042"/>
      <c r="L26" s="1042"/>
      <c r="M26" s="1042"/>
      <c r="N26" s="1042"/>
      <c r="O26" s="1042"/>
      <c r="P26" s="1042"/>
      <c r="Q26" s="1042"/>
      <c r="R26" s="1042"/>
      <c r="S26" s="1042"/>
      <c r="T26" s="1042"/>
      <c r="U26" s="1042"/>
      <c r="V26" s="1042"/>
      <c r="W26" s="1042"/>
      <c r="X26" s="1042"/>
      <c r="Y26" s="1042"/>
      <c r="Z26" s="1042"/>
      <c r="AA26" s="1042"/>
      <c r="AB26" s="1042"/>
      <c r="AC26" s="1042"/>
      <c r="AD26" s="1042"/>
      <c r="AE26" s="1042"/>
      <c r="AF26" s="1042"/>
      <c r="AG26" s="1042"/>
      <c r="AH26" s="1042"/>
      <c r="AI26" s="1042"/>
      <c r="AJ26" s="1042"/>
      <c r="AK26" s="1042"/>
      <c r="AL26" s="1042"/>
      <c r="AM26" s="1042"/>
      <c r="AN26" s="1042"/>
      <c r="AO26" s="1042"/>
      <c r="AP26" s="1042"/>
      <c r="AQ26" s="1042"/>
      <c r="AR26" s="1042"/>
      <c r="AS26" s="1042"/>
      <c r="AT26" s="1042"/>
      <c r="AU26" s="1042"/>
      <c r="AV26" s="1042"/>
      <c r="AW26" s="1042"/>
      <c r="AX26" s="1042"/>
      <c r="AY26" s="1042"/>
      <c r="AZ26" s="1042"/>
      <c r="BA26" s="1042"/>
      <c r="BB26" s="1042"/>
      <c r="BC26" s="1042"/>
      <c r="BD26" s="1042"/>
      <c r="BE26" s="1042"/>
      <c r="BF26" s="1042"/>
      <c r="BG26" s="1042"/>
      <c r="BH26" s="1042"/>
      <c r="BI26" s="1042"/>
      <c r="BJ26" s="1042"/>
      <c r="BK26" s="1042"/>
      <c r="BL26" s="1042"/>
      <c r="BM26" s="1042"/>
      <c r="BN26" s="1042"/>
      <c r="BO26" s="1042"/>
      <c r="BP26" s="1042"/>
      <c r="BQ26" s="1042"/>
      <c r="BR26" s="1042"/>
      <c r="BS26" s="1042"/>
      <c r="BT26" s="1042"/>
      <c r="BU26" s="1042"/>
      <c r="BV26" s="1042"/>
      <c r="BW26" s="1042"/>
      <c r="BX26" s="1042"/>
      <c r="BY26" s="1042"/>
      <c r="BZ26" s="1042"/>
      <c r="CA26" s="1042"/>
      <c r="CB26" s="1042"/>
      <c r="CC26" s="1042"/>
      <c r="CD26" s="1042"/>
      <c r="CE26" s="1042"/>
      <c r="CF26" s="1042"/>
      <c r="CG26" s="1042"/>
      <c r="CH26" s="1042"/>
      <c r="CI26" s="1042"/>
      <c r="CJ26" s="1042"/>
      <c r="CK26" s="1042"/>
      <c r="CL26" s="1042"/>
      <c r="CM26" s="1042"/>
      <c r="CN26" s="1042"/>
      <c r="CO26" s="1042"/>
      <c r="CP26" s="1042"/>
      <c r="CQ26" s="1042"/>
      <c r="CR26" s="1042"/>
      <c r="CS26" s="1042"/>
      <c r="CT26" s="1042"/>
      <c r="CU26" s="1042"/>
      <c r="CV26" s="1042"/>
      <c r="CW26" s="1042"/>
      <c r="CX26" s="1042"/>
      <c r="CY26" s="1042"/>
      <c r="CZ26" s="1042"/>
      <c r="DA26" s="1042"/>
      <c r="DB26" s="1042"/>
      <c r="DC26" s="1042"/>
      <c r="DD26" s="1042"/>
      <c r="DE26" s="1042"/>
      <c r="DF26" s="1042"/>
      <c r="DG26" s="1042"/>
      <c r="DH26" s="1042"/>
      <c r="DI26" s="1042"/>
      <c r="DJ26" s="1042"/>
      <c r="DK26" s="1042"/>
      <c r="DL26" s="1042"/>
      <c r="DM26" s="1042"/>
      <c r="DN26" s="1042"/>
      <c r="DO26" s="1042"/>
      <c r="DP26" s="1042"/>
      <c r="DQ26" s="1042"/>
      <c r="DR26" s="1042"/>
      <c r="DS26" s="1042"/>
      <c r="DT26" s="1042"/>
      <c r="DU26" s="1042"/>
      <c r="DV26" s="1042"/>
      <c r="DW26" s="1042"/>
      <c r="DX26" s="1042"/>
      <c r="DY26" s="1042"/>
      <c r="DZ26" s="1042"/>
      <c r="EA26" s="1042"/>
      <c r="EB26" s="1042"/>
      <c r="EC26" s="1042"/>
      <c r="ED26" s="1042"/>
      <c r="EE26" s="1042"/>
      <c r="EF26" s="1042"/>
      <c r="EG26" s="1042"/>
      <c r="EH26" s="1042"/>
      <c r="EI26" s="1042"/>
      <c r="EJ26" s="1042"/>
      <c r="EK26" s="1042"/>
      <c r="EL26" s="1042"/>
      <c r="EM26" s="1042"/>
      <c r="EN26" s="1042"/>
      <c r="EO26" s="1042"/>
      <c r="EP26" s="1042"/>
      <c r="EQ26" s="1042"/>
      <c r="ER26" s="1042"/>
      <c r="ES26" s="1042"/>
      <c r="ET26" s="1042"/>
      <c r="EU26" s="1042"/>
      <c r="EV26" s="1042"/>
      <c r="EW26" s="1042"/>
      <c r="EX26" s="1042"/>
      <c r="EY26" s="1042"/>
      <c r="EZ26" s="1042"/>
      <c r="FA26" s="1042"/>
      <c r="FB26" s="1042"/>
      <c r="FC26" s="1042"/>
      <c r="FD26" s="1042"/>
      <c r="FE26" s="1042"/>
      <c r="FF26" s="1042"/>
      <c r="FG26" s="1042"/>
      <c r="FH26" s="1042"/>
      <c r="FI26" s="1042"/>
      <c r="FJ26" s="1042"/>
      <c r="FK26" s="1042"/>
      <c r="FL26" s="1042"/>
      <c r="FM26" s="1042"/>
      <c r="FN26" s="1042"/>
      <c r="FO26" s="1042"/>
      <c r="FP26" s="1042"/>
      <c r="FQ26" s="1042"/>
      <c r="FR26" s="1042"/>
      <c r="FS26" s="1042"/>
      <c r="FT26" s="1042"/>
      <c r="FU26" s="1042"/>
      <c r="FV26" s="1042"/>
      <c r="FW26" s="1042"/>
      <c r="FX26" s="1042"/>
      <c r="FY26" s="4148">
        <f>+FY24/1000000</f>
        <v>185.93583840000002</v>
      </c>
      <c r="FZ26" s="4148">
        <f t="shared" ref="FZ26:HH26" si="97">+FZ24/1000000</f>
        <v>177.49347239999997</v>
      </c>
      <c r="GA26" s="4148">
        <f t="shared" si="97"/>
        <v>190.69881953999996</v>
      </c>
      <c r="GB26" s="4148">
        <f t="shared" si="97"/>
        <v>188.87984379999997</v>
      </c>
      <c r="GC26" s="4148">
        <f t="shared" si="97"/>
        <v>193.25981892000001</v>
      </c>
      <c r="GD26" s="4148">
        <f t="shared" si="97"/>
        <v>193.91734918999998</v>
      </c>
      <c r="GE26" s="4148">
        <f t="shared" si="97"/>
        <v>201.11121925999998</v>
      </c>
      <c r="GF26" s="4148">
        <f t="shared" si="97"/>
        <v>196.50047155000004</v>
      </c>
      <c r="GG26" s="4148">
        <f t="shared" si="97"/>
        <v>183.39277358999999</v>
      </c>
      <c r="GH26" s="4148">
        <f t="shared" si="97"/>
        <v>166.55519826999998</v>
      </c>
      <c r="GI26" s="4148">
        <f t="shared" si="97"/>
        <v>183.10376754000004</v>
      </c>
      <c r="GJ26" s="4148">
        <f t="shared" si="97"/>
        <v>211.50998087000002</v>
      </c>
      <c r="GK26" s="4149">
        <f t="shared" si="97"/>
        <v>187.33575468000001</v>
      </c>
      <c r="GL26" s="4148">
        <f t="shared" si="97"/>
        <v>174.97352861000005</v>
      </c>
      <c r="GM26" s="4148">
        <f t="shared" si="97"/>
        <v>97.286084200000019</v>
      </c>
      <c r="GN26" s="4148">
        <f t="shared" si="97"/>
        <v>32.887075919999994</v>
      </c>
      <c r="GO26" s="4148">
        <f t="shared" si="97"/>
        <v>43.883115529999991</v>
      </c>
      <c r="GP26" s="4148">
        <f t="shared" si="97"/>
        <v>59.829074529999993</v>
      </c>
      <c r="GQ26" s="4148">
        <f t="shared" si="97"/>
        <v>56.971470939999996</v>
      </c>
      <c r="GR26" s="4148">
        <f t="shared" si="97"/>
        <v>67.450219140000016</v>
      </c>
      <c r="GS26" s="4148">
        <f t="shared" si="97"/>
        <v>78.645978809999988</v>
      </c>
      <c r="GT26" s="4148">
        <f t="shared" si="97"/>
        <v>93.410569959999989</v>
      </c>
      <c r="GU26" s="4148">
        <f t="shared" si="97"/>
        <v>92.584608240000009</v>
      </c>
      <c r="GV26" s="4148">
        <f t="shared" si="97"/>
        <v>123.71141964</v>
      </c>
      <c r="GW26" s="4149">
        <f t="shared" si="97"/>
        <v>85.052170509999996</v>
      </c>
      <c r="GX26" s="4148">
        <f t="shared" si="97"/>
        <v>83.981924929999977</v>
      </c>
      <c r="GY26" s="4148">
        <f t="shared" si="97"/>
        <v>108.83709476999998</v>
      </c>
      <c r="GZ26" s="4148">
        <f t="shared" si="97"/>
        <v>101.55051985999998</v>
      </c>
      <c r="HA26" s="4148">
        <f t="shared" si="97"/>
        <v>122.20157588999999</v>
      </c>
      <c r="HB26" s="4148">
        <f t="shared" si="97"/>
        <v>100.324657192</v>
      </c>
      <c r="HC26" s="4148">
        <f t="shared" si="97"/>
        <v>103.37915452839999</v>
      </c>
      <c r="HD26" s="4148">
        <f t="shared" si="97"/>
        <v>107.25860044807999</v>
      </c>
      <c r="HE26" s="4148">
        <f t="shared" si="97"/>
        <v>106.942901583696</v>
      </c>
      <c r="HF26" s="4148">
        <f t="shared" si="97"/>
        <v>108.02137792843519</v>
      </c>
      <c r="HG26" s="4148">
        <f t="shared" si="97"/>
        <v>105.18533833612226</v>
      </c>
      <c r="HH26" s="4148">
        <f t="shared" si="97"/>
        <v>106.15747456494667</v>
      </c>
      <c r="HI26" s="4147"/>
      <c r="HJ26" s="1042"/>
      <c r="HK26" s="1042"/>
      <c r="HL26" s="1042"/>
      <c r="HM26" s="1042"/>
    </row>
    <row r="27" spans="1:221">
      <c r="A27" s="1042"/>
      <c r="B27" s="4051"/>
      <c r="C27" s="4051"/>
      <c r="D27" s="1042"/>
      <c r="E27" s="1042"/>
      <c r="F27" s="1042"/>
      <c r="G27" s="1042"/>
      <c r="H27" s="1042"/>
      <c r="I27" s="1042"/>
      <c r="J27" s="1042"/>
      <c r="K27" s="1042"/>
      <c r="L27" s="1042"/>
      <c r="M27" s="1042"/>
      <c r="N27" s="1042"/>
      <c r="O27" s="1042"/>
      <c r="P27" s="1042"/>
      <c r="Q27" s="1042"/>
      <c r="R27" s="1042"/>
      <c r="S27" s="1042"/>
      <c r="T27" s="1042"/>
      <c r="U27" s="1042"/>
      <c r="V27" s="1042"/>
      <c r="W27" s="1042"/>
      <c r="X27" s="1042"/>
      <c r="Y27" s="1042"/>
      <c r="Z27" s="1042"/>
      <c r="AA27" s="1042"/>
      <c r="AB27" s="1042"/>
      <c r="AC27" s="1042"/>
      <c r="AD27" s="1042"/>
      <c r="AE27" s="1042"/>
      <c r="AF27" s="1042"/>
      <c r="AG27" s="1042"/>
      <c r="AH27" s="1042"/>
      <c r="AI27" s="1042"/>
      <c r="AJ27" s="1042"/>
      <c r="AK27" s="1042"/>
      <c r="AL27" s="1042"/>
      <c r="AM27" s="1042"/>
      <c r="AN27" s="1042"/>
      <c r="AO27" s="1042"/>
      <c r="AP27" s="1042"/>
      <c r="AQ27" s="1042"/>
      <c r="AR27" s="1042"/>
      <c r="AS27" s="1042"/>
      <c r="AT27" s="1042"/>
      <c r="AU27" s="1042"/>
      <c r="AV27" s="1042"/>
      <c r="AW27" s="1042"/>
      <c r="AX27" s="1042"/>
      <c r="AY27" s="1042"/>
      <c r="AZ27" s="1042"/>
      <c r="BA27" s="1042"/>
      <c r="BB27" s="1042"/>
      <c r="BC27" s="1042"/>
      <c r="BD27" s="1042"/>
      <c r="BE27" s="1042"/>
      <c r="BF27" s="1042"/>
      <c r="BG27" s="1042"/>
      <c r="BH27" s="1042"/>
      <c r="BI27" s="1042"/>
      <c r="BJ27" s="1042"/>
      <c r="BK27" s="1042"/>
      <c r="BL27" s="1042"/>
      <c r="BM27" s="1042"/>
      <c r="BN27" s="1042"/>
      <c r="BO27" s="1042"/>
      <c r="BP27" s="1042"/>
      <c r="BQ27" s="1042"/>
      <c r="BR27" s="1042"/>
      <c r="BS27" s="1042"/>
      <c r="BT27" s="1042"/>
      <c r="BU27" s="1042"/>
      <c r="BV27" s="1042"/>
      <c r="BW27" s="1042"/>
      <c r="BX27" s="1042"/>
      <c r="BY27" s="1042"/>
      <c r="BZ27" s="1042"/>
      <c r="CA27" s="1042"/>
      <c r="CB27" s="1042"/>
      <c r="CC27" s="1042"/>
      <c r="CD27" s="1042"/>
      <c r="CE27" s="1042"/>
      <c r="CF27" s="1042"/>
      <c r="CG27" s="1042"/>
      <c r="CH27" s="1042"/>
      <c r="CI27" s="1042"/>
      <c r="CJ27" s="1042"/>
      <c r="CK27" s="1042"/>
      <c r="CL27" s="1042"/>
      <c r="CM27" s="1042"/>
      <c r="CN27" s="1042"/>
      <c r="CO27" s="1042"/>
      <c r="CP27" s="1042"/>
      <c r="CQ27" s="1042"/>
      <c r="CR27" s="1042"/>
      <c r="CS27" s="1042"/>
      <c r="CT27" s="1042"/>
      <c r="CU27" s="1042"/>
      <c r="CV27" s="1042"/>
      <c r="CW27" s="1042"/>
      <c r="CX27" s="1042"/>
      <c r="CY27" s="1042"/>
      <c r="CZ27" s="1042"/>
      <c r="DA27" s="1042"/>
      <c r="DB27" s="1042"/>
      <c r="DC27" s="1042"/>
      <c r="DD27" s="1042"/>
      <c r="DE27" s="1042"/>
      <c r="DF27" s="1042"/>
      <c r="DG27" s="1042"/>
      <c r="DH27" s="1042"/>
      <c r="DI27" s="1042"/>
      <c r="DJ27" s="1042"/>
      <c r="DK27" s="1042"/>
      <c r="DL27" s="1042"/>
      <c r="DM27" s="1042"/>
      <c r="DN27" s="1042"/>
      <c r="DO27" s="1042"/>
      <c r="DP27" s="1042"/>
      <c r="DQ27" s="1042"/>
      <c r="DR27" s="1042"/>
      <c r="DS27" s="1042"/>
      <c r="DT27" s="1042"/>
      <c r="DU27" s="1042"/>
      <c r="DV27" s="1042"/>
      <c r="DW27" s="1042"/>
      <c r="DX27" s="1042"/>
      <c r="DY27" s="1042"/>
      <c r="DZ27" s="1042"/>
      <c r="EA27" s="1042"/>
      <c r="EB27" s="1042"/>
      <c r="EC27" s="1042"/>
      <c r="ED27" s="1042"/>
      <c r="EE27" s="1042"/>
      <c r="EF27" s="1042"/>
      <c r="EG27" s="1042"/>
      <c r="EH27" s="1042"/>
      <c r="EI27" s="1042"/>
      <c r="EJ27" s="1042"/>
      <c r="EK27" s="1042"/>
      <c r="EL27" s="1042"/>
      <c r="EM27" s="1042"/>
      <c r="EN27" s="1042"/>
      <c r="EO27" s="1042"/>
      <c r="EP27" s="1042"/>
      <c r="EQ27" s="1042"/>
      <c r="ER27" s="1042"/>
      <c r="ES27" s="1042"/>
      <c r="ET27" s="1042"/>
      <c r="EU27" s="1042"/>
      <c r="EV27" s="1042"/>
      <c r="EW27" s="1042"/>
      <c r="EX27" s="1042"/>
      <c r="EY27" s="1042"/>
      <c r="EZ27" s="1042"/>
      <c r="FA27" s="1042"/>
      <c r="FB27" s="1042"/>
      <c r="FC27" s="1042"/>
      <c r="FD27" s="1042"/>
      <c r="FE27" s="1042"/>
      <c r="FF27" s="1042"/>
      <c r="FG27" s="1042"/>
      <c r="FH27" s="1042"/>
      <c r="FI27" s="1042"/>
      <c r="FJ27" s="1042"/>
      <c r="FK27" s="1042"/>
      <c r="FL27" s="1042"/>
      <c r="FM27" s="1042"/>
      <c r="FN27" s="1042"/>
      <c r="FO27" s="1042"/>
      <c r="FP27" s="1042"/>
      <c r="FQ27" s="1042"/>
      <c r="FR27" s="1042"/>
      <c r="FS27" s="1042"/>
      <c r="FT27" s="1042"/>
      <c r="FU27" s="1042"/>
      <c r="FV27" s="1042"/>
      <c r="FW27" s="1042"/>
      <c r="FX27" s="1042"/>
      <c r="FY27" s="4150">
        <f>+FY25*70%</f>
        <v>54236348.242999993</v>
      </c>
      <c r="FZ27" s="4150">
        <f t="shared" ref="FZ27:HH27" si="98">+FZ25*70%</f>
        <v>55626372.47300002</v>
      </c>
      <c r="GA27" s="4150">
        <f t="shared" si="98"/>
        <v>59442600.328999996</v>
      </c>
      <c r="GB27" s="4150">
        <f t="shared" si="98"/>
        <v>58239874.300999999</v>
      </c>
      <c r="GC27" s="4150">
        <f t="shared" si="98"/>
        <v>60527844.804000005</v>
      </c>
      <c r="GD27" s="4150">
        <f t="shared" si="98"/>
        <v>63143722.844999991</v>
      </c>
      <c r="GE27" s="4150">
        <f t="shared" si="98"/>
        <v>60773761.65699999</v>
      </c>
      <c r="GF27" s="4150">
        <f t="shared" si="98"/>
        <v>62165011.257999986</v>
      </c>
      <c r="GG27" s="4150">
        <f t="shared" si="98"/>
        <v>58933312.423999988</v>
      </c>
      <c r="GH27" s="4150">
        <f t="shared" si="98"/>
        <v>52502925.684999995</v>
      </c>
      <c r="GI27" s="4150">
        <f t="shared" si="98"/>
        <v>61761698.753999993</v>
      </c>
      <c r="GJ27" s="4150">
        <f t="shared" si="98"/>
        <v>80712756.760999992</v>
      </c>
      <c r="GK27" s="4151">
        <f t="shared" si="98"/>
        <v>59934942.235000007</v>
      </c>
      <c r="GL27" s="4150">
        <f t="shared" si="98"/>
        <v>59353740.963999994</v>
      </c>
      <c r="GM27" s="4150">
        <f t="shared" si="98"/>
        <v>33918356.563000001</v>
      </c>
      <c r="GN27" s="4150">
        <f t="shared" si="98"/>
        <v>16692296.844999995</v>
      </c>
      <c r="GO27" s="4150">
        <f t="shared" si="98"/>
        <v>21719093.745999996</v>
      </c>
      <c r="GP27" s="4150">
        <f t="shared" si="98"/>
        <v>30295175.336999994</v>
      </c>
      <c r="GQ27" s="4150">
        <f t="shared" si="98"/>
        <v>30241679.887999997</v>
      </c>
      <c r="GR27" s="4150">
        <f t="shared" si="98"/>
        <v>33608627.542000003</v>
      </c>
      <c r="GS27" s="4150">
        <f t="shared" si="98"/>
        <v>36510183.353</v>
      </c>
      <c r="GT27" s="4150">
        <f t="shared" si="98"/>
        <v>41244343.174999997</v>
      </c>
      <c r="GU27" s="4150">
        <f t="shared" si="98"/>
        <v>41523735.959999993</v>
      </c>
      <c r="GV27" s="4150">
        <f t="shared" si="98"/>
        <v>60063019.23299998</v>
      </c>
      <c r="GW27" s="4151">
        <f t="shared" si="98"/>
        <v>40748812.125</v>
      </c>
      <c r="GX27" s="4150">
        <f t="shared" si="98"/>
        <v>39563735.280999996</v>
      </c>
      <c r="GY27" s="4150">
        <f t="shared" si="98"/>
        <v>45097156.572999991</v>
      </c>
      <c r="GZ27" s="4150">
        <f t="shared" si="98"/>
        <v>39046681.113999993</v>
      </c>
      <c r="HA27" s="4150">
        <f t="shared" si="98"/>
        <v>40738488.343000002</v>
      </c>
      <c r="HB27" s="4152">
        <f t="shared" si="98"/>
        <v>41038974.687199995</v>
      </c>
      <c r="HC27" s="4152">
        <f t="shared" si="98"/>
        <v>41097007.199639998</v>
      </c>
      <c r="HD27" s="4152">
        <f t="shared" si="98"/>
        <v>41403661.583367996</v>
      </c>
      <c r="HE27" s="4152">
        <f t="shared" si="98"/>
        <v>40664962.585441597</v>
      </c>
      <c r="HF27" s="4152">
        <f t="shared" si="98"/>
        <v>40988618.879729912</v>
      </c>
      <c r="HG27" s="4152">
        <f t="shared" si="98"/>
        <v>41038644.987075895</v>
      </c>
      <c r="HH27" s="4152">
        <f t="shared" si="98"/>
        <v>41038579.04705108</v>
      </c>
      <c r="HI27" s="4147"/>
      <c r="HJ27" s="1042"/>
      <c r="HK27" s="1042"/>
      <c r="HL27" s="1042"/>
      <c r="HM27" s="1042"/>
    </row>
    <row r="28" spans="1:221">
      <c r="A28" s="1042"/>
      <c r="B28" s="4051"/>
      <c r="C28" s="4051"/>
      <c r="D28" s="1042"/>
      <c r="E28" s="1042"/>
      <c r="F28" s="1042"/>
      <c r="G28" s="1042"/>
      <c r="H28" s="1042"/>
      <c r="I28" s="1042"/>
      <c r="J28" s="1042"/>
      <c r="K28" s="1042"/>
      <c r="L28" s="1042"/>
      <c r="M28" s="1042"/>
      <c r="N28" s="1042"/>
      <c r="O28" s="1042"/>
      <c r="P28" s="1042"/>
      <c r="Q28" s="1042"/>
      <c r="R28" s="1042"/>
      <c r="S28" s="1042"/>
      <c r="T28" s="1042"/>
      <c r="U28" s="1042"/>
      <c r="V28" s="1042"/>
      <c r="W28" s="1042"/>
      <c r="X28" s="1042"/>
      <c r="Y28" s="1042"/>
      <c r="Z28" s="1042"/>
      <c r="AA28" s="1042"/>
      <c r="AB28" s="1042"/>
      <c r="AC28" s="1042"/>
      <c r="AD28" s="1042"/>
      <c r="AE28" s="1042"/>
      <c r="AF28" s="1042"/>
      <c r="AG28" s="1042"/>
      <c r="AH28" s="1042"/>
      <c r="AI28" s="1042"/>
      <c r="AJ28" s="1042"/>
      <c r="AK28" s="1042"/>
      <c r="AL28" s="1042"/>
      <c r="AM28" s="1042"/>
      <c r="AN28" s="1042"/>
      <c r="AO28" s="1042"/>
      <c r="AP28" s="1042"/>
      <c r="AQ28" s="1042"/>
      <c r="AR28" s="1042"/>
      <c r="AS28" s="1042"/>
      <c r="AT28" s="1042"/>
      <c r="AU28" s="1042"/>
      <c r="AV28" s="1042"/>
      <c r="AW28" s="1042"/>
      <c r="AX28" s="1042"/>
      <c r="AY28" s="1042"/>
      <c r="AZ28" s="1042"/>
      <c r="BA28" s="1042"/>
      <c r="BB28" s="1042"/>
      <c r="BC28" s="1042"/>
      <c r="BD28" s="1042"/>
      <c r="BE28" s="1042"/>
      <c r="BF28" s="1042"/>
      <c r="BG28" s="1042"/>
      <c r="BH28" s="1042"/>
      <c r="BI28" s="1042"/>
      <c r="BJ28" s="1042"/>
      <c r="BK28" s="1042"/>
      <c r="BL28" s="1042"/>
      <c r="BM28" s="1042"/>
      <c r="BN28" s="1042"/>
      <c r="BO28" s="1042"/>
      <c r="BP28" s="1042"/>
      <c r="BQ28" s="1042"/>
      <c r="BR28" s="1042"/>
      <c r="BS28" s="1042"/>
      <c r="BT28" s="1042"/>
      <c r="BU28" s="1042"/>
      <c r="BV28" s="1042"/>
      <c r="BW28" s="1042"/>
      <c r="BX28" s="1042"/>
      <c r="BY28" s="1042"/>
      <c r="BZ28" s="1042"/>
      <c r="CA28" s="1042"/>
      <c r="CB28" s="1042"/>
      <c r="CC28" s="1042"/>
      <c r="CD28" s="1042"/>
      <c r="CE28" s="1042"/>
      <c r="CF28" s="1042"/>
      <c r="CG28" s="1042"/>
      <c r="CH28" s="1042"/>
      <c r="CI28" s="1042"/>
      <c r="CJ28" s="1042"/>
      <c r="CK28" s="1042"/>
      <c r="CL28" s="1042"/>
      <c r="CM28" s="1042"/>
      <c r="CN28" s="1042"/>
      <c r="CO28" s="1042"/>
      <c r="CP28" s="1042"/>
      <c r="CQ28" s="1042"/>
      <c r="CR28" s="1042"/>
      <c r="CS28" s="1042"/>
      <c r="CT28" s="1042"/>
      <c r="CU28" s="1042"/>
      <c r="CV28" s="1042"/>
      <c r="CW28" s="1042"/>
      <c r="CX28" s="1042"/>
      <c r="CY28" s="1042"/>
      <c r="CZ28" s="1042"/>
      <c r="DA28" s="1042"/>
      <c r="DB28" s="1042"/>
      <c r="DC28" s="1042"/>
      <c r="DD28" s="1042"/>
      <c r="DE28" s="1042"/>
      <c r="DF28" s="1042"/>
      <c r="DG28" s="1042"/>
      <c r="DH28" s="1042"/>
      <c r="DI28" s="1042"/>
      <c r="DJ28" s="1042"/>
      <c r="DK28" s="1042"/>
      <c r="DL28" s="1042"/>
      <c r="DM28" s="1042"/>
      <c r="DN28" s="1042"/>
      <c r="DO28" s="1042"/>
      <c r="DP28" s="1042"/>
      <c r="DQ28" s="1042"/>
      <c r="DR28" s="104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4153"/>
      <c r="GL28" s="2"/>
      <c r="GM28" s="2"/>
      <c r="GN28" s="2"/>
      <c r="GO28" s="2"/>
      <c r="GP28" s="2"/>
      <c r="GQ28" s="2"/>
      <c r="GR28" s="2"/>
      <c r="GS28" s="2"/>
      <c r="GT28" s="2"/>
      <c r="GU28" s="2"/>
      <c r="GV28" s="2"/>
      <c r="GW28" s="4153"/>
      <c r="GX28" s="2"/>
      <c r="GY28" s="2"/>
      <c r="GZ28" s="2"/>
      <c r="HA28" s="2"/>
      <c r="HB28" s="2"/>
      <c r="HC28" s="2"/>
      <c r="HD28" s="2"/>
      <c r="HE28" s="2"/>
      <c r="HF28" s="2"/>
      <c r="HG28" s="2"/>
      <c r="HH28" s="2"/>
      <c r="HI28" s="4153"/>
      <c r="HJ28" s="2"/>
      <c r="HK28" s="2"/>
      <c r="HL28" s="2"/>
      <c r="HM28" s="2"/>
    </row>
    <row r="29" spans="1:221" ht="15" thickBot="1">
      <c r="A29" s="1042"/>
      <c r="B29" s="4051"/>
      <c r="C29" s="4051"/>
      <c r="D29" s="1042"/>
      <c r="E29" s="1042"/>
      <c r="F29" s="1042"/>
      <c r="G29" s="1042"/>
      <c r="H29" s="1042"/>
      <c r="I29" s="1042"/>
      <c r="J29" s="1042"/>
      <c r="K29" s="1042"/>
      <c r="L29" s="1042"/>
      <c r="M29" s="1042"/>
      <c r="N29" s="1042"/>
      <c r="O29" s="1042"/>
      <c r="P29" s="1042"/>
      <c r="Q29" s="1042"/>
      <c r="R29" s="1042"/>
      <c r="S29" s="1042"/>
      <c r="T29" s="1042"/>
      <c r="U29" s="1042"/>
      <c r="V29" s="1042"/>
      <c r="W29" s="1042"/>
      <c r="X29" s="1042"/>
      <c r="Y29" s="1042"/>
      <c r="Z29" s="1042"/>
      <c r="AA29" s="1042"/>
      <c r="AB29" s="1042"/>
      <c r="AC29" s="1042"/>
      <c r="AD29" s="1042"/>
      <c r="AE29" s="1042"/>
      <c r="AF29" s="1042"/>
      <c r="AG29" s="1042"/>
      <c r="AH29" s="1042"/>
      <c r="AI29" s="1042"/>
      <c r="AJ29" s="1042"/>
      <c r="AK29" s="1042"/>
      <c r="AL29" s="1042"/>
      <c r="AM29" s="1042"/>
      <c r="AN29" s="1042"/>
      <c r="AO29" s="1042"/>
      <c r="AP29" s="1042"/>
      <c r="AQ29" s="1042"/>
      <c r="AR29" s="1042"/>
      <c r="AS29" s="1042"/>
      <c r="AT29" s="1042"/>
      <c r="AU29" s="1042"/>
      <c r="AV29" s="1042"/>
      <c r="AW29" s="1042"/>
      <c r="AX29" s="1042"/>
      <c r="AY29" s="1042"/>
      <c r="AZ29" s="1042"/>
      <c r="BA29" s="1042"/>
      <c r="BB29" s="1042"/>
      <c r="BC29" s="1042"/>
      <c r="BD29" s="1042"/>
      <c r="BE29" s="1042"/>
      <c r="BF29" s="1042"/>
      <c r="BG29" s="1042"/>
      <c r="BH29" s="1042"/>
      <c r="BI29" s="1042"/>
      <c r="BJ29" s="1042"/>
      <c r="BK29" s="1042"/>
      <c r="BL29" s="1042"/>
      <c r="BM29" s="1042"/>
      <c r="BN29" s="1042"/>
      <c r="BO29" s="1042"/>
      <c r="BP29" s="1042"/>
      <c r="BQ29" s="1042"/>
      <c r="BR29" s="1042"/>
      <c r="BS29" s="1042"/>
      <c r="BT29" s="1042"/>
      <c r="BU29" s="1042"/>
      <c r="BV29" s="1042"/>
      <c r="BW29" s="1042"/>
      <c r="BX29" s="1042"/>
      <c r="BY29" s="1042"/>
      <c r="BZ29" s="1042"/>
      <c r="CA29" s="1042"/>
      <c r="CB29" s="1042"/>
      <c r="CC29" s="1042"/>
      <c r="CD29" s="1042"/>
      <c r="CE29" s="1042"/>
      <c r="CF29" s="1042"/>
      <c r="CG29" s="1042"/>
      <c r="CH29" s="1042"/>
      <c r="CI29" s="1042"/>
      <c r="CJ29" s="1042"/>
      <c r="CK29" s="1042"/>
      <c r="CL29" s="1042"/>
      <c r="CM29" s="1042"/>
      <c r="CN29" s="1042"/>
      <c r="CO29" s="1042"/>
      <c r="CP29" s="1042"/>
      <c r="CQ29" s="1042"/>
      <c r="CR29" s="1042"/>
      <c r="CS29" s="1042"/>
      <c r="CT29" s="1042"/>
      <c r="CU29" s="1042"/>
      <c r="CV29" s="1042"/>
      <c r="CW29" s="1042"/>
      <c r="CX29" s="1042"/>
      <c r="CY29" s="1042"/>
      <c r="CZ29" s="1042"/>
      <c r="DA29" s="1042"/>
      <c r="DB29" s="1042"/>
      <c r="DC29" s="1042"/>
      <c r="DD29" s="1042"/>
      <c r="DE29" s="1042"/>
      <c r="DF29" s="1042"/>
      <c r="DG29" s="1042"/>
      <c r="DH29" s="1042"/>
      <c r="DI29" s="1042"/>
      <c r="DJ29" s="1042"/>
      <c r="DK29" s="1042"/>
      <c r="DL29" s="1042"/>
      <c r="DM29" s="1042"/>
      <c r="DN29" s="1042"/>
      <c r="DO29" s="1042"/>
      <c r="DP29" s="1042"/>
      <c r="DQ29" s="1042"/>
      <c r="DR29" s="104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4153"/>
      <c r="GL29" s="2"/>
      <c r="GM29" s="2"/>
      <c r="GN29" s="2"/>
      <c r="GO29" s="2"/>
      <c r="GP29" s="2"/>
      <c r="GQ29" s="2"/>
      <c r="GR29" s="2"/>
      <c r="GS29" s="2"/>
      <c r="GT29" s="2"/>
      <c r="GU29" s="2"/>
      <c r="GV29" s="2"/>
      <c r="GW29" s="4153"/>
      <c r="GX29" s="2"/>
      <c r="GY29" s="2"/>
      <c r="GZ29" s="2"/>
      <c r="HA29" s="2"/>
      <c r="HB29" s="2"/>
      <c r="HC29" s="2"/>
      <c r="HD29" s="2"/>
      <c r="HE29" s="2"/>
      <c r="HF29" s="2"/>
      <c r="HG29" s="2"/>
      <c r="HH29" s="2"/>
      <c r="HI29" s="4153"/>
      <c r="HJ29" s="2"/>
      <c r="HK29" s="2"/>
      <c r="HL29" s="2"/>
      <c r="HM29" s="2"/>
    </row>
    <row r="30" spans="1:221" ht="15" thickBot="1">
      <c r="A30" s="2"/>
      <c r="B30" s="253"/>
      <c r="C30" s="253"/>
      <c r="D30" s="253"/>
      <c r="E30" s="51"/>
      <c r="F30" s="51"/>
      <c r="G30" s="51"/>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c r="AH30" s="51"/>
      <c r="AI30" s="51"/>
      <c r="AJ30" s="51"/>
      <c r="AK30" s="51"/>
      <c r="AL30" s="51"/>
      <c r="AM30" s="51"/>
      <c r="AN30" s="51"/>
      <c r="AO30" s="51"/>
      <c r="AP30" s="51"/>
      <c r="AQ30" s="51"/>
      <c r="AR30" s="51"/>
      <c r="AS30" s="51"/>
      <c r="AT30" s="51"/>
      <c r="AU30" s="51"/>
      <c r="AV30" s="51"/>
      <c r="AW30" s="51"/>
      <c r="AX30" s="51"/>
      <c r="AY30" s="51"/>
      <c r="AZ30" s="51"/>
      <c r="BA30" s="51"/>
      <c r="BB30" s="51"/>
      <c r="BC30" s="51"/>
      <c r="BD30" s="51"/>
      <c r="BE30" s="51"/>
      <c r="BF30" s="51"/>
      <c r="BG30" s="51"/>
      <c r="BH30" s="51"/>
      <c r="BI30" s="51"/>
      <c r="BJ30" s="51"/>
      <c r="BK30" s="51"/>
      <c r="BL30" s="51"/>
      <c r="BM30" s="51"/>
      <c r="BN30" s="51"/>
      <c r="BO30" s="51"/>
      <c r="BP30" s="51"/>
      <c r="BQ30" s="51"/>
      <c r="BR30" s="51"/>
      <c r="BS30" s="51"/>
      <c r="BT30" s="51"/>
      <c r="BU30" s="51"/>
      <c r="BV30" s="51"/>
      <c r="BW30" s="51"/>
      <c r="BX30" s="51"/>
      <c r="BY30" s="51"/>
      <c r="BZ30" s="51"/>
      <c r="CA30" s="51"/>
      <c r="CB30" s="51"/>
      <c r="CC30" s="51"/>
      <c r="CD30" s="51"/>
      <c r="CE30" s="51"/>
      <c r="CF30" s="51"/>
      <c r="CG30" s="51"/>
      <c r="CH30" s="51"/>
      <c r="CI30" s="51"/>
      <c r="CJ30" s="51"/>
      <c r="CK30" s="51"/>
      <c r="CL30" s="51"/>
      <c r="CM30" s="51"/>
      <c r="CN30" s="51"/>
      <c r="CO30" s="51"/>
      <c r="CP30" s="51"/>
      <c r="CQ30" s="51"/>
      <c r="CR30" s="51"/>
      <c r="CS30" s="51"/>
      <c r="CT30" s="51"/>
      <c r="CU30" s="51"/>
      <c r="CV30" s="51"/>
      <c r="CW30" s="51"/>
      <c r="CX30" s="51"/>
      <c r="CY30" s="51"/>
      <c r="CZ30" s="51"/>
      <c r="DA30" s="51"/>
      <c r="DB30" s="51"/>
      <c r="DC30" s="51"/>
      <c r="DD30" s="51"/>
      <c r="DE30" s="51"/>
      <c r="DF30" s="51"/>
      <c r="DG30" s="51"/>
      <c r="DH30" s="51"/>
      <c r="DI30" s="51"/>
      <c r="DJ30" s="51"/>
      <c r="DK30" s="51"/>
      <c r="DL30" s="51"/>
      <c r="DM30" s="51"/>
      <c r="DN30" s="51"/>
      <c r="DO30" s="51"/>
      <c r="DP30" s="51"/>
      <c r="DQ30" s="51"/>
      <c r="DR30" s="51"/>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5497" t="s">
        <v>1635</v>
      </c>
      <c r="FZ30" s="5497"/>
      <c r="GA30" s="5497"/>
      <c r="GB30" s="5497"/>
      <c r="GC30" s="5497"/>
      <c r="GD30" s="5497"/>
      <c r="GE30" s="5497"/>
      <c r="GF30" s="5497"/>
      <c r="GG30" s="5497"/>
      <c r="GH30" s="5497"/>
      <c r="GI30" s="5497"/>
      <c r="GJ30" s="5497"/>
      <c r="GK30" s="5497" t="s">
        <v>1636</v>
      </c>
      <c r="GL30" s="5497"/>
      <c r="GM30" s="5497"/>
      <c r="GN30" s="5497"/>
      <c r="GO30" s="5497"/>
      <c r="GP30" s="5497"/>
      <c r="GQ30" s="5497"/>
      <c r="GR30" s="5497"/>
      <c r="GS30" s="5497"/>
      <c r="GT30" s="5497"/>
      <c r="GU30" s="5497"/>
      <c r="GV30" s="5497"/>
      <c r="GW30" s="5498" t="s">
        <v>1637</v>
      </c>
      <c r="GX30" s="5499"/>
      <c r="GY30" s="5499"/>
      <c r="GZ30" s="5499"/>
      <c r="HA30" s="5499"/>
      <c r="HB30" s="4154" t="str">
        <f>HB1</f>
        <v>Estimado con Promedio movil de enero a mayo (5 meses) 2021 para datos de los meses finales del año</v>
      </c>
      <c r="HC30" s="4155"/>
      <c r="HD30" s="4155"/>
      <c r="HE30" s="4155"/>
      <c r="HF30" s="4155"/>
      <c r="HG30" s="4155"/>
      <c r="HH30" s="4155"/>
      <c r="HI30" s="4156">
        <f>HI1</f>
        <v>2019</v>
      </c>
      <c r="HJ30" s="4157">
        <f t="shared" ref="HJ30:HL30" si="99">HJ1</f>
        <v>2020</v>
      </c>
      <c r="HK30" s="4158">
        <f t="shared" si="99"/>
        <v>2021</v>
      </c>
      <c r="HL30" s="4159">
        <f t="shared" si="99"/>
        <v>2021</v>
      </c>
      <c r="HM30" s="2"/>
    </row>
    <row r="31" spans="1:221">
      <c r="A31" s="2"/>
      <c r="B31" s="253"/>
      <c r="C31" s="253"/>
      <c r="D31" s="253"/>
      <c r="E31" s="51"/>
      <c r="F31" s="51"/>
      <c r="G31" s="51"/>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1"/>
      <c r="AG31" s="51"/>
      <c r="AH31" s="51"/>
      <c r="AI31" s="51"/>
      <c r="AJ31" s="51"/>
      <c r="AK31" s="51"/>
      <c r="AL31" s="51"/>
      <c r="AM31" s="51"/>
      <c r="AN31" s="51"/>
      <c r="AO31" s="51"/>
      <c r="AP31" s="51"/>
      <c r="AQ31" s="51"/>
      <c r="AR31" s="51"/>
      <c r="AS31" s="51"/>
      <c r="AT31" s="51"/>
      <c r="AU31" s="51"/>
      <c r="AV31" s="51"/>
      <c r="AW31" s="51"/>
      <c r="AX31" s="51"/>
      <c r="AY31" s="51"/>
      <c r="AZ31" s="51"/>
      <c r="BA31" s="51"/>
      <c r="BB31" s="51"/>
      <c r="BC31" s="51"/>
      <c r="BD31" s="51"/>
      <c r="BE31" s="51"/>
      <c r="BF31" s="51"/>
      <c r="BG31" s="51"/>
      <c r="BH31" s="51"/>
      <c r="BI31" s="51"/>
      <c r="BJ31" s="51"/>
      <c r="BK31" s="51"/>
      <c r="BL31" s="51"/>
      <c r="BM31" s="51"/>
      <c r="BN31" s="51"/>
      <c r="BO31" s="51"/>
      <c r="BP31" s="51"/>
      <c r="BQ31" s="51"/>
      <c r="BR31" s="51"/>
      <c r="BS31" s="51"/>
      <c r="BT31" s="51"/>
      <c r="BU31" s="51"/>
      <c r="BV31" s="51"/>
      <c r="BW31" s="51"/>
      <c r="BX31" s="51"/>
      <c r="BY31" s="51"/>
      <c r="BZ31" s="51"/>
      <c r="CA31" s="51"/>
      <c r="CB31" s="51"/>
      <c r="CC31" s="51"/>
      <c r="CD31" s="51"/>
      <c r="CE31" s="51"/>
      <c r="CF31" s="51"/>
      <c r="CG31" s="51"/>
      <c r="CH31" s="51"/>
      <c r="CI31" s="51"/>
      <c r="CJ31" s="51"/>
      <c r="CK31" s="51"/>
      <c r="CL31" s="51"/>
      <c r="CM31" s="51"/>
      <c r="CN31" s="51"/>
      <c r="CO31" s="51"/>
      <c r="CP31" s="51"/>
      <c r="CQ31" s="51"/>
      <c r="CR31" s="51"/>
      <c r="CS31" s="51"/>
      <c r="CT31" s="51"/>
      <c r="CU31" s="51"/>
      <c r="CV31" s="51"/>
      <c r="CW31" s="51"/>
      <c r="CX31" s="51"/>
      <c r="CY31" s="51"/>
      <c r="CZ31" s="51"/>
      <c r="DA31" s="51"/>
      <c r="DB31" s="51"/>
      <c r="DC31" s="51"/>
      <c r="DD31" s="51"/>
      <c r="DE31" s="51"/>
      <c r="DF31" s="51"/>
      <c r="DG31" s="51"/>
      <c r="DH31" s="51"/>
      <c r="DI31" s="51"/>
      <c r="DJ31" s="51"/>
      <c r="DK31" s="51"/>
      <c r="DL31" s="51"/>
      <c r="DM31" s="51"/>
      <c r="DN31" s="51"/>
      <c r="DO31" s="51"/>
      <c r="DP31" s="51"/>
      <c r="DQ31" s="51"/>
      <c r="DR31" s="51"/>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4160">
        <f>FY2</f>
        <v>43466</v>
      </c>
      <c r="FZ31" s="4161">
        <f t="shared" ref="FZ31:HH32" si="100">FZ2</f>
        <v>43497</v>
      </c>
      <c r="GA31" s="4161">
        <f t="shared" si="100"/>
        <v>43525</v>
      </c>
      <c r="GB31" s="4161">
        <f t="shared" si="100"/>
        <v>43556</v>
      </c>
      <c r="GC31" s="4161">
        <f t="shared" si="100"/>
        <v>43586</v>
      </c>
      <c r="GD31" s="4161">
        <f t="shared" si="100"/>
        <v>43617</v>
      </c>
      <c r="GE31" s="4161">
        <f t="shared" si="100"/>
        <v>43647</v>
      </c>
      <c r="GF31" s="4161">
        <f t="shared" si="100"/>
        <v>43678</v>
      </c>
      <c r="GG31" s="4161">
        <f t="shared" si="100"/>
        <v>43709</v>
      </c>
      <c r="GH31" s="4161">
        <f t="shared" si="100"/>
        <v>43739</v>
      </c>
      <c r="GI31" s="4161">
        <f t="shared" si="100"/>
        <v>43770</v>
      </c>
      <c r="GJ31" s="4162">
        <f t="shared" si="100"/>
        <v>43800</v>
      </c>
      <c r="GK31" s="4163">
        <f t="shared" si="100"/>
        <v>43831</v>
      </c>
      <c r="GL31" s="4161">
        <f t="shared" si="100"/>
        <v>43862</v>
      </c>
      <c r="GM31" s="4161">
        <f t="shared" si="100"/>
        <v>43891</v>
      </c>
      <c r="GN31" s="4161">
        <f t="shared" si="100"/>
        <v>43922</v>
      </c>
      <c r="GO31" s="4161">
        <f t="shared" si="100"/>
        <v>43952</v>
      </c>
      <c r="GP31" s="4161">
        <f t="shared" si="100"/>
        <v>43983</v>
      </c>
      <c r="GQ31" s="4161">
        <f t="shared" si="100"/>
        <v>44013</v>
      </c>
      <c r="GR31" s="4161">
        <f t="shared" si="100"/>
        <v>44044</v>
      </c>
      <c r="GS31" s="4161">
        <f t="shared" si="100"/>
        <v>44075</v>
      </c>
      <c r="GT31" s="4161">
        <f t="shared" si="100"/>
        <v>44105</v>
      </c>
      <c r="GU31" s="4161">
        <f t="shared" si="100"/>
        <v>44136</v>
      </c>
      <c r="GV31" s="4162">
        <f t="shared" si="100"/>
        <v>44166</v>
      </c>
      <c r="GW31" s="4164">
        <f t="shared" si="100"/>
        <v>44197</v>
      </c>
      <c r="GX31" s="4165">
        <f t="shared" si="100"/>
        <v>44228</v>
      </c>
      <c r="GY31" s="4165">
        <f t="shared" si="100"/>
        <v>44256</v>
      </c>
      <c r="GZ31" s="4165">
        <f t="shared" si="100"/>
        <v>44287</v>
      </c>
      <c r="HA31" s="4166">
        <f t="shared" si="100"/>
        <v>44317</v>
      </c>
      <c r="HB31" s="4167">
        <f t="shared" si="100"/>
        <v>44348</v>
      </c>
      <c r="HC31" s="4167">
        <f t="shared" si="100"/>
        <v>44378</v>
      </c>
      <c r="HD31" s="4167">
        <f t="shared" si="100"/>
        <v>44409</v>
      </c>
      <c r="HE31" s="4167">
        <f t="shared" si="100"/>
        <v>44440</v>
      </c>
      <c r="HF31" s="4167">
        <f t="shared" si="100"/>
        <v>44470</v>
      </c>
      <c r="HG31" s="4167">
        <f t="shared" si="100"/>
        <v>44501</v>
      </c>
      <c r="HH31" s="4167">
        <f t="shared" si="100"/>
        <v>44531</v>
      </c>
      <c r="HI31" s="4168" t="str">
        <f>HI3</f>
        <v>ANUAL</v>
      </c>
      <c r="HJ31" s="4169" t="str">
        <f t="shared" ref="HJ31:HL31" si="101">HJ3</f>
        <v>ANUAL</v>
      </c>
      <c r="HK31" s="4170" t="str">
        <f t="shared" si="101"/>
        <v>QUIMESTRAL</v>
      </c>
      <c r="HL31" s="4171" t="str">
        <f t="shared" si="101"/>
        <v>ANUAL (estimado)</v>
      </c>
      <c r="HM31" s="2"/>
    </row>
    <row r="32" spans="1:221" ht="15" thickBot="1">
      <c r="A32" s="5507"/>
      <c r="B32" s="5507"/>
      <c r="C32" s="5507"/>
      <c r="D32" s="5507"/>
      <c r="E32" s="5507"/>
      <c r="F32" s="4172"/>
      <c r="G32" s="4172"/>
      <c r="H32" s="4172"/>
      <c r="I32" s="4172"/>
      <c r="J32" s="4172"/>
      <c r="K32" s="4172"/>
      <c r="L32" s="4172"/>
      <c r="M32" s="4172"/>
      <c r="N32" s="4172"/>
      <c r="O32" s="4172"/>
      <c r="P32" s="4172"/>
      <c r="Q32" s="4172"/>
      <c r="R32" s="4172"/>
      <c r="S32" s="4172"/>
      <c r="T32" s="4172"/>
      <c r="U32" s="4172"/>
      <c r="V32" s="4172"/>
      <c r="W32" s="4172"/>
      <c r="X32" s="4172"/>
      <c r="Y32" s="4172"/>
      <c r="Z32" s="4172"/>
      <c r="AA32" s="4172"/>
      <c r="AB32" s="4172"/>
      <c r="AC32" s="4172"/>
      <c r="AD32" s="4172"/>
      <c r="AE32" s="4172"/>
      <c r="AF32" s="4172"/>
      <c r="AG32" s="4172"/>
      <c r="AH32" s="4172"/>
      <c r="AI32" s="4172"/>
      <c r="AJ32" s="4172"/>
      <c r="AK32" s="4172"/>
      <c r="AL32" s="4172"/>
      <c r="AM32" s="4172"/>
      <c r="AN32" s="4172"/>
      <c r="AO32" s="4172"/>
      <c r="AP32" s="4172"/>
      <c r="AQ32" s="4172"/>
      <c r="AR32" s="4172"/>
      <c r="AS32" s="4172"/>
      <c r="AT32" s="4172"/>
      <c r="AU32" s="4172"/>
      <c r="AV32" s="4172"/>
      <c r="AW32" s="4172"/>
      <c r="AX32" s="4172"/>
      <c r="AY32" s="4172"/>
      <c r="AZ32" s="4172"/>
      <c r="BA32" s="4172"/>
      <c r="BB32" s="4172"/>
      <c r="BC32" s="4172"/>
      <c r="BD32" s="4172"/>
      <c r="BE32" s="4172"/>
      <c r="BF32" s="4172"/>
      <c r="BG32" s="4172"/>
      <c r="BH32" s="4172"/>
      <c r="BI32" s="4172"/>
      <c r="BJ32" s="4172"/>
      <c r="BK32" s="4172"/>
      <c r="BL32" s="4172"/>
      <c r="BM32" s="4172"/>
      <c r="BN32" s="4172"/>
      <c r="BO32" s="4172"/>
      <c r="BP32" s="4172"/>
      <c r="BQ32" s="4172"/>
      <c r="BR32" s="4172"/>
      <c r="BS32" s="4172"/>
      <c r="BT32" s="4172"/>
      <c r="BU32" s="4172"/>
      <c r="BV32" s="4172"/>
      <c r="BW32" s="4172"/>
      <c r="BX32" s="4172"/>
      <c r="BY32" s="4172"/>
      <c r="BZ32" s="4172"/>
      <c r="CA32" s="4172"/>
      <c r="CB32" s="4172"/>
      <c r="CC32" s="4172"/>
      <c r="CD32" s="4172"/>
      <c r="CE32" s="4172"/>
      <c r="CF32" s="4172"/>
      <c r="CG32" s="4172"/>
      <c r="CH32" s="4172"/>
      <c r="CI32" s="4172"/>
      <c r="CJ32" s="4172"/>
      <c r="CK32" s="4172"/>
      <c r="CL32" s="4172"/>
      <c r="CM32" s="4172"/>
      <c r="CN32" s="4172"/>
      <c r="CO32" s="4172"/>
      <c r="CP32" s="4172"/>
      <c r="CQ32" s="4172"/>
      <c r="CR32" s="4172"/>
      <c r="CS32" s="4172"/>
      <c r="CT32" s="4172"/>
      <c r="CU32" s="4172"/>
      <c r="CV32" s="4172"/>
      <c r="CW32" s="4172"/>
      <c r="CX32" s="4172"/>
      <c r="CY32" s="4172"/>
      <c r="CZ32" s="4172"/>
      <c r="DA32" s="4172"/>
      <c r="DB32" s="4172"/>
      <c r="DC32" s="4172"/>
      <c r="DD32" s="4172"/>
      <c r="DE32" s="4172"/>
      <c r="DF32" s="4172"/>
      <c r="DG32" s="4172"/>
      <c r="DH32" s="4172"/>
      <c r="DI32" s="4172"/>
      <c r="DJ32" s="4172"/>
      <c r="DK32" s="4172"/>
      <c r="DL32" s="4172"/>
      <c r="DM32" s="4172"/>
      <c r="DN32" s="4172"/>
      <c r="DO32" s="4172"/>
      <c r="DP32" s="4172"/>
      <c r="DQ32" s="4172"/>
      <c r="DR32" s="4173"/>
      <c r="DS32" s="5494">
        <v>43466</v>
      </c>
      <c r="DT32" s="5494"/>
      <c r="DU32" s="5494">
        <v>43497</v>
      </c>
      <c r="DV32" s="5494"/>
      <c r="DW32" s="5494">
        <v>43525</v>
      </c>
      <c r="DX32" s="5494"/>
      <c r="DY32" s="5494">
        <v>43556</v>
      </c>
      <c r="DZ32" s="5494"/>
      <c r="EA32" s="5494">
        <v>43586</v>
      </c>
      <c r="EB32" s="5494"/>
      <c r="EC32" s="5494">
        <v>43617</v>
      </c>
      <c r="ED32" s="5494"/>
      <c r="EE32" s="5494">
        <v>43647</v>
      </c>
      <c r="EF32" s="5494"/>
      <c r="EG32" s="5494">
        <v>43678</v>
      </c>
      <c r="EH32" s="5494"/>
      <c r="EI32" s="5494">
        <v>43709</v>
      </c>
      <c r="EJ32" s="5494"/>
      <c r="EK32" s="5494">
        <v>43739</v>
      </c>
      <c r="EL32" s="5494"/>
      <c r="EM32" s="5494">
        <v>43770</v>
      </c>
      <c r="EN32" s="5494"/>
      <c r="EO32" s="5494">
        <v>43800</v>
      </c>
      <c r="EP32" s="5494"/>
      <c r="EQ32" s="5494">
        <v>43831</v>
      </c>
      <c r="ER32" s="5494"/>
      <c r="ES32" s="5494">
        <v>43862</v>
      </c>
      <c r="ET32" s="5494"/>
      <c r="EU32" s="5494">
        <v>43891</v>
      </c>
      <c r="EV32" s="5494"/>
      <c r="EW32" s="5494">
        <v>43922</v>
      </c>
      <c r="EX32" s="5494"/>
      <c r="EY32" s="5494">
        <v>43952</v>
      </c>
      <c r="EZ32" s="5494"/>
      <c r="FA32" s="5494">
        <v>43983</v>
      </c>
      <c r="FB32" s="5494"/>
      <c r="FC32" s="5494">
        <v>44013</v>
      </c>
      <c r="FD32" s="5494"/>
      <c r="FE32" s="5494">
        <v>44044</v>
      </c>
      <c r="FF32" s="5494"/>
      <c r="FG32" s="5494">
        <v>44075</v>
      </c>
      <c r="FH32" s="5494"/>
      <c r="FI32" s="5494">
        <v>44105</v>
      </c>
      <c r="FJ32" s="5494"/>
      <c r="FK32" s="5494">
        <v>44136</v>
      </c>
      <c r="FL32" s="5494"/>
      <c r="FM32" s="5494">
        <v>44166</v>
      </c>
      <c r="FN32" s="5494"/>
      <c r="FO32" s="5494">
        <v>44197</v>
      </c>
      <c r="FP32" s="5494"/>
      <c r="FQ32" s="5494">
        <v>44228</v>
      </c>
      <c r="FR32" s="5494"/>
      <c r="FS32" s="5494">
        <v>44256</v>
      </c>
      <c r="FT32" s="5494"/>
      <c r="FU32" s="5494">
        <v>44287</v>
      </c>
      <c r="FV32" s="5494"/>
      <c r="FW32" s="5494">
        <v>44317</v>
      </c>
      <c r="FX32" s="5495"/>
      <c r="FY32" s="4174" t="str">
        <f>FY3</f>
        <v>VENTAS TOTALES</v>
      </c>
      <c r="FZ32" s="4172" t="str">
        <f t="shared" si="100"/>
        <v>VENTAS TOTALES</v>
      </c>
      <c r="GA32" s="4172" t="str">
        <f t="shared" si="100"/>
        <v>VENTAS TOTALES</v>
      </c>
      <c r="GB32" s="4172" t="str">
        <f t="shared" si="100"/>
        <v>VENTAS TOTALES</v>
      </c>
      <c r="GC32" s="4172" t="str">
        <f t="shared" si="100"/>
        <v>VENTAS TOTALES</v>
      </c>
      <c r="GD32" s="4172" t="str">
        <f t="shared" si="100"/>
        <v>VENTAS TOTALES</v>
      </c>
      <c r="GE32" s="4172" t="str">
        <f t="shared" si="100"/>
        <v>VENTAS TOTALES</v>
      </c>
      <c r="GF32" s="4172" t="str">
        <f t="shared" si="100"/>
        <v>VENTAS TOTALES</v>
      </c>
      <c r="GG32" s="4172" t="str">
        <f t="shared" si="100"/>
        <v>VENTAS TOTALES</v>
      </c>
      <c r="GH32" s="4172" t="str">
        <f t="shared" si="100"/>
        <v>VENTAS TOTALES</v>
      </c>
      <c r="GI32" s="4172" t="str">
        <f t="shared" si="100"/>
        <v>VENTAS TOTALES</v>
      </c>
      <c r="GJ32" s="4173" t="str">
        <f t="shared" si="100"/>
        <v>VENTAS TOTALES</v>
      </c>
      <c r="GK32" s="4175" t="str">
        <f t="shared" si="100"/>
        <v>VENTAS TOTALES</v>
      </c>
      <c r="GL32" s="4172" t="str">
        <f t="shared" si="100"/>
        <v>VENTAS TOTALES</v>
      </c>
      <c r="GM32" s="4172" t="str">
        <f t="shared" si="100"/>
        <v>VENTAS TOTALES</v>
      </c>
      <c r="GN32" s="4172" t="str">
        <f t="shared" si="100"/>
        <v>VENTAS TOTALES</v>
      </c>
      <c r="GO32" s="4172" t="str">
        <f t="shared" si="100"/>
        <v>VENTAS TOTALES</v>
      </c>
      <c r="GP32" s="4172" t="str">
        <f t="shared" si="100"/>
        <v>VENTAS TOTALES</v>
      </c>
      <c r="GQ32" s="4172" t="str">
        <f t="shared" si="100"/>
        <v>VENTAS TOTALES</v>
      </c>
      <c r="GR32" s="4172" t="str">
        <f t="shared" si="100"/>
        <v>VENTAS TOTALES</v>
      </c>
      <c r="GS32" s="4172" t="str">
        <f t="shared" si="100"/>
        <v>VENTAS TOTALES</v>
      </c>
      <c r="GT32" s="4172" t="str">
        <f t="shared" si="100"/>
        <v>VENTAS TOTALES</v>
      </c>
      <c r="GU32" s="4172" t="str">
        <f t="shared" si="100"/>
        <v>VENTAS TOTALES</v>
      </c>
      <c r="GV32" s="4173" t="str">
        <f t="shared" si="100"/>
        <v>VENTAS TOTALES</v>
      </c>
      <c r="GW32" s="4175" t="str">
        <f t="shared" si="100"/>
        <v>VENTAS TOTALES</v>
      </c>
      <c r="GX32" s="4172" t="str">
        <f t="shared" si="100"/>
        <v>VENTAS TOTALES</v>
      </c>
      <c r="GY32" s="4172" t="str">
        <f t="shared" si="100"/>
        <v>VENTAS TOTALES</v>
      </c>
      <c r="GZ32" s="4172" t="str">
        <f t="shared" si="100"/>
        <v>VENTAS TOTALES</v>
      </c>
      <c r="HA32" s="4173" t="str">
        <f t="shared" si="100"/>
        <v>VENTAS TOTALES</v>
      </c>
      <c r="HB32" s="4176" t="str">
        <f t="shared" si="100"/>
        <v>VENTAS TOTALES</v>
      </c>
      <c r="HC32" s="4176" t="str">
        <f t="shared" si="100"/>
        <v>VENTAS TOTALES</v>
      </c>
      <c r="HD32" s="4176" t="str">
        <f t="shared" si="100"/>
        <v>VENTAS TOTALES</v>
      </c>
      <c r="HE32" s="4176" t="str">
        <f t="shared" si="100"/>
        <v>VENTAS TOTALES</v>
      </c>
      <c r="HF32" s="4176" t="str">
        <f t="shared" si="100"/>
        <v>VENTAS TOTALES</v>
      </c>
      <c r="HG32" s="4176" t="str">
        <f t="shared" si="100"/>
        <v>VENTAS TOTALES</v>
      </c>
      <c r="HH32" s="4176" t="str">
        <f t="shared" si="100"/>
        <v>VENTAS TOTALES</v>
      </c>
      <c r="HI32" s="4177"/>
      <c r="HJ32" s="4178"/>
      <c r="HK32" s="4179"/>
      <c r="HL32" s="4180"/>
    </row>
    <row r="33" spans="1:221">
      <c r="A33" s="5496" t="s">
        <v>990</v>
      </c>
      <c r="B33" s="5496"/>
      <c r="C33" s="5496"/>
      <c r="D33" s="5496"/>
      <c r="E33" s="5496"/>
      <c r="F33" s="4181"/>
      <c r="G33" s="4181"/>
      <c r="H33" s="4181"/>
      <c r="I33" s="4181"/>
      <c r="J33" s="4181"/>
      <c r="K33" s="4181"/>
      <c r="L33" s="4181"/>
      <c r="M33" s="4181"/>
      <c r="N33" s="4181"/>
      <c r="O33" s="4181"/>
      <c r="P33" s="4181"/>
      <c r="Q33" s="4181"/>
      <c r="R33" s="4181"/>
      <c r="S33" s="4181"/>
      <c r="T33" s="4181"/>
      <c r="U33" s="4181"/>
      <c r="V33" s="4181"/>
      <c r="W33" s="4181"/>
      <c r="X33" s="4181"/>
      <c r="Y33" s="4181"/>
      <c r="Z33" s="4181"/>
      <c r="AA33" s="4181"/>
      <c r="AB33" s="4181"/>
      <c r="AC33" s="4181"/>
      <c r="AD33" s="4181"/>
      <c r="AE33" s="4181"/>
      <c r="AF33" s="4181"/>
      <c r="AG33" s="4181"/>
      <c r="AH33" s="4181"/>
      <c r="AI33" s="4181"/>
      <c r="AJ33" s="4181"/>
      <c r="AK33" s="4181"/>
      <c r="AL33" s="4181"/>
      <c r="AM33" s="4181"/>
      <c r="AN33" s="4181"/>
      <c r="AO33" s="4181"/>
      <c r="AP33" s="4181"/>
      <c r="AQ33" s="4181"/>
      <c r="AR33" s="4181"/>
      <c r="AS33" s="4181"/>
      <c r="AT33" s="4181"/>
      <c r="AU33" s="4181"/>
      <c r="AV33" s="4181"/>
      <c r="AW33" s="4181"/>
      <c r="AX33" s="4181"/>
      <c r="AY33" s="4181"/>
      <c r="AZ33" s="4181"/>
      <c r="BA33" s="4181"/>
      <c r="BB33" s="4181"/>
      <c r="BC33" s="4181"/>
      <c r="BD33" s="4181"/>
      <c r="BE33" s="4181"/>
      <c r="BF33" s="4181"/>
      <c r="BG33" s="4181"/>
      <c r="BH33" s="4181"/>
      <c r="BI33" s="4181"/>
      <c r="BJ33" s="4181"/>
      <c r="BK33" s="4181"/>
      <c r="BL33" s="4181"/>
      <c r="BM33" s="4181"/>
      <c r="BN33" s="4181"/>
      <c r="BO33" s="4181"/>
      <c r="BP33" s="4181"/>
      <c r="BQ33" s="4181"/>
      <c r="BR33" s="4181"/>
      <c r="BS33" s="4181"/>
      <c r="BT33" s="4181"/>
      <c r="BU33" s="4181"/>
      <c r="BV33" s="4181"/>
      <c r="BW33" s="4181"/>
      <c r="BX33" s="4181"/>
      <c r="BY33" s="4181"/>
      <c r="BZ33" s="4181"/>
      <c r="CA33" s="4181"/>
      <c r="CB33" s="4181"/>
      <c r="CC33" s="4181"/>
      <c r="CD33" s="4181"/>
      <c r="CE33" s="4181"/>
      <c r="CF33" s="4181"/>
      <c r="CG33" s="4181"/>
      <c r="CH33" s="4181"/>
      <c r="CI33" s="4181"/>
      <c r="CJ33" s="4181"/>
      <c r="CK33" s="4181"/>
      <c r="CL33" s="4181"/>
      <c r="CM33" s="4181"/>
      <c r="CN33" s="4181"/>
      <c r="CO33" s="4181"/>
      <c r="CP33" s="4181"/>
      <c r="CQ33" s="4181"/>
      <c r="CR33" s="4181"/>
      <c r="CS33" s="4181"/>
      <c r="CT33" s="4181"/>
      <c r="CU33" s="4181"/>
      <c r="CV33" s="4181"/>
      <c r="CW33" s="4181"/>
      <c r="CX33" s="4181"/>
      <c r="CY33" s="4181"/>
      <c r="CZ33" s="4181"/>
      <c r="DA33" s="4181"/>
      <c r="DB33" s="4181"/>
      <c r="DC33" s="4181"/>
      <c r="DD33" s="4181"/>
      <c r="DE33" s="4181"/>
      <c r="DF33" s="4181"/>
      <c r="DG33" s="4181"/>
      <c r="DH33" s="4181"/>
      <c r="DI33" s="4181"/>
      <c r="DJ33" s="4181"/>
      <c r="DK33" s="4181"/>
      <c r="DL33" s="4181"/>
      <c r="DM33" s="4181"/>
      <c r="DN33" s="4181"/>
      <c r="DO33" s="4181"/>
      <c r="DP33" s="4181"/>
      <c r="DQ33" s="4181"/>
      <c r="DR33" s="4181"/>
      <c r="DS33" s="4182">
        <f>SUM(DS11:DS17)</f>
        <v>77475733.140000001</v>
      </c>
      <c r="DT33" s="4182">
        <f t="shared" ref="DT33:GE33" si="102">SUM(DT11:DT17)</f>
        <v>4764.3500000000004</v>
      </c>
      <c r="DU33" s="4182">
        <f t="shared" si="102"/>
        <v>79462303.200000003</v>
      </c>
      <c r="DV33" s="4182">
        <f t="shared" si="102"/>
        <v>3943.19</v>
      </c>
      <c r="DW33" s="4182">
        <f t="shared" si="102"/>
        <v>84914973.670000002</v>
      </c>
      <c r="DX33" s="4182">
        <f t="shared" si="102"/>
        <v>3026.8</v>
      </c>
      <c r="DY33" s="4182">
        <f t="shared" si="102"/>
        <v>83199810.430000007</v>
      </c>
      <c r="DZ33" s="4182">
        <f t="shared" si="102"/>
        <v>10</v>
      </c>
      <c r="EA33" s="4182">
        <f t="shared" si="102"/>
        <v>86468204.120000005</v>
      </c>
      <c r="EB33" s="4182">
        <f t="shared" si="102"/>
        <v>145.6</v>
      </c>
      <c r="EC33" s="4182">
        <f t="shared" si="102"/>
        <v>90093230.50999999</v>
      </c>
      <c r="ED33" s="4182">
        <f t="shared" si="102"/>
        <v>112087.84</v>
      </c>
      <c r="EE33" s="4182">
        <f t="shared" si="102"/>
        <v>86814389.439999998</v>
      </c>
      <c r="EF33" s="4182">
        <f t="shared" si="102"/>
        <v>5270.07</v>
      </c>
      <c r="EG33" s="4182">
        <f t="shared" si="102"/>
        <v>88799129.939999983</v>
      </c>
      <c r="EH33" s="4182">
        <f t="shared" si="102"/>
        <v>8029</v>
      </c>
      <c r="EI33" s="4182">
        <f t="shared" si="102"/>
        <v>84056796.219999999</v>
      </c>
      <c r="EJ33" s="4182">
        <f t="shared" si="102"/>
        <v>133650.1</v>
      </c>
      <c r="EK33" s="4182">
        <f t="shared" si="102"/>
        <v>74979000.519999996</v>
      </c>
      <c r="EL33" s="4182">
        <f t="shared" si="102"/>
        <v>25179.03</v>
      </c>
      <c r="EM33" s="4182">
        <f t="shared" si="102"/>
        <v>88151113.620000005</v>
      </c>
      <c r="EN33" s="4182">
        <f t="shared" si="102"/>
        <v>79884.600000000006</v>
      </c>
      <c r="EO33" s="4182">
        <f t="shared" si="102"/>
        <v>115169553.73</v>
      </c>
      <c r="EP33" s="4182">
        <f t="shared" si="102"/>
        <v>134384.5</v>
      </c>
      <c r="EQ33" s="4182">
        <f t="shared" si="102"/>
        <v>85478925.420000017</v>
      </c>
      <c r="ER33" s="4182">
        <f t="shared" si="102"/>
        <v>142420.63</v>
      </c>
      <c r="ES33" s="4182">
        <f t="shared" si="102"/>
        <v>84727473.459999993</v>
      </c>
      <c r="ET33" s="4182">
        <f t="shared" si="102"/>
        <v>63585.06</v>
      </c>
      <c r="EU33" s="4182">
        <f t="shared" si="102"/>
        <v>48432352.800000004</v>
      </c>
      <c r="EV33" s="4182">
        <f t="shared" si="102"/>
        <v>22442.29</v>
      </c>
      <c r="EW33" s="4182">
        <f t="shared" si="102"/>
        <v>23838109.349999994</v>
      </c>
      <c r="EX33" s="4182">
        <f t="shared" si="102"/>
        <v>8029</v>
      </c>
      <c r="EY33" s="4182">
        <f t="shared" si="102"/>
        <v>30956629.899999999</v>
      </c>
      <c r="EZ33" s="4182">
        <f t="shared" si="102"/>
        <v>70646.880000000005</v>
      </c>
      <c r="FA33" s="4182">
        <f t="shared" si="102"/>
        <v>43257541.439999998</v>
      </c>
      <c r="FB33" s="4182">
        <f t="shared" si="102"/>
        <v>21280.47</v>
      </c>
      <c r="FC33" s="4182">
        <f t="shared" si="102"/>
        <v>43169247.950000003</v>
      </c>
      <c r="FD33" s="4182">
        <f t="shared" si="102"/>
        <v>33151.89</v>
      </c>
      <c r="FE33" s="4182">
        <f t="shared" si="102"/>
        <v>47989647.470000006</v>
      </c>
      <c r="FF33" s="4182">
        <f t="shared" si="102"/>
        <v>22677.59</v>
      </c>
      <c r="FG33" s="4182">
        <f t="shared" si="102"/>
        <v>52156254.789999999</v>
      </c>
      <c r="FH33" s="4182">
        <f t="shared" si="102"/>
        <v>1150</v>
      </c>
      <c r="FI33" s="4182">
        <f t="shared" si="102"/>
        <v>58916371.450000003</v>
      </c>
      <c r="FJ33" s="4182">
        <f t="shared" si="102"/>
        <v>4118.8</v>
      </c>
      <c r="FK33" s="4182">
        <f t="shared" si="102"/>
        <v>59297741.209999986</v>
      </c>
      <c r="FL33" s="4182">
        <f t="shared" si="102"/>
        <v>21881.59</v>
      </c>
      <c r="FM33" s="4182">
        <f t="shared" si="102"/>
        <v>85687917.729999989</v>
      </c>
      <c r="FN33" s="4182">
        <f t="shared" si="102"/>
        <v>116395.45999999999</v>
      </c>
      <c r="FO33" s="4182">
        <f t="shared" si="102"/>
        <v>58211358.75</v>
      </c>
      <c r="FP33" s="4182">
        <f t="shared" si="102"/>
        <v>1230</v>
      </c>
      <c r="FQ33" s="4182">
        <f t="shared" si="102"/>
        <v>56513540.329999998</v>
      </c>
      <c r="FR33" s="4182">
        <f t="shared" si="102"/>
        <v>6081.5</v>
      </c>
      <c r="FS33" s="4182">
        <f t="shared" si="102"/>
        <v>64415945.879999995</v>
      </c>
      <c r="FT33" s="4182">
        <f t="shared" si="102"/>
        <v>8563.51</v>
      </c>
      <c r="FU33" s="4182">
        <f t="shared" si="102"/>
        <v>55742984.379999995</v>
      </c>
      <c r="FV33" s="4182">
        <f t="shared" si="102"/>
        <v>37988.639999999999</v>
      </c>
      <c r="FW33" s="4182">
        <f t="shared" si="102"/>
        <v>58196027.200000003</v>
      </c>
      <c r="FX33" s="4183">
        <f t="shared" si="102"/>
        <v>1813.29</v>
      </c>
      <c r="FY33" s="4184">
        <f t="shared" si="102"/>
        <v>77480497.489999995</v>
      </c>
      <c r="FZ33" s="4182">
        <f t="shared" si="102"/>
        <v>79466246.39000003</v>
      </c>
      <c r="GA33" s="4182">
        <f t="shared" si="102"/>
        <v>84918000.469999999</v>
      </c>
      <c r="GB33" s="4182">
        <f t="shared" si="102"/>
        <v>83199820.430000007</v>
      </c>
      <c r="GC33" s="4182">
        <f t="shared" si="102"/>
        <v>86468349.720000014</v>
      </c>
      <c r="GD33" s="4182">
        <f t="shared" si="102"/>
        <v>90205318.349999994</v>
      </c>
      <c r="GE33" s="4182">
        <f t="shared" si="102"/>
        <v>86819659.50999999</v>
      </c>
      <c r="GF33" s="4182">
        <f t="shared" ref="GF33:HH33" si="103">SUM(GF11:GF17)</f>
        <v>88807158.939999983</v>
      </c>
      <c r="GG33" s="4182">
        <f t="shared" si="103"/>
        <v>84190446.319999993</v>
      </c>
      <c r="GH33" s="4182">
        <f t="shared" si="103"/>
        <v>75004179.549999997</v>
      </c>
      <c r="GI33" s="4182">
        <f t="shared" si="103"/>
        <v>88230998.219999999</v>
      </c>
      <c r="GJ33" s="4183">
        <f t="shared" si="103"/>
        <v>115303938.23</v>
      </c>
      <c r="GK33" s="4185">
        <f t="shared" si="103"/>
        <v>85621346.050000012</v>
      </c>
      <c r="GL33" s="4182">
        <f t="shared" si="103"/>
        <v>84791058.519999996</v>
      </c>
      <c r="GM33" s="4182">
        <f t="shared" si="103"/>
        <v>48454795.090000004</v>
      </c>
      <c r="GN33" s="4182">
        <f t="shared" si="103"/>
        <v>23846138.349999994</v>
      </c>
      <c r="GO33" s="4182">
        <f t="shared" si="103"/>
        <v>31027276.779999997</v>
      </c>
      <c r="GP33" s="4182">
        <f t="shared" si="103"/>
        <v>43278821.909999996</v>
      </c>
      <c r="GQ33" s="4182">
        <f t="shared" si="103"/>
        <v>43202399.839999996</v>
      </c>
      <c r="GR33" s="4182">
        <f t="shared" si="103"/>
        <v>48012325.06000001</v>
      </c>
      <c r="GS33" s="4182">
        <f t="shared" si="103"/>
        <v>52157404.789999999</v>
      </c>
      <c r="GT33" s="4182">
        <f t="shared" si="103"/>
        <v>58920490.25</v>
      </c>
      <c r="GU33" s="4182">
        <f t="shared" si="103"/>
        <v>59319622.79999999</v>
      </c>
      <c r="GV33" s="4183">
        <f t="shared" si="103"/>
        <v>85804313.189999983</v>
      </c>
      <c r="GW33" s="4185">
        <f t="shared" si="103"/>
        <v>58212588.75</v>
      </c>
      <c r="GX33" s="4182">
        <f t="shared" si="103"/>
        <v>56519621.829999998</v>
      </c>
      <c r="GY33" s="4182">
        <f t="shared" si="103"/>
        <v>64424509.389999993</v>
      </c>
      <c r="GZ33" s="4182">
        <f t="shared" si="103"/>
        <v>55780973.019999996</v>
      </c>
      <c r="HA33" s="4182">
        <f t="shared" si="103"/>
        <v>58197840.490000002</v>
      </c>
      <c r="HB33" s="4186">
        <f t="shared" si="103"/>
        <v>58627106.695999995</v>
      </c>
      <c r="HC33" s="4186">
        <f t="shared" si="103"/>
        <v>58710010.2852</v>
      </c>
      <c r="HD33" s="4186">
        <f t="shared" si="103"/>
        <v>59148087.976239994</v>
      </c>
      <c r="HE33" s="4186">
        <f t="shared" si="103"/>
        <v>58092803.693488002</v>
      </c>
      <c r="HF33" s="4186">
        <f t="shared" si="103"/>
        <v>58555169.828185588</v>
      </c>
      <c r="HG33" s="4186">
        <f t="shared" si="103"/>
        <v>58626635.695822708</v>
      </c>
      <c r="HH33" s="4187">
        <f t="shared" si="103"/>
        <v>58626541.495787255</v>
      </c>
      <c r="HI33" s="4188">
        <f>SUM(HI11:HI17)</f>
        <v>1040094613.6200001</v>
      </c>
      <c r="HJ33" s="4189">
        <f>SUM(HJ11:HJ17)</f>
        <v>664435992.62999988</v>
      </c>
      <c r="HK33" s="4190">
        <f>SUM(HK11:HK17)</f>
        <v>293135533.48000002</v>
      </c>
      <c r="HL33" s="4191">
        <f>SUM(HL11:HL17)</f>
        <v>703521889.1507237</v>
      </c>
    </row>
    <row r="34" spans="1:221">
      <c r="A34" s="5500" t="s">
        <v>789</v>
      </c>
      <c r="B34" s="5500"/>
      <c r="C34" s="5500"/>
      <c r="D34" s="5500"/>
      <c r="E34" s="5500"/>
      <c r="F34" s="4192"/>
      <c r="G34" s="4192"/>
      <c r="H34" s="4192"/>
      <c r="I34" s="4192"/>
      <c r="J34" s="4192"/>
      <c r="K34" s="4192"/>
      <c r="L34" s="4192"/>
      <c r="M34" s="4192"/>
      <c r="N34" s="4192"/>
      <c r="O34" s="4192"/>
      <c r="P34" s="4192"/>
      <c r="Q34" s="4192"/>
      <c r="R34" s="4192"/>
      <c r="S34" s="4192"/>
      <c r="T34" s="4192"/>
      <c r="U34" s="4192"/>
      <c r="V34" s="4192"/>
      <c r="W34" s="4192"/>
      <c r="X34" s="4192"/>
      <c r="Y34" s="4192"/>
      <c r="Z34" s="4192"/>
      <c r="AA34" s="4192"/>
      <c r="AB34" s="4192"/>
      <c r="AC34" s="4192"/>
      <c r="AD34" s="4192"/>
      <c r="AE34" s="4192"/>
      <c r="AF34" s="4192"/>
      <c r="AG34" s="4192"/>
      <c r="AH34" s="4192"/>
      <c r="AI34" s="4192"/>
      <c r="AJ34" s="4192"/>
      <c r="AK34" s="4192"/>
      <c r="AL34" s="4192"/>
      <c r="AM34" s="4192"/>
      <c r="AN34" s="4192"/>
      <c r="AO34" s="4192"/>
      <c r="AP34" s="4192"/>
      <c r="AQ34" s="4192"/>
      <c r="AR34" s="4192"/>
      <c r="AS34" s="4192"/>
      <c r="AT34" s="4192"/>
      <c r="AU34" s="4192"/>
      <c r="AV34" s="4192"/>
      <c r="AW34" s="4192"/>
      <c r="AX34" s="4192"/>
      <c r="AY34" s="4192"/>
      <c r="AZ34" s="4192"/>
      <c r="BA34" s="4192"/>
      <c r="BB34" s="4192"/>
      <c r="BC34" s="4192"/>
      <c r="BD34" s="4192"/>
      <c r="BE34" s="4192"/>
      <c r="BF34" s="4192"/>
      <c r="BG34" s="4192"/>
      <c r="BH34" s="4192"/>
      <c r="BI34" s="4192"/>
      <c r="BJ34" s="4192"/>
      <c r="BK34" s="4192"/>
      <c r="BL34" s="4192"/>
      <c r="BM34" s="4192"/>
      <c r="BN34" s="4192"/>
      <c r="BO34" s="4192"/>
      <c r="BP34" s="4192"/>
      <c r="BQ34" s="4192"/>
      <c r="BR34" s="4192"/>
      <c r="BS34" s="4192"/>
      <c r="BT34" s="4192"/>
      <c r="BU34" s="4192"/>
      <c r="BV34" s="4192"/>
      <c r="BW34" s="4192"/>
      <c r="BX34" s="4192"/>
      <c r="BY34" s="4192"/>
      <c r="BZ34" s="4192"/>
      <c r="CA34" s="4192"/>
      <c r="CB34" s="4192"/>
      <c r="CC34" s="4192"/>
      <c r="CD34" s="4192"/>
      <c r="CE34" s="4192"/>
      <c r="CF34" s="4192"/>
      <c r="CG34" s="4192"/>
      <c r="CH34" s="4192"/>
      <c r="CI34" s="4192"/>
      <c r="CJ34" s="4192"/>
      <c r="CK34" s="4192"/>
      <c r="CL34" s="4192"/>
      <c r="CM34" s="4192"/>
      <c r="CN34" s="4192"/>
      <c r="CO34" s="4192"/>
      <c r="CP34" s="4192"/>
      <c r="CQ34" s="4192"/>
      <c r="CR34" s="4192"/>
      <c r="CS34" s="4192"/>
      <c r="CT34" s="4192"/>
      <c r="CU34" s="4192"/>
      <c r="CV34" s="4192"/>
      <c r="CW34" s="4192"/>
      <c r="CX34" s="4192"/>
      <c r="CY34" s="4192"/>
      <c r="CZ34" s="4192"/>
      <c r="DA34" s="4192"/>
      <c r="DB34" s="4192"/>
      <c r="DC34" s="4192"/>
      <c r="DD34" s="4192"/>
      <c r="DE34" s="4192"/>
      <c r="DF34" s="4192"/>
      <c r="DG34" s="4192"/>
      <c r="DH34" s="4192"/>
      <c r="DI34" s="4192"/>
      <c r="DJ34" s="4192"/>
      <c r="DK34" s="4192"/>
      <c r="DL34" s="4192"/>
      <c r="DM34" s="4192"/>
      <c r="DN34" s="4192"/>
      <c r="DO34" s="4192"/>
      <c r="DP34" s="4192"/>
      <c r="DQ34" s="4192"/>
      <c r="DR34" s="4192"/>
      <c r="DS34" s="4113">
        <f>SUM(DS8:DS10)</f>
        <v>7414138.4100000001</v>
      </c>
      <c r="DT34" s="4113">
        <f t="shared" ref="DT34:GE34" si="104">SUM(DT8:DT10)</f>
        <v>76690.240000000005</v>
      </c>
      <c r="DU34" s="4113">
        <f t="shared" si="104"/>
        <v>8189280.3700000001</v>
      </c>
      <c r="DV34" s="4113">
        <f t="shared" si="104"/>
        <v>80813.16</v>
      </c>
      <c r="DW34" s="4113">
        <f t="shared" si="104"/>
        <v>8865680.8599999994</v>
      </c>
      <c r="DX34" s="4113">
        <f t="shared" si="104"/>
        <v>118598.73</v>
      </c>
      <c r="DY34" s="4113">
        <f t="shared" si="104"/>
        <v>9290945.4800000004</v>
      </c>
      <c r="DZ34" s="4113">
        <f t="shared" si="104"/>
        <v>93378.73</v>
      </c>
      <c r="EA34" s="4113">
        <f t="shared" si="104"/>
        <v>9427112.1699999999</v>
      </c>
      <c r="EB34" s="4113">
        <f t="shared" si="104"/>
        <v>116822.24</v>
      </c>
      <c r="EC34" s="4113">
        <f t="shared" si="104"/>
        <v>9139324.7299999986</v>
      </c>
      <c r="ED34" s="4113">
        <f t="shared" si="104"/>
        <v>111953.51</v>
      </c>
      <c r="EE34" s="4113">
        <f t="shared" si="104"/>
        <v>10249266.140000001</v>
      </c>
      <c r="EF34" s="4113">
        <f t="shared" si="104"/>
        <v>90823.46</v>
      </c>
      <c r="EG34" s="4113">
        <f t="shared" si="104"/>
        <v>9475007.5300000012</v>
      </c>
      <c r="EH34" s="4113">
        <f t="shared" si="104"/>
        <v>3419</v>
      </c>
      <c r="EI34" s="4113">
        <f t="shared" si="104"/>
        <v>9038501.0600000005</v>
      </c>
      <c r="EJ34" s="4113">
        <f t="shared" si="104"/>
        <v>125580.92</v>
      </c>
      <c r="EK34" s="4113">
        <f t="shared" si="104"/>
        <v>8075579.8899999997</v>
      </c>
      <c r="EL34" s="4113">
        <f t="shared" si="104"/>
        <v>109525.03</v>
      </c>
      <c r="EM34" s="4113">
        <f t="shared" si="104"/>
        <v>9840068.4399999995</v>
      </c>
      <c r="EN34" s="4113">
        <f t="shared" si="104"/>
        <v>157284.84</v>
      </c>
      <c r="EO34" s="4113">
        <f t="shared" si="104"/>
        <v>11847366.279999999</v>
      </c>
      <c r="EP34" s="4113">
        <f t="shared" si="104"/>
        <v>108506.21</v>
      </c>
      <c r="EQ34" s="4113">
        <f t="shared" si="104"/>
        <v>7943489.8899999997</v>
      </c>
      <c r="ER34" s="4113">
        <f t="shared" si="104"/>
        <v>114462.44</v>
      </c>
      <c r="ES34" s="4113">
        <f t="shared" si="104"/>
        <v>7650263.0300000003</v>
      </c>
      <c r="ET34" s="4113">
        <f t="shared" si="104"/>
        <v>132394.79</v>
      </c>
      <c r="EU34" s="4113">
        <f t="shared" si="104"/>
        <v>4364223.84</v>
      </c>
      <c r="EV34" s="4113">
        <f t="shared" si="104"/>
        <v>71354.83</v>
      </c>
      <c r="EW34" s="4113">
        <f t="shared" si="104"/>
        <v>1161392.68</v>
      </c>
      <c r="EX34" s="4113">
        <f t="shared" si="104"/>
        <v>3419</v>
      </c>
      <c r="EY34" s="4113">
        <f t="shared" si="104"/>
        <v>1712160.5600000003</v>
      </c>
      <c r="EZ34" s="4113">
        <f t="shared" si="104"/>
        <v>0</v>
      </c>
      <c r="FA34" s="4113">
        <f t="shared" si="104"/>
        <v>1359482.3900000001</v>
      </c>
      <c r="FB34" s="4113">
        <f t="shared" si="104"/>
        <v>3605</v>
      </c>
      <c r="FC34" s="4113">
        <f t="shared" si="104"/>
        <v>1313275.0899999999</v>
      </c>
      <c r="FD34" s="4113">
        <f t="shared" si="104"/>
        <v>4.5199999999999996</v>
      </c>
      <c r="FE34" s="4113">
        <f t="shared" si="104"/>
        <v>1530728.9799999997</v>
      </c>
      <c r="FF34" s="4113">
        <f t="shared" si="104"/>
        <v>0</v>
      </c>
      <c r="FG34" s="4113">
        <f t="shared" si="104"/>
        <v>1816814.88</v>
      </c>
      <c r="FH34" s="4113">
        <f t="shared" si="104"/>
        <v>0</v>
      </c>
      <c r="FI34" s="4113">
        <f t="shared" si="104"/>
        <v>2092316.82</v>
      </c>
      <c r="FJ34" s="4113">
        <f t="shared" si="104"/>
        <v>0</v>
      </c>
      <c r="FK34" s="4113">
        <f t="shared" si="104"/>
        <v>2262794.38</v>
      </c>
      <c r="FL34" s="4113">
        <f t="shared" si="104"/>
        <v>195.3</v>
      </c>
      <c r="FM34" s="4113">
        <f t="shared" si="104"/>
        <v>3793354.44</v>
      </c>
      <c r="FN34" s="4113">
        <f t="shared" si="104"/>
        <v>25492.73</v>
      </c>
      <c r="FO34" s="4113">
        <f t="shared" si="104"/>
        <v>2200394.86</v>
      </c>
      <c r="FP34" s="4113">
        <f t="shared" si="104"/>
        <v>2240</v>
      </c>
      <c r="FQ34" s="4113">
        <f t="shared" si="104"/>
        <v>2446629.0099999998</v>
      </c>
      <c r="FR34" s="4113">
        <f t="shared" si="104"/>
        <v>0</v>
      </c>
      <c r="FS34" s="4113">
        <f t="shared" si="104"/>
        <v>2776558.26</v>
      </c>
      <c r="FT34" s="4113">
        <f t="shared" si="104"/>
        <v>2800</v>
      </c>
      <c r="FU34" s="4113">
        <f t="shared" si="104"/>
        <v>2540122.5100000002</v>
      </c>
      <c r="FV34" s="4113">
        <f t="shared" si="104"/>
        <v>0</v>
      </c>
      <c r="FW34" s="4113">
        <f t="shared" si="104"/>
        <v>2560373.5100000002</v>
      </c>
      <c r="FX34" s="4193">
        <f t="shared" si="104"/>
        <v>53</v>
      </c>
      <c r="FY34" s="4194">
        <f t="shared" si="104"/>
        <v>7490828.6500000004</v>
      </c>
      <c r="FZ34" s="4113">
        <f t="shared" si="104"/>
        <v>8270093.5300000003</v>
      </c>
      <c r="GA34" s="4113">
        <f t="shared" si="104"/>
        <v>8984279.5899999999</v>
      </c>
      <c r="GB34" s="4113">
        <f t="shared" si="104"/>
        <v>9384324.2100000009</v>
      </c>
      <c r="GC34" s="4113">
        <f t="shared" si="104"/>
        <v>9543934.4100000001</v>
      </c>
      <c r="GD34" s="4113">
        <f t="shared" si="104"/>
        <v>9251278.2399999984</v>
      </c>
      <c r="GE34" s="4113">
        <f t="shared" si="104"/>
        <v>10340089.600000001</v>
      </c>
      <c r="GF34" s="4113">
        <f t="shared" ref="GF34:HL34" si="105">SUM(GF8:GF10)</f>
        <v>9478426.5300000012</v>
      </c>
      <c r="GG34" s="4113">
        <f t="shared" si="105"/>
        <v>9164081.9800000004</v>
      </c>
      <c r="GH34" s="4113">
        <f t="shared" si="105"/>
        <v>8185104.9199999999</v>
      </c>
      <c r="GI34" s="4113">
        <f t="shared" si="105"/>
        <v>9997353.2799999993</v>
      </c>
      <c r="GJ34" s="4193">
        <f t="shared" si="105"/>
        <v>11955872.49</v>
      </c>
      <c r="GK34" s="4195">
        <f t="shared" si="105"/>
        <v>8057952.3300000001</v>
      </c>
      <c r="GL34" s="4113">
        <f t="shared" si="105"/>
        <v>7782657.8200000003</v>
      </c>
      <c r="GM34" s="4113">
        <f t="shared" si="105"/>
        <v>4435578.67</v>
      </c>
      <c r="GN34" s="4113">
        <f t="shared" si="105"/>
        <v>1164811.68</v>
      </c>
      <c r="GO34" s="4113">
        <f t="shared" si="105"/>
        <v>1712160.5600000003</v>
      </c>
      <c r="GP34" s="4113">
        <f t="shared" si="105"/>
        <v>1363087.3900000001</v>
      </c>
      <c r="GQ34" s="4113">
        <f t="shared" si="105"/>
        <v>1313279.6099999999</v>
      </c>
      <c r="GR34" s="4113">
        <f t="shared" si="105"/>
        <v>1530728.9799999997</v>
      </c>
      <c r="GS34" s="4113">
        <f t="shared" si="105"/>
        <v>1816814.88</v>
      </c>
      <c r="GT34" s="4113">
        <f t="shared" si="105"/>
        <v>2092316.82</v>
      </c>
      <c r="GU34" s="4113">
        <f t="shared" si="105"/>
        <v>2262989.6799999997</v>
      </c>
      <c r="GV34" s="4193">
        <f t="shared" si="105"/>
        <v>3818847.17</v>
      </c>
      <c r="GW34" s="4195">
        <f t="shared" si="105"/>
        <v>2202634.86</v>
      </c>
      <c r="GX34" s="4113">
        <f t="shared" si="105"/>
        <v>2446629.0099999998</v>
      </c>
      <c r="GY34" s="4113">
        <f t="shared" si="105"/>
        <v>2779358.26</v>
      </c>
      <c r="GZ34" s="4113">
        <f t="shared" si="105"/>
        <v>2540122.5100000002</v>
      </c>
      <c r="HA34" s="4113">
        <f t="shared" si="105"/>
        <v>2560426.5100000002</v>
      </c>
      <c r="HB34" s="4186">
        <f t="shared" si="105"/>
        <v>2505834.2299999995</v>
      </c>
      <c r="HC34" s="4186">
        <f t="shared" si="105"/>
        <v>2566474.1040000003</v>
      </c>
      <c r="HD34" s="4186">
        <f t="shared" si="105"/>
        <v>2590443.1227999995</v>
      </c>
      <c r="HE34" s="4186">
        <f t="shared" si="105"/>
        <v>2552660.0953600002</v>
      </c>
      <c r="HF34" s="4186">
        <f t="shared" si="105"/>
        <v>2555167.6124319998</v>
      </c>
      <c r="HG34" s="4186">
        <f t="shared" si="105"/>
        <v>2554115.8329184004</v>
      </c>
      <c r="HH34" s="4187">
        <f t="shared" si="105"/>
        <v>2563772.1535020801</v>
      </c>
      <c r="HI34" s="4196">
        <f t="shared" si="105"/>
        <v>112045667.43000001</v>
      </c>
      <c r="HJ34" s="4197">
        <f t="shared" si="105"/>
        <v>37351225.590000004</v>
      </c>
      <c r="HK34" s="4198">
        <f t="shared" si="105"/>
        <v>12529171.149999999</v>
      </c>
      <c r="HL34" s="4199">
        <f t="shared" si="105"/>
        <v>30417638.301012479</v>
      </c>
    </row>
    <row r="35" spans="1:221">
      <c r="A35" s="5501" t="s">
        <v>1714</v>
      </c>
      <c r="B35" s="5501"/>
      <c r="C35" s="5501"/>
      <c r="D35" s="5501"/>
      <c r="E35" s="5501"/>
      <c r="F35" s="4200"/>
      <c r="G35" s="4200"/>
      <c r="H35" s="4200"/>
      <c r="I35" s="4200"/>
      <c r="J35" s="4200"/>
      <c r="K35" s="4200"/>
      <c r="L35" s="4200"/>
      <c r="M35" s="4200"/>
      <c r="N35" s="4200"/>
      <c r="O35" s="4200"/>
      <c r="P35" s="4200"/>
      <c r="Q35" s="4200"/>
      <c r="R35" s="4200"/>
      <c r="S35" s="4200"/>
      <c r="T35" s="4200"/>
      <c r="U35" s="4200"/>
      <c r="V35" s="4200"/>
      <c r="W35" s="4200"/>
      <c r="X35" s="4200"/>
      <c r="Y35" s="4200"/>
      <c r="Z35" s="4200"/>
      <c r="AA35" s="4200"/>
      <c r="AB35" s="4200"/>
      <c r="AC35" s="4200"/>
      <c r="AD35" s="4200"/>
      <c r="AE35" s="4200"/>
      <c r="AF35" s="4200"/>
      <c r="AG35" s="4200"/>
      <c r="AH35" s="4200"/>
      <c r="AI35" s="4200"/>
      <c r="AJ35" s="4200"/>
      <c r="AK35" s="4200"/>
      <c r="AL35" s="4200"/>
      <c r="AM35" s="4200"/>
      <c r="AN35" s="4200"/>
      <c r="AO35" s="4200"/>
      <c r="AP35" s="4200"/>
      <c r="AQ35" s="4200"/>
      <c r="AR35" s="4200"/>
      <c r="AS35" s="4200"/>
      <c r="AT35" s="4200"/>
      <c r="AU35" s="4200"/>
      <c r="AV35" s="4200"/>
      <c r="AW35" s="4200"/>
      <c r="AX35" s="4200"/>
      <c r="AY35" s="4200"/>
      <c r="AZ35" s="4200"/>
      <c r="BA35" s="4200"/>
      <c r="BB35" s="4200"/>
      <c r="BC35" s="4200"/>
      <c r="BD35" s="4200"/>
      <c r="BE35" s="4200"/>
      <c r="BF35" s="4200"/>
      <c r="BG35" s="4200"/>
      <c r="BH35" s="4200"/>
      <c r="BI35" s="4200"/>
      <c r="BJ35" s="4200"/>
      <c r="BK35" s="4200"/>
      <c r="BL35" s="4200"/>
      <c r="BM35" s="4200"/>
      <c r="BN35" s="4200"/>
      <c r="BO35" s="4200"/>
      <c r="BP35" s="4200"/>
      <c r="BQ35" s="4200"/>
      <c r="BR35" s="4200"/>
      <c r="BS35" s="4200"/>
      <c r="BT35" s="4200"/>
      <c r="BU35" s="4200"/>
      <c r="BV35" s="4200"/>
      <c r="BW35" s="4200"/>
      <c r="BX35" s="4200"/>
      <c r="BY35" s="4200"/>
      <c r="BZ35" s="4200"/>
      <c r="CA35" s="4200"/>
      <c r="CB35" s="4200"/>
      <c r="CC35" s="4200"/>
      <c r="CD35" s="4200"/>
      <c r="CE35" s="4200"/>
      <c r="CF35" s="4200"/>
      <c r="CG35" s="4200"/>
      <c r="CH35" s="4200"/>
      <c r="CI35" s="4200"/>
      <c r="CJ35" s="4200"/>
      <c r="CK35" s="4200"/>
      <c r="CL35" s="4200"/>
      <c r="CM35" s="4200"/>
      <c r="CN35" s="4200"/>
      <c r="CO35" s="4200"/>
      <c r="CP35" s="4200"/>
      <c r="CQ35" s="4200"/>
      <c r="CR35" s="4200"/>
      <c r="CS35" s="4200"/>
      <c r="CT35" s="4200"/>
      <c r="CU35" s="4200"/>
      <c r="CV35" s="4200"/>
      <c r="CW35" s="4200"/>
      <c r="CX35" s="4200"/>
      <c r="CY35" s="4200"/>
      <c r="CZ35" s="4200"/>
      <c r="DA35" s="4200"/>
      <c r="DB35" s="4200"/>
      <c r="DC35" s="4200"/>
      <c r="DD35" s="4200"/>
      <c r="DE35" s="4200"/>
      <c r="DF35" s="4200"/>
      <c r="DG35" s="4200"/>
      <c r="DH35" s="4200"/>
      <c r="DI35" s="4200"/>
      <c r="DJ35" s="4200"/>
      <c r="DK35" s="4200"/>
      <c r="DL35" s="4200"/>
      <c r="DM35" s="4200"/>
      <c r="DN35" s="4200"/>
      <c r="DO35" s="4200"/>
      <c r="DP35" s="4200"/>
      <c r="DQ35" s="4200"/>
      <c r="DR35" s="4200"/>
      <c r="DS35" s="4201">
        <f>SUM(DS4:DS5)</f>
        <v>82025775.25</v>
      </c>
      <c r="DT35" s="4201">
        <f t="shared" ref="DT35:GE35" si="106">SUM(DT4:DT5)</f>
        <v>605945.04</v>
      </c>
      <c r="DU35" s="4201">
        <f t="shared" si="106"/>
        <v>68735071.379999995</v>
      </c>
      <c r="DV35" s="4201">
        <f t="shared" si="106"/>
        <v>607730.64</v>
      </c>
      <c r="DW35" s="4201">
        <f t="shared" si="106"/>
        <v>76660782.780000001</v>
      </c>
      <c r="DX35" s="4201">
        <f t="shared" si="106"/>
        <v>599253.88</v>
      </c>
      <c r="DY35" s="4201">
        <f t="shared" si="106"/>
        <v>75806522.739999995</v>
      </c>
      <c r="DZ35" s="4201">
        <f t="shared" si="106"/>
        <v>764134.7</v>
      </c>
      <c r="EA35" s="4201">
        <f t="shared" si="106"/>
        <v>76285783.460000008</v>
      </c>
      <c r="EB35" s="4201">
        <f t="shared" si="106"/>
        <v>487831.98000000004</v>
      </c>
      <c r="EC35" s="4201">
        <f t="shared" si="106"/>
        <v>72909489.63000001</v>
      </c>
      <c r="ED35" s="4201">
        <f t="shared" si="106"/>
        <v>397989.58</v>
      </c>
      <c r="EE35" s="4201">
        <f t="shared" si="106"/>
        <v>79445588.329999983</v>
      </c>
      <c r="EF35" s="4201">
        <f t="shared" si="106"/>
        <v>442410.95</v>
      </c>
      <c r="EG35" s="4201">
        <f t="shared" si="106"/>
        <v>74891865.150000006</v>
      </c>
      <c r="EH35" s="4201">
        <f t="shared" si="106"/>
        <v>2211</v>
      </c>
      <c r="EI35" s="4201">
        <f t="shared" si="106"/>
        <v>67822687.61999999</v>
      </c>
      <c r="EJ35" s="4201">
        <f t="shared" si="106"/>
        <v>432836.64</v>
      </c>
      <c r="EK35" s="4201">
        <f t="shared" si="106"/>
        <v>62486773.889999993</v>
      </c>
      <c r="EL35" s="4201">
        <f t="shared" si="106"/>
        <v>435180.71</v>
      </c>
      <c r="EM35" s="4201">
        <f t="shared" si="106"/>
        <v>63793736.68</v>
      </c>
      <c r="EN35" s="4201">
        <f t="shared" si="106"/>
        <v>1000349.02</v>
      </c>
      <c r="EO35" s="4201">
        <f t="shared" si="106"/>
        <v>62590883.809999995</v>
      </c>
      <c r="EP35" s="4201">
        <f t="shared" si="106"/>
        <v>687745.07</v>
      </c>
      <c r="EQ35" s="4201">
        <f t="shared" si="106"/>
        <v>71094112.710000008</v>
      </c>
      <c r="ER35" s="4201">
        <f t="shared" si="106"/>
        <v>834119.78</v>
      </c>
      <c r="ES35" s="4201">
        <f t="shared" si="106"/>
        <v>63664200.329999998</v>
      </c>
      <c r="ET35" s="4201">
        <f t="shared" si="106"/>
        <v>865286.83</v>
      </c>
      <c r="EU35" s="4201">
        <f t="shared" si="106"/>
        <v>33435319.740000002</v>
      </c>
      <c r="EV35" s="4201">
        <f t="shared" si="106"/>
        <v>847682.89</v>
      </c>
      <c r="EW35" s="4201">
        <f t="shared" si="106"/>
        <v>5516874.2199999997</v>
      </c>
      <c r="EX35" s="4201">
        <f t="shared" si="106"/>
        <v>2211</v>
      </c>
      <c r="EY35" s="4201">
        <f t="shared" si="106"/>
        <v>8659749.2699999996</v>
      </c>
      <c r="EZ35" s="4201">
        <f t="shared" si="106"/>
        <v>45765.29</v>
      </c>
      <c r="FA35" s="4201">
        <f t="shared" si="106"/>
        <v>9990200.0099999998</v>
      </c>
      <c r="FB35" s="4201">
        <f t="shared" si="106"/>
        <v>978691.32</v>
      </c>
      <c r="FC35" s="4201">
        <f t="shared" si="106"/>
        <v>7907607.6099999994</v>
      </c>
      <c r="FD35" s="4201">
        <f t="shared" si="106"/>
        <v>177690.85</v>
      </c>
      <c r="FE35" s="4201">
        <f t="shared" si="106"/>
        <v>11969220.739999998</v>
      </c>
      <c r="FF35" s="4201">
        <f t="shared" si="106"/>
        <v>95841.48000000001</v>
      </c>
      <c r="FG35" s="4201">
        <f t="shared" si="106"/>
        <v>16883171.52</v>
      </c>
      <c r="FH35" s="4201">
        <f t="shared" si="106"/>
        <v>114627.86</v>
      </c>
      <c r="FI35" s="4201">
        <f t="shared" si="106"/>
        <v>23728674.68</v>
      </c>
      <c r="FJ35" s="4201">
        <f t="shared" si="106"/>
        <v>213350.19</v>
      </c>
      <c r="FK35" s="4201">
        <f t="shared" si="106"/>
        <v>22025112.289999999</v>
      </c>
      <c r="FL35" s="4201">
        <f t="shared" si="106"/>
        <v>507000.61</v>
      </c>
      <c r="FM35" s="4201">
        <f t="shared" si="106"/>
        <v>21839351.98</v>
      </c>
      <c r="FN35" s="4201">
        <f t="shared" si="106"/>
        <v>1331576.8600000001</v>
      </c>
      <c r="FO35" s="4201">
        <f t="shared" si="106"/>
        <v>15331598.23</v>
      </c>
      <c r="FP35" s="4201">
        <f t="shared" si="106"/>
        <v>575634.89</v>
      </c>
      <c r="FQ35" s="4201">
        <f t="shared" si="106"/>
        <v>15857049.07</v>
      </c>
      <c r="FR35" s="4201">
        <f t="shared" si="106"/>
        <v>488663.54</v>
      </c>
      <c r="FS35" s="4201">
        <f t="shared" si="106"/>
        <v>27964937.32</v>
      </c>
      <c r="FT35" s="4201">
        <f t="shared" si="106"/>
        <v>868682.99</v>
      </c>
      <c r="FU35" s="4201">
        <f t="shared" si="106"/>
        <v>27840418.119999997</v>
      </c>
      <c r="FV35" s="4201">
        <f t="shared" si="106"/>
        <v>361868.22</v>
      </c>
      <c r="FW35" s="4201">
        <f t="shared" si="106"/>
        <v>41071021.979999997</v>
      </c>
      <c r="FX35" s="4202">
        <f t="shared" si="106"/>
        <v>570259.80000000005</v>
      </c>
      <c r="FY35" s="4203">
        <f t="shared" si="106"/>
        <v>82631720.290000007</v>
      </c>
      <c r="FZ35" s="4201">
        <f t="shared" si="106"/>
        <v>69342802.019999996</v>
      </c>
      <c r="GA35" s="4201">
        <f t="shared" si="106"/>
        <v>77260036.659999996</v>
      </c>
      <c r="GB35" s="4201">
        <f t="shared" si="106"/>
        <v>76570657.439999998</v>
      </c>
      <c r="GC35" s="4201">
        <f t="shared" si="106"/>
        <v>76773615.440000013</v>
      </c>
      <c r="GD35" s="4201">
        <f t="shared" si="106"/>
        <v>73307479.210000008</v>
      </c>
      <c r="GE35" s="4201">
        <f t="shared" si="106"/>
        <v>79887999.279999986</v>
      </c>
      <c r="GF35" s="4201">
        <f t="shared" ref="GF35:HL35" si="107">SUM(GF4:GF5)</f>
        <v>74894076.150000006</v>
      </c>
      <c r="GG35" s="4201">
        <f t="shared" si="107"/>
        <v>68255524.25999999</v>
      </c>
      <c r="GH35" s="4201">
        <f t="shared" si="107"/>
        <v>62921954.599999994</v>
      </c>
      <c r="GI35" s="4201">
        <f t="shared" si="107"/>
        <v>64794085.700000003</v>
      </c>
      <c r="GJ35" s="4202">
        <f t="shared" si="107"/>
        <v>63278628.879999995</v>
      </c>
      <c r="GK35" s="4204">
        <f t="shared" si="107"/>
        <v>71928232.49000001</v>
      </c>
      <c r="GL35" s="4201">
        <f t="shared" si="107"/>
        <v>64529487.159999996</v>
      </c>
      <c r="GM35" s="4201">
        <f t="shared" si="107"/>
        <v>34283002.630000003</v>
      </c>
      <c r="GN35" s="4201">
        <f t="shared" si="107"/>
        <v>5519085.2199999997</v>
      </c>
      <c r="GO35" s="4201">
        <f t="shared" si="107"/>
        <v>8705514.5599999987</v>
      </c>
      <c r="GP35" s="4201">
        <f t="shared" si="107"/>
        <v>10968891.33</v>
      </c>
      <c r="GQ35" s="4201">
        <f t="shared" si="107"/>
        <v>8085298.459999999</v>
      </c>
      <c r="GR35" s="4201">
        <f t="shared" si="107"/>
        <v>12065062.219999999</v>
      </c>
      <c r="GS35" s="4201">
        <f t="shared" si="107"/>
        <v>16997799.379999999</v>
      </c>
      <c r="GT35" s="4201">
        <f t="shared" si="107"/>
        <v>23942024.870000001</v>
      </c>
      <c r="GU35" s="4201">
        <f t="shared" si="107"/>
        <v>22532112.899999999</v>
      </c>
      <c r="GV35" s="4202">
        <f t="shared" si="107"/>
        <v>23170928.84</v>
      </c>
      <c r="GW35" s="4204">
        <f t="shared" si="107"/>
        <v>15907233.120000001</v>
      </c>
      <c r="GX35" s="4201">
        <f t="shared" si="107"/>
        <v>16345712.609999999</v>
      </c>
      <c r="GY35" s="4201">
        <f t="shared" si="107"/>
        <v>28833620.309999999</v>
      </c>
      <c r="GZ35" s="4201">
        <f t="shared" si="107"/>
        <v>28202286.339999996</v>
      </c>
      <c r="HA35" s="4201">
        <f t="shared" si="107"/>
        <v>41641281.779999994</v>
      </c>
      <c r="HB35" s="4186">
        <f t="shared" si="107"/>
        <v>26186026.831999999</v>
      </c>
      <c r="HC35" s="4186">
        <f t="shared" si="107"/>
        <v>28241785.574399997</v>
      </c>
      <c r="HD35" s="4186">
        <f t="shared" si="107"/>
        <v>30621000.167279996</v>
      </c>
      <c r="HE35" s="4186">
        <f t="shared" si="107"/>
        <v>30978476.138735998</v>
      </c>
      <c r="HF35" s="4186">
        <f t="shared" si="107"/>
        <v>31533714.098483197</v>
      </c>
      <c r="HG35" s="4186">
        <f t="shared" si="107"/>
        <v>29512200.562179834</v>
      </c>
      <c r="HH35" s="4187">
        <f t="shared" si="107"/>
        <v>30177435.308215804</v>
      </c>
      <c r="HI35" s="4205">
        <f t="shared" si="107"/>
        <v>869918579.93000007</v>
      </c>
      <c r="HJ35" s="4206">
        <f t="shared" si="107"/>
        <v>302727440.05999994</v>
      </c>
      <c r="HK35" s="4207">
        <f t="shared" si="107"/>
        <v>130930134.16</v>
      </c>
      <c r="HL35" s="4199">
        <f t="shared" si="107"/>
        <v>338180772.84129483</v>
      </c>
    </row>
    <row r="36" spans="1:221" ht="15" thickBot="1">
      <c r="A36" s="5491" t="s">
        <v>1715</v>
      </c>
      <c r="B36" s="5491"/>
      <c r="C36" s="5491"/>
      <c r="D36" s="5491"/>
      <c r="E36" s="5491"/>
      <c r="F36" s="4208"/>
      <c r="G36" s="4208"/>
      <c r="H36" s="4208"/>
      <c r="I36" s="4208"/>
      <c r="J36" s="4208"/>
      <c r="K36" s="4208"/>
      <c r="L36" s="4208"/>
      <c r="M36" s="4208"/>
      <c r="N36" s="4208"/>
      <c r="O36" s="4208"/>
      <c r="P36" s="4208"/>
      <c r="Q36" s="4208"/>
      <c r="R36" s="4208"/>
      <c r="S36" s="4208"/>
      <c r="T36" s="4208"/>
      <c r="U36" s="4208"/>
      <c r="V36" s="4208"/>
      <c r="W36" s="4208"/>
      <c r="X36" s="4208"/>
      <c r="Y36" s="4208"/>
      <c r="Z36" s="4208"/>
      <c r="AA36" s="4208"/>
      <c r="AB36" s="4208"/>
      <c r="AC36" s="4208"/>
      <c r="AD36" s="4208"/>
      <c r="AE36" s="4208"/>
      <c r="AF36" s="4208"/>
      <c r="AG36" s="4208"/>
      <c r="AH36" s="4208"/>
      <c r="AI36" s="4208"/>
      <c r="AJ36" s="4208"/>
      <c r="AK36" s="4208"/>
      <c r="AL36" s="4208"/>
      <c r="AM36" s="4208"/>
      <c r="AN36" s="4208"/>
      <c r="AO36" s="4208"/>
      <c r="AP36" s="4208"/>
      <c r="AQ36" s="4208"/>
      <c r="AR36" s="4208"/>
      <c r="AS36" s="4208"/>
      <c r="AT36" s="4208"/>
      <c r="AU36" s="4208"/>
      <c r="AV36" s="4208"/>
      <c r="AW36" s="4208"/>
      <c r="AX36" s="4208"/>
      <c r="AY36" s="4208"/>
      <c r="AZ36" s="4208"/>
      <c r="BA36" s="4208"/>
      <c r="BB36" s="4208"/>
      <c r="BC36" s="4208"/>
      <c r="BD36" s="4208"/>
      <c r="BE36" s="4208"/>
      <c r="BF36" s="4208"/>
      <c r="BG36" s="4208"/>
      <c r="BH36" s="4208"/>
      <c r="BI36" s="4208"/>
      <c r="BJ36" s="4208"/>
      <c r="BK36" s="4208"/>
      <c r="BL36" s="4208"/>
      <c r="BM36" s="4208"/>
      <c r="BN36" s="4208"/>
      <c r="BO36" s="4208"/>
      <c r="BP36" s="4208"/>
      <c r="BQ36" s="4208"/>
      <c r="BR36" s="4208"/>
      <c r="BS36" s="4208"/>
      <c r="BT36" s="4208"/>
      <c r="BU36" s="4208"/>
      <c r="BV36" s="4208"/>
      <c r="BW36" s="4208"/>
      <c r="BX36" s="4208"/>
      <c r="BY36" s="4208"/>
      <c r="BZ36" s="4208"/>
      <c r="CA36" s="4208"/>
      <c r="CB36" s="4208"/>
      <c r="CC36" s="4208"/>
      <c r="CD36" s="4208"/>
      <c r="CE36" s="4208"/>
      <c r="CF36" s="4208"/>
      <c r="CG36" s="4208"/>
      <c r="CH36" s="4208"/>
      <c r="CI36" s="4208"/>
      <c r="CJ36" s="4208"/>
      <c r="CK36" s="4208"/>
      <c r="CL36" s="4208"/>
      <c r="CM36" s="4208"/>
      <c r="CN36" s="4208"/>
      <c r="CO36" s="4208"/>
      <c r="CP36" s="4208"/>
      <c r="CQ36" s="4208"/>
      <c r="CR36" s="4208"/>
      <c r="CS36" s="4208"/>
      <c r="CT36" s="4208"/>
      <c r="CU36" s="4208"/>
      <c r="CV36" s="4208"/>
      <c r="CW36" s="4208"/>
      <c r="CX36" s="4208"/>
      <c r="CY36" s="4208"/>
      <c r="CZ36" s="4208"/>
      <c r="DA36" s="4208"/>
      <c r="DB36" s="4208"/>
      <c r="DC36" s="4208"/>
      <c r="DD36" s="4208"/>
      <c r="DE36" s="4208"/>
      <c r="DF36" s="4208"/>
      <c r="DG36" s="4208"/>
      <c r="DH36" s="4208"/>
      <c r="DI36" s="4208"/>
      <c r="DJ36" s="4208"/>
      <c r="DK36" s="4208"/>
      <c r="DL36" s="4208"/>
      <c r="DM36" s="4208"/>
      <c r="DN36" s="4208"/>
      <c r="DO36" s="4208"/>
      <c r="DP36" s="4208"/>
      <c r="DQ36" s="4208"/>
      <c r="DR36" s="4208"/>
      <c r="DS36" s="4101">
        <f>SUM(DS6:DS7)+SUM(DS18:DS23)</f>
        <v>17656191.219999999</v>
      </c>
      <c r="DT36" s="4101">
        <f t="shared" ref="DT36:FX36" si="108">SUM(DT6:DT7)+SUM(DT18:DT23)</f>
        <v>676600.75</v>
      </c>
      <c r="DU36" s="4101">
        <f t="shared" si="108"/>
        <v>18466361.600000001</v>
      </c>
      <c r="DV36" s="4101">
        <f t="shared" si="108"/>
        <v>1947968.86</v>
      </c>
      <c r="DW36" s="4101">
        <f t="shared" si="108"/>
        <v>18670104.620000001</v>
      </c>
      <c r="DX36" s="4101">
        <f t="shared" si="108"/>
        <v>866398.2</v>
      </c>
      <c r="DY36" s="4101">
        <f t="shared" si="108"/>
        <v>18875527.010000002</v>
      </c>
      <c r="DZ36" s="4101">
        <f t="shared" si="108"/>
        <v>849514.71000000008</v>
      </c>
      <c r="EA36" s="4101">
        <f t="shared" si="108"/>
        <v>19730021.240000002</v>
      </c>
      <c r="EB36" s="4101">
        <f t="shared" si="108"/>
        <v>743898.11</v>
      </c>
      <c r="EC36" s="4101">
        <f t="shared" si="108"/>
        <v>20095918.530000001</v>
      </c>
      <c r="ED36" s="4101">
        <f t="shared" si="108"/>
        <v>1057354.8599999999</v>
      </c>
      <c r="EE36" s="4101">
        <f t="shared" si="108"/>
        <v>23312189.509999998</v>
      </c>
      <c r="EF36" s="4101">
        <f t="shared" si="108"/>
        <v>751281.35999999987</v>
      </c>
      <c r="EG36" s="4101">
        <f t="shared" si="108"/>
        <v>23310376.93</v>
      </c>
      <c r="EH36" s="4101">
        <f t="shared" si="108"/>
        <v>10433</v>
      </c>
      <c r="EI36" s="4101">
        <f t="shared" si="108"/>
        <v>20953884.25</v>
      </c>
      <c r="EJ36" s="4101">
        <f t="shared" si="108"/>
        <v>828836.78</v>
      </c>
      <c r="EK36" s="4101">
        <f t="shared" si="108"/>
        <v>19220112.190000001</v>
      </c>
      <c r="EL36" s="4101">
        <f t="shared" si="108"/>
        <v>1223847.01</v>
      </c>
      <c r="EM36" s="4101">
        <f t="shared" si="108"/>
        <v>19305554.690000001</v>
      </c>
      <c r="EN36" s="4101">
        <f t="shared" si="108"/>
        <v>775775.64999999991</v>
      </c>
      <c r="EO36" s="4101">
        <f t="shared" si="108"/>
        <v>19822213.630000003</v>
      </c>
      <c r="EP36" s="4101">
        <f t="shared" si="108"/>
        <v>1149327.6399999999</v>
      </c>
      <c r="EQ36" s="4101">
        <f t="shared" si="108"/>
        <v>20903679.649999999</v>
      </c>
      <c r="ER36" s="4101">
        <f t="shared" si="108"/>
        <v>824544.15999999992</v>
      </c>
      <c r="ES36" s="4101">
        <f t="shared" si="108"/>
        <v>17172995.479999997</v>
      </c>
      <c r="ET36" s="4101">
        <f t="shared" si="108"/>
        <v>697329.63</v>
      </c>
      <c r="EU36" s="4101">
        <f t="shared" si="108"/>
        <v>9637210.0700000003</v>
      </c>
      <c r="EV36" s="4101">
        <f t="shared" si="108"/>
        <v>475497.74</v>
      </c>
      <c r="EW36" s="4101">
        <f t="shared" si="108"/>
        <v>2346607.6700000004</v>
      </c>
      <c r="EX36" s="4101">
        <f t="shared" si="108"/>
        <v>10433</v>
      </c>
      <c r="EY36" s="4101">
        <f t="shared" si="108"/>
        <v>2158810.61</v>
      </c>
      <c r="EZ36" s="4101">
        <f t="shared" si="108"/>
        <v>279353.02</v>
      </c>
      <c r="FA36" s="4101">
        <f t="shared" si="108"/>
        <v>3998560.15</v>
      </c>
      <c r="FB36" s="4101">
        <f t="shared" si="108"/>
        <v>219713.75</v>
      </c>
      <c r="FC36" s="4101">
        <f t="shared" si="108"/>
        <v>4282206.58</v>
      </c>
      <c r="FD36" s="4101">
        <f t="shared" si="108"/>
        <v>88286.45</v>
      </c>
      <c r="FE36" s="4101">
        <f t="shared" si="108"/>
        <v>5735505.7300000004</v>
      </c>
      <c r="FF36" s="4101">
        <f t="shared" si="108"/>
        <v>106597.15</v>
      </c>
      <c r="FG36" s="4101">
        <f t="shared" si="108"/>
        <v>7609598.5300000003</v>
      </c>
      <c r="FH36" s="4101">
        <f t="shared" si="108"/>
        <v>64361.229999999996</v>
      </c>
      <c r="FI36" s="4101">
        <f t="shared" si="108"/>
        <v>8285872</v>
      </c>
      <c r="FJ36" s="4101">
        <f t="shared" si="108"/>
        <v>169866.02</v>
      </c>
      <c r="FK36" s="4101">
        <f t="shared" si="108"/>
        <v>8241759.7800000003</v>
      </c>
      <c r="FL36" s="4101">
        <f t="shared" si="108"/>
        <v>228123.08</v>
      </c>
      <c r="FM36" s="4101">
        <f t="shared" si="108"/>
        <v>10581943.690000001</v>
      </c>
      <c r="FN36" s="4101">
        <f t="shared" si="108"/>
        <v>335386.75</v>
      </c>
      <c r="FO36" s="4101">
        <f t="shared" si="108"/>
        <v>8466978.959999999</v>
      </c>
      <c r="FP36" s="4101">
        <f t="shared" si="108"/>
        <v>262734.82</v>
      </c>
      <c r="FQ36" s="4101">
        <f t="shared" si="108"/>
        <v>8571983.8499999996</v>
      </c>
      <c r="FR36" s="4101">
        <f t="shared" si="108"/>
        <v>97977.63</v>
      </c>
      <c r="FS36" s="4101">
        <f t="shared" si="108"/>
        <v>12656810.539999999</v>
      </c>
      <c r="FT36" s="4101">
        <f t="shared" si="108"/>
        <v>142796.26999999999</v>
      </c>
      <c r="FU36" s="4101">
        <f t="shared" si="108"/>
        <v>14930867.52</v>
      </c>
      <c r="FV36" s="4101">
        <f t="shared" si="108"/>
        <v>96270.47</v>
      </c>
      <c r="FW36" s="4101">
        <f t="shared" si="108"/>
        <v>19447935.809999999</v>
      </c>
      <c r="FX36" s="4209">
        <f t="shared" si="108"/>
        <v>354091.3</v>
      </c>
      <c r="FY36" s="4210">
        <f t="shared" ref="FY36:HK36" si="109">SUM(FY6:FY7)+SUM(FY18:FY23)</f>
        <v>18332791.969999999</v>
      </c>
      <c r="FZ36" s="4101">
        <f t="shared" si="109"/>
        <v>20414330.460000001</v>
      </c>
      <c r="GA36" s="4101">
        <f t="shared" si="109"/>
        <v>19536502.82</v>
      </c>
      <c r="GB36" s="4101">
        <f t="shared" si="109"/>
        <v>19725041.720000003</v>
      </c>
      <c r="GC36" s="4101">
        <f t="shared" si="109"/>
        <v>20473919.350000001</v>
      </c>
      <c r="GD36" s="4101">
        <f t="shared" si="109"/>
        <v>21153273.390000001</v>
      </c>
      <c r="GE36" s="4101">
        <f t="shared" si="109"/>
        <v>24063470.869999997</v>
      </c>
      <c r="GF36" s="4101">
        <f t="shared" si="109"/>
        <v>23320809.93</v>
      </c>
      <c r="GG36" s="4101">
        <f t="shared" si="109"/>
        <v>21782721.030000001</v>
      </c>
      <c r="GH36" s="4101">
        <f t="shared" si="109"/>
        <v>20443959.200000003</v>
      </c>
      <c r="GI36" s="4101">
        <f t="shared" si="109"/>
        <v>20081330.340000004</v>
      </c>
      <c r="GJ36" s="4209">
        <f t="shared" si="109"/>
        <v>20971541.27</v>
      </c>
      <c r="GK36" s="4211">
        <f t="shared" si="109"/>
        <v>21728223.810000002</v>
      </c>
      <c r="GL36" s="4101">
        <f t="shared" si="109"/>
        <v>17870325.109999999</v>
      </c>
      <c r="GM36" s="4101">
        <f t="shared" si="109"/>
        <v>10112707.810000001</v>
      </c>
      <c r="GN36" s="4101">
        <f t="shared" si="109"/>
        <v>2357040.6700000004</v>
      </c>
      <c r="GO36" s="4101">
        <f t="shared" si="109"/>
        <v>2438163.6300000004</v>
      </c>
      <c r="GP36" s="4101">
        <f t="shared" si="109"/>
        <v>4218273.9000000004</v>
      </c>
      <c r="GQ36" s="4101">
        <f t="shared" si="109"/>
        <v>4370493.03</v>
      </c>
      <c r="GR36" s="4101">
        <f t="shared" si="109"/>
        <v>5842102.8799999999</v>
      </c>
      <c r="GS36" s="4101">
        <f t="shared" si="109"/>
        <v>7673959.7600000007</v>
      </c>
      <c r="GT36" s="4101">
        <f t="shared" si="109"/>
        <v>8455738.0199999996</v>
      </c>
      <c r="GU36" s="4101">
        <f t="shared" si="109"/>
        <v>8469882.8599999994</v>
      </c>
      <c r="GV36" s="4209">
        <f t="shared" si="109"/>
        <v>10917330.440000001</v>
      </c>
      <c r="GW36" s="4211">
        <f t="shared" si="109"/>
        <v>8729713.7799999993</v>
      </c>
      <c r="GX36" s="4101">
        <f t="shared" si="109"/>
        <v>8669961.4799999986</v>
      </c>
      <c r="GY36" s="4101">
        <f t="shared" si="109"/>
        <v>12799606.809999999</v>
      </c>
      <c r="GZ36" s="4101">
        <f t="shared" si="109"/>
        <v>15027137.989999998</v>
      </c>
      <c r="HA36" s="4101">
        <f t="shared" si="109"/>
        <v>19802027.109999999</v>
      </c>
      <c r="HB36" s="4186">
        <f t="shared" ref="HB36:HH36" si="110">SUM(HB6:HB7)+SUM(HB18:HB23)</f>
        <v>13005689.434</v>
      </c>
      <c r="HC36" s="4186">
        <f t="shared" si="110"/>
        <v>13860884.564799998</v>
      </c>
      <c r="HD36" s="4186">
        <f t="shared" si="110"/>
        <v>14899069.181760002</v>
      </c>
      <c r="HE36" s="4186">
        <f t="shared" si="110"/>
        <v>15318961.656112</v>
      </c>
      <c r="HF36" s="4186">
        <f t="shared" si="110"/>
        <v>15377326.389334399</v>
      </c>
      <c r="HG36" s="4186">
        <f t="shared" si="110"/>
        <v>14492386.245201282</v>
      </c>
      <c r="HH36" s="4187">
        <f t="shared" si="110"/>
        <v>14789725.607441537</v>
      </c>
      <c r="HI36" s="4212">
        <f t="shared" si="109"/>
        <v>250299692.35000002</v>
      </c>
      <c r="HJ36" s="4213">
        <f t="shared" si="109"/>
        <v>104454241.91999999</v>
      </c>
      <c r="HK36" s="4214">
        <f t="shared" si="109"/>
        <v>65028447.169999994</v>
      </c>
      <c r="HL36" s="4199">
        <f t="shared" ref="HL36" si="111">SUM(HL6:HL7)+SUM(HL18:HL23)</f>
        <v>166772490.24864924</v>
      </c>
    </row>
    <row r="37" spans="1:221" ht="15" thickBot="1">
      <c r="A37" s="2"/>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4215">
        <f>SUM(DS33:DS36)</f>
        <v>184571838.02000001</v>
      </c>
      <c r="DT37" s="4216">
        <f t="shared" ref="DT37:GE37" si="112">SUM(DT33:DT36)</f>
        <v>1364000.38</v>
      </c>
      <c r="DU37" s="4215">
        <f t="shared" si="112"/>
        <v>174853016.54999998</v>
      </c>
      <c r="DV37" s="4215">
        <f t="shared" si="112"/>
        <v>2640455.85</v>
      </c>
      <c r="DW37" s="4215">
        <f t="shared" si="112"/>
        <v>189111541.93000001</v>
      </c>
      <c r="DX37" s="4215">
        <f t="shared" si="112"/>
        <v>1587277.6099999999</v>
      </c>
      <c r="DY37" s="4215">
        <f t="shared" si="112"/>
        <v>187172805.66</v>
      </c>
      <c r="DZ37" s="4215">
        <f t="shared" si="112"/>
        <v>1707038.1400000001</v>
      </c>
      <c r="EA37" s="4215">
        <f t="shared" si="112"/>
        <v>191911120.99000001</v>
      </c>
      <c r="EB37" s="4215">
        <f t="shared" si="112"/>
        <v>1348697.9300000002</v>
      </c>
      <c r="EC37" s="4215">
        <f t="shared" si="112"/>
        <v>192237963.40000001</v>
      </c>
      <c r="ED37" s="4215">
        <f t="shared" si="112"/>
        <v>1679385.7899999998</v>
      </c>
      <c r="EE37" s="4215">
        <f t="shared" si="112"/>
        <v>199821433.41999996</v>
      </c>
      <c r="EF37" s="4215">
        <f t="shared" si="112"/>
        <v>1289785.8399999999</v>
      </c>
      <c r="EG37" s="4215">
        <f t="shared" si="112"/>
        <v>196476379.55000001</v>
      </c>
      <c r="EH37" s="4215">
        <f t="shared" si="112"/>
        <v>24092</v>
      </c>
      <c r="EI37" s="4215">
        <f t="shared" si="112"/>
        <v>181871869.14999998</v>
      </c>
      <c r="EJ37" s="4215">
        <f t="shared" si="112"/>
        <v>1520904.44</v>
      </c>
      <c r="EK37" s="4215">
        <f t="shared" si="112"/>
        <v>164761466.48999998</v>
      </c>
      <c r="EL37" s="4215">
        <f t="shared" si="112"/>
        <v>1793731.78</v>
      </c>
      <c r="EM37" s="4215">
        <f t="shared" si="112"/>
        <v>181090473.43000001</v>
      </c>
      <c r="EN37" s="4215">
        <f t="shared" si="112"/>
        <v>2013294.1099999999</v>
      </c>
      <c r="EO37" s="4215">
        <f t="shared" si="112"/>
        <v>209430017.44999999</v>
      </c>
      <c r="EP37" s="4215">
        <f t="shared" si="112"/>
        <v>2079963.42</v>
      </c>
      <c r="EQ37" s="4215">
        <f t="shared" si="112"/>
        <v>185420207.67000005</v>
      </c>
      <c r="ER37" s="4215">
        <f t="shared" si="112"/>
        <v>1915547.01</v>
      </c>
      <c r="ES37" s="4215">
        <f t="shared" si="112"/>
        <v>173214932.29999998</v>
      </c>
      <c r="ET37" s="4215">
        <f t="shared" si="112"/>
        <v>1758596.31</v>
      </c>
      <c r="EU37" s="4215">
        <f t="shared" si="112"/>
        <v>95869106.449999988</v>
      </c>
      <c r="EV37" s="4215">
        <f t="shared" si="112"/>
        <v>1416977.75</v>
      </c>
      <c r="EW37" s="4215">
        <f t="shared" si="112"/>
        <v>32862983.919999994</v>
      </c>
      <c r="EX37" s="4215">
        <f t="shared" si="112"/>
        <v>24092</v>
      </c>
      <c r="EY37" s="4215">
        <f t="shared" si="112"/>
        <v>43487350.339999996</v>
      </c>
      <c r="EZ37" s="4215">
        <f t="shared" si="112"/>
        <v>395765.19000000006</v>
      </c>
      <c r="FA37" s="4215">
        <f t="shared" si="112"/>
        <v>58605783.989999995</v>
      </c>
      <c r="FB37" s="4215">
        <f t="shared" si="112"/>
        <v>1223290.54</v>
      </c>
      <c r="FC37" s="4215">
        <f t="shared" si="112"/>
        <v>56672337.230000004</v>
      </c>
      <c r="FD37" s="4215">
        <f t="shared" si="112"/>
        <v>299133.71000000002</v>
      </c>
      <c r="FE37" s="4215">
        <f t="shared" si="112"/>
        <v>67225102.920000002</v>
      </c>
      <c r="FF37" s="4215">
        <f t="shared" si="112"/>
        <v>225116.22</v>
      </c>
      <c r="FG37" s="4215">
        <f t="shared" si="112"/>
        <v>78465839.719999999</v>
      </c>
      <c r="FH37" s="4215">
        <f t="shared" si="112"/>
        <v>180139.09</v>
      </c>
      <c r="FI37" s="4215">
        <f t="shared" si="112"/>
        <v>93023234.950000003</v>
      </c>
      <c r="FJ37" s="4215">
        <f t="shared" si="112"/>
        <v>387335.01</v>
      </c>
      <c r="FK37" s="4215">
        <f t="shared" si="112"/>
        <v>91827407.659999996</v>
      </c>
      <c r="FL37" s="4215">
        <f t="shared" si="112"/>
        <v>757200.58</v>
      </c>
      <c r="FM37" s="4215">
        <f t="shared" si="112"/>
        <v>121902567.83999999</v>
      </c>
      <c r="FN37" s="4215">
        <f t="shared" si="112"/>
        <v>1808851.8</v>
      </c>
      <c r="FO37" s="4215">
        <f t="shared" si="112"/>
        <v>84210330.799999997</v>
      </c>
      <c r="FP37" s="4215">
        <f t="shared" si="112"/>
        <v>841839.71</v>
      </c>
      <c r="FQ37" s="4215">
        <f t="shared" si="112"/>
        <v>83389202.25999999</v>
      </c>
      <c r="FR37" s="4215">
        <f t="shared" si="112"/>
        <v>592722.66999999993</v>
      </c>
      <c r="FS37" s="4215">
        <f t="shared" si="112"/>
        <v>107814252</v>
      </c>
      <c r="FT37" s="4215">
        <f t="shared" si="112"/>
        <v>1022842.77</v>
      </c>
      <c r="FU37" s="4215">
        <f t="shared" si="112"/>
        <v>101054392.52999999</v>
      </c>
      <c r="FV37" s="4215">
        <f t="shared" si="112"/>
        <v>496127.32999999996</v>
      </c>
      <c r="FW37" s="4215">
        <f t="shared" si="112"/>
        <v>121275358.5</v>
      </c>
      <c r="FX37" s="4217">
        <f t="shared" si="112"/>
        <v>926217.39000000013</v>
      </c>
      <c r="FY37" s="4218">
        <f t="shared" si="112"/>
        <v>185935838.40000001</v>
      </c>
      <c r="FZ37" s="4218">
        <f t="shared" si="112"/>
        <v>177493472.40000004</v>
      </c>
      <c r="GA37" s="4218">
        <f t="shared" si="112"/>
        <v>190698819.53999999</v>
      </c>
      <c r="GB37" s="4218">
        <f t="shared" si="112"/>
        <v>188879843.80000001</v>
      </c>
      <c r="GC37" s="4218">
        <f t="shared" si="112"/>
        <v>193259818.92000002</v>
      </c>
      <c r="GD37" s="4218">
        <f t="shared" si="112"/>
        <v>193917349.19</v>
      </c>
      <c r="GE37" s="4218">
        <f t="shared" si="112"/>
        <v>201111219.25999999</v>
      </c>
      <c r="GF37" s="4218">
        <f t="shared" ref="GF37:HL37" si="113">SUM(GF33:GF36)</f>
        <v>196500471.55000001</v>
      </c>
      <c r="GG37" s="4218">
        <f t="shared" si="113"/>
        <v>183392773.59</v>
      </c>
      <c r="GH37" s="4218">
        <f t="shared" si="113"/>
        <v>166555198.26999998</v>
      </c>
      <c r="GI37" s="4218">
        <f t="shared" si="113"/>
        <v>183103767.53999999</v>
      </c>
      <c r="GJ37" s="4219">
        <f t="shared" si="113"/>
        <v>211509980.87</v>
      </c>
      <c r="GK37" s="4220">
        <f t="shared" si="113"/>
        <v>187335754.68000001</v>
      </c>
      <c r="GL37" s="4218">
        <f t="shared" si="113"/>
        <v>174973528.61000001</v>
      </c>
      <c r="GM37" s="4218">
        <f t="shared" si="113"/>
        <v>97286084.200000018</v>
      </c>
      <c r="GN37" s="4218">
        <f t="shared" si="113"/>
        <v>32887075.919999994</v>
      </c>
      <c r="GO37" s="4218">
        <f t="shared" si="113"/>
        <v>43883115.529999994</v>
      </c>
      <c r="GP37" s="4218">
        <f t="shared" si="113"/>
        <v>59829074.529999994</v>
      </c>
      <c r="GQ37" s="4218">
        <f t="shared" si="113"/>
        <v>56971470.939999998</v>
      </c>
      <c r="GR37" s="4218">
        <f t="shared" si="113"/>
        <v>67450219.140000001</v>
      </c>
      <c r="GS37" s="4218">
        <f t="shared" si="113"/>
        <v>78645978.810000002</v>
      </c>
      <c r="GT37" s="4218">
        <f t="shared" si="113"/>
        <v>93410569.959999993</v>
      </c>
      <c r="GU37" s="4218">
        <f t="shared" si="113"/>
        <v>92584608.239999995</v>
      </c>
      <c r="GV37" s="4219">
        <f t="shared" si="113"/>
        <v>123711419.63999999</v>
      </c>
      <c r="GW37" s="4220">
        <f t="shared" si="113"/>
        <v>85052170.510000005</v>
      </c>
      <c r="GX37" s="4218">
        <f t="shared" si="113"/>
        <v>83981924.929999992</v>
      </c>
      <c r="GY37" s="4218">
        <f t="shared" si="113"/>
        <v>108837094.77</v>
      </c>
      <c r="GZ37" s="4218">
        <f t="shared" si="113"/>
        <v>101550519.85999998</v>
      </c>
      <c r="HA37" s="4218">
        <f t="shared" si="113"/>
        <v>122201575.89</v>
      </c>
      <c r="HB37" s="4221">
        <f t="shared" si="113"/>
        <v>100324657.19199999</v>
      </c>
      <c r="HC37" s="4221">
        <f t="shared" si="113"/>
        <v>103379154.52839999</v>
      </c>
      <c r="HD37" s="4221">
        <f t="shared" si="113"/>
        <v>107258600.44807999</v>
      </c>
      <c r="HE37" s="4221">
        <f t="shared" si="113"/>
        <v>106942901.58369601</v>
      </c>
      <c r="HF37" s="4221">
        <f t="shared" si="113"/>
        <v>108021377.92843519</v>
      </c>
      <c r="HG37" s="4221">
        <f t="shared" si="113"/>
        <v>105185338.33612221</v>
      </c>
      <c r="HH37" s="4222">
        <f t="shared" si="113"/>
        <v>106157474.56494668</v>
      </c>
      <c r="HI37" s="4220">
        <f t="shared" si="113"/>
        <v>2272358553.3300004</v>
      </c>
      <c r="HJ37" s="4218">
        <f t="shared" si="113"/>
        <v>1108968900.1999998</v>
      </c>
      <c r="HK37" s="4219">
        <f t="shared" si="113"/>
        <v>501623285.95999998</v>
      </c>
      <c r="HL37" s="4221">
        <f t="shared" si="113"/>
        <v>1238892790.5416803</v>
      </c>
      <c r="HM37" s="2"/>
    </row>
    <row r="38" spans="1:221" ht="15" thickBot="1">
      <c r="A38" s="2"/>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4223" t="s">
        <v>1716</v>
      </c>
      <c r="GC38" s="4224">
        <f>SUM(FY37:GC37)</f>
        <v>936267793.06000018</v>
      </c>
      <c r="GD38" s="2"/>
      <c r="GE38" s="2"/>
      <c r="GF38" s="2"/>
      <c r="GG38" s="2"/>
      <c r="GH38" s="2"/>
      <c r="GI38" s="4225" t="s">
        <v>1717</v>
      </c>
      <c r="GJ38" s="4226">
        <f>SUM(FY37:GJ37)</f>
        <v>2272358553.3299999</v>
      </c>
      <c r="GK38" s="4153"/>
      <c r="GL38" s="2"/>
      <c r="GM38" s="2"/>
      <c r="GN38" s="4223" t="s">
        <v>1716</v>
      </c>
      <c r="GO38" s="4224">
        <f>SUM(GK37:GO37)</f>
        <v>536365558.94</v>
      </c>
      <c r="GP38" s="2"/>
      <c r="GQ38" s="2"/>
      <c r="GR38" s="2"/>
      <c r="GS38" s="2"/>
      <c r="GT38" s="2"/>
      <c r="GU38" s="4225" t="s">
        <v>1717</v>
      </c>
      <c r="GV38" s="4226">
        <f>SUM(GK37:GV37)</f>
        <v>1108968900.2000003</v>
      </c>
      <c r="GW38" s="4153"/>
      <c r="GX38" s="2"/>
      <c r="GY38" s="2"/>
      <c r="GZ38" s="4223" t="s">
        <v>1716</v>
      </c>
      <c r="HA38" s="4224">
        <f>SUM(GW37:HA37)</f>
        <v>501623285.95999992</v>
      </c>
      <c r="HB38" s="4227"/>
      <c r="HC38" s="4227"/>
      <c r="HD38" s="4227"/>
      <c r="HE38" s="4227"/>
      <c r="HF38" s="4227"/>
      <c r="HG38" s="4228" t="s">
        <v>1717</v>
      </c>
      <c r="HH38" s="4229">
        <f>SUM(GW37:HH37)</f>
        <v>1238892790.5416799</v>
      </c>
      <c r="HI38" s="4153"/>
      <c r="HJ38" s="5">
        <f>HJ37/HI37-1</f>
        <v>-0.51197450834734037</v>
      </c>
      <c r="HK38" s="2"/>
      <c r="HL38" s="4230">
        <f>HL37/HJ37-1</f>
        <v>0.11715737954260863</v>
      </c>
      <c r="HM38" s="4231" t="s">
        <v>1718</v>
      </c>
    </row>
    <row r="39" spans="1:221">
      <c r="A39" s="1042"/>
      <c r="B39" s="4051"/>
      <c r="C39" s="4051"/>
      <c r="D39" s="1042"/>
      <c r="E39" s="1042"/>
      <c r="F39" s="1042"/>
      <c r="G39" s="1042"/>
      <c r="H39" s="1042"/>
      <c r="I39" s="1042"/>
      <c r="J39" s="1042"/>
      <c r="K39" s="1042"/>
      <c r="L39" s="1042"/>
      <c r="M39" s="1042"/>
      <c r="N39" s="1042"/>
      <c r="O39" s="1042"/>
      <c r="P39" s="1042"/>
      <c r="Q39" s="1042"/>
      <c r="R39" s="1042"/>
      <c r="S39" s="1042"/>
      <c r="T39" s="1042"/>
      <c r="U39" s="1042"/>
      <c r="V39" s="1042"/>
      <c r="W39" s="1042"/>
      <c r="X39" s="1042"/>
      <c r="Y39" s="1042"/>
      <c r="Z39" s="1042"/>
      <c r="AA39" s="1042"/>
      <c r="AB39" s="1042"/>
      <c r="AC39" s="1042"/>
      <c r="AD39" s="1042"/>
      <c r="AE39" s="1042"/>
      <c r="AF39" s="1042"/>
      <c r="AG39" s="1042"/>
      <c r="AH39" s="1042"/>
      <c r="AI39" s="1042"/>
      <c r="AJ39" s="1042"/>
      <c r="AK39" s="1042"/>
      <c r="AL39" s="1042"/>
      <c r="AM39" s="1042"/>
      <c r="AN39" s="1042"/>
      <c r="AO39" s="1042"/>
      <c r="AP39" s="1042"/>
      <c r="AQ39" s="1042"/>
      <c r="AR39" s="1042"/>
      <c r="AS39" s="1042"/>
      <c r="AT39" s="1042"/>
      <c r="AU39" s="1042"/>
      <c r="AV39" s="1042"/>
      <c r="AW39" s="1042"/>
      <c r="AX39" s="1042"/>
      <c r="AY39" s="1042"/>
      <c r="AZ39" s="1042"/>
      <c r="BA39" s="1042"/>
      <c r="BB39" s="1042"/>
      <c r="BC39" s="1042"/>
      <c r="BD39" s="1042"/>
      <c r="BE39" s="1042"/>
      <c r="BF39" s="1042"/>
      <c r="BG39" s="1042"/>
      <c r="BH39" s="1042"/>
      <c r="BI39" s="1042"/>
      <c r="BJ39" s="1042"/>
      <c r="BK39" s="1042"/>
      <c r="BL39" s="1042"/>
      <c r="BM39" s="1042"/>
      <c r="BN39" s="1042"/>
      <c r="BO39" s="1042"/>
      <c r="BP39" s="1042"/>
      <c r="BQ39" s="1042"/>
      <c r="BR39" s="1042"/>
      <c r="BS39" s="1042"/>
      <c r="BT39" s="1042"/>
      <c r="BU39" s="1042"/>
      <c r="BV39" s="1042"/>
      <c r="BW39" s="1042"/>
      <c r="BX39" s="1042"/>
      <c r="BY39" s="1042"/>
      <c r="BZ39" s="1042"/>
      <c r="CA39" s="1042"/>
      <c r="CB39" s="1042"/>
      <c r="CC39" s="1042"/>
      <c r="CD39" s="1042"/>
      <c r="CE39" s="1042"/>
      <c r="CF39" s="1042"/>
      <c r="CG39" s="1042"/>
      <c r="CH39" s="1042"/>
      <c r="CI39" s="1042"/>
      <c r="CJ39" s="1042"/>
      <c r="CK39" s="1042"/>
      <c r="CL39" s="1042"/>
      <c r="CM39" s="1042"/>
      <c r="CN39" s="1042"/>
      <c r="CO39" s="1042"/>
      <c r="CP39" s="1042"/>
      <c r="CQ39" s="1042"/>
      <c r="CR39" s="1042"/>
      <c r="CS39" s="1042"/>
      <c r="CT39" s="1042"/>
      <c r="CU39" s="1042"/>
      <c r="CV39" s="1042"/>
      <c r="CW39" s="1042"/>
      <c r="CX39" s="1042"/>
      <c r="CY39" s="1042"/>
      <c r="CZ39" s="1042"/>
      <c r="DA39" s="1042"/>
      <c r="DB39" s="1042"/>
      <c r="DC39" s="1042"/>
      <c r="DD39" s="1042"/>
      <c r="DE39" s="1042"/>
      <c r="DF39" s="1042"/>
      <c r="DG39" s="1042"/>
      <c r="DH39" s="1042"/>
      <c r="DI39" s="1042"/>
      <c r="DJ39" s="1042"/>
      <c r="DK39" s="1042"/>
      <c r="DL39" s="1042"/>
      <c r="DM39" s="1042"/>
      <c r="DN39" s="1042"/>
      <c r="DO39" s="1042"/>
      <c r="DP39" s="1042"/>
      <c r="DQ39" s="1042"/>
      <c r="DR39" s="1042"/>
      <c r="DS39" s="1042"/>
      <c r="DT39" s="1042"/>
      <c r="DU39" s="1042"/>
      <c r="DV39" s="1042"/>
      <c r="DW39" s="1042"/>
      <c r="DX39" s="1042"/>
      <c r="DY39" s="1042"/>
      <c r="DZ39" s="1042"/>
      <c r="EA39" s="1042"/>
      <c r="EB39" s="1042"/>
      <c r="EC39" s="1042"/>
      <c r="ED39" s="1042"/>
      <c r="EE39" s="1042"/>
      <c r="EF39" s="1042"/>
      <c r="EG39" s="1042"/>
      <c r="EH39" s="1042"/>
      <c r="EI39" s="1042"/>
      <c r="EJ39" s="1042"/>
      <c r="EK39" s="1042"/>
      <c r="EL39" s="1042"/>
      <c r="EM39" s="1042"/>
      <c r="EN39" s="1042"/>
      <c r="EO39" s="1042"/>
      <c r="EP39" s="1042"/>
      <c r="EQ39" s="1042"/>
      <c r="ER39" s="1042"/>
      <c r="ES39" s="1042"/>
      <c r="ET39" s="1042"/>
      <c r="EU39" s="1042"/>
      <c r="EV39" s="1042"/>
      <c r="EW39" s="1042"/>
      <c r="EX39" s="1042"/>
      <c r="EY39" s="1042"/>
      <c r="EZ39" s="1042"/>
      <c r="FA39" s="1042"/>
      <c r="FB39" s="1042"/>
      <c r="FC39" s="1042"/>
      <c r="FD39" s="1042"/>
      <c r="FE39" s="1042"/>
      <c r="FF39" s="1042"/>
      <c r="FG39" s="1042"/>
      <c r="FH39" s="1042"/>
      <c r="FI39" s="1042"/>
      <c r="FJ39" s="1042"/>
      <c r="FK39" s="1042"/>
      <c r="FL39" s="1042"/>
      <c r="FM39" s="1042"/>
      <c r="FN39" s="1042"/>
      <c r="FO39" s="1042"/>
      <c r="FP39" s="1042"/>
      <c r="FQ39" s="1042"/>
      <c r="FR39" s="1042"/>
      <c r="FS39" s="1042"/>
      <c r="FT39" s="1042"/>
      <c r="FU39" s="1042"/>
      <c r="FV39" s="1042"/>
      <c r="FW39" s="1042"/>
      <c r="FX39" s="1042"/>
      <c r="FY39" s="2"/>
      <c r="FZ39" s="2"/>
      <c r="GA39" s="2"/>
      <c r="GB39" s="2"/>
      <c r="GC39" s="2"/>
      <c r="GD39" s="2"/>
      <c r="GE39" s="2"/>
      <c r="GF39" s="2"/>
      <c r="GG39" s="2"/>
      <c r="GH39" s="2"/>
      <c r="GI39" s="2"/>
      <c r="GJ39" s="2"/>
      <c r="GK39" s="4153"/>
      <c r="GL39" s="2"/>
      <c r="GM39" s="2"/>
      <c r="GN39" s="2"/>
      <c r="GO39" s="2"/>
      <c r="GP39" s="2"/>
      <c r="GQ39" s="2"/>
      <c r="GR39" s="2"/>
      <c r="GS39" s="2"/>
      <c r="GT39" s="2"/>
      <c r="GU39" s="2"/>
      <c r="GV39" s="2"/>
      <c r="GW39" s="4153"/>
      <c r="GX39" s="2"/>
      <c r="GY39" s="2"/>
      <c r="GZ39" s="2"/>
      <c r="HA39" s="2"/>
      <c r="HB39" s="2"/>
      <c r="HC39" s="2"/>
      <c r="HD39" s="2"/>
      <c r="HE39" s="2"/>
      <c r="HF39" s="2"/>
      <c r="HG39" s="2"/>
      <c r="HH39" s="2"/>
      <c r="HI39" s="4153"/>
      <c r="HJ39" s="2"/>
      <c r="HK39" s="2"/>
      <c r="HL39" s="4230">
        <f>HL37/HI37-1</f>
        <v>-0.45479872059532156</v>
      </c>
      <c r="HM39" s="4231" t="s">
        <v>1719</v>
      </c>
    </row>
    <row r="40" spans="1:221">
      <c r="A40" s="1042"/>
      <c r="B40" s="4051"/>
      <c r="C40" s="4051"/>
      <c r="D40" s="1042"/>
      <c r="E40" s="1042"/>
      <c r="F40" s="1042"/>
      <c r="G40" s="1042"/>
      <c r="H40" s="1042"/>
      <c r="I40" s="1042"/>
      <c r="J40" s="1042"/>
      <c r="K40" s="1042"/>
      <c r="L40" s="1042"/>
      <c r="M40" s="1042"/>
      <c r="N40" s="1042"/>
      <c r="O40" s="1042"/>
      <c r="P40" s="1042"/>
      <c r="Q40" s="1042"/>
      <c r="R40" s="1042"/>
      <c r="S40" s="1042"/>
      <c r="T40" s="1042"/>
      <c r="U40" s="1042"/>
      <c r="V40" s="1042"/>
      <c r="W40" s="1042"/>
      <c r="X40" s="1042"/>
      <c r="Y40" s="1042"/>
      <c r="Z40" s="1042"/>
      <c r="AA40" s="1042"/>
      <c r="AB40" s="1042"/>
      <c r="AC40" s="1042"/>
      <c r="AD40" s="1042"/>
      <c r="AE40" s="1042"/>
      <c r="AF40" s="1042"/>
      <c r="AG40" s="1042"/>
      <c r="AH40" s="1042"/>
      <c r="AI40" s="1042"/>
      <c r="AJ40" s="1042"/>
      <c r="AK40" s="1042"/>
      <c r="AL40" s="1042"/>
      <c r="AM40" s="1042"/>
      <c r="AN40" s="1042"/>
      <c r="AO40" s="1042"/>
      <c r="AP40" s="1042"/>
      <c r="AQ40" s="1042"/>
      <c r="AR40" s="1042"/>
      <c r="AS40" s="1042"/>
      <c r="AT40" s="1042"/>
      <c r="AU40" s="1042"/>
      <c r="AV40" s="1042"/>
      <c r="AW40" s="1042"/>
      <c r="AX40" s="1042"/>
      <c r="AY40" s="1042"/>
      <c r="AZ40" s="1042"/>
      <c r="BA40" s="1042"/>
      <c r="BB40" s="1042"/>
      <c r="BC40" s="1042"/>
      <c r="BD40" s="1042"/>
      <c r="BE40" s="1042"/>
      <c r="BF40" s="1042"/>
      <c r="BG40" s="1042"/>
      <c r="BH40" s="1042"/>
      <c r="BI40" s="1042"/>
      <c r="BJ40" s="1042"/>
      <c r="BK40" s="1042"/>
      <c r="BL40" s="1042"/>
      <c r="BM40" s="1042"/>
      <c r="BN40" s="1042"/>
      <c r="BO40" s="1042"/>
      <c r="BP40" s="1042"/>
      <c r="BQ40" s="1042"/>
      <c r="BR40" s="1042"/>
      <c r="BS40" s="1042"/>
      <c r="BT40" s="1042"/>
      <c r="BU40" s="1042"/>
      <c r="BV40" s="1042"/>
      <c r="BW40" s="1042"/>
      <c r="BX40" s="1042"/>
      <c r="BY40" s="1042"/>
      <c r="BZ40" s="1042"/>
      <c r="CA40" s="1042"/>
      <c r="CB40" s="1042"/>
      <c r="CC40" s="1042"/>
      <c r="CD40" s="1042"/>
      <c r="CE40" s="1042"/>
      <c r="CF40" s="1042"/>
      <c r="CG40" s="1042"/>
      <c r="CH40" s="1042"/>
      <c r="CI40" s="1042"/>
      <c r="CJ40" s="1042"/>
      <c r="CK40" s="1042"/>
      <c r="CL40" s="1042"/>
      <c r="CM40" s="1042"/>
      <c r="CN40" s="1042"/>
      <c r="CO40" s="1042"/>
      <c r="CP40" s="1042"/>
      <c r="CQ40" s="1042"/>
      <c r="CR40" s="1042"/>
      <c r="CS40" s="1042"/>
      <c r="CT40" s="1042"/>
      <c r="CU40" s="1042"/>
      <c r="CV40" s="1042"/>
      <c r="CW40" s="1042"/>
      <c r="CX40" s="1042"/>
      <c r="CY40" s="1042"/>
      <c r="CZ40" s="1042"/>
      <c r="DA40" s="1042"/>
      <c r="DB40" s="1042"/>
      <c r="DC40" s="1042"/>
      <c r="DD40" s="1042"/>
      <c r="DE40" s="1042"/>
      <c r="DF40" s="1042"/>
      <c r="DG40" s="1042"/>
      <c r="DH40" s="1042"/>
      <c r="DI40" s="1042"/>
      <c r="DJ40" s="1042"/>
      <c r="DK40" s="1042"/>
      <c r="DL40" s="1042"/>
      <c r="DM40" s="1042"/>
      <c r="DN40" s="1042"/>
      <c r="DO40" s="1042"/>
      <c r="DP40" s="1042"/>
      <c r="DQ40" s="1042"/>
      <c r="DR40" s="1042"/>
      <c r="DS40" s="1042"/>
      <c r="DT40" s="1042"/>
      <c r="DU40" s="1042"/>
      <c r="DV40" s="1042"/>
      <c r="DW40" s="1042"/>
      <c r="DX40" s="1042"/>
      <c r="DY40" s="1042"/>
      <c r="DZ40" s="1042"/>
      <c r="EA40" s="1042"/>
      <c r="EB40" s="1042"/>
      <c r="EC40" s="1042"/>
      <c r="ED40" s="1042"/>
      <c r="EE40" s="1042"/>
      <c r="EF40" s="1042"/>
      <c r="EG40" s="1042"/>
      <c r="EH40" s="1042"/>
      <c r="EI40" s="1042"/>
      <c r="EJ40" s="1042"/>
      <c r="EK40" s="1042"/>
      <c r="EL40" s="1042"/>
      <c r="EM40" s="1042"/>
      <c r="EN40" s="1042"/>
      <c r="EO40" s="1042"/>
      <c r="EP40" s="1042"/>
      <c r="EQ40" s="1042"/>
      <c r="ER40" s="1042"/>
      <c r="ES40" s="1042"/>
      <c r="ET40" s="1042"/>
      <c r="EU40" s="1042"/>
      <c r="EV40" s="1042"/>
      <c r="EW40" s="1042"/>
      <c r="EX40" s="1042"/>
      <c r="EY40" s="1042"/>
      <c r="EZ40" s="1042"/>
      <c r="FA40" s="1042"/>
      <c r="FB40" s="1042"/>
      <c r="FC40" s="1042"/>
      <c r="FD40" s="1042"/>
      <c r="FE40" s="1042"/>
      <c r="FF40" s="1042"/>
      <c r="FG40" s="1042"/>
      <c r="FH40" s="1042"/>
      <c r="FI40" s="1042"/>
      <c r="FJ40" s="1042"/>
      <c r="FK40" s="1042"/>
      <c r="FL40" s="1042"/>
      <c r="FM40" s="1042"/>
      <c r="FN40" s="1042"/>
      <c r="FO40" s="1042"/>
      <c r="FP40" s="1042"/>
      <c r="FQ40" s="1042"/>
      <c r="FR40" s="1042"/>
      <c r="FS40" s="1042"/>
      <c r="FT40" s="1042"/>
      <c r="FU40" s="1042"/>
      <c r="FV40" s="1042"/>
      <c r="FW40" s="1042"/>
      <c r="FX40" s="1042"/>
      <c r="FY40" s="2"/>
      <c r="FZ40" s="2"/>
      <c r="GA40" s="2"/>
      <c r="GB40" s="2"/>
      <c r="GC40" s="2"/>
      <c r="GD40" s="2"/>
      <c r="GE40" s="2"/>
      <c r="GF40" s="2"/>
      <c r="GG40" s="2"/>
      <c r="GH40" s="2"/>
      <c r="GI40" s="2"/>
      <c r="GJ40" s="2"/>
      <c r="GK40" s="4153"/>
      <c r="GL40" s="2"/>
      <c r="GM40" s="2"/>
      <c r="GN40" s="2"/>
      <c r="GO40" s="2"/>
      <c r="GP40" s="2"/>
      <c r="GQ40" s="2"/>
      <c r="GR40" s="2"/>
      <c r="GS40" s="2"/>
      <c r="GT40" s="2"/>
      <c r="GU40" s="2"/>
      <c r="GV40" s="2"/>
      <c r="GW40" s="4153"/>
      <c r="GX40" s="2"/>
      <c r="GY40" s="2"/>
      <c r="GZ40" s="1042"/>
      <c r="HA40" s="2"/>
      <c r="HB40" s="2"/>
      <c r="HC40" s="2"/>
      <c r="HD40" s="2"/>
      <c r="HE40" s="2"/>
      <c r="HF40" s="2"/>
      <c r="HG40" s="2"/>
      <c r="HH40" s="2"/>
      <c r="HI40" s="4153"/>
      <c r="HJ40" s="2"/>
      <c r="HK40" s="2"/>
      <c r="HL40" s="2"/>
      <c r="HM40" s="2"/>
    </row>
    <row r="41" spans="1:221">
      <c r="A41" s="1042"/>
      <c r="B41" s="4051"/>
      <c r="C41" s="4051"/>
      <c r="D41" s="1042"/>
      <c r="E41" s="1042"/>
      <c r="F41" s="1042"/>
      <c r="G41" s="1042"/>
      <c r="H41" s="1042"/>
      <c r="I41" s="1042"/>
      <c r="J41" s="1042"/>
      <c r="K41" s="1042"/>
      <c r="L41" s="1042"/>
      <c r="M41" s="1042"/>
      <c r="N41" s="1042"/>
      <c r="O41" s="1042"/>
      <c r="P41" s="1042"/>
      <c r="Q41" s="1042"/>
      <c r="R41" s="1042"/>
      <c r="S41" s="1042"/>
      <c r="T41" s="1042"/>
      <c r="U41" s="1042"/>
      <c r="V41" s="1042"/>
      <c r="W41" s="1042"/>
      <c r="X41" s="1042"/>
      <c r="Y41" s="1042"/>
      <c r="Z41" s="1042"/>
      <c r="AA41" s="1042"/>
      <c r="AB41" s="1042"/>
      <c r="AC41" s="1042"/>
      <c r="AD41" s="1042"/>
      <c r="AE41" s="1042"/>
      <c r="AF41" s="1042"/>
      <c r="AG41" s="1042"/>
      <c r="AH41" s="1042"/>
      <c r="AI41" s="1042"/>
      <c r="AJ41" s="1042"/>
      <c r="AK41" s="1042"/>
      <c r="AL41" s="1042"/>
      <c r="AM41" s="1042"/>
      <c r="AN41" s="1042"/>
      <c r="AO41" s="1042"/>
      <c r="AP41" s="1042"/>
      <c r="AQ41" s="1042"/>
      <c r="AR41" s="1042"/>
      <c r="AS41" s="1042"/>
      <c r="AT41" s="1042"/>
      <c r="AU41" s="1042"/>
      <c r="AV41" s="1042"/>
      <c r="AW41" s="1042"/>
      <c r="AX41" s="1042"/>
      <c r="AY41" s="1042"/>
      <c r="AZ41" s="1042"/>
      <c r="BA41" s="1042"/>
      <c r="BB41" s="1042"/>
      <c r="BC41" s="1042"/>
      <c r="BD41" s="1042"/>
      <c r="BE41" s="1042"/>
      <c r="BF41" s="1042"/>
      <c r="BG41" s="1042"/>
      <c r="BH41" s="1042"/>
      <c r="BI41" s="1042"/>
      <c r="BJ41" s="1042"/>
      <c r="BK41" s="1042"/>
      <c r="BL41" s="1042"/>
      <c r="BM41" s="1042"/>
      <c r="BN41" s="1042"/>
      <c r="BO41" s="1042"/>
      <c r="BP41" s="1042"/>
      <c r="BQ41" s="1042"/>
      <c r="BR41" s="1042"/>
      <c r="BS41" s="1042"/>
      <c r="BT41" s="1042"/>
      <c r="BU41" s="1042"/>
      <c r="BV41" s="1042"/>
      <c r="BW41" s="1042"/>
      <c r="BX41" s="1042"/>
      <c r="BY41" s="1042"/>
      <c r="BZ41" s="1042"/>
      <c r="CA41" s="1042"/>
      <c r="CB41" s="1042"/>
      <c r="CC41" s="1042"/>
      <c r="CD41" s="1042"/>
      <c r="CE41" s="1042"/>
      <c r="CF41" s="1042"/>
      <c r="CG41" s="1042"/>
      <c r="CH41" s="1042"/>
      <c r="CI41" s="1042"/>
      <c r="CJ41" s="1042"/>
      <c r="CK41" s="1042"/>
      <c r="CL41" s="1042"/>
      <c r="CM41" s="1042"/>
      <c r="CN41" s="1042"/>
      <c r="CO41" s="1042"/>
      <c r="CP41" s="1042"/>
      <c r="CQ41" s="1042"/>
      <c r="CR41" s="1042"/>
      <c r="CS41" s="1042"/>
      <c r="CT41" s="1042"/>
      <c r="CU41" s="1042"/>
      <c r="CV41" s="1042"/>
      <c r="CW41" s="1042"/>
      <c r="CX41" s="1042"/>
      <c r="CY41" s="1042"/>
      <c r="CZ41" s="1042"/>
      <c r="DA41" s="1042"/>
      <c r="DB41" s="1042"/>
      <c r="DC41" s="1042"/>
      <c r="DD41" s="1042"/>
      <c r="DE41" s="1042"/>
      <c r="DF41" s="1042"/>
      <c r="DG41" s="1042"/>
      <c r="DH41" s="1042"/>
      <c r="DI41" s="1042"/>
      <c r="DJ41" s="1042"/>
      <c r="DK41" s="1042"/>
      <c r="DL41" s="1042"/>
      <c r="DM41" s="1042"/>
      <c r="DN41" s="1042"/>
      <c r="DO41" s="1042"/>
      <c r="DP41" s="1042"/>
      <c r="DQ41" s="1042"/>
      <c r="DR41" s="1042"/>
      <c r="DS41" s="1042"/>
      <c r="DT41" s="1042"/>
      <c r="DU41" s="1042"/>
      <c r="DV41" s="1042"/>
      <c r="DW41" s="1042"/>
      <c r="DX41" s="1042"/>
      <c r="DY41" s="1042"/>
      <c r="DZ41" s="1042"/>
      <c r="EA41" s="1042"/>
      <c r="EB41" s="1042"/>
      <c r="EC41" s="1042"/>
      <c r="ED41" s="1042"/>
      <c r="EE41" s="1042"/>
      <c r="EF41" s="1042"/>
      <c r="EG41" s="1042"/>
      <c r="EH41" s="1042"/>
      <c r="EI41" s="1042"/>
      <c r="EJ41" s="1042"/>
      <c r="EK41" s="1042"/>
      <c r="EL41" s="1042"/>
      <c r="EM41" s="1042"/>
      <c r="EN41" s="1042"/>
      <c r="EO41" s="1042"/>
      <c r="EP41" s="1042"/>
      <c r="EQ41" s="1042"/>
      <c r="ER41" s="1042"/>
      <c r="ES41" s="1042"/>
      <c r="ET41" s="1042"/>
      <c r="EU41" s="1042"/>
      <c r="EV41" s="1042"/>
      <c r="EW41" s="1042"/>
      <c r="EX41" s="1042"/>
      <c r="EY41" s="1042"/>
      <c r="EZ41" s="1042"/>
      <c r="FA41" s="1042"/>
      <c r="FB41" s="1042"/>
      <c r="FC41" s="1042"/>
      <c r="FD41" s="1042"/>
      <c r="FE41" s="1042"/>
      <c r="FF41" s="1042"/>
      <c r="FG41" s="1042"/>
      <c r="FH41" s="1042"/>
      <c r="FI41" s="1042"/>
      <c r="FJ41" s="1042"/>
      <c r="FK41" s="1042"/>
      <c r="FL41" s="1042"/>
      <c r="FM41" s="1042"/>
      <c r="FN41" s="1042"/>
      <c r="FO41" s="1042"/>
      <c r="FP41" s="1042"/>
      <c r="FQ41" s="1042"/>
      <c r="FR41" s="1042"/>
      <c r="FS41" s="1042"/>
      <c r="FT41" s="1042"/>
      <c r="FU41" s="1042"/>
      <c r="FV41" s="1042"/>
      <c r="FW41" s="1042"/>
      <c r="FX41" s="1042"/>
      <c r="FY41" s="2"/>
      <c r="FZ41" s="2"/>
      <c r="GA41" s="2"/>
      <c r="GB41" s="2"/>
      <c r="GC41" s="4232" t="s">
        <v>1720</v>
      </c>
      <c r="GD41" s="2"/>
      <c r="GE41" s="2"/>
      <c r="GF41" s="2"/>
      <c r="GG41" s="2"/>
      <c r="GH41" s="2"/>
      <c r="GI41" s="2"/>
      <c r="GJ41" s="4233" t="s">
        <v>1720</v>
      </c>
      <c r="GK41" s="4153"/>
      <c r="GL41" s="2"/>
      <c r="GM41" s="2"/>
      <c r="GN41" s="2"/>
      <c r="GO41" s="4232" t="s">
        <v>1720</v>
      </c>
      <c r="GP41" s="2"/>
      <c r="GQ41" s="2"/>
      <c r="GR41" s="2"/>
      <c r="GS41" s="2"/>
      <c r="GT41" s="2"/>
      <c r="GU41" s="2"/>
      <c r="GV41" s="4233" t="s">
        <v>1720</v>
      </c>
      <c r="GW41" s="4153"/>
      <c r="GX41" s="2"/>
      <c r="GY41" s="2"/>
      <c r="GZ41" s="2"/>
      <c r="HA41" s="4232" t="s">
        <v>1720</v>
      </c>
      <c r="HB41" s="2"/>
      <c r="HC41" s="2"/>
      <c r="HD41" s="2"/>
      <c r="HE41" s="2"/>
      <c r="HF41" s="2"/>
      <c r="HG41" s="2"/>
      <c r="HH41" s="4234" t="s">
        <v>1720</v>
      </c>
      <c r="HI41" s="4153"/>
      <c r="HJ41" s="2"/>
      <c r="HK41" s="2"/>
      <c r="HL41" s="2"/>
      <c r="HM41" s="2"/>
    </row>
    <row r="42" spans="1:221">
      <c r="A42" s="1042"/>
      <c r="B42" s="4051"/>
      <c r="C42" s="4051"/>
      <c r="D42" s="1042"/>
      <c r="E42" s="1042"/>
      <c r="F42" s="1042"/>
      <c r="G42" s="1042"/>
      <c r="H42" s="1042"/>
      <c r="I42" s="1042"/>
      <c r="J42" s="1042"/>
      <c r="K42" s="1042"/>
      <c r="L42" s="1042"/>
      <c r="M42" s="1042"/>
      <c r="N42" s="1042"/>
      <c r="O42" s="1042"/>
      <c r="P42" s="1042"/>
      <c r="Q42" s="1042"/>
      <c r="R42" s="1042"/>
      <c r="S42" s="1042"/>
      <c r="T42" s="1042"/>
      <c r="U42" s="1042"/>
      <c r="V42" s="1042"/>
      <c r="W42" s="1042"/>
      <c r="X42" s="1042"/>
      <c r="Y42" s="1042"/>
      <c r="Z42" s="1042"/>
      <c r="AA42" s="1042"/>
      <c r="AB42" s="1042"/>
      <c r="AC42" s="1042"/>
      <c r="AD42" s="1042"/>
      <c r="AE42" s="1042"/>
      <c r="AF42" s="1042"/>
      <c r="AG42" s="1042"/>
      <c r="AH42" s="1042"/>
      <c r="AI42" s="1042"/>
      <c r="AJ42" s="1042"/>
      <c r="AK42" s="1042"/>
      <c r="AL42" s="1042"/>
      <c r="AM42" s="1042"/>
      <c r="AN42" s="1042"/>
      <c r="AO42" s="1042"/>
      <c r="AP42" s="1042"/>
      <c r="AQ42" s="1042"/>
      <c r="AR42" s="1042"/>
      <c r="AS42" s="1042"/>
      <c r="AT42" s="1042"/>
      <c r="AU42" s="1042"/>
      <c r="AV42" s="1042"/>
      <c r="AW42" s="1042"/>
      <c r="AX42" s="1042"/>
      <c r="AY42" s="1042"/>
      <c r="AZ42" s="1042"/>
      <c r="BA42" s="1042"/>
      <c r="BB42" s="1042"/>
      <c r="BC42" s="1042"/>
      <c r="BD42" s="1042"/>
      <c r="BE42" s="1042"/>
      <c r="BF42" s="1042"/>
      <c r="BG42" s="1042"/>
      <c r="BH42" s="1042"/>
      <c r="BI42" s="1042"/>
      <c r="BJ42" s="1042"/>
      <c r="BK42" s="1042"/>
      <c r="BL42" s="1042"/>
      <c r="BM42" s="1042"/>
      <c r="BN42" s="1042"/>
      <c r="BO42" s="1042"/>
      <c r="BP42" s="1042"/>
      <c r="BQ42" s="1042"/>
      <c r="BR42" s="1042"/>
      <c r="BS42" s="1042"/>
      <c r="BT42" s="1042"/>
      <c r="BU42" s="1042"/>
      <c r="BV42" s="1042"/>
      <c r="BW42" s="1042"/>
      <c r="BX42" s="1042"/>
      <c r="BY42" s="1042"/>
      <c r="BZ42" s="1042"/>
      <c r="CA42" s="1042"/>
      <c r="CB42" s="1042"/>
      <c r="CC42" s="1042"/>
      <c r="CD42" s="1042"/>
      <c r="CE42" s="1042"/>
      <c r="CF42" s="1042"/>
      <c r="CG42" s="1042"/>
      <c r="CH42" s="1042"/>
      <c r="CI42" s="1042"/>
      <c r="CJ42" s="1042"/>
      <c r="CK42" s="1042"/>
      <c r="CL42" s="1042"/>
      <c r="CM42" s="1042"/>
      <c r="CN42" s="1042"/>
      <c r="CO42" s="1042"/>
      <c r="CP42" s="1042"/>
      <c r="CQ42" s="1042"/>
      <c r="CR42" s="1042"/>
      <c r="CS42" s="1042"/>
      <c r="CT42" s="1042"/>
      <c r="CU42" s="1042"/>
      <c r="CV42" s="1042"/>
      <c r="CW42" s="1042"/>
      <c r="CX42" s="1042"/>
      <c r="CY42" s="1042"/>
      <c r="CZ42" s="1042"/>
      <c r="DA42" s="1042"/>
      <c r="DB42" s="1042"/>
      <c r="DC42" s="1042"/>
      <c r="DD42" s="1042"/>
      <c r="DE42" s="1042"/>
      <c r="DF42" s="1042"/>
      <c r="DG42" s="1042"/>
      <c r="DH42" s="1042"/>
      <c r="DI42" s="1042"/>
      <c r="DJ42" s="1042"/>
      <c r="DK42" s="1042"/>
      <c r="DL42" s="1042"/>
      <c r="DM42" s="1042"/>
      <c r="DN42" s="1042"/>
      <c r="DO42" s="1042"/>
      <c r="DP42" s="1042"/>
      <c r="DQ42" s="1042"/>
      <c r="DR42" s="1042"/>
      <c r="DS42" s="1042"/>
      <c r="DT42" s="1042"/>
      <c r="DU42" s="1042"/>
      <c r="DV42" s="1042"/>
      <c r="DW42" s="1042"/>
      <c r="DX42" s="1042"/>
      <c r="DY42" s="1042"/>
      <c r="DZ42" s="1042"/>
      <c r="EA42" s="1042"/>
      <c r="EB42" s="1042"/>
      <c r="EC42" s="1042"/>
      <c r="ED42" s="1042"/>
      <c r="EE42" s="1042"/>
      <c r="EF42" s="1042"/>
      <c r="EG42" s="1042"/>
      <c r="EH42" s="1042"/>
      <c r="EI42" s="1042"/>
      <c r="EJ42" s="1042"/>
      <c r="EK42" s="1042"/>
      <c r="EL42" s="1042"/>
      <c r="EM42" s="1042"/>
      <c r="EN42" s="1042"/>
      <c r="EO42" s="1042"/>
      <c r="EP42" s="1042"/>
      <c r="EQ42" s="1042"/>
      <c r="ER42" s="1042"/>
      <c r="ES42" s="1042"/>
      <c r="ET42" s="1042"/>
      <c r="EU42" s="1042"/>
      <c r="EV42" s="1042"/>
      <c r="EW42" s="1042"/>
      <c r="EX42" s="1042"/>
      <c r="EY42" s="1042"/>
      <c r="EZ42" s="1042"/>
      <c r="FA42" s="1042"/>
      <c r="FB42" s="1042"/>
      <c r="FC42" s="1042"/>
      <c r="FD42" s="1042"/>
      <c r="FE42" s="1042"/>
      <c r="FF42" s="1042"/>
      <c r="FG42" s="1042"/>
      <c r="FH42" s="1042"/>
      <c r="FI42" s="1042"/>
      <c r="FJ42" s="1042"/>
      <c r="FK42" s="1042"/>
      <c r="FL42" s="1042"/>
      <c r="FM42" s="1042"/>
      <c r="FN42" s="1042"/>
      <c r="FO42" s="1042"/>
      <c r="FP42" s="1042"/>
      <c r="FQ42" s="1042"/>
      <c r="FR42" s="1042"/>
      <c r="FS42" s="1042"/>
      <c r="FT42" s="1042"/>
      <c r="FU42" s="1042"/>
      <c r="FV42" s="1042"/>
      <c r="FW42" s="1042"/>
      <c r="FX42" s="1042"/>
      <c r="FY42" s="2"/>
      <c r="FZ42" s="2"/>
      <c r="GA42" s="2"/>
      <c r="GB42" s="2"/>
      <c r="GC42" s="4235" t="s">
        <v>1721</v>
      </c>
      <c r="GD42" s="2"/>
      <c r="GE42" s="2"/>
      <c r="GF42" s="2"/>
      <c r="GG42" s="2"/>
      <c r="GH42" s="2"/>
      <c r="GI42" s="2"/>
      <c r="GJ42" s="4236" t="s">
        <v>1722</v>
      </c>
      <c r="GK42" s="4153"/>
      <c r="GL42" s="2"/>
      <c r="GM42" s="2"/>
      <c r="GN42" s="2"/>
      <c r="GO42" s="4235" t="s">
        <v>1723</v>
      </c>
      <c r="GP42" s="2"/>
      <c r="GQ42" s="2"/>
      <c r="GR42" s="2"/>
      <c r="GS42" s="2"/>
      <c r="GT42" s="2"/>
      <c r="GU42" s="2"/>
      <c r="GV42" s="4236" t="s">
        <v>1724</v>
      </c>
      <c r="GW42" s="4153"/>
      <c r="GX42" s="2"/>
      <c r="GY42" s="2"/>
      <c r="GZ42" s="2"/>
      <c r="HA42" s="4235" t="s">
        <v>1725</v>
      </c>
      <c r="HB42" s="2"/>
      <c r="HC42" s="2"/>
      <c r="HD42" s="2"/>
      <c r="HE42" s="2"/>
      <c r="HF42" s="2"/>
      <c r="HG42" s="2"/>
      <c r="HH42" s="4237" t="s">
        <v>1726</v>
      </c>
      <c r="HI42" s="4153"/>
      <c r="HJ42" s="2"/>
      <c r="HK42" s="2"/>
      <c r="HL42" s="2"/>
      <c r="HM42" s="2"/>
    </row>
    <row r="43" spans="1:221">
      <c r="A43" s="1042"/>
      <c r="B43" s="4051"/>
      <c r="C43" s="4051"/>
      <c r="D43" s="1042"/>
      <c r="E43" s="1042"/>
      <c r="F43" s="1042"/>
      <c r="G43" s="1042"/>
      <c r="H43" s="1042"/>
      <c r="I43" s="1042"/>
      <c r="J43" s="1042"/>
      <c r="K43" s="1042"/>
      <c r="L43" s="1042"/>
      <c r="M43" s="1042"/>
      <c r="N43" s="1042"/>
      <c r="O43" s="1042"/>
      <c r="P43" s="1042"/>
      <c r="Q43" s="1042"/>
      <c r="R43" s="1042"/>
      <c r="S43" s="1042"/>
      <c r="T43" s="1042"/>
      <c r="U43" s="1042"/>
      <c r="V43" s="1042"/>
      <c r="W43" s="1042"/>
      <c r="X43" s="1042"/>
      <c r="Y43" s="1042"/>
      <c r="Z43" s="1042"/>
      <c r="AA43" s="1042"/>
      <c r="AB43" s="1042"/>
      <c r="AC43" s="1042"/>
      <c r="AD43" s="1042"/>
      <c r="AE43" s="1042"/>
      <c r="AF43" s="1042"/>
      <c r="AG43" s="1042"/>
      <c r="AH43" s="1042"/>
      <c r="AI43" s="1042"/>
      <c r="AJ43" s="1042"/>
      <c r="AK43" s="1042"/>
      <c r="AL43" s="1042"/>
      <c r="AM43" s="1042"/>
      <c r="AN43" s="1042"/>
      <c r="AO43" s="1042"/>
      <c r="AP43" s="1042"/>
      <c r="AQ43" s="1042"/>
      <c r="AR43" s="1042"/>
      <c r="AS43" s="1042"/>
      <c r="AT43" s="1042"/>
      <c r="AU43" s="1042"/>
      <c r="AV43" s="1042"/>
      <c r="AW43" s="1042"/>
      <c r="AX43" s="1042"/>
      <c r="AY43" s="1042"/>
      <c r="AZ43" s="1042"/>
      <c r="BA43" s="1042"/>
      <c r="BB43" s="1042"/>
      <c r="BC43" s="1042"/>
      <c r="BD43" s="1042"/>
      <c r="BE43" s="1042"/>
      <c r="BF43" s="1042"/>
      <c r="BG43" s="1042"/>
      <c r="BH43" s="1042"/>
      <c r="BI43" s="1042"/>
      <c r="BJ43" s="1042"/>
      <c r="BK43" s="1042"/>
      <c r="BL43" s="1042"/>
      <c r="BM43" s="1042"/>
      <c r="BN43" s="1042"/>
      <c r="BO43" s="1042"/>
      <c r="BP43" s="1042"/>
      <c r="BQ43" s="1042"/>
      <c r="BR43" s="1042"/>
      <c r="BS43" s="1042"/>
      <c r="BT43" s="1042"/>
      <c r="BU43" s="1042"/>
      <c r="BV43" s="1042"/>
      <c r="BW43" s="1042"/>
      <c r="BX43" s="1042"/>
      <c r="BY43" s="1042"/>
      <c r="BZ43" s="1042"/>
      <c r="CA43" s="1042"/>
      <c r="CB43" s="1042"/>
      <c r="CC43" s="1042"/>
      <c r="CD43" s="1042"/>
      <c r="CE43" s="1042"/>
      <c r="CF43" s="1042"/>
      <c r="CG43" s="1042"/>
      <c r="CH43" s="1042"/>
      <c r="CI43" s="1042"/>
      <c r="CJ43" s="1042"/>
      <c r="CK43" s="1042"/>
      <c r="CL43" s="1042"/>
      <c r="CM43" s="1042"/>
      <c r="CN43" s="1042"/>
      <c r="CO43" s="1042"/>
      <c r="CP43" s="1042"/>
      <c r="CQ43" s="1042"/>
      <c r="CR43" s="1042"/>
      <c r="CS43" s="1042"/>
      <c r="CT43" s="1042"/>
      <c r="CU43" s="1042"/>
      <c r="CV43" s="1042"/>
      <c r="CW43" s="1042"/>
      <c r="CX43" s="1042"/>
      <c r="CY43" s="1042"/>
      <c r="CZ43" s="1042"/>
      <c r="DA43" s="1042"/>
      <c r="DB43" s="1042"/>
      <c r="DC43" s="1042"/>
      <c r="DD43" s="1042"/>
      <c r="DE43" s="1042"/>
      <c r="DF43" s="1042"/>
      <c r="DG43" s="1042"/>
      <c r="DH43" s="1042"/>
      <c r="DI43" s="1042"/>
      <c r="DJ43" s="1042"/>
      <c r="DK43" s="1042"/>
      <c r="DL43" s="1042"/>
      <c r="DM43" s="1042"/>
      <c r="DN43" s="1042"/>
      <c r="DO43" s="1042"/>
      <c r="DP43" s="1042"/>
      <c r="DQ43" s="1042"/>
      <c r="DR43" s="1042"/>
      <c r="DS43" s="1042"/>
      <c r="DT43" s="1042"/>
      <c r="DU43" s="1042"/>
      <c r="DV43" s="1042"/>
      <c r="DW43" s="1042"/>
      <c r="DX43" s="1042"/>
      <c r="DY43" s="1042"/>
      <c r="DZ43" s="1042"/>
      <c r="EA43" s="1042"/>
      <c r="EB43" s="1042"/>
      <c r="EC43" s="1042"/>
      <c r="ED43" s="1042"/>
      <c r="EE43" s="1042"/>
      <c r="EF43" s="1042"/>
      <c r="EG43" s="1042"/>
      <c r="EH43" s="1042"/>
      <c r="EI43" s="1042"/>
      <c r="EJ43" s="1042"/>
      <c r="EK43" s="1042"/>
      <c r="EL43" s="1042"/>
      <c r="EM43" s="1042"/>
      <c r="EN43" s="1042"/>
      <c r="EO43" s="1042"/>
      <c r="EP43" s="1042"/>
      <c r="EQ43" s="1042"/>
      <c r="ER43" s="1042"/>
      <c r="ES43" s="1042"/>
      <c r="ET43" s="1042"/>
      <c r="EU43" s="1042"/>
      <c r="EV43" s="1042"/>
      <c r="EW43" s="1042"/>
      <c r="EX43" s="1042"/>
      <c r="EY43" s="1042"/>
      <c r="EZ43" s="1042"/>
      <c r="FA43" s="1042"/>
      <c r="FB43" s="1042"/>
      <c r="FC43" s="1042"/>
      <c r="FD43" s="1042"/>
      <c r="FE43" s="1042"/>
      <c r="FF43" s="1042"/>
      <c r="FG43" s="1042"/>
      <c r="FH43" s="1042"/>
      <c r="FI43" s="1042"/>
      <c r="FJ43" s="1042"/>
      <c r="FK43" s="1042"/>
      <c r="FL43" s="1042"/>
      <c r="FM43" s="1042"/>
      <c r="FN43" s="1042"/>
      <c r="FO43" s="1042"/>
      <c r="FP43" s="1042"/>
      <c r="FQ43" s="1042"/>
      <c r="FR43" s="1042"/>
      <c r="FS43" s="1042"/>
      <c r="FT43" s="1042"/>
      <c r="FU43" s="1042"/>
      <c r="FV43" s="1042"/>
      <c r="FW43" s="1042"/>
      <c r="FX43" s="1042"/>
      <c r="FY43" s="2"/>
      <c r="FZ43" s="2"/>
      <c r="GA43" s="2"/>
      <c r="GB43" s="4238" t="str">
        <f>A33</f>
        <v>ALIMENTOS Y BEBIDAS</v>
      </c>
      <c r="GC43" s="4239">
        <f>SUM(FY33:GC33)</f>
        <v>411532914.50000006</v>
      </c>
      <c r="GD43" s="2"/>
      <c r="GE43" s="2"/>
      <c r="GF43" s="2"/>
      <c r="GG43" s="2"/>
      <c r="GH43" s="2"/>
      <c r="GI43" s="4238" t="str">
        <f>GB43</f>
        <v>ALIMENTOS Y BEBIDAS</v>
      </c>
      <c r="GJ43" s="4240">
        <f>SUM(FY33:GJ33)</f>
        <v>1040094613.6199999</v>
      </c>
      <c r="GK43" s="4153"/>
      <c r="GL43" s="2"/>
      <c r="GM43" s="2"/>
      <c r="GN43" s="4238" t="str">
        <f>GB43</f>
        <v>ALIMENTOS Y BEBIDAS</v>
      </c>
      <c r="GO43" s="4239">
        <f>SUM(GK33:GO33)</f>
        <v>273740614.78999996</v>
      </c>
      <c r="GP43" s="2"/>
      <c r="GQ43" s="2"/>
      <c r="GR43" s="2"/>
      <c r="GS43" s="2"/>
      <c r="GT43" s="2"/>
      <c r="GU43" s="4238" t="str">
        <f>GN43</f>
        <v>ALIMENTOS Y BEBIDAS</v>
      </c>
      <c r="GV43" s="4240">
        <f>SUM(GK33:GV33)</f>
        <v>664435992.62999988</v>
      </c>
      <c r="GW43" s="4153"/>
      <c r="GX43" s="2"/>
      <c r="GY43" s="2"/>
      <c r="GZ43" s="4238" t="str">
        <f>GN43</f>
        <v>ALIMENTOS Y BEBIDAS</v>
      </c>
      <c r="HA43" s="4239">
        <f>SUM(GW33:HA33)</f>
        <v>293135533.48000002</v>
      </c>
      <c r="HB43" s="2"/>
      <c r="HC43" s="2"/>
      <c r="HD43" s="2"/>
      <c r="HE43" s="2"/>
      <c r="HF43" s="2"/>
      <c r="HG43" s="4238" t="str">
        <f>GZ43</f>
        <v>ALIMENTOS Y BEBIDAS</v>
      </c>
      <c r="HH43" s="4241">
        <f>SUM(GW33:HH33)</f>
        <v>703521889.15072358</v>
      </c>
      <c r="HI43" s="4153"/>
      <c r="HJ43" s="2"/>
      <c r="HK43" s="2"/>
      <c r="HL43" s="2"/>
      <c r="HM43" s="2"/>
    </row>
    <row r="44" spans="1:221">
      <c r="A44" s="1042"/>
      <c r="B44" s="4051"/>
      <c r="C44" s="4051"/>
      <c r="D44" s="1042"/>
      <c r="E44" s="1042"/>
      <c r="F44" s="1042"/>
      <c r="G44" s="1042"/>
      <c r="H44" s="1042"/>
      <c r="I44" s="1042"/>
      <c r="J44" s="1042"/>
      <c r="K44" s="1042"/>
      <c r="L44" s="1042"/>
      <c r="M44" s="1042"/>
      <c r="N44" s="1042"/>
      <c r="O44" s="1042"/>
      <c r="P44" s="1042"/>
      <c r="Q44" s="1042"/>
      <c r="R44" s="1042"/>
      <c r="S44" s="1042"/>
      <c r="T44" s="1042"/>
      <c r="U44" s="1042"/>
      <c r="V44" s="1042"/>
      <c r="W44" s="1042"/>
      <c r="X44" s="1042"/>
      <c r="Y44" s="1042"/>
      <c r="Z44" s="1042"/>
      <c r="AA44" s="1042"/>
      <c r="AB44" s="1042"/>
      <c r="AC44" s="1042"/>
      <c r="AD44" s="1042"/>
      <c r="AE44" s="1042"/>
      <c r="AF44" s="1042"/>
      <c r="AG44" s="1042"/>
      <c r="AH44" s="1042"/>
      <c r="AI44" s="1042"/>
      <c r="AJ44" s="1042"/>
      <c r="AK44" s="1042"/>
      <c r="AL44" s="1042"/>
      <c r="AM44" s="1042"/>
      <c r="AN44" s="1042"/>
      <c r="AO44" s="1042"/>
      <c r="AP44" s="1042"/>
      <c r="AQ44" s="1042"/>
      <c r="AR44" s="1042"/>
      <c r="AS44" s="1042"/>
      <c r="AT44" s="1042"/>
      <c r="AU44" s="1042"/>
      <c r="AV44" s="1042"/>
      <c r="AW44" s="1042"/>
      <c r="AX44" s="1042"/>
      <c r="AY44" s="1042"/>
      <c r="AZ44" s="1042"/>
      <c r="BA44" s="1042"/>
      <c r="BB44" s="1042"/>
      <c r="BC44" s="1042"/>
      <c r="BD44" s="1042"/>
      <c r="BE44" s="1042"/>
      <c r="BF44" s="1042"/>
      <c r="BG44" s="1042"/>
      <c r="BH44" s="1042"/>
      <c r="BI44" s="1042"/>
      <c r="BJ44" s="1042"/>
      <c r="BK44" s="1042"/>
      <c r="BL44" s="1042"/>
      <c r="BM44" s="1042"/>
      <c r="BN44" s="1042"/>
      <c r="BO44" s="1042"/>
      <c r="BP44" s="1042"/>
      <c r="BQ44" s="1042"/>
      <c r="BR44" s="1042"/>
      <c r="BS44" s="1042"/>
      <c r="BT44" s="1042"/>
      <c r="BU44" s="1042"/>
      <c r="BV44" s="1042"/>
      <c r="BW44" s="1042"/>
      <c r="BX44" s="1042"/>
      <c r="BY44" s="1042"/>
      <c r="BZ44" s="1042"/>
      <c r="CA44" s="1042"/>
      <c r="CB44" s="1042"/>
      <c r="CC44" s="1042"/>
      <c r="CD44" s="1042"/>
      <c r="CE44" s="1042"/>
      <c r="CF44" s="1042"/>
      <c r="CG44" s="1042"/>
      <c r="CH44" s="1042"/>
      <c r="CI44" s="1042"/>
      <c r="CJ44" s="1042"/>
      <c r="CK44" s="1042"/>
      <c r="CL44" s="1042"/>
      <c r="CM44" s="1042"/>
      <c r="CN44" s="1042"/>
      <c r="CO44" s="1042"/>
      <c r="CP44" s="1042"/>
      <c r="CQ44" s="1042"/>
      <c r="CR44" s="1042"/>
      <c r="CS44" s="1042"/>
      <c r="CT44" s="1042"/>
      <c r="CU44" s="1042"/>
      <c r="CV44" s="1042"/>
      <c r="CW44" s="1042"/>
      <c r="CX44" s="1042"/>
      <c r="CY44" s="1042"/>
      <c r="CZ44" s="1042"/>
      <c r="DA44" s="1042"/>
      <c r="DB44" s="1042"/>
      <c r="DC44" s="1042"/>
      <c r="DD44" s="1042"/>
      <c r="DE44" s="1042"/>
      <c r="DF44" s="1042"/>
      <c r="DG44" s="1042"/>
      <c r="DH44" s="1042"/>
      <c r="DI44" s="1042"/>
      <c r="DJ44" s="1042"/>
      <c r="DK44" s="1042"/>
      <c r="DL44" s="1042"/>
      <c r="DM44" s="1042"/>
      <c r="DN44" s="1042"/>
      <c r="DO44" s="1042"/>
      <c r="DP44" s="1042"/>
      <c r="DQ44" s="1042"/>
      <c r="DR44" s="1042"/>
      <c r="DS44" s="1042"/>
      <c r="DT44" s="1042"/>
      <c r="DU44" s="1042"/>
      <c r="DV44" s="1042"/>
      <c r="DW44" s="1042"/>
      <c r="DX44" s="1042"/>
      <c r="DY44" s="1042"/>
      <c r="DZ44" s="1042"/>
      <c r="EA44" s="1042"/>
      <c r="EB44" s="1042"/>
      <c r="EC44" s="1042"/>
      <c r="ED44" s="1042"/>
      <c r="EE44" s="1042"/>
      <c r="EF44" s="1042"/>
      <c r="EG44" s="1042"/>
      <c r="EH44" s="1042"/>
      <c r="EI44" s="1042"/>
      <c r="EJ44" s="1042"/>
      <c r="EK44" s="1042"/>
      <c r="EL44" s="1042"/>
      <c r="EM44" s="1042"/>
      <c r="EN44" s="1042"/>
      <c r="EO44" s="1042"/>
      <c r="EP44" s="1042"/>
      <c r="EQ44" s="1042"/>
      <c r="ER44" s="1042"/>
      <c r="ES44" s="1042"/>
      <c r="ET44" s="1042"/>
      <c r="EU44" s="1042"/>
      <c r="EV44" s="1042"/>
      <c r="EW44" s="1042"/>
      <c r="EX44" s="1042"/>
      <c r="EY44" s="1042"/>
      <c r="EZ44" s="1042"/>
      <c r="FA44" s="1042"/>
      <c r="FB44" s="1042"/>
      <c r="FC44" s="1042"/>
      <c r="FD44" s="1042"/>
      <c r="FE44" s="1042"/>
      <c r="FF44" s="1042"/>
      <c r="FG44" s="1042"/>
      <c r="FH44" s="1042"/>
      <c r="FI44" s="1042"/>
      <c r="FJ44" s="1042"/>
      <c r="FK44" s="1042"/>
      <c r="FL44" s="1042"/>
      <c r="FM44" s="1042"/>
      <c r="FN44" s="1042"/>
      <c r="FO44" s="1042"/>
      <c r="FP44" s="1042"/>
      <c r="FQ44" s="1042"/>
      <c r="FR44" s="1042"/>
      <c r="FS44" s="1042"/>
      <c r="FT44" s="1042"/>
      <c r="FU44" s="1042"/>
      <c r="FV44" s="1042"/>
      <c r="FW44" s="1042"/>
      <c r="FX44" s="1042"/>
      <c r="FY44" s="2"/>
      <c r="FZ44" s="2"/>
      <c r="GA44" s="2"/>
      <c r="GB44" s="4242" t="str">
        <f t="shared" ref="GB44:GB46" si="114">A34</f>
        <v>ALOJAMIENTO</v>
      </c>
      <c r="GC44" s="4239">
        <f t="shared" ref="GC44:GC47" si="115">SUM(FY34:GC34)</f>
        <v>43673460.390000001</v>
      </c>
      <c r="GD44" s="2"/>
      <c r="GE44" s="2"/>
      <c r="GF44" s="2"/>
      <c r="GG44" s="2"/>
      <c r="GH44" s="2"/>
      <c r="GI44" s="4242" t="str">
        <f t="shared" ref="GI44:GI46" si="116">GB44</f>
        <v>ALOJAMIENTO</v>
      </c>
      <c r="GJ44" s="4240">
        <f t="shared" ref="GJ44:GJ47" si="117">SUM(FY34:GJ34)</f>
        <v>112045667.42999999</v>
      </c>
      <c r="GK44" s="4153"/>
      <c r="GL44" s="2"/>
      <c r="GM44" s="2"/>
      <c r="GN44" s="4242" t="str">
        <f t="shared" ref="GN44:GN46" si="118">GB44</f>
        <v>ALOJAMIENTO</v>
      </c>
      <c r="GO44" s="4239">
        <f t="shared" ref="GO44:GO47" si="119">SUM(GK34:GO34)</f>
        <v>23153161.059999999</v>
      </c>
      <c r="GP44" s="2"/>
      <c r="GQ44" s="2"/>
      <c r="GR44" s="2"/>
      <c r="GS44" s="2"/>
      <c r="GT44" s="2"/>
      <c r="GU44" s="4242" t="str">
        <f t="shared" ref="GU44:GU46" si="120">GN44</f>
        <v>ALOJAMIENTO</v>
      </c>
      <c r="GV44" s="4240">
        <f t="shared" ref="GV44:GV47" si="121">SUM(GK34:GV34)</f>
        <v>37351225.589999996</v>
      </c>
      <c r="GW44" s="4153"/>
      <c r="GX44" s="2"/>
      <c r="GY44" s="2"/>
      <c r="GZ44" s="4242" t="str">
        <f t="shared" ref="GZ44:GZ46" si="122">GN44</f>
        <v>ALOJAMIENTO</v>
      </c>
      <c r="HA44" s="4239">
        <f t="shared" ref="HA44:HA47" si="123">SUM(GW34:HA34)</f>
        <v>12529171.149999999</v>
      </c>
      <c r="HB44" s="2"/>
      <c r="HC44" s="2"/>
      <c r="HD44" s="2"/>
      <c r="HE44" s="2"/>
      <c r="HF44" s="2"/>
      <c r="HG44" s="4242" t="str">
        <f t="shared" ref="HG44:HG46" si="124">GZ44</f>
        <v>ALOJAMIENTO</v>
      </c>
      <c r="HH44" s="4241">
        <f t="shared" ref="HH44:HH47" si="125">SUM(GW34:HH34)</f>
        <v>30417638.301012479</v>
      </c>
      <c r="HI44" s="4153"/>
      <c r="HJ44" s="2"/>
      <c r="HK44" s="2"/>
      <c r="HL44" s="2"/>
      <c r="HM44" s="2"/>
    </row>
    <row r="45" spans="1:221">
      <c r="A45" s="1042"/>
      <c r="B45" s="4051"/>
      <c r="C45" s="4051"/>
      <c r="D45" s="1042"/>
      <c r="E45" s="1042"/>
      <c r="F45" s="1042"/>
      <c r="G45" s="1042"/>
      <c r="H45" s="1042"/>
      <c r="I45" s="1042"/>
      <c r="J45" s="1042"/>
      <c r="K45" s="1042"/>
      <c r="L45" s="1042"/>
      <c r="M45" s="1042"/>
      <c r="N45" s="1042"/>
      <c r="O45" s="1042"/>
      <c r="P45" s="1042"/>
      <c r="Q45" s="1042"/>
      <c r="R45" s="1042"/>
      <c r="S45" s="1042"/>
      <c r="T45" s="1042"/>
      <c r="U45" s="1042"/>
      <c r="V45" s="1042"/>
      <c r="W45" s="1042"/>
      <c r="X45" s="1042"/>
      <c r="Y45" s="1042"/>
      <c r="Z45" s="1042"/>
      <c r="AA45" s="1042"/>
      <c r="AB45" s="1042"/>
      <c r="AC45" s="1042"/>
      <c r="AD45" s="1042"/>
      <c r="AE45" s="1042"/>
      <c r="AF45" s="1042"/>
      <c r="AG45" s="1042"/>
      <c r="AH45" s="1042"/>
      <c r="AI45" s="1042"/>
      <c r="AJ45" s="1042"/>
      <c r="AK45" s="1042"/>
      <c r="AL45" s="1042"/>
      <c r="AM45" s="1042"/>
      <c r="AN45" s="1042"/>
      <c r="AO45" s="1042"/>
      <c r="AP45" s="1042"/>
      <c r="AQ45" s="1042"/>
      <c r="AR45" s="1042"/>
      <c r="AS45" s="1042"/>
      <c r="AT45" s="1042"/>
      <c r="AU45" s="1042"/>
      <c r="AV45" s="1042"/>
      <c r="AW45" s="1042"/>
      <c r="AX45" s="1042"/>
      <c r="AY45" s="1042"/>
      <c r="AZ45" s="1042"/>
      <c r="BA45" s="1042"/>
      <c r="BB45" s="1042"/>
      <c r="BC45" s="1042"/>
      <c r="BD45" s="1042"/>
      <c r="BE45" s="1042"/>
      <c r="BF45" s="1042"/>
      <c r="BG45" s="1042"/>
      <c r="BH45" s="1042"/>
      <c r="BI45" s="1042"/>
      <c r="BJ45" s="1042"/>
      <c r="BK45" s="1042"/>
      <c r="BL45" s="1042"/>
      <c r="BM45" s="1042"/>
      <c r="BN45" s="1042"/>
      <c r="BO45" s="1042"/>
      <c r="BP45" s="1042"/>
      <c r="BQ45" s="1042"/>
      <c r="BR45" s="1042"/>
      <c r="BS45" s="1042"/>
      <c r="BT45" s="1042"/>
      <c r="BU45" s="1042"/>
      <c r="BV45" s="1042"/>
      <c r="BW45" s="1042"/>
      <c r="BX45" s="1042"/>
      <c r="BY45" s="1042"/>
      <c r="BZ45" s="1042"/>
      <c r="CA45" s="1042"/>
      <c r="CB45" s="1042"/>
      <c r="CC45" s="1042"/>
      <c r="CD45" s="1042"/>
      <c r="CE45" s="1042"/>
      <c r="CF45" s="1042"/>
      <c r="CG45" s="1042"/>
      <c r="CH45" s="1042"/>
      <c r="CI45" s="1042"/>
      <c r="CJ45" s="1042"/>
      <c r="CK45" s="1042"/>
      <c r="CL45" s="1042"/>
      <c r="CM45" s="1042"/>
      <c r="CN45" s="1042"/>
      <c r="CO45" s="1042"/>
      <c r="CP45" s="1042"/>
      <c r="CQ45" s="1042"/>
      <c r="CR45" s="1042"/>
      <c r="CS45" s="1042"/>
      <c r="CT45" s="1042"/>
      <c r="CU45" s="1042"/>
      <c r="CV45" s="1042"/>
      <c r="CW45" s="1042"/>
      <c r="CX45" s="1042"/>
      <c r="CY45" s="1042"/>
      <c r="CZ45" s="1042"/>
      <c r="DA45" s="1042"/>
      <c r="DB45" s="1042"/>
      <c r="DC45" s="1042"/>
      <c r="DD45" s="1042"/>
      <c r="DE45" s="1042"/>
      <c r="DF45" s="1042"/>
      <c r="DG45" s="1042"/>
      <c r="DH45" s="1042"/>
      <c r="DI45" s="1042"/>
      <c r="DJ45" s="1042"/>
      <c r="DK45" s="1042"/>
      <c r="DL45" s="1042"/>
      <c r="DM45" s="1042"/>
      <c r="DN45" s="1042"/>
      <c r="DO45" s="1042"/>
      <c r="DP45" s="1042"/>
      <c r="DQ45" s="1042"/>
      <c r="DR45" s="1042"/>
      <c r="DS45" s="1042"/>
      <c r="DT45" s="1042"/>
      <c r="DU45" s="1042"/>
      <c r="DV45" s="1042"/>
      <c r="DW45" s="1042"/>
      <c r="DX45" s="1042"/>
      <c r="DY45" s="1042"/>
      <c r="DZ45" s="1042"/>
      <c r="EA45" s="1042"/>
      <c r="EB45" s="1042"/>
      <c r="EC45" s="1042"/>
      <c r="ED45" s="1042"/>
      <c r="EE45" s="1042"/>
      <c r="EF45" s="1042"/>
      <c r="EG45" s="1042"/>
      <c r="EH45" s="1042"/>
      <c r="EI45" s="1042"/>
      <c r="EJ45" s="1042"/>
      <c r="EK45" s="1042"/>
      <c r="EL45" s="1042"/>
      <c r="EM45" s="1042"/>
      <c r="EN45" s="1042"/>
      <c r="EO45" s="1042"/>
      <c r="EP45" s="1042"/>
      <c r="EQ45" s="1042"/>
      <c r="ER45" s="1042"/>
      <c r="ES45" s="1042"/>
      <c r="ET45" s="1042"/>
      <c r="EU45" s="1042"/>
      <c r="EV45" s="1042"/>
      <c r="EW45" s="1042"/>
      <c r="EX45" s="1042"/>
      <c r="EY45" s="1042"/>
      <c r="EZ45" s="1042"/>
      <c r="FA45" s="1042"/>
      <c r="FB45" s="1042"/>
      <c r="FC45" s="1042"/>
      <c r="FD45" s="1042"/>
      <c r="FE45" s="1042"/>
      <c r="FF45" s="1042"/>
      <c r="FG45" s="1042"/>
      <c r="FH45" s="1042"/>
      <c r="FI45" s="1042"/>
      <c r="FJ45" s="1042"/>
      <c r="FK45" s="1042"/>
      <c r="FL45" s="1042"/>
      <c r="FM45" s="1042"/>
      <c r="FN45" s="1042"/>
      <c r="FO45" s="1042"/>
      <c r="FP45" s="1042"/>
      <c r="FQ45" s="1042"/>
      <c r="FR45" s="1042"/>
      <c r="FS45" s="1042"/>
      <c r="FT45" s="1042"/>
      <c r="FU45" s="1042"/>
      <c r="FV45" s="1042"/>
      <c r="FW45" s="1042"/>
      <c r="FX45" s="1042"/>
      <c r="FY45" s="2"/>
      <c r="FZ45" s="2"/>
      <c r="GA45" s="2"/>
      <c r="GB45" s="489" t="str">
        <f t="shared" si="114"/>
        <v xml:space="preserve">TRANSPORTE TURISTICO </v>
      </c>
      <c r="GC45" s="4239">
        <f t="shared" si="115"/>
        <v>382578831.84999996</v>
      </c>
      <c r="GD45" s="2"/>
      <c r="GE45" s="2"/>
      <c r="GF45" s="2"/>
      <c r="GG45" s="2"/>
      <c r="GH45" s="2"/>
      <c r="GI45" s="489" t="str">
        <f t="shared" si="116"/>
        <v xml:space="preserve">TRANSPORTE TURISTICO </v>
      </c>
      <c r="GJ45" s="4240">
        <f t="shared" si="117"/>
        <v>869918579.92999995</v>
      </c>
      <c r="GK45" s="4153"/>
      <c r="GL45" s="2"/>
      <c r="GM45" s="2"/>
      <c r="GN45" s="489" t="str">
        <f t="shared" si="118"/>
        <v xml:space="preserve">TRANSPORTE TURISTICO </v>
      </c>
      <c r="GO45" s="4239">
        <f t="shared" si="119"/>
        <v>184965322.06</v>
      </c>
      <c r="GP45" s="2"/>
      <c r="GQ45" s="2"/>
      <c r="GR45" s="2"/>
      <c r="GS45" s="2"/>
      <c r="GT45" s="2"/>
      <c r="GU45" s="489" t="str">
        <f t="shared" si="120"/>
        <v xml:space="preserve">TRANSPORTE TURISTICO </v>
      </c>
      <c r="GV45" s="4240">
        <f t="shared" si="121"/>
        <v>302727440.06</v>
      </c>
      <c r="GW45" s="4153"/>
      <c r="GX45" s="2"/>
      <c r="GY45" s="2"/>
      <c r="GZ45" s="489" t="str">
        <f t="shared" si="122"/>
        <v xml:space="preserve">TRANSPORTE TURISTICO </v>
      </c>
      <c r="HA45" s="4239">
        <f t="shared" si="123"/>
        <v>130930134.16</v>
      </c>
      <c r="HB45" s="2"/>
      <c r="HC45" s="2"/>
      <c r="HD45" s="2"/>
      <c r="HE45" s="2"/>
      <c r="HF45" s="2"/>
      <c r="HG45" s="489" t="str">
        <f t="shared" si="124"/>
        <v xml:space="preserve">TRANSPORTE TURISTICO </v>
      </c>
      <c r="HH45" s="4241">
        <f t="shared" si="125"/>
        <v>338180772.84129483</v>
      </c>
      <c r="HI45" s="4153"/>
      <c r="HJ45" s="2"/>
      <c r="HK45" s="2"/>
      <c r="HL45" s="2"/>
      <c r="HM45" s="2"/>
    </row>
    <row r="46" spans="1:221" ht="15" thickBot="1">
      <c r="A46" s="1042"/>
      <c r="B46" s="4051"/>
      <c r="C46" s="4051"/>
      <c r="D46" s="1042"/>
      <c r="E46" s="1042"/>
      <c r="F46" s="1042"/>
      <c r="G46" s="1042"/>
      <c r="H46" s="1042"/>
      <c r="I46" s="1042"/>
      <c r="J46" s="1042"/>
      <c r="K46" s="1042"/>
      <c r="L46" s="1042"/>
      <c r="M46" s="1042"/>
      <c r="N46" s="1042"/>
      <c r="O46" s="1042"/>
      <c r="P46" s="1042"/>
      <c r="Q46" s="1042"/>
      <c r="R46" s="1042"/>
      <c r="S46" s="1042"/>
      <c r="T46" s="1042"/>
      <c r="U46" s="1042"/>
      <c r="V46" s="1042"/>
      <c r="W46" s="1042"/>
      <c r="X46" s="1042"/>
      <c r="Y46" s="1042"/>
      <c r="Z46" s="1042"/>
      <c r="AA46" s="1042"/>
      <c r="AB46" s="1042"/>
      <c r="AC46" s="1042"/>
      <c r="AD46" s="1042"/>
      <c r="AE46" s="1042"/>
      <c r="AF46" s="1042"/>
      <c r="AG46" s="1042"/>
      <c r="AH46" s="1042"/>
      <c r="AI46" s="1042"/>
      <c r="AJ46" s="1042"/>
      <c r="AK46" s="1042"/>
      <c r="AL46" s="1042"/>
      <c r="AM46" s="1042"/>
      <c r="AN46" s="1042"/>
      <c r="AO46" s="1042"/>
      <c r="AP46" s="1042"/>
      <c r="AQ46" s="1042"/>
      <c r="AR46" s="1042"/>
      <c r="AS46" s="1042"/>
      <c r="AT46" s="1042"/>
      <c r="AU46" s="1042"/>
      <c r="AV46" s="1042"/>
      <c r="AW46" s="1042"/>
      <c r="AX46" s="1042"/>
      <c r="AY46" s="1042"/>
      <c r="AZ46" s="1042"/>
      <c r="BA46" s="1042"/>
      <c r="BB46" s="1042"/>
      <c r="BC46" s="1042"/>
      <c r="BD46" s="1042"/>
      <c r="BE46" s="1042"/>
      <c r="BF46" s="1042"/>
      <c r="BG46" s="1042"/>
      <c r="BH46" s="1042"/>
      <c r="BI46" s="1042"/>
      <c r="BJ46" s="1042"/>
      <c r="BK46" s="1042"/>
      <c r="BL46" s="1042"/>
      <c r="BM46" s="1042"/>
      <c r="BN46" s="1042"/>
      <c r="BO46" s="1042"/>
      <c r="BP46" s="1042"/>
      <c r="BQ46" s="1042"/>
      <c r="BR46" s="1042"/>
      <c r="BS46" s="1042"/>
      <c r="BT46" s="1042"/>
      <c r="BU46" s="1042"/>
      <c r="BV46" s="1042"/>
      <c r="BW46" s="1042"/>
      <c r="BX46" s="1042"/>
      <c r="BY46" s="1042"/>
      <c r="BZ46" s="1042"/>
      <c r="CA46" s="1042"/>
      <c r="CB46" s="1042"/>
      <c r="CC46" s="1042"/>
      <c r="CD46" s="1042"/>
      <c r="CE46" s="1042"/>
      <c r="CF46" s="1042"/>
      <c r="CG46" s="1042"/>
      <c r="CH46" s="1042"/>
      <c r="CI46" s="1042"/>
      <c r="CJ46" s="1042"/>
      <c r="CK46" s="1042"/>
      <c r="CL46" s="1042"/>
      <c r="CM46" s="1042"/>
      <c r="CN46" s="1042"/>
      <c r="CO46" s="1042"/>
      <c r="CP46" s="1042"/>
      <c r="CQ46" s="1042"/>
      <c r="CR46" s="1042"/>
      <c r="CS46" s="1042"/>
      <c r="CT46" s="1042"/>
      <c r="CU46" s="1042"/>
      <c r="CV46" s="1042"/>
      <c r="CW46" s="1042"/>
      <c r="CX46" s="1042"/>
      <c r="CY46" s="1042"/>
      <c r="CZ46" s="1042"/>
      <c r="DA46" s="1042"/>
      <c r="DB46" s="1042"/>
      <c r="DC46" s="1042"/>
      <c r="DD46" s="1042"/>
      <c r="DE46" s="1042"/>
      <c r="DF46" s="1042"/>
      <c r="DG46" s="1042"/>
      <c r="DH46" s="1042"/>
      <c r="DI46" s="1042"/>
      <c r="DJ46" s="1042"/>
      <c r="DK46" s="1042"/>
      <c r="DL46" s="1042"/>
      <c r="DM46" s="1042"/>
      <c r="DN46" s="1042"/>
      <c r="DO46" s="1042"/>
      <c r="DP46" s="1042"/>
      <c r="DQ46" s="1042"/>
      <c r="DR46" s="1042"/>
      <c r="DS46" s="1042"/>
      <c r="DT46" s="1042"/>
      <c r="DU46" s="1042"/>
      <c r="DV46" s="1042"/>
      <c r="DW46" s="1042"/>
      <c r="DX46" s="1042"/>
      <c r="DY46" s="1042"/>
      <c r="DZ46" s="1042"/>
      <c r="EA46" s="1042"/>
      <c r="EB46" s="1042"/>
      <c r="EC46" s="1042"/>
      <c r="ED46" s="1042"/>
      <c r="EE46" s="1042"/>
      <c r="EF46" s="1042"/>
      <c r="EG46" s="1042"/>
      <c r="EH46" s="1042"/>
      <c r="EI46" s="1042"/>
      <c r="EJ46" s="1042"/>
      <c r="EK46" s="1042"/>
      <c r="EL46" s="1042"/>
      <c r="EM46" s="1042"/>
      <c r="EN46" s="1042"/>
      <c r="EO46" s="1042"/>
      <c r="EP46" s="1042"/>
      <c r="EQ46" s="1042"/>
      <c r="ER46" s="1042"/>
      <c r="ES46" s="1042"/>
      <c r="ET46" s="1042"/>
      <c r="EU46" s="1042"/>
      <c r="EV46" s="1042"/>
      <c r="EW46" s="1042"/>
      <c r="EX46" s="1042"/>
      <c r="EY46" s="1042"/>
      <c r="EZ46" s="1042"/>
      <c r="FA46" s="1042"/>
      <c r="FB46" s="1042"/>
      <c r="FC46" s="1042"/>
      <c r="FD46" s="1042"/>
      <c r="FE46" s="1042"/>
      <c r="FF46" s="1042"/>
      <c r="FG46" s="1042"/>
      <c r="FH46" s="1042"/>
      <c r="FI46" s="1042"/>
      <c r="FJ46" s="1042"/>
      <c r="FK46" s="1042"/>
      <c r="FL46" s="1042"/>
      <c r="FM46" s="1042"/>
      <c r="FN46" s="1042"/>
      <c r="FO46" s="1042"/>
      <c r="FP46" s="1042"/>
      <c r="FQ46" s="1042"/>
      <c r="FR46" s="1042"/>
      <c r="FS46" s="1042"/>
      <c r="FT46" s="1042"/>
      <c r="FU46" s="1042"/>
      <c r="FV46" s="1042"/>
      <c r="FW46" s="1042"/>
      <c r="FX46" s="1042"/>
      <c r="FY46" s="2"/>
      <c r="FZ46" s="2"/>
      <c r="GA46" s="2"/>
      <c r="GB46" s="4243" t="str">
        <f t="shared" si="114"/>
        <v>TTOO</v>
      </c>
      <c r="GC46" s="4239">
        <f t="shared" si="115"/>
        <v>98482586.319999993</v>
      </c>
      <c r="GD46" s="2"/>
      <c r="GE46" s="2"/>
      <c r="GF46" s="2"/>
      <c r="GG46" s="2"/>
      <c r="GH46" s="2"/>
      <c r="GI46" s="4243" t="str">
        <f t="shared" si="116"/>
        <v>TTOO</v>
      </c>
      <c r="GJ46" s="4240">
        <f t="shared" si="117"/>
        <v>250299692.35000002</v>
      </c>
      <c r="GK46" s="4153"/>
      <c r="GL46" s="2"/>
      <c r="GM46" s="2"/>
      <c r="GN46" s="4243" t="str">
        <f t="shared" si="118"/>
        <v>TTOO</v>
      </c>
      <c r="GO46" s="4239">
        <f t="shared" si="119"/>
        <v>54506461.030000009</v>
      </c>
      <c r="GP46" s="2"/>
      <c r="GQ46" s="2"/>
      <c r="GR46" s="2"/>
      <c r="GS46" s="2"/>
      <c r="GT46" s="2"/>
      <c r="GU46" s="4243" t="str">
        <f t="shared" si="120"/>
        <v>TTOO</v>
      </c>
      <c r="GV46" s="4240">
        <f t="shared" si="121"/>
        <v>104454241.92</v>
      </c>
      <c r="GW46" s="4153"/>
      <c r="GX46" s="2"/>
      <c r="GY46" s="2"/>
      <c r="GZ46" s="4243" t="str">
        <f t="shared" si="122"/>
        <v>TTOO</v>
      </c>
      <c r="HA46" s="4239">
        <f t="shared" si="123"/>
        <v>65028447.169999994</v>
      </c>
      <c r="HB46" s="2"/>
      <c r="HC46" s="2"/>
      <c r="HD46" s="2"/>
      <c r="HE46" s="2"/>
      <c r="HF46" s="2"/>
      <c r="HG46" s="4243" t="str">
        <f t="shared" si="124"/>
        <v>TTOO</v>
      </c>
      <c r="HH46" s="4241">
        <f t="shared" si="125"/>
        <v>166772490.24864924</v>
      </c>
      <c r="HI46" s="4153"/>
      <c r="HJ46" s="2"/>
      <c r="HK46" s="2"/>
      <c r="HL46" s="2"/>
      <c r="HM46" s="2"/>
    </row>
    <row r="47" spans="1:221" ht="15" thickBot="1">
      <c r="A47" s="1042"/>
      <c r="B47" s="4051"/>
      <c r="C47" s="4051"/>
      <c r="D47" s="1042"/>
      <c r="E47" s="1042"/>
      <c r="F47" s="1042"/>
      <c r="G47" s="1042"/>
      <c r="H47" s="1042"/>
      <c r="I47" s="1042"/>
      <c r="J47" s="1042"/>
      <c r="K47" s="1042"/>
      <c r="L47" s="1042"/>
      <c r="M47" s="1042"/>
      <c r="N47" s="1042"/>
      <c r="O47" s="1042"/>
      <c r="P47" s="1042"/>
      <c r="Q47" s="1042"/>
      <c r="R47" s="1042"/>
      <c r="S47" s="1042"/>
      <c r="T47" s="1042"/>
      <c r="U47" s="1042"/>
      <c r="V47" s="1042"/>
      <c r="W47" s="1042"/>
      <c r="X47" s="1042"/>
      <c r="Y47" s="1042"/>
      <c r="Z47" s="1042"/>
      <c r="AA47" s="1042"/>
      <c r="AB47" s="1042"/>
      <c r="AC47" s="1042"/>
      <c r="AD47" s="1042"/>
      <c r="AE47" s="1042"/>
      <c r="AF47" s="1042"/>
      <c r="AG47" s="1042"/>
      <c r="AH47" s="1042"/>
      <c r="AI47" s="1042"/>
      <c r="AJ47" s="1042"/>
      <c r="AK47" s="1042"/>
      <c r="AL47" s="1042"/>
      <c r="AM47" s="1042"/>
      <c r="AN47" s="1042"/>
      <c r="AO47" s="1042"/>
      <c r="AP47" s="1042"/>
      <c r="AQ47" s="1042"/>
      <c r="AR47" s="1042"/>
      <c r="AS47" s="1042"/>
      <c r="AT47" s="1042"/>
      <c r="AU47" s="1042"/>
      <c r="AV47" s="1042"/>
      <c r="AW47" s="1042"/>
      <c r="AX47" s="1042"/>
      <c r="AY47" s="1042"/>
      <c r="AZ47" s="1042"/>
      <c r="BA47" s="1042"/>
      <c r="BB47" s="1042"/>
      <c r="BC47" s="1042"/>
      <c r="BD47" s="1042"/>
      <c r="BE47" s="1042"/>
      <c r="BF47" s="1042"/>
      <c r="BG47" s="1042"/>
      <c r="BH47" s="1042"/>
      <c r="BI47" s="1042"/>
      <c r="BJ47" s="1042"/>
      <c r="BK47" s="1042"/>
      <c r="BL47" s="1042"/>
      <c r="BM47" s="1042"/>
      <c r="BN47" s="1042"/>
      <c r="BO47" s="1042"/>
      <c r="BP47" s="1042"/>
      <c r="BQ47" s="1042"/>
      <c r="BR47" s="1042"/>
      <c r="BS47" s="1042"/>
      <c r="BT47" s="1042"/>
      <c r="BU47" s="1042"/>
      <c r="BV47" s="1042"/>
      <c r="BW47" s="1042"/>
      <c r="BX47" s="1042"/>
      <c r="BY47" s="1042"/>
      <c r="BZ47" s="1042"/>
      <c r="CA47" s="1042"/>
      <c r="CB47" s="1042"/>
      <c r="CC47" s="1042"/>
      <c r="CD47" s="1042"/>
      <c r="CE47" s="1042"/>
      <c r="CF47" s="1042"/>
      <c r="CG47" s="1042"/>
      <c r="CH47" s="1042"/>
      <c r="CI47" s="1042"/>
      <c r="CJ47" s="1042"/>
      <c r="CK47" s="1042"/>
      <c r="CL47" s="1042"/>
      <c r="CM47" s="1042"/>
      <c r="CN47" s="1042"/>
      <c r="CO47" s="1042"/>
      <c r="CP47" s="1042"/>
      <c r="CQ47" s="1042"/>
      <c r="CR47" s="1042"/>
      <c r="CS47" s="1042"/>
      <c r="CT47" s="1042"/>
      <c r="CU47" s="1042"/>
      <c r="CV47" s="1042"/>
      <c r="CW47" s="1042"/>
      <c r="CX47" s="1042"/>
      <c r="CY47" s="1042"/>
      <c r="CZ47" s="1042"/>
      <c r="DA47" s="1042"/>
      <c r="DB47" s="1042"/>
      <c r="DC47" s="1042"/>
      <c r="DD47" s="1042"/>
      <c r="DE47" s="1042"/>
      <c r="DF47" s="1042"/>
      <c r="DG47" s="1042"/>
      <c r="DH47" s="1042"/>
      <c r="DI47" s="1042"/>
      <c r="DJ47" s="1042"/>
      <c r="DK47" s="1042"/>
      <c r="DL47" s="1042"/>
      <c r="DM47" s="1042"/>
      <c r="DN47" s="1042"/>
      <c r="DO47" s="1042"/>
      <c r="DP47" s="1042"/>
      <c r="DQ47" s="1042"/>
      <c r="DR47" s="1042"/>
      <c r="DS47" s="1042"/>
      <c r="DT47" s="1042"/>
      <c r="DU47" s="1042"/>
      <c r="DV47" s="1042"/>
      <c r="DW47" s="1042"/>
      <c r="DX47" s="1042"/>
      <c r="DY47" s="1042"/>
      <c r="DZ47" s="1042"/>
      <c r="EA47" s="1042"/>
      <c r="EB47" s="1042"/>
      <c r="EC47" s="1042"/>
      <c r="ED47" s="1042"/>
      <c r="EE47" s="1042"/>
      <c r="EF47" s="1042"/>
      <c r="EG47" s="1042"/>
      <c r="EH47" s="1042"/>
      <c r="EI47" s="1042"/>
      <c r="EJ47" s="1042"/>
      <c r="EK47" s="1042"/>
      <c r="EL47" s="1042"/>
      <c r="EM47" s="1042"/>
      <c r="EN47" s="1042"/>
      <c r="EO47" s="1042"/>
      <c r="EP47" s="1042"/>
      <c r="EQ47" s="1042"/>
      <c r="ER47" s="1042"/>
      <c r="ES47" s="1042"/>
      <c r="ET47" s="1042"/>
      <c r="EU47" s="1042"/>
      <c r="EV47" s="1042"/>
      <c r="EW47" s="1042"/>
      <c r="EX47" s="1042"/>
      <c r="EY47" s="1042"/>
      <c r="EZ47" s="1042"/>
      <c r="FA47" s="1042"/>
      <c r="FB47" s="1042"/>
      <c r="FC47" s="1042"/>
      <c r="FD47" s="1042"/>
      <c r="FE47" s="1042"/>
      <c r="FF47" s="1042"/>
      <c r="FG47" s="1042"/>
      <c r="FH47" s="1042"/>
      <c r="FI47" s="1042"/>
      <c r="FJ47" s="1042"/>
      <c r="FK47" s="1042"/>
      <c r="FL47" s="1042"/>
      <c r="FM47" s="1042"/>
      <c r="FN47" s="1042"/>
      <c r="FO47" s="1042"/>
      <c r="FP47" s="1042"/>
      <c r="FQ47" s="1042"/>
      <c r="FR47" s="1042"/>
      <c r="FS47" s="1042"/>
      <c r="FT47" s="1042"/>
      <c r="FU47" s="1042"/>
      <c r="FV47" s="1042"/>
      <c r="FW47" s="1042"/>
      <c r="FX47" s="1042"/>
      <c r="FY47" s="2"/>
      <c r="FZ47" s="2"/>
      <c r="GA47" s="2"/>
      <c r="GB47" s="4244" t="s">
        <v>1727</v>
      </c>
      <c r="GC47" s="4245">
        <f t="shared" si="115"/>
        <v>936267793.06000018</v>
      </c>
      <c r="GD47" s="2"/>
      <c r="GE47" s="2"/>
      <c r="GF47" s="2"/>
      <c r="GG47" s="2"/>
      <c r="GH47" s="2"/>
      <c r="GI47" s="4244" t="s">
        <v>1727</v>
      </c>
      <c r="GJ47" s="4246">
        <f t="shared" si="117"/>
        <v>2272358553.3299999</v>
      </c>
      <c r="GK47" s="4153"/>
      <c r="GL47" s="2"/>
      <c r="GM47" s="2"/>
      <c r="GN47" s="4244" t="s">
        <v>1727</v>
      </c>
      <c r="GO47" s="4245">
        <f t="shared" si="119"/>
        <v>536365558.94</v>
      </c>
      <c r="GP47" s="2"/>
      <c r="GQ47" s="2"/>
      <c r="GR47" s="2"/>
      <c r="GS47" s="2"/>
      <c r="GT47" s="2"/>
      <c r="GU47" s="4244" t="s">
        <v>1727</v>
      </c>
      <c r="GV47" s="4246">
        <f t="shared" si="121"/>
        <v>1108968900.2000003</v>
      </c>
      <c r="GW47" s="4153"/>
      <c r="GX47" s="2"/>
      <c r="GY47" s="2"/>
      <c r="GZ47" s="4244" t="s">
        <v>1727</v>
      </c>
      <c r="HA47" s="4245">
        <f t="shared" si="123"/>
        <v>501623285.95999992</v>
      </c>
      <c r="HB47" s="2"/>
      <c r="HC47" s="2"/>
      <c r="HD47" s="2"/>
      <c r="HE47" s="2"/>
      <c r="HF47" s="2"/>
      <c r="HG47" s="4244" t="s">
        <v>1727</v>
      </c>
      <c r="HH47" s="4247">
        <f t="shared" si="125"/>
        <v>1238892790.5416799</v>
      </c>
      <c r="HI47" s="4153"/>
      <c r="HJ47" s="2"/>
      <c r="HK47" s="2"/>
      <c r="HL47" s="2"/>
      <c r="HM47" s="2"/>
    </row>
    <row r="48" spans="1:221">
      <c r="A48" s="1042"/>
      <c r="B48" s="4051"/>
      <c r="C48" s="4051"/>
      <c r="D48" s="1042"/>
      <c r="E48" s="1042"/>
      <c r="F48" s="1042"/>
      <c r="G48" s="1042"/>
      <c r="H48" s="1042"/>
      <c r="I48" s="1042"/>
      <c r="J48" s="1042"/>
      <c r="K48" s="1042"/>
      <c r="L48" s="1042"/>
      <c r="M48" s="1042"/>
      <c r="N48" s="1042"/>
      <c r="O48" s="1042"/>
      <c r="P48" s="1042"/>
      <c r="Q48" s="1042"/>
      <c r="R48" s="1042"/>
      <c r="S48" s="1042"/>
      <c r="T48" s="1042"/>
      <c r="U48" s="1042"/>
      <c r="V48" s="1042"/>
      <c r="W48" s="1042"/>
      <c r="X48" s="1042"/>
      <c r="Y48" s="1042"/>
      <c r="Z48" s="1042"/>
      <c r="AA48" s="1042"/>
      <c r="AB48" s="1042"/>
      <c r="AC48" s="1042"/>
      <c r="AD48" s="1042"/>
      <c r="AE48" s="1042"/>
      <c r="AF48" s="1042"/>
      <c r="AG48" s="1042"/>
      <c r="AH48" s="1042"/>
      <c r="AI48" s="1042"/>
      <c r="AJ48" s="1042"/>
      <c r="AK48" s="1042"/>
      <c r="AL48" s="1042"/>
      <c r="AM48" s="1042"/>
      <c r="AN48" s="1042"/>
      <c r="AO48" s="1042"/>
      <c r="AP48" s="1042"/>
      <c r="AQ48" s="1042"/>
      <c r="AR48" s="1042"/>
      <c r="AS48" s="1042"/>
      <c r="AT48" s="1042"/>
      <c r="AU48" s="1042"/>
      <c r="AV48" s="1042"/>
      <c r="AW48" s="1042"/>
      <c r="AX48" s="1042"/>
      <c r="AY48" s="1042"/>
      <c r="AZ48" s="1042"/>
      <c r="BA48" s="1042"/>
      <c r="BB48" s="1042"/>
      <c r="BC48" s="1042"/>
      <c r="BD48" s="1042"/>
      <c r="BE48" s="1042"/>
      <c r="BF48" s="1042"/>
      <c r="BG48" s="1042"/>
      <c r="BH48" s="1042"/>
      <c r="BI48" s="1042"/>
      <c r="BJ48" s="1042"/>
      <c r="BK48" s="1042"/>
      <c r="BL48" s="1042"/>
      <c r="BM48" s="1042"/>
      <c r="BN48" s="1042"/>
      <c r="BO48" s="1042"/>
      <c r="BP48" s="1042"/>
      <c r="BQ48" s="1042"/>
      <c r="BR48" s="1042"/>
      <c r="BS48" s="1042"/>
      <c r="BT48" s="1042"/>
      <c r="BU48" s="1042"/>
      <c r="BV48" s="1042"/>
      <c r="BW48" s="1042"/>
      <c r="BX48" s="1042"/>
      <c r="BY48" s="1042"/>
      <c r="BZ48" s="1042"/>
      <c r="CA48" s="1042"/>
      <c r="CB48" s="1042"/>
      <c r="CC48" s="1042"/>
      <c r="CD48" s="1042"/>
      <c r="CE48" s="1042"/>
      <c r="CF48" s="1042"/>
      <c r="CG48" s="1042"/>
      <c r="CH48" s="1042"/>
      <c r="CI48" s="1042"/>
      <c r="CJ48" s="1042"/>
      <c r="CK48" s="1042"/>
      <c r="CL48" s="1042"/>
      <c r="CM48" s="1042"/>
      <c r="CN48" s="1042"/>
      <c r="CO48" s="1042"/>
      <c r="CP48" s="1042"/>
      <c r="CQ48" s="1042"/>
      <c r="CR48" s="1042"/>
      <c r="CS48" s="1042"/>
      <c r="CT48" s="1042"/>
      <c r="CU48" s="1042"/>
      <c r="CV48" s="1042"/>
      <c r="CW48" s="1042"/>
      <c r="CX48" s="1042"/>
      <c r="CY48" s="1042"/>
      <c r="CZ48" s="1042"/>
      <c r="DA48" s="1042"/>
      <c r="DB48" s="1042"/>
      <c r="DC48" s="1042"/>
      <c r="DD48" s="1042"/>
      <c r="DE48" s="1042"/>
      <c r="DF48" s="1042"/>
      <c r="DG48" s="1042"/>
      <c r="DH48" s="1042"/>
      <c r="DI48" s="1042"/>
      <c r="DJ48" s="1042"/>
      <c r="DK48" s="1042"/>
      <c r="DL48" s="1042"/>
      <c r="DM48" s="1042"/>
      <c r="DN48" s="1042"/>
      <c r="DO48" s="1042"/>
      <c r="DP48" s="1042"/>
      <c r="DQ48" s="1042"/>
      <c r="DR48" s="1042"/>
      <c r="DS48" s="1042"/>
      <c r="DT48" s="1042"/>
      <c r="DU48" s="1042"/>
      <c r="DV48" s="1042"/>
      <c r="DW48" s="1042"/>
      <c r="DX48" s="1042"/>
      <c r="DY48" s="1042"/>
      <c r="DZ48" s="1042"/>
      <c r="EA48" s="1042"/>
      <c r="EB48" s="1042"/>
      <c r="EC48" s="1042"/>
      <c r="ED48" s="1042"/>
      <c r="EE48" s="1042"/>
      <c r="EF48" s="1042"/>
      <c r="EG48" s="1042"/>
      <c r="EH48" s="1042"/>
      <c r="EI48" s="1042"/>
      <c r="EJ48" s="1042"/>
      <c r="EK48" s="1042"/>
      <c r="EL48" s="1042"/>
      <c r="EM48" s="1042"/>
      <c r="EN48" s="1042"/>
      <c r="EO48" s="1042"/>
      <c r="EP48" s="1042"/>
      <c r="EQ48" s="1042"/>
      <c r="ER48" s="1042"/>
      <c r="ES48" s="1042"/>
      <c r="ET48" s="1042"/>
      <c r="EU48" s="1042"/>
      <c r="EV48" s="1042"/>
      <c r="EW48" s="1042"/>
      <c r="EX48" s="1042"/>
      <c r="EY48" s="1042"/>
      <c r="EZ48" s="1042"/>
      <c r="FA48" s="1042"/>
      <c r="FB48" s="1042"/>
      <c r="FC48" s="1042"/>
      <c r="FD48" s="1042"/>
      <c r="FE48" s="1042"/>
      <c r="FF48" s="1042"/>
      <c r="FG48" s="1042"/>
      <c r="FH48" s="1042"/>
      <c r="FI48" s="1042"/>
      <c r="FJ48" s="1042"/>
      <c r="FK48" s="1042"/>
      <c r="FL48" s="1042"/>
      <c r="FM48" s="1042"/>
      <c r="FN48" s="1042"/>
      <c r="FO48" s="1042"/>
      <c r="FP48" s="1042"/>
      <c r="FQ48" s="1042"/>
      <c r="FR48" s="1042"/>
      <c r="FS48" s="1042"/>
      <c r="FT48" s="1042"/>
      <c r="FU48" s="1042"/>
      <c r="FV48" s="1042"/>
      <c r="FW48" s="1042"/>
      <c r="FX48" s="1042"/>
      <c r="FY48" s="2"/>
      <c r="FZ48" s="2"/>
      <c r="GA48" s="2"/>
      <c r="GB48" s="2"/>
      <c r="GC48" s="2"/>
      <c r="GD48" s="2"/>
      <c r="GE48" s="2"/>
      <c r="GF48" s="2"/>
      <c r="GG48" s="2"/>
      <c r="GH48" s="2"/>
      <c r="GI48" s="2"/>
      <c r="GJ48" s="2"/>
      <c r="GK48" s="4153"/>
      <c r="GL48" s="2"/>
      <c r="GM48" s="2"/>
      <c r="GN48" s="2"/>
      <c r="GO48" s="2"/>
      <c r="GP48" s="2"/>
      <c r="GQ48" s="2"/>
      <c r="GR48" s="2"/>
      <c r="GS48" s="2"/>
      <c r="GT48" s="2"/>
      <c r="GU48" s="2"/>
      <c r="GV48" s="2"/>
      <c r="GW48" s="4153"/>
      <c r="GX48" s="2"/>
      <c r="GY48" s="2"/>
      <c r="GZ48" s="2"/>
      <c r="HA48" s="2"/>
      <c r="HB48" s="2"/>
      <c r="HC48" s="2"/>
      <c r="HD48" s="2"/>
      <c r="HE48" s="2"/>
      <c r="HF48" s="2"/>
      <c r="HG48" s="2"/>
      <c r="HH48" s="2"/>
      <c r="HI48" s="4153"/>
      <c r="HJ48" s="2"/>
      <c r="HK48" s="2"/>
      <c r="HL48" s="2"/>
      <c r="HM48" s="2"/>
    </row>
    <row r="49" spans="1:221">
      <c r="A49" s="1042"/>
      <c r="B49" s="4051"/>
      <c r="C49" s="4051"/>
      <c r="D49" s="1042"/>
      <c r="E49" s="1042"/>
      <c r="F49" s="1042"/>
      <c r="G49" s="1042"/>
      <c r="H49" s="1042"/>
      <c r="I49" s="1042"/>
      <c r="J49" s="1042"/>
      <c r="K49" s="1042"/>
      <c r="L49" s="1042"/>
      <c r="M49" s="1042"/>
      <c r="N49" s="1042"/>
      <c r="O49" s="1042"/>
      <c r="P49" s="1042"/>
      <c r="Q49" s="1042"/>
      <c r="R49" s="1042"/>
      <c r="S49" s="1042"/>
      <c r="T49" s="1042"/>
      <c r="U49" s="1042"/>
      <c r="V49" s="1042"/>
      <c r="W49" s="1042"/>
      <c r="X49" s="1042"/>
      <c r="Y49" s="1042"/>
      <c r="Z49" s="1042"/>
      <c r="AA49" s="1042"/>
      <c r="AB49" s="1042"/>
      <c r="AC49" s="1042"/>
      <c r="AD49" s="1042"/>
      <c r="AE49" s="1042"/>
      <c r="AF49" s="1042"/>
      <c r="AG49" s="1042"/>
      <c r="AH49" s="1042"/>
      <c r="AI49" s="1042"/>
      <c r="AJ49" s="1042"/>
      <c r="AK49" s="1042"/>
      <c r="AL49" s="1042"/>
      <c r="AM49" s="1042"/>
      <c r="AN49" s="1042"/>
      <c r="AO49" s="1042"/>
      <c r="AP49" s="1042"/>
      <c r="AQ49" s="1042"/>
      <c r="AR49" s="1042"/>
      <c r="AS49" s="1042"/>
      <c r="AT49" s="1042"/>
      <c r="AU49" s="1042"/>
      <c r="AV49" s="1042"/>
      <c r="AW49" s="1042"/>
      <c r="AX49" s="1042"/>
      <c r="AY49" s="1042"/>
      <c r="AZ49" s="1042"/>
      <c r="BA49" s="1042"/>
      <c r="BB49" s="1042"/>
      <c r="BC49" s="1042"/>
      <c r="BD49" s="1042"/>
      <c r="BE49" s="1042"/>
      <c r="BF49" s="1042"/>
      <c r="BG49" s="1042"/>
      <c r="BH49" s="1042"/>
      <c r="BI49" s="1042"/>
      <c r="BJ49" s="1042"/>
      <c r="BK49" s="1042"/>
      <c r="BL49" s="1042"/>
      <c r="BM49" s="1042"/>
      <c r="BN49" s="1042"/>
      <c r="BO49" s="1042"/>
      <c r="BP49" s="1042"/>
      <c r="BQ49" s="1042"/>
      <c r="BR49" s="1042"/>
      <c r="BS49" s="1042"/>
      <c r="BT49" s="1042"/>
      <c r="BU49" s="1042"/>
      <c r="BV49" s="1042"/>
      <c r="BW49" s="1042"/>
      <c r="BX49" s="1042"/>
      <c r="BY49" s="1042"/>
      <c r="BZ49" s="1042"/>
      <c r="CA49" s="1042"/>
      <c r="CB49" s="1042"/>
      <c r="CC49" s="1042"/>
      <c r="CD49" s="1042"/>
      <c r="CE49" s="1042"/>
      <c r="CF49" s="1042"/>
      <c r="CG49" s="1042"/>
      <c r="CH49" s="1042"/>
      <c r="CI49" s="1042"/>
      <c r="CJ49" s="1042"/>
      <c r="CK49" s="1042"/>
      <c r="CL49" s="1042"/>
      <c r="CM49" s="1042"/>
      <c r="CN49" s="1042"/>
      <c r="CO49" s="1042"/>
      <c r="CP49" s="1042"/>
      <c r="CQ49" s="1042"/>
      <c r="CR49" s="1042"/>
      <c r="CS49" s="1042"/>
      <c r="CT49" s="1042"/>
      <c r="CU49" s="1042"/>
      <c r="CV49" s="1042"/>
      <c r="CW49" s="1042"/>
      <c r="CX49" s="1042"/>
      <c r="CY49" s="1042"/>
      <c r="CZ49" s="1042"/>
      <c r="DA49" s="1042"/>
      <c r="DB49" s="1042"/>
      <c r="DC49" s="1042"/>
      <c r="DD49" s="1042"/>
      <c r="DE49" s="1042"/>
      <c r="DF49" s="1042"/>
      <c r="DG49" s="1042"/>
      <c r="DH49" s="1042"/>
      <c r="DI49" s="1042"/>
      <c r="DJ49" s="1042"/>
      <c r="DK49" s="1042"/>
      <c r="DL49" s="1042"/>
      <c r="DM49" s="1042"/>
      <c r="DN49" s="1042"/>
      <c r="DO49" s="1042"/>
      <c r="DP49" s="1042"/>
      <c r="DQ49" s="1042"/>
      <c r="DR49" s="1042"/>
      <c r="DS49" s="1042"/>
      <c r="DT49" s="1042"/>
      <c r="DU49" s="1042"/>
      <c r="DV49" s="1042"/>
      <c r="DW49" s="1042"/>
      <c r="DX49" s="1042"/>
      <c r="DY49" s="1042"/>
      <c r="DZ49" s="1042"/>
      <c r="EA49" s="1042"/>
      <c r="EB49" s="1042"/>
      <c r="EC49" s="1042"/>
      <c r="ED49" s="1042"/>
      <c r="EE49" s="1042"/>
      <c r="EF49" s="1042"/>
      <c r="EG49" s="1042"/>
      <c r="EH49" s="1042"/>
      <c r="EI49" s="1042"/>
      <c r="EJ49" s="1042"/>
      <c r="EK49" s="1042"/>
      <c r="EL49" s="1042"/>
      <c r="EM49" s="1042"/>
      <c r="EN49" s="1042"/>
      <c r="EO49" s="1042"/>
      <c r="EP49" s="1042"/>
      <c r="EQ49" s="1042"/>
      <c r="ER49" s="1042"/>
      <c r="ES49" s="1042"/>
      <c r="ET49" s="1042"/>
      <c r="EU49" s="1042"/>
      <c r="EV49" s="1042"/>
      <c r="EW49" s="1042"/>
      <c r="EX49" s="1042"/>
      <c r="EY49" s="1042"/>
      <c r="EZ49" s="1042"/>
      <c r="FA49" s="1042"/>
      <c r="FB49" s="1042"/>
      <c r="FC49" s="1042"/>
      <c r="FD49" s="1042"/>
      <c r="FE49" s="1042"/>
      <c r="FF49" s="1042"/>
      <c r="FG49" s="1042"/>
      <c r="FH49" s="1042"/>
      <c r="FI49" s="1042"/>
      <c r="FJ49" s="1042"/>
      <c r="FK49" s="1042"/>
      <c r="FL49" s="1042"/>
      <c r="FM49" s="1042"/>
      <c r="FN49" s="1042"/>
      <c r="FO49" s="1042"/>
      <c r="FP49" s="1042"/>
      <c r="FQ49" s="1042"/>
      <c r="FR49" s="1042"/>
      <c r="FS49" s="1042"/>
      <c r="FT49" s="1042"/>
      <c r="FU49" s="1042"/>
      <c r="FV49" s="1042"/>
      <c r="FW49" s="1042"/>
      <c r="FX49" s="1042"/>
      <c r="FY49" s="2"/>
      <c r="FZ49" s="2"/>
      <c r="GA49" s="2"/>
      <c r="GB49" s="2"/>
      <c r="GC49" s="2"/>
      <c r="GD49" s="2"/>
      <c r="GE49" s="2"/>
      <c r="GF49" s="2"/>
      <c r="GG49" s="2"/>
      <c r="GH49" s="2"/>
      <c r="GI49" s="2"/>
      <c r="GJ49" s="2"/>
      <c r="GK49" s="4153"/>
      <c r="GL49" s="2"/>
      <c r="GM49" s="2"/>
      <c r="GN49" s="2"/>
      <c r="GO49" s="2"/>
      <c r="GP49" s="2"/>
      <c r="GQ49" s="2"/>
      <c r="GR49" s="2"/>
      <c r="GS49" s="2"/>
      <c r="GT49" s="2"/>
      <c r="GU49" s="2"/>
      <c r="GV49" s="2"/>
      <c r="GW49" s="4153"/>
      <c r="GX49" s="2"/>
      <c r="GY49" s="2"/>
      <c r="GZ49" s="2"/>
      <c r="HA49" s="2"/>
      <c r="HB49" s="2"/>
      <c r="HC49" s="2"/>
      <c r="HD49" s="2"/>
      <c r="HE49" s="2"/>
      <c r="HF49" s="2"/>
      <c r="HG49" s="4248" t="s">
        <v>1728</v>
      </c>
      <c r="HH49" s="4249">
        <f>HH47*5%</f>
        <v>61944639.527083993</v>
      </c>
      <c r="HI49" s="4153"/>
      <c r="HJ49" s="2"/>
      <c r="HK49" s="2"/>
      <c r="HL49" s="2"/>
      <c r="HM49" s="2"/>
    </row>
    <row r="50" spans="1:221" ht="14.4" customHeight="1">
      <c r="A50" s="1042"/>
      <c r="B50" s="4051"/>
      <c r="C50" s="4051"/>
      <c r="D50" s="1042"/>
      <c r="E50" s="1042"/>
      <c r="F50" s="1042"/>
      <c r="G50" s="1042"/>
      <c r="H50" s="1042"/>
      <c r="I50" s="1042"/>
      <c r="J50" s="1042"/>
      <c r="K50" s="1042"/>
      <c r="L50" s="1042"/>
      <c r="M50" s="1042"/>
      <c r="N50" s="1042"/>
      <c r="O50" s="1042"/>
      <c r="P50" s="1042"/>
      <c r="Q50" s="1042"/>
      <c r="R50" s="1042"/>
      <c r="S50" s="1042"/>
      <c r="T50" s="1042"/>
      <c r="U50" s="1042"/>
      <c r="V50" s="1042"/>
      <c r="W50" s="1042"/>
      <c r="X50" s="1042"/>
      <c r="Y50" s="1042"/>
      <c r="Z50" s="1042"/>
      <c r="AA50" s="1042"/>
      <c r="AB50" s="1042"/>
      <c r="AC50" s="1042"/>
      <c r="AD50" s="1042"/>
      <c r="AE50" s="1042"/>
      <c r="AF50" s="1042"/>
      <c r="AG50" s="1042"/>
      <c r="AH50" s="1042"/>
      <c r="AI50" s="1042"/>
      <c r="AJ50" s="1042"/>
      <c r="AK50" s="1042"/>
      <c r="AL50" s="1042"/>
      <c r="AM50" s="1042"/>
      <c r="AN50" s="1042"/>
      <c r="AO50" s="1042"/>
      <c r="AP50" s="1042"/>
      <c r="AQ50" s="1042"/>
      <c r="AR50" s="1042"/>
      <c r="AS50" s="1042"/>
      <c r="AT50" s="1042"/>
      <c r="AU50" s="1042"/>
      <c r="AV50" s="1042"/>
      <c r="AW50" s="1042"/>
      <c r="AX50" s="1042"/>
      <c r="AY50" s="1042"/>
      <c r="AZ50" s="1042"/>
      <c r="BA50" s="1042"/>
      <c r="BB50" s="1042"/>
      <c r="BC50" s="1042"/>
      <c r="BD50" s="1042"/>
      <c r="BE50" s="1042"/>
      <c r="BF50" s="1042"/>
      <c r="BG50" s="1042"/>
      <c r="BH50" s="1042"/>
      <c r="BI50" s="1042"/>
      <c r="BJ50" s="1042"/>
      <c r="BK50" s="1042"/>
      <c r="BL50" s="1042"/>
      <c r="BM50" s="1042"/>
      <c r="BN50" s="1042"/>
      <c r="BO50" s="1042"/>
      <c r="BP50" s="1042"/>
      <c r="BQ50" s="1042"/>
      <c r="BR50" s="1042"/>
      <c r="BS50" s="1042"/>
      <c r="BT50" s="1042"/>
      <c r="BU50" s="1042"/>
      <c r="BV50" s="1042"/>
      <c r="BW50" s="1042"/>
      <c r="BX50" s="1042"/>
      <c r="BY50" s="1042"/>
      <c r="BZ50" s="1042"/>
      <c r="CA50" s="1042"/>
      <c r="CB50" s="1042"/>
      <c r="CC50" s="1042"/>
      <c r="CD50" s="1042"/>
      <c r="CE50" s="1042"/>
      <c r="CF50" s="1042"/>
      <c r="CG50" s="1042"/>
      <c r="CH50" s="1042"/>
      <c r="CI50" s="1042"/>
      <c r="CJ50" s="1042"/>
      <c r="CK50" s="1042"/>
      <c r="CL50" s="1042"/>
      <c r="CM50" s="1042"/>
      <c r="CN50" s="1042"/>
      <c r="CO50" s="1042"/>
      <c r="CP50" s="1042"/>
      <c r="CQ50" s="1042"/>
      <c r="CR50" s="1042"/>
      <c r="CS50" s="1042"/>
      <c r="CT50" s="1042"/>
      <c r="CU50" s="1042"/>
      <c r="CV50" s="1042"/>
      <c r="CW50" s="1042"/>
      <c r="CX50" s="1042"/>
      <c r="CY50" s="1042"/>
      <c r="CZ50" s="1042"/>
      <c r="DA50" s="1042"/>
      <c r="DB50" s="1042"/>
      <c r="DC50" s="1042"/>
      <c r="DD50" s="1042"/>
      <c r="DE50" s="1042"/>
      <c r="DF50" s="1042"/>
      <c r="DG50" s="1042"/>
      <c r="DH50" s="1042"/>
      <c r="DI50" s="1042"/>
      <c r="DJ50" s="1042"/>
      <c r="DK50" s="1042"/>
      <c r="DL50" s="1042"/>
      <c r="DM50" s="1042"/>
      <c r="DN50" s="1042"/>
      <c r="DO50" s="1042"/>
      <c r="DP50" s="1042"/>
      <c r="DQ50" s="1042"/>
      <c r="DR50" s="1042"/>
      <c r="DS50" s="1042"/>
      <c r="DT50" s="1042"/>
      <c r="DU50" s="1042"/>
      <c r="DV50" s="1042"/>
      <c r="DW50" s="1042"/>
      <c r="DX50" s="1042"/>
      <c r="DY50" s="1042"/>
      <c r="DZ50" s="1042"/>
      <c r="EA50" s="1042"/>
      <c r="EB50" s="1042"/>
      <c r="EC50" s="1042"/>
      <c r="ED50" s="1042"/>
      <c r="EE50" s="1042"/>
      <c r="EF50" s="1042"/>
      <c r="EG50" s="1042"/>
      <c r="EH50" s="1042"/>
      <c r="EI50" s="1042"/>
      <c r="EJ50" s="1042"/>
      <c r="EK50" s="1042"/>
      <c r="EL50" s="1042"/>
      <c r="EM50" s="1042"/>
      <c r="EN50" s="1042"/>
      <c r="EO50" s="1042"/>
      <c r="EP50" s="1042"/>
      <c r="EQ50" s="1042"/>
      <c r="ER50" s="1042"/>
      <c r="ES50" s="1042"/>
      <c r="ET50" s="1042"/>
      <c r="EU50" s="1042"/>
      <c r="EV50" s="1042"/>
      <c r="EW50" s="1042"/>
      <c r="EX50" s="1042"/>
      <c r="EY50" s="1042"/>
      <c r="EZ50" s="1042"/>
      <c r="FA50" s="1042"/>
      <c r="FB50" s="1042"/>
      <c r="FC50" s="1042"/>
      <c r="FD50" s="1042"/>
      <c r="FE50" s="1042"/>
      <c r="FF50" s="1042"/>
      <c r="FG50" s="1042"/>
      <c r="FH50" s="1042"/>
      <c r="FI50" s="1042"/>
      <c r="FJ50" s="1042"/>
      <c r="FK50" s="1042"/>
      <c r="FL50" s="1042"/>
      <c r="FM50" s="1042"/>
      <c r="FN50" s="1042"/>
      <c r="FO50" s="1042"/>
      <c r="FP50" s="1042"/>
      <c r="FQ50" s="1042"/>
      <c r="FR50" s="1042"/>
      <c r="FS50" s="1042"/>
      <c r="FT50" s="1042"/>
      <c r="FU50" s="1042"/>
      <c r="FV50" s="1042"/>
      <c r="FW50" s="1042"/>
      <c r="FX50" s="1042"/>
      <c r="FY50" s="2"/>
      <c r="FZ50" s="2"/>
      <c r="GA50" s="2"/>
      <c r="GB50" s="2"/>
      <c r="GC50" s="2"/>
      <c r="GD50" s="2"/>
      <c r="GE50" s="2"/>
      <c r="GF50" s="2"/>
      <c r="GG50" s="2"/>
      <c r="GH50" s="2"/>
      <c r="GI50" s="2"/>
      <c r="GJ50" s="2"/>
      <c r="GK50" s="4153"/>
      <c r="GL50" s="2"/>
      <c r="GM50" s="2"/>
      <c r="GN50" s="2"/>
      <c r="GO50" s="2"/>
      <c r="GP50" s="2"/>
      <c r="GQ50" s="2"/>
      <c r="GR50" s="2"/>
      <c r="GS50" s="2"/>
      <c r="GT50" s="2"/>
      <c r="GU50" s="2"/>
      <c r="GV50" s="2"/>
      <c r="GW50" s="4153"/>
      <c r="GX50" s="2"/>
      <c r="GY50" s="2"/>
      <c r="GZ50" s="2"/>
      <c r="HA50" s="2"/>
      <c r="HB50" s="2"/>
      <c r="HC50" s="2"/>
      <c r="HD50" s="2"/>
      <c r="HE50" s="2"/>
      <c r="HF50" s="2"/>
      <c r="HG50" s="2"/>
      <c r="HH50" s="2"/>
      <c r="HI50" s="4153"/>
      <c r="HJ50" s="2"/>
      <c r="HK50" s="2"/>
      <c r="HL50" s="2"/>
      <c r="HM50" s="2"/>
    </row>
    <row r="51" spans="1:221" ht="14.4" customHeight="1">
      <c r="A51" s="1042"/>
      <c r="B51" s="4051"/>
      <c r="C51" s="4051"/>
      <c r="D51" s="1042"/>
      <c r="E51" s="1042"/>
      <c r="F51" s="1042"/>
      <c r="G51" s="1042"/>
      <c r="H51" s="1042"/>
      <c r="I51" s="1042"/>
      <c r="J51" s="1042"/>
      <c r="K51" s="1042"/>
      <c r="L51" s="1042"/>
      <c r="M51" s="1042"/>
      <c r="N51" s="1042"/>
      <c r="O51" s="1042"/>
      <c r="P51" s="1042"/>
      <c r="Q51" s="1042"/>
      <c r="R51" s="1042"/>
      <c r="S51" s="1042"/>
      <c r="T51" s="1042"/>
      <c r="U51" s="1042"/>
      <c r="V51" s="1042"/>
      <c r="W51" s="1042"/>
      <c r="X51" s="1042"/>
      <c r="Y51" s="1042"/>
      <c r="Z51" s="1042"/>
      <c r="AA51" s="1042"/>
      <c r="AB51" s="1042"/>
      <c r="AC51" s="1042"/>
      <c r="AD51" s="1042"/>
      <c r="AE51" s="1042"/>
      <c r="AF51" s="1042"/>
      <c r="AG51" s="1042"/>
      <c r="AH51" s="1042"/>
      <c r="AI51" s="1042"/>
      <c r="AJ51" s="1042"/>
      <c r="AK51" s="1042"/>
      <c r="AL51" s="1042"/>
      <c r="AM51" s="1042"/>
      <c r="AN51" s="1042"/>
      <c r="AO51" s="1042"/>
      <c r="AP51" s="1042"/>
      <c r="AQ51" s="1042"/>
      <c r="AR51" s="1042"/>
      <c r="AS51" s="1042"/>
      <c r="AT51" s="1042"/>
      <c r="AU51" s="1042"/>
      <c r="AV51" s="1042"/>
      <c r="AW51" s="1042"/>
      <c r="AX51" s="1042"/>
      <c r="AY51" s="1042"/>
      <c r="AZ51" s="1042"/>
      <c r="BA51" s="1042"/>
      <c r="BB51" s="1042"/>
      <c r="BC51" s="1042"/>
      <c r="BD51" s="1042"/>
      <c r="BE51" s="1042"/>
      <c r="BF51" s="1042"/>
      <c r="BG51" s="1042"/>
      <c r="BH51" s="1042"/>
      <c r="BI51" s="1042"/>
      <c r="BJ51" s="1042"/>
      <c r="BK51" s="1042"/>
      <c r="BL51" s="1042"/>
      <c r="BM51" s="1042"/>
      <c r="BN51" s="1042"/>
      <c r="BO51" s="1042"/>
      <c r="BP51" s="1042"/>
      <c r="BQ51" s="1042"/>
      <c r="BR51" s="1042"/>
      <c r="BS51" s="1042"/>
      <c r="BT51" s="1042"/>
      <c r="BU51" s="1042"/>
      <c r="BV51" s="1042"/>
      <c r="BW51" s="1042"/>
      <c r="BX51" s="1042"/>
      <c r="BY51" s="1042"/>
      <c r="BZ51" s="1042"/>
      <c r="CA51" s="1042"/>
      <c r="CB51" s="1042"/>
      <c r="CC51" s="1042"/>
      <c r="CD51" s="1042"/>
      <c r="CE51" s="1042"/>
      <c r="CF51" s="1042"/>
      <c r="CG51" s="1042"/>
      <c r="CH51" s="1042"/>
      <c r="CI51" s="1042"/>
      <c r="CJ51" s="1042"/>
      <c r="CK51" s="1042"/>
      <c r="CL51" s="1042"/>
      <c r="CM51" s="1042"/>
      <c r="CN51" s="1042"/>
      <c r="CO51" s="1042"/>
      <c r="CP51" s="1042"/>
      <c r="CQ51" s="1042"/>
      <c r="CR51" s="1042"/>
      <c r="CS51" s="1042"/>
      <c r="CT51" s="1042"/>
      <c r="CU51" s="1042"/>
      <c r="CV51" s="1042"/>
      <c r="CW51" s="1042"/>
      <c r="CX51" s="1042"/>
      <c r="CY51" s="1042"/>
      <c r="CZ51" s="1042"/>
      <c r="DA51" s="1042"/>
      <c r="DB51" s="1042"/>
      <c r="DC51" s="1042"/>
      <c r="DD51" s="1042"/>
      <c r="DE51" s="1042"/>
      <c r="DF51" s="1042"/>
      <c r="DG51" s="1042"/>
      <c r="DH51" s="1042"/>
      <c r="DI51" s="1042"/>
      <c r="DJ51" s="1042"/>
      <c r="DK51" s="1042"/>
      <c r="DL51" s="1042"/>
      <c r="DM51" s="1042"/>
      <c r="DN51" s="1042"/>
      <c r="DO51" s="1042"/>
      <c r="DP51" s="1042"/>
      <c r="DQ51" s="1042"/>
      <c r="DR51" s="1042"/>
      <c r="DS51" s="1042"/>
      <c r="DT51" s="1042"/>
      <c r="DU51" s="1042"/>
      <c r="DV51" s="1042"/>
      <c r="DW51" s="1042"/>
      <c r="DX51" s="1042"/>
      <c r="DY51" s="1042"/>
      <c r="DZ51" s="1042"/>
      <c r="EA51" s="1042"/>
      <c r="EB51" s="1042"/>
      <c r="EC51" s="1042"/>
      <c r="ED51" s="1042"/>
      <c r="EE51" s="1042"/>
      <c r="EF51" s="1042"/>
      <c r="EG51" s="1042"/>
      <c r="EH51" s="1042"/>
      <c r="EI51" s="1042"/>
      <c r="EJ51" s="1042"/>
      <c r="EK51" s="1042"/>
      <c r="EL51" s="1042"/>
      <c r="EM51" s="1042"/>
      <c r="EN51" s="1042"/>
      <c r="EO51" s="1042"/>
      <c r="EP51" s="1042"/>
      <c r="EQ51" s="1042"/>
      <c r="ER51" s="1042"/>
      <c r="ES51" s="1042"/>
      <c r="ET51" s="1042"/>
      <c r="EU51" s="1042"/>
      <c r="EV51" s="1042"/>
      <c r="EW51" s="1042"/>
      <c r="EX51" s="1042"/>
      <c r="EY51" s="1042"/>
      <c r="EZ51" s="1042"/>
      <c r="FA51" s="1042"/>
      <c r="FB51" s="1042"/>
      <c r="FC51" s="1042"/>
      <c r="FD51" s="1042"/>
      <c r="FE51" s="1042"/>
      <c r="FF51" s="1042"/>
      <c r="FG51" s="1042"/>
      <c r="FH51" s="1042"/>
      <c r="FI51" s="1042"/>
      <c r="FJ51" s="1042"/>
      <c r="FK51" s="1042"/>
      <c r="FL51" s="1042"/>
      <c r="FM51" s="1042"/>
      <c r="FN51" s="1042"/>
      <c r="FO51" s="1042"/>
      <c r="FP51" s="1042"/>
      <c r="FQ51" s="1042"/>
      <c r="FR51" s="1042"/>
      <c r="FS51" s="1042"/>
      <c r="FT51" s="1042"/>
      <c r="FU51" s="1042"/>
      <c r="FV51" s="1042"/>
      <c r="FW51" s="1042"/>
      <c r="FX51" s="1042"/>
      <c r="FY51" s="2"/>
      <c r="FZ51" s="2"/>
      <c r="GA51" s="2"/>
      <c r="GB51" s="2"/>
      <c r="GC51" s="2"/>
      <c r="GD51" s="2"/>
      <c r="GE51" s="2"/>
      <c r="GF51" s="2"/>
      <c r="GG51" s="2"/>
      <c r="GH51" s="2"/>
      <c r="GI51" s="2"/>
      <c r="GJ51" s="2"/>
      <c r="GK51" s="4153"/>
      <c r="GL51" s="2"/>
      <c r="GM51" s="2"/>
      <c r="GN51" s="2"/>
      <c r="GO51" s="2"/>
      <c r="GP51" s="2"/>
      <c r="GQ51" s="2"/>
      <c r="GR51" s="2"/>
      <c r="GS51" s="2"/>
      <c r="GT51" s="2"/>
      <c r="GU51" s="2"/>
      <c r="GV51" s="2"/>
      <c r="GW51" s="4153"/>
      <c r="GX51" s="2"/>
      <c r="GY51" s="2"/>
      <c r="GZ51" s="2"/>
      <c r="HA51" s="2"/>
      <c r="HB51" s="2"/>
      <c r="HC51" s="2"/>
      <c r="HD51" s="2"/>
      <c r="HE51" s="2"/>
      <c r="HF51" s="2"/>
      <c r="HG51" s="2"/>
      <c r="HH51" s="2"/>
      <c r="HI51" s="4153"/>
      <c r="HJ51" s="2"/>
      <c r="HK51" s="2"/>
      <c r="HL51" s="2"/>
      <c r="HM51" s="2"/>
    </row>
    <row r="52" spans="1:221" ht="15" customHeight="1" thickBot="1">
      <c r="A52" s="1042"/>
      <c r="B52" s="4051"/>
      <c r="C52" s="4051"/>
      <c r="D52" s="1042"/>
      <c r="E52" s="1042"/>
      <c r="F52" s="1042"/>
      <c r="G52" s="1042"/>
      <c r="H52" s="1042"/>
      <c r="I52" s="1042"/>
      <c r="J52" s="1042"/>
      <c r="K52" s="1042"/>
      <c r="L52" s="1042"/>
      <c r="M52" s="1042"/>
      <c r="N52" s="1042"/>
      <c r="O52" s="1042"/>
      <c r="P52" s="1042"/>
      <c r="Q52" s="1042"/>
      <c r="R52" s="1042"/>
      <c r="S52" s="1042"/>
      <c r="T52" s="1042"/>
      <c r="U52" s="1042"/>
      <c r="V52" s="1042"/>
      <c r="W52" s="1042"/>
      <c r="X52" s="1042"/>
      <c r="Y52" s="1042"/>
      <c r="Z52" s="1042"/>
      <c r="AA52" s="1042"/>
      <c r="AB52" s="1042"/>
      <c r="AC52" s="1042"/>
      <c r="AD52" s="1042"/>
      <c r="AE52" s="1042"/>
      <c r="AF52" s="1042"/>
      <c r="AG52" s="1042"/>
      <c r="AH52" s="1042"/>
      <c r="AI52" s="1042"/>
      <c r="AJ52" s="1042"/>
      <c r="AK52" s="1042"/>
      <c r="AL52" s="1042"/>
      <c r="AM52" s="1042"/>
      <c r="AN52" s="1042"/>
      <c r="AO52" s="1042"/>
      <c r="AP52" s="1042"/>
      <c r="AQ52" s="1042"/>
      <c r="AR52" s="1042"/>
      <c r="AS52" s="1042"/>
      <c r="AT52" s="1042"/>
      <c r="AU52" s="1042"/>
      <c r="AV52" s="1042"/>
      <c r="AW52" s="1042"/>
      <c r="AX52" s="1042"/>
      <c r="AY52" s="1042"/>
      <c r="AZ52" s="1042"/>
      <c r="BA52" s="1042"/>
      <c r="BB52" s="1042"/>
      <c r="BC52" s="1042"/>
      <c r="BD52" s="1042"/>
      <c r="BE52" s="1042"/>
      <c r="BF52" s="1042"/>
      <c r="BG52" s="1042"/>
      <c r="BH52" s="1042"/>
      <c r="BI52" s="1042"/>
      <c r="BJ52" s="1042"/>
      <c r="BK52" s="1042"/>
      <c r="BL52" s="1042"/>
      <c r="BM52" s="1042"/>
      <c r="BN52" s="1042"/>
      <c r="BO52" s="1042"/>
      <c r="BP52" s="1042"/>
      <c r="BQ52" s="1042"/>
      <c r="BR52" s="1042"/>
      <c r="BS52" s="1042"/>
      <c r="BT52" s="1042"/>
      <c r="BU52" s="1042"/>
      <c r="BV52" s="1042"/>
      <c r="BW52" s="1042"/>
      <c r="BX52" s="1042"/>
      <c r="BY52" s="1042"/>
      <c r="BZ52" s="1042"/>
      <c r="CA52" s="1042"/>
      <c r="CB52" s="1042"/>
      <c r="CC52" s="1042"/>
      <c r="CD52" s="1042"/>
      <c r="CE52" s="1042"/>
      <c r="CF52" s="1042"/>
      <c r="CG52" s="1042"/>
      <c r="CH52" s="1042"/>
      <c r="CI52" s="1042"/>
      <c r="CJ52" s="1042"/>
      <c r="CK52" s="1042"/>
      <c r="CL52" s="1042"/>
      <c r="CM52" s="1042"/>
      <c r="CN52" s="1042"/>
      <c r="CO52" s="1042"/>
      <c r="CP52" s="1042"/>
      <c r="CQ52" s="1042"/>
      <c r="CR52" s="1042"/>
      <c r="CS52" s="1042"/>
      <c r="CT52" s="1042"/>
      <c r="CU52" s="1042"/>
      <c r="CV52" s="1042"/>
      <c r="CW52" s="1042"/>
      <c r="CX52" s="1042"/>
      <c r="CY52" s="1042"/>
      <c r="CZ52" s="1042"/>
      <c r="DA52" s="1042"/>
      <c r="DB52" s="1042"/>
      <c r="DC52" s="1042"/>
      <c r="DD52" s="1042"/>
      <c r="DE52" s="1042"/>
      <c r="DF52" s="1042"/>
      <c r="DG52" s="1042"/>
      <c r="DH52" s="1042"/>
      <c r="DI52" s="1042"/>
      <c r="DJ52" s="1042"/>
      <c r="DK52" s="1042"/>
      <c r="DL52" s="1042"/>
      <c r="DM52" s="1042"/>
      <c r="DN52" s="1042"/>
      <c r="DO52" s="1042"/>
      <c r="DP52" s="1042"/>
      <c r="DQ52" s="1042"/>
      <c r="DR52" s="1042"/>
      <c r="DS52" s="1042"/>
      <c r="DT52" s="1042"/>
      <c r="DU52" s="1042"/>
      <c r="DV52" s="1042"/>
      <c r="DW52" s="1042"/>
      <c r="DX52" s="1042"/>
      <c r="DY52" s="1042"/>
      <c r="DZ52" s="1042"/>
      <c r="EA52" s="1042"/>
      <c r="EB52" s="1042"/>
      <c r="EC52" s="1042"/>
      <c r="ED52" s="1042"/>
      <c r="EE52" s="1042"/>
      <c r="EF52" s="1042"/>
      <c r="EG52" s="1042"/>
      <c r="EH52" s="1042"/>
      <c r="EI52" s="1042"/>
      <c r="EJ52" s="1042"/>
      <c r="EK52" s="1042"/>
      <c r="EL52" s="1042"/>
      <c r="EM52" s="1042"/>
      <c r="EN52" s="1042"/>
      <c r="EO52" s="1042"/>
      <c r="EP52" s="1042"/>
      <c r="EQ52" s="1042"/>
      <c r="ER52" s="1042"/>
      <c r="ES52" s="1042"/>
      <c r="ET52" s="1042"/>
      <c r="EU52" s="1042"/>
      <c r="EV52" s="1042"/>
      <c r="EW52" s="1042"/>
      <c r="EX52" s="1042"/>
      <c r="EY52" s="1042"/>
      <c r="EZ52" s="1042"/>
      <c r="FA52" s="1042"/>
      <c r="FB52" s="1042"/>
      <c r="FC52" s="1042"/>
      <c r="FD52" s="1042"/>
      <c r="FE52" s="1042"/>
      <c r="FF52" s="1042"/>
      <c r="FG52" s="1042"/>
      <c r="FH52" s="1042"/>
      <c r="FI52" s="1042"/>
      <c r="FJ52" s="1042"/>
      <c r="FK52" s="1042"/>
      <c r="FL52" s="1042"/>
      <c r="FM52" s="1042"/>
      <c r="FN52" s="1042"/>
      <c r="FO52" s="1042"/>
      <c r="FP52" s="1042"/>
      <c r="FQ52" s="1042"/>
      <c r="FR52" s="1042"/>
      <c r="FS52" s="1042"/>
      <c r="FT52" s="1042"/>
      <c r="FU52" s="1042"/>
      <c r="FV52" s="1042"/>
      <c r="FW52" s="1042"/>
      <c r="FX52" s="1042"/>
      <c r="FY52" s="2"/>
      <c r="FZ52" s="2"/>
      <c r="GA52" s="2"/>
      <c r="GB52" s="2"/>
      <c r="GC52" s="2"/>
      <c r="GD52" s="2"/>
      <c r="GE52" s="2"/>
      <c r="GF52" s="2"/>
      <c r="GG52" s="2"/>
      <c r="GH52" s="2"/>
      <c r="GI52" s="2"/>
      <c r="GJ52" s="2"/>
      <c r="GK52" s="4153"/>
      <c r="GL52" s="2"/>
      <c r="GM52" s="2"/>
      <c r="GN52" s="2"/>
      <c r="GO52" s="2"/>
      <c r="GP52" s="2"/>
      <c r="GQ52" s="2"/>
      <c r="GR52" s="2"/>
      <c r="GS52" s="2"/>
      <c r="GT52" s="2"/>
      <c r="GU52" s="2"/>
      <c r="GV52" s="2"/>
      <c r="GW52" s="4153"/>
      <c r="GX52" s="2"/>
      <c r="GY52" s="2"/>
      <c r="GZ52" s="2"/>
      <c r="HA52" s="2"/>
      <c r="HB52" s="2"/>
      <c r="HC52" s="2"/>
      <c r="HD52" s="2"/>
      <c r="HE52" s="2"/>
      <c r="HF52" s="2"/>
      <c r="HG52" s="2"/>
      <c r="HH52" s="2"/>
      <c r="HI52" s="4153"/>
      <c r="HJ52" s="2"/>
      <c r="HK52" s="2"/>
      <c r="HL52" s="2"/>
      <c r="HM52" s="2"/>
    </row>
    <row r="53" spans="1:221">
      <c r="A53" s="1042"/>
      <c r="B53" s="4051"/>
      <c r="C53" s="4051"/>
      <c r="D53" s="1042"/>
      <c r="E53" s="1042"/>
      <c r="F53" s="1042"/>
      <c r="G53" s="1042"/>
      <c r="H53" s="1042"/>
      <c r="I53" s="1042"/>
      <c r="J53" s="1042"/>
      <c r="K53" s="1042"/>
      <c r="L53" s="1042"/>
      <c r="M53" s="1042"/>
      <c r="N53" s="1042"/>
      <c r="O53" s="1042"/>
      <c r="P53" s="1042"/>
      <c r="Q53" s="1042"/>
      <c r="R53" s="1042"/>
      <c r="S53" s="1042"/>
      <c r="T53" s="1042"/>
      <c r="U53" s="1042"/>
      <c r="V53" s="1042"/>
      <c r="W53" s="1042"/>
      <c r="X53" s="1042"/>
      <c r="Y53" s="1042"/>
      <c r="Z53" s="1042"/>
      <c r="AA53" s="1042"/>
      <c r="AB53" s="1042"/>
      <c r="AC53" s="1042"/>
      <c r="AD53" s="1042"/>
      <c r="AE53" s="1042"/>
      <c r="AF53" s="1042"/>
      <c r="AG53" s="1042"/>
      <c r="AH53" s="1042"/>
      <c r="AI53" s="1042"/>
      <c r="AJ53" s="1042"/>
      <c r="AK53" s="1042"/>
      <c r="AL53" s="1042"/>
      <c r="AM53" s="1042"/>
      <c r="AN53" s="1042"/>
      <c r="AO53" s="1042"/>
      <c r="AP53" s="1042"/>
      <c r="AQ53" s="1042"/>
      <c r="AR53" s="1042"/>
      <c r="AS53" s="1042"/>
      <c r="AT53" s="1042"/>
      <c r="AU53" s="1042"/>
      <c r="AV53" s="1042"/>
      <c r="AW53" s="1042"/>
      <c r="AX53" s="1042"/>
      <c r="AY53" s="1042"/>
      <c r="AZ53" s="1042"/>
      <c r="BA53" s="1042"/>
      <c r="BB53" s="1042"/>
      <c r="BC53" s="1042"/>
      <c r="BD53" s="1042"/>
      <c r="BE53" s="1042"/>
      <c r="BF53" s="1042"/>
      <c r="BG53" s="1042"/>
      <c r="BH53" s="1042"/>
      <c r="BI53" s="1042"/>
      <c r="BJ53" s="1042"/>
      <c r="BK53" s="1042"/>
      <c r="BL53" s="1042"/>
      <c r="BM53" s="1042"/>
      <c r="BN53" s="1042"/>
      <c r="BO53" s="1042"/>
      <c r="BP53" s="1042"/>
      <c r="BQ53" s="1042"/>
      <c r="BR53" s="1042"/>
      <c r="BS53" s="1042"/>
      <c r="BT53" s="1042"/>
      <c r="BU53" s="1042"/>
      <c r="BV53" s="1042"/>
      <c r="BW53" s="1042"/>
      <c r="BX53" s="1042"/>
      <c r="BY53" s="1042"/>
      <c r="BZ53" s="1042"/>
      <c r="CA53" s="1042"/>
      <c r="CB53" s="1042"/>
      <c r="CC53" s="1042"/>
      <c r="CD53" s="1042"/>
      <c r="CE53" s="1042"/>
      <c r="CF53" s="1042"/>
      <c r="CG53" s="1042"/>
      <c r="CH53" s="1042"/>
      <c r="CI53" s="1042"/>
      <c r="CJ53" s="1042"/>
      <c r="CK53" s="1042"/>
      <c r="CL53" s="1042"/>
      <c r="CM53" s="1042"/>
      <c r="CN53" s="1042"/>
      <c r="CO53" s="1042"/>
      <c r="CP53" s="1042"/>
      <c r="CQ53" s="1042"/>
      <c r="CR53" s="1042"/>
      <c r="CS53" s="1042"/>
      <c r="CT53" s="1042"/>
      <c r="CU53" s="1042"/>
      <c r="CV53" s="1042"/>
      <c r="CW53" s="1042"/>
      <c r="CX53" s="1042"/>
      <c r="CY53" s="1042"/>
      <c r="CZ53" s="1042"/>
      <c r="DA53" s="1042"/>
      <c r="DB53" s="1042"/>
      <c r="DC53" s="1042"/>
      <c r="DD53" s="1042"/>
      <c r="DE53" s="1042"/>
      <c r="DF53" s="1042"/>
      <c r="DG53" s="1042"/>
      <c r="DH53" s="1042"/>
      <c r="DI53" s="1042"/>
      <c r="DJ53" s="1042"/>
      <c r="DK53" s="1042"/>
      <c r="DL53" s="1042"/>
      <c r="DM53" s="1042"/>
      <c r="DN53" s="1042"/>
      <c r="DO53" s="1042"/>
      <c r="DP53" s="1042"/>
      <c r="DQ53" s="1042"/>
      <c r="DR53" s="1042"/>
      <c r="DS53" s="1042"/>
      <c r="DT53" s="1042"/>
      <c r="DU53" s="1042"/>
      <c r="DV53" s="1042"/>
      <c r="DW53" s="1042"/>
      <c r="DX53" s="1042"/>
      <c r="DY53" s="1042"/>
      <c r="DZ53" s="1042"/>
      <c r="EA53" s="1042"/>
      <c r="EB53" s="1042"/>
      <c r="EC53" s="1042"/>
      <c r="ED53" s="1042"/>
      <c r="EE53" s="1042"/>
      <c r="EF53" s="1042"/>
      <c r="EG53" s="1042"/>
      <c r="EH53" s="1042"/>
      <c r="EI53" s="1042"/>
      <c r="EJ53" s="1042"/>
      <c r="EK53" s="1042"/>
      <c r="EL53" s="1042"/>
      <c r="EM53" s="1042"/>
      <c r="EN53" s="1042"/>
      <c r="EO53" s="1042"/>
      <c r="EP53" s="1042"/>
      <c r="EQ53" s="1042"/>
      <c r="ER53" s="1042"/>
      <c r="ES53" s="1042"/>
      <c r="ET53" s="1042"/>
      <c r="EU53" s="1042"/>
      <c r="EV53" s="1042"/>
      <c r="EW53" s="1042"/>
      <c r="EX53" s="1042"/>
      <c r="EY53" s="1042"/>
      <c r="EZ53" s="1042"/>
      <c r="FA53" s="1042"/>
      <c r="FB53" s="1042"/>
      <c r="FC53" s="1042"/>
      <c r="FD53" s="1042"/>
      <c r="FE53" s="1042"/>
      <c r="FF53" s="1042"/>
      <c r="FG53" s="1042"/>
      <c r="FH53" s="1042"/>
      <c r="FI53" s="1042"/>
      <c r="FJ53" s="1042"/>
      <c r="FK53" s="1042"/>
      <c r="FL53" s="1042"/>
      <c r="FM53" s="1042"/>
      <c r="FN53" s="1042"/>
      <c r="FO53" s="1042"/>
      <c r="FP53" s="1042"/>
      <c r="FQ53" s="1042"/>
      <c r="FR53" s="1042"/>
      <c r="FS53" s="1042"/>
      <c r="FT53" s="1042"/>
      <c r="FU53" s="1042"/>
      <c r="FV53" s="1042"/>
      <c r="FW53" s="1042"/>
      <c r="FX53" s="1042"/>
      <c r="FY53" s="2"/>
      <c r="FZ53" s="2"/>
      <c r="GA53" s="2"/>
      <c r="GB53" s="2"/>
      <c r="GC53" s="2"/>
      <c r="GD53" s="2"/>
      <c r="GE53" s="2"/>
      <c r="GF53" s="2"/>
      <c r="GG53" s="2"/>
      <c r="GH53" s="2"/>
      <c r="GI53" s="2"/>
      <c r="GJ53" s="2"/>
      <c r="GK53" s="4153"/>
      <c r="GL53" s="2"/>
      <c r="GM53" s="2"/>
      <c r="GN53" s="2"/>
      <c r="GO53" s="2"/>
      <c r="GP53" s="2"/>
      <c r="GQ53" s="2"/>
      <c r="GR53" s="2"/>
      <c r="GS53" s="2"/>
      <c r="GT53" s="2"/>
      <c r="GU53" s="2"/>
      <c r="GV53" s="2"/>
      <c r="GW53" s="4153"/>
      <c r="GX53" s="5492" t="s">
        <v>1729</v>
      </c>
      <c r="GY53" s="5493"/>
      <c r="GZ53" s="5481" t="s">
        <v>1729</v>
      </c>
      <c r="HA53" s="5482"/>
      <c r="HB53" s="2"/>
      <c r="HC53" s="2"/>
      <c r="HD53" s="2"/>
      <c r="HE53" s="5492" t="s">
        <v>1730</v>
      </c>
      <c r="HF53" s="5493"/>
      <c r="HG53" s="5481" t="s">
        <v>1730</v>
      </c>
      <c r="HH53" s="5482"/>
      <c r="HI53" s="4153"/>
      <c r="HJ53" s="2"/>
      <c r="HK53" s="2"/>
      <c r="HL53" s="2"/>
      <c r="HM53" s="2"/>
    </row>
    <row r="54" spans="1:221">
      <c r="A54" s="1042"/>
      <c r="B54" s="4051"/>
      <c r="C54" s="4051"/>
      <c r="D54" s="1042"/>
      <c r="E54" s="1042"/>
      <c r="F54" s="1042"/>
      <c r="G54" s="1042"/>
      <c r="H54" s="1042"/>
      <c r="I54" s="1042"/>
      <c r="J54" s="1042"/>
      <c r="K54" s="1042"/>
      <c r="L54" s="1042"/>
      <c r="M54" s="1042"/>
      <c r="N54" s="1042"/>
      <c r="O54" s="1042"/>
      <c r="P54" s="1042"/>
      <c r="Q54" s="1042"/>
      <c r="R54" s="1042"/>
      <c r="S54" s="1042"/>
      <c r="T54" s="1042"/>
      <c r="U54" s="1042"/>
      <c r="V54" s="1042"/>
      <c r="W54" s="1042"/>
      <c r="X54" s="1042"/>
      <c r="Y54" s="1042"/>
      <c r="Z54" s="1042"/>
      <c r="AA54" s="1042"/>
      <c r="AB54" s="1042"/>
      <c r="AC54" s="1042"/>
      <c r="AD54" s="1042"/>
      <c r="AE54" s="1042"/>
      <c r="AF54" s="1042"/>
      <c r="AG54" s="1042"/>
      <c r="AH54" s="1042"/>
      <c r="AI54" s="1042"/>
      <c r="AJ54" s="1042"/>
      <c r="AK54" s="1042"/>
      <c r="AL54" s="1042"/>
      <c r="AM54" s="1042"/>
      <c r="AN54" s="1042"/>
      <c r="AO54" s="1042"/>
      <c r="AP54" s="1042"/>
      <c r="AQ54" s="1042"/>
      <c r="AR54" s="1042"/>
      <c r="AS54" s="1042"/>
      <c r="AT54" s="1042"/>
      <c r="AU54" s="1042"/>
      <c r="AV54" s="1042"/>
      <c r="AW54" s="1042"/>
      <c r="AX54" s="1042"/>
      <c r="AY54" s="1042"/>
      <c r="AZ54" s="1042"/>
      <c r="BA54" s="1042"/>
      <c r="BB54" s="1042"/>
      <c r="BC54" s="1042"/>
      <c r="BD54" s="1042"/>
      <c r="BE54" s="1042"/>
      <c r="BF54" s="1042"/>
      <c r="BG54" s="1042"/>
      <c r="BH54" s="1042"/>
      <c r="BI54" s="1042"/>
      <c r="BJ54" s="1042"/>
      <c r="BK54" s="1042"/>
      <c r="BL54" s="1042"/>
      <c r="BM54" s="1042"/>
      <c r="BN54" s="1042"/>
      <c r="BO54" s="1042"/>
      <c r="BP54" s="1042"/>
      <c r="BQ54" s="1042"/>
      <c r="BR54" s="1042"/>
      <c r="BS54" s="1042"/>
      <c r="BT54" s="1042"/>
      <c r="BU54" s="1042"/>
      <c r="BV54" s="1042"/>
      <c r="BW54" s="1042"/>
      <c r="BX54" s="1042"/>
      <c r="BY54" s="1042"/>
      <c r="BZ54" s="1042"/>
      <c r="CA54" s="1042"/>
      <c r="CB54" s="1042"/>
      <c r="CC54" s="1042"/>
      <c r="CD54" s="1042"/>
      <c r="CE54" s="1042"/>
      <c r="CF54" s="1042"/>
      <c r="CG54" s="1042"/>
      <c r="CH54" s="1042"/>
      <c r="CI54" s="1042"/>
      <c r="CJ54" s="1042"/>
      <c r="CK54" s="1042"/>
      <c r="CL54" s="1042"/>
      <c r="CM54" s="1042"/>
      <c r="CN54" s="1042"/>
      <c r="CO54" s="1042"/>
      <c r="CP54" s="1042"/>
      <c r="CQ54" s="1042"/>
      <c r="CR54" s="1042"/>
      <c r="CS54" s="1042"/>
      <c r="CT54" s="1042"/>
      <c r="CU54" s="1042"/>
      <c r="CV54" s="1042"/>
      <c r="CW54" s="1042"/>
      <c r="CX54" s="1042"/>
      <c r="CY54" s="1042"/>
      <c r="CZ54" s="1042"/>
      <c r="DA54" s="1042"/>
      <c r="DB54" s="1042"/>
      <c r="DC54" s="1042"/>
      <c r="DD54" s="1042"/>
      <c r="DE54" s="1042"/>
      <c r="DF54" s="1042"/>
      <c r="DG54" s="1042"/>
      <c r="DH54" s="1042"/>
      <c r="DI54" s="1042"/>
      <c r="DJ54" s="1042"/>
      <c r="DK54" s="1042"/>
      <c r="DL54" s="1042"/>
      <c r="DM54" s="1042"/>
      <c r="DN54" s="1042"/>
      <c r="DO54" s="1042"/>
      <c r="DP54" s="1042"/>
      <c r="DQ54" s="1042"/>
      <c r="DR54" s="1042"/>
      <c r="DS54" s="1042"/>
      <c r="DT54" s="1042"/>
      <c r="DU54" s="1042"/>
      <c r="DV54" s="1042"/>
      <c r="DW54" s="1042"/>
      <c r="DX54" s="1042"/>
      <c r="DY54" s="1042"/>
      <c r="DZ54" s="1042"/>
      <c r="EA54" s="1042"/>
      <c r="EB54" s="1042"/>
      <c r="EC54" s="1042"/>
      <c r="ED54" s="1042"/>
      <c r="EE54" s="1042"/>
      <c r="EF54" s="1042"/>
      <c r="EG54" s="1042"/>
      <c r="EH54" s="1042"/>
      <c r="EI54" s="1042"/>
      <c r="EJ54" s="1042"/>
      <c r="EK54" s="1042"/>
      <c r="EL54" s="1042"/>
      <c r="EM54" s="1042"/>
      <c r="EN54" s="1042"/>
      <c r="EO54" s="1042"/>
      <c r="EP54" s="1042"/>
      <c r="EQ54" s="1042"/>
      <c r="ER54" s="1042"/>
      <c r="ES54" s="1042"/>
      <c r="ET54" s="1042"/>
      <c r="EU54" s="1042"/>
      <c r="EV54" s="1042"/>
      <c r="EW54" s="1042"/>
      <c r="EX54" s="1042"/>
      <c r="EY54" s="1042"/>
      <c r="EZ54" s="1042"/>
      <c r="FA54" s="1042"/>
      <c r="FB54" s="1042"/>
      <c r="FC54" s="1042"/>
      <c r="FD54" s="1042"/>
      <c r="FE54" s="1042"/>
      <c r="FF54" s="1042"/>
      <c r="FG54" s="1042"/>
      <c r="FH54" s="1042"/>
      <c r="FI54" s="1042"/>
      <c r="FJ54" s="1042"/>
      <c r="FK54" s="1042"/>
      <c r="FL54" s="1042"/>
      <c r="FM54" s="1042"/>
      <c r="FN54" s="1042"/>
      <c r="FO54" s="1042"/>
      <c r="FP54" s="1042"/>
      <c r="FQ54" s="1042"/>
      <c r="FR54" s="1042"/>
      <c r="FS54" s="1042"/>
      <c r="FT54" s="1042"/>
      <c r="FU54" s="1042"/>
      <c r="FV54" s="1042"/>
      <c r="FW54" s="1042"/>
      <c r="FX54" s="1042"/>
      <c r="FY54" s="2"/>
      <c r="FZ54" s="2"/>
      <c r="GA54" s="2"/>
      <c r="GB54" s="2"/>
      <c r="GC54" s="2"/>
      <c r="GD54" s="2"/>
      <c r="GE54" s="2"/>
      <c r="GF54" s="2"/>
      <c r="GG54" s="2"/>
      <c r="GH54" s="2"/>
      <c r="GI54" s="2"/>
      <c r="GJ54" s="2"/>
      <c r="GK54" s="4153"/>
      <c r="GL54" s="2"/>
      <c r="GM54" s="2"/>
      <c r="GN54" s="2"/>
      <c r="GO54" s="2"/>
      <c r="GP54" s="2"/>
      <c r="GQ54" s="2"/>
      <c r="GR54" s="2"/>
      <c r="GS54" s="2"/>
      <c r="GT54" s="2"/>
      <c r="GU54" s="2"/>
      <c r="GV54" s="2"/>
      <c r="GW54" s="4153"/>
      <c r="GX54" s="5483" t="str">
        <f>HA42</f>
        <v>ene-may 2021</v>
      </c>
      <c r="GY54" s="5484"/>
      <c r="GZ54" s="5485" t="str">
        <f>HA42</f>
        <v>ene-may 2021</v>
      </c>
      <c r="HA54" s="5486"/>
      <c r="HB54" s="2"/>
      <c r="HC54" s="2"/>
      <c r="HD54" s="2"/>
      <c r="HE54" s="5483" t="str">
        <f>HH42</f>
        <v>ene-dic 2021</v>
      </c>
      <c r="HF54" s="5484"/>
      <c r="HG54" s="5485" t="str">
        <f>HH42</f>
        <v>ene-dic 2021</v>
      </c>
      <c r="HH54" s="5486"/>
      <c r="HI54" s="4153"/>
      <c r="HJ54" s="2"/>
      <c r="HK54" s="2"/>
      <c r="HL54" s="2"/>
      <c r="HM54" s="2"/>
    </row>
    <row r="55" spans="1:221" ht="15" thickBot="1">
      <c r="A55" s="1042"/>
      <c r="B55" s="4051"/>
      <c r="C55" s="4051"/>
      <c r="D55" s="1042"/>
      <c r="E55" s="1042"/>
      <c r="F55" s="1042"/>
      <c r="G55" s="1042"/>
      <c r="H55" s="1042"/>
      <c r="I55" s="1042"/>
      <c r="J55" s="1042"/>
      <c r="K55" s="1042"/>
      <c r="L55" s="1042"/>
      <c r="M55" s="1042"/>
      <c r="N55" s="1042"/>
      <c r="O55" s="1042"/>
      <c r="P55" s="1042"/>
      <c r="Q55" s="1042"/>
      <c r="R55" s="1042"/>
      <c r="S55" s="1042"/>
      <c r="T55" s="1042"/>
      <c r="U55" s="1042"/>
      <c r="V55" s="1042"/>
      <c r="W55" s="1042"/>
      <c r="X55" s="1042"/>
      <c r="Y55" s="1042"/>
      <c r="Z55" s="1042"/>
      <c r="AA55" s="1042"/>
      <c r="AB55" s="1042"/>
      <c r="AC55" s="1042"/>
      <c r="AD55" s="1042"/>
      <c r="AE55" s="1042"/>
      <c r="AF55" s="1042"/>
      <c r="AG55" s="1042"/>
      <c r="AH55" s="1042"/>
      <c r="AI55" s="1042"/>
      <c r="AJ55" s="1042"/>
      <c r="AK55" s="1042"/>
      <c r="AL55" s="1042"/>
      <c r="AM55" s="1042"/>
      <c r="AN55" s="1042"/>
      <c r="AO55" s="1042"/>
      <c r="AP55" s="1042"/>
      <c r="AQ55" s="1042"/>
      <c r="AR55" s="1042"/>
      <c r="AS55" s="1042"/>
      <c r="AT55" s="1042"/>
      <c r="AU55" s="1042"/>
      <c r="AV55" s="1042"/>
      <c r="AW55" s="1042"/>
      <c r="AX55" s="1042"/>
      <c r="AY55" s="1042"/>
      <c r="AZ55" s="1042"/>
      <c r="BA55" s="1042"/>
      <c r="BB55" s="1042"/>
      <c r="BC55" s="1042"/>
      <c r="BD55" s="1042"/>
      <c r="BE55" s="1042"/>
      <c r="BF55" s="1042"/>
      <c r="BG55" s="1042"/>
      <c r="BH55" s="1042"/>
      <c r="BI55" s="1042"/>
      <c r="BJ55" s="1042"/>
      <c r="BK55" s="1042"/>
      <c r="BL55" s="1042"/>
      <c r="BM55" s="1042"/>
      <c r="BN55" s="1042"/>
      <c r="BO55" s="1042"/>
      <c r="BP55" s="1042"/>
      <c r="BQ55" s="1042"/>
      <c r="BR55" s="1042"/>
      <c r="BS55" s="1042"/>
      <c r="BT55" s="1042"/>
      <c r="BU55" s="1042"/>
      <c r="BV55" s="1042"/>
      <c r="BW55" s="1042"/>
      <c r="BX55" s="1042"/>
      <c r="BY55" s="1042"/>
      <c r="BZ55" s="1042"/>
      <c r="CA55" s="1042"/>
      <c r="CB55" s="1042"/>
      <c r="CC55" s="1042"/>
      <c r="CD55" s="1042"/>
      <c r="CE55" s="1042"/>
      <c r="CF55" s="1042"/>
      <c r="CG55" s="1042"/>
      <c r="CH55" s="1042"/>
      <c r="CI55" s="1042"/>
      <c r="CJ55" s="1042"/>
      <c r="CK55" s="1042"/>
      <c r="CL55" s="1042"/>
      <c r="CM55" s="1042"/>
      <c r="CN55" s="1042"/>
      <c r="CO55" s="1042"/>
      <c r="CP55" s="1042"/>
      <c r="CQ55" s="1042"/>
      <c r="CR55" s="1042"/>
      <c r="CS55" s="1042"/>
      <c r="CT55" s="1042"/>
      <c r="CU55" s="1042"/>
      <c r="CV55" s="1042"/>
      <c r="CW55" s="1042"/>
      <c r="CX55" s="1042"/>
      <c r="CY55" s="1042"/>
      <c r="CZ55" s="1042"/>
      <c r="DA55" s="1042"/>
      <c r="DB55" s="1042"/>
      <c r="DC55" s="1042"/>
      <c r="DD55" s="1042"/>
      <c r="DE55" s="1042"/>
      <c r="DF55" s="1042"/>
      <c r="DG55" s="1042"/>
      <c r="DH55" s="1042"/>
      <c r="DI55" s="1042"/>
      <c r="DJ55" s="1042"/>
      <c r="DK55" s="1042"/>
      <c r="DL55" s="1042"/>
      <c r="DM55" s="1042"/>
      <c r="DN55" s="1042"/>
      <c r="DO55" s="1042"/>
      <c r="DP55" s="1042"/>
      <c r="DQ55" s="1042"/>
      <c r="DR55" s="1042"/>
      <c r="DS55" s="1042"/>
      <c r="DT55" s="1042"/>
      <c r="DU55" s="1042"/>
      <c r="DV55" s="1042"/>
      <c r="DW55" s="1042"/>
      <c r="DX55" s="1042"/>
      <c r="DY55" s="1042"/>
      <c r="DZ55" s="1042"/>
      <c r="EA55" s="1042"/>
      <c r="EB55" s="1042"/>
      <c r="EC55" s="1042"/>
      <c r="ED55" s="1042"/>
      <c r="EE55" s="1042"/>
      <c r="EF55" s="1042"/>
      <c r="EG55" s="1042"/>
      <c r="EH55" s="1042"/>
      <c r="EI55" s="1042"/>
      <c r="EJ55" s="1042"/>
      <c r="EK55" s="1042"/>
      <c r="EL55" s="1042"/>
      <c r="EM55" s="1042"/>
      <c r="EN55" s="1042"/>
      <c r="EO55" s="1042"/>
      <c r="EP55" s="1042"/>
      <c r="EQ55" s="1042"/>
      <c r="ER55" s="1042"/>
      <c r="ES55" s="1042"/>
      <c r="ET55" s="1042"/>
      <c r="EU55" s="1042"/>
      <c r="EV55" s="1042"/>
      <c r="EW55" s="1042"/>
      <c r="EX55" s="1042"/>
      <c r="EY55" s="1042"/>
      <c r="EZ55" s="1042"/>
      <c r="FA55" s="1042"/>
      <c r="FB55" s="1042"/>
      <c r="FC55" s="1042"/>
      <c r="FD55" s="1042"/>
      <c r="FE55" s="1042"/>
      <c r="FF55" s="1042"/>
      <c r="FG55" s="1042"/>
      <c r="FH55" s="1042"/>
      <c r="FI55" s="1042"/>
      <c r="FJ55" s="1042"/>
      <c r="FK55" s="1042"/>
      <c r="FL55" s="1042"/>
      <c r="FM55" s="1042"/>
      <c r="FN55" s="1042"/>
      <c r="FO55" s="1042"/>
      <c r="FP55" s="1042"/>
      <c r="FQ55" s="1042"/>
      <c r="FR55" s="1042"/>
      <c r="FS55" s="1042"/>
      <c r="FT55" s="1042"/>
      <c r="FU55" s="1042"/>
      <c r="FV55" s="1042"/>
      <c r="FW55" s="1042"/>
      <c r="FX55" s="1042"/>
      <c r="FY55" s="2"/>
      <c r="FZ55" s="2"/>
      <c r="GA55" s="2"/>
      <c r="GB55" s="2"/>
      <c r="GC55" s="2"/>
      <c r="GD55" s="2"/>
      <c r="GE55" s="2"/>
      <c r="GF55" s="2"/>
      <c r="GG55" s="2"/>
      <c r="GH55" s="2"/>
      <c r="GI55" s="2"/>
      <c r="GJ55" s="2"/>
      <c r="GK55" s="4153"/>
      <c r="GL55" s="2"/>
      <c r="GM55" s="2"/>
      <c r="GN55" s="2"/>
      <c r="GO55" s="2"/>
      <c r="GP55" s="2"/>
      <c r="GQ55" s="2"/>
      <c r="GR55" s="2"/>
      <c r="GS55" s="2"/>
      <c r="GT55" s="2"/>
      <c r="GU55" s="2"/>
      <c r="GV55" s="2"/>
      <c r="GW55" s="4153"/>
      <c r="GX55" s="5487" t="str">
        <f>GC42</f>
        <v>ene-may 2019</v>
      </c>
      <c r="GY55" s="5488"/>
      <c r="GZ55" s="5489" t="str">
        <f>GO42</f>
        <v>ene-may 2020</v>
      </c>
      <c r="HA55" s="5490"/>
      <c r="HB55" s="2"/>
      <c r="HC55" s="2"/>
      <c r="HD55" s="2"/>
      <c r="HE55" s="5487" t="str">
        <f>GJ42</f>
        <v>ene-dic 2019</v>
      </c>
      <c r="HF55" s="5488"/>
      <c r="HG55" s="5489" t="str">
        <f>GV42</f>
        <v>ene-dic 2020</v>
      </c>
      <c r="HH55" s="5490"/>
      <c r="HI55" s="4153"/>
      <c r="HJ55" s="2"/>
      <c r="HK55" s="2"/>
      <c r="HL55" s="2"/>
      <c r="HM55" s="2"/>
    </row>
    <row r="56" spans="1:221">
      <c r="A56" s="1042"/>
      <c r="B56" s="4051"/>
      <c r="C56" s="4051"/>
      <c r="D56" s="1042"/>
      <c r="E56" s="1042"/>
      <c r="F56" s="1042"/>
      <c r="G56" s="1042"/>
      <c r="H56" s="1042"/>
      <c r="I56" s="1042"/>
      <c r="J56" s="1042"/>
      <c r="K56" s="1042"/>
      <c r="L56" s="1042"/>
      <c r="M56" s="1042"/>
      <c r="N56" s="1042"/>
      <c r="O56" s="1042"/>
      <c r="P56" s="1042"/>
      <c r="Q56" s="1042"/>
      <c r="R56" s="1042"/>
      <c r="S56" s="1042"/>
      <c r="T56" s="1042"/>
      <c r="U56" s="1042"/>
      <c r="V56" s="1042"/>
      <c r="W56" s="1042"/>
      <c r="X56" s="1042"/>
      <c r="Y56" s="1042"/>
      <c r="Z56" s="1042"/>
      <c r="AA56" s="1042"/>
      <c r="AB56" s="1042"/>
      <c r="AC56" s="1042"/>
      <c r="AD56" s="1042"/>
      <c r="AE56" s="1042"/>
      <c r="AF56" s="1042"/>
      <c r="AG56" s="1042"/>
      <c r="AH56" s="1042"/>
      <c r="AI56" s="1042"/>
      <c r="AJ56" s="1042"/>
      <c r="AK56" s="1042"/>
      <c r="AL56" s="1042"/>
      <c r="AM56" s="1042"/>
      <c r="AN56" s="1042"/>
      <c r="AO56" s="1042"/>
      <c r="AP56" s="1042"/>
      <c r="AQ56" s="1042"/>
      <c r="AR56" s="1042"/>
      <c r="AS56" s="1042"/>
      <c r="AT56" s="1042"/>
      <c r="AU56" s="1042"/>
      <c r="AV56" s="1042"/>
      <c r="AW56" s="1042"/>
      <c r="AX56" s="1042"/>
      <c r="AY56" s="1042"/>
      <c r="AZ56" s="1042"/>
      <c r="BA56" s="1042"/>
      <c r="BB56" s="1042"/>
      <c r="BC56" s="1042"/>
      <c r="BD56" s="1042"/>
      <c r="BE56" s="1042"/>
      <c r="BF56" s="1042"/>
      <c r="BG56" s="1042"/>
      <c r="BH56" s="1042"/>
      <c r="BI56" s="1042"/>
      <c r="BJ56" s="1042"/>
      <c r="BK56" s="1042"/>
      <c r="BL56" s="1042"/>
      <c r="BM56" s="1042"/>
      <c r="BN56" s="1042"/>
      <c r="BO56" s="1042"/>
      <c r="BP56" s="1042"/>
      <c r="BQ56" s="1042"/>
      <c r="BR56" s="1042"/>
      <c r="BS56" s="1042"/>
      <c r="BT56" s="1042"/>
      <c r="BU56" s="1042"/>
      <c r="BV56" s="1042"/>
      <c r="BW56" s="1042"/>
      <c r="BX56" s="1042"/>
      <c r="BY56" s="1042"/>
      <c r="BZ56" s="1042"/>
      <c r="CA56" s="1042"/>
      <c r="CB56" s="1042"/>
      <c r="CC56" s="1042"/>
      <c r="CD56" s="1042"/>
      <c r="CE56" s="1042"/>
      <c r="CF56" s="1042"/>
      <c r="CG56" s="1042"/>
      <c r="CH56" s="1042"/>
      <c r="CI56" s="1042"/>
      <c r="CJ56" s="1042"/>
      <c r="CK56" s="1042"/>
      <c r="CL56" s="1042"/>
      <c r="CM56" s="1042"/>
      <c r="CN56" s="1042"/>
      <c r="CO56" s="1042"/>
      <c r="CP56" s="1042"/>
      <c r="CQ56" s="1042"/>
      <c r="CR56" s="1042"/>
      <c r="CS56" s="1042"/>
      <c r="CT56" s="1042"/>
      <c r="CU56" s="1042"/>
      <c r="CV56" s="1042"/>
      <c r="CW56" s="1042"/>
      <c r="CX56" s="1042"/>
      <c r="CY56" s="1042"/>
      <c r="CZ56" s="1042"/>
      <c r="DA56" s="1042"/>
      <c r="DB56" s="1042"/>
      <c r="DC56" s="1042"/>
      <c r="DD56" s="1042"/>
      <c r="DE56" s="1042"/>
      <c r="DF56" s="1042"/>
      <c r="DG56" s="1042"/>
      <c r="DH56" s="1042"/>
      <c r="DI56" s="1042"/>
      <c r="DJ56" s="1042"/>
      <c r="DK56" s="1042"/>
      <c r="DL56" s="1042"/>
      <c r="DM56" s="1042"/>
      <c r="DN56" s="1042"/>
      <c r="DO56" s="1042"/>
      <c r="DP56" s="1042"/>
      <c r="DQ56" s="1042"/>
      <c r="DR56" s="1042"/>
      <c r="DS56" s="1042"/>
      <c r="DT56" s="1042"/>
      <c r="DU56" s="1042"/>
      <c r="DV56" s="1042"/>
      <c r="DW56" s="1042"/>
      <c r="DX56" s="1042"/>
      <c r="DY56" s="1042"/>
      <c r="DZ56" s="1042"/>
      <c r="EA56" s="1042"/>
      <c r="EB56" s="1042"/>
      <c r="EC56" s="1042"/>
      <c r="ED56" s="1042"/>
      <c r="EE56" s="1042"/>
      <c r="EF56" s="1042"/>
      <c r="EG56" s="1042"/>
      <c r="EH56" s="1042"/>
      <c r="EI56" s="1042"/>
      <c r="EJ56" s="1042"/>
      <c r="EK56" s="1042"/>
      <c r="EL56" s="1042"/>
      <c r="EM56" s="1042"/>
      <c r="EN56" s="1042"/>
      <c r="EO56" s="1042"/>
      <c r="EP56" s="1042"/>
      <c r="EQ56" s="1042"/>
      <c r="ER56" s="1042"/>
      <c r="ES56" s="1042"/>
      <c r="ET56" s="1042"/>
      <c r="EU56" s="1042"/>
      <c r="EV56" s="1042"/>
      <c r="EW56" s="1042"/>
      <c r="EX56" s="1042"/>
      <c r="EY56" s="1042"/>
      <c r="EZ56" s="1042"/>
      <c r="FA56" s="1042"/>
      <c r="FB56" s="1042"/>
      <c r="FC56" s="1042"/>
      <c r="FD56" s="1042"/>
      <c r="FE56" s="1042"/>
      <c r="FF56" s="1042"/>
      <c r="FG56" s="1042"/>
      <c r="FH56" s="1042"/>
      <c r="FI56" s="1042"/>
      <c r="FJ56" s="1042"/>
      <c r="FK56" s="1042"/>
      <c r="FL56" s="1042"/>
      <c r="FM56" s="1042"/>
      <c r="FN56" s="1042"/>
      <c r="FO56" s="1042"/>
      <c r="FP56" s="1042"/>
      <c r="FQ56" s="1042"/>
      <c r="FR56" s="1042"/>
      <c r="FS56" s="1042"/>
      <c r="FT56" s="1042"/>
      <c r="FU56" s="1042"/>
      <c r="FV56" s="1042"/>
      <c r="FW56" s="1042"/>
      <c r="FX56" s="1042"/>
      <c r="FY56" s="2"/>
      <c r="FZ56" s="2"/>
      <c r="GA56" s="2"/>
      <c r="GB56" s="2"/>
      <c r="GC56" s="2"/>
      <c r="GD56" s="2"/>
      <c r="GE56" s="2"/>
      <c r="GF56" s="2"/>
      <c r="GG56" s="2"/>
      <c r="GH56" s="2"/>
      <c r="GI56" s="2"/>
      <c r="GJ56" s="2"/>
      <c r="GK56" s="4153"/>
      <c r="GL56" s="2"/>
      <c r="GM56" s="2"/>
      <c r="GN56" s="2"/>
      <c r="GO56" s="2"/>
      <c r="GP56" s="2"/>
      <c r="GQ56" s="2"/>
      <c r="GR56" s="2"/>
      <c r="GS56" s="2"/>
      <c r="GT56" s="2"/>
      <c r="GU56" s="2"/>
      <c r="GV56" s="2"/>
      <c r="GW56" s="4250" t="str">
        <f>A33</f>
        <v>ALIMENTOS Y BEBIDAS</v>
      </c>
      <c r="GX56" s="4251">
        <f>SUM(GW33:HA33)/SUM(FV33:GC33)-1</f>
        <v>-0.37600034601093035</v>
      </c>
      <c r="GY56" s="4252">
        <f>HA43-GC43</f>
        <v>-118397381.02000004</v>
      </c>
      <c r="GZ56" s="4253">
        <f>SUM(GW33:HA33)/SUM(GK33:GO33)-1</f>
        <v>7.0851447107616261E-2</v>
      </c>
      <c r="HA56" s="4254">
        <f>HA43-GO43</f>
        <v>19394918.690000057</v>
      </c>
      <c r="HB56" s="2"/>
      <c r="HC56" s="2"/>
      <c r="HD56" s="4183" t="str">
        <f>GW56</f>
        <v>ALIMENTOS Y BEBIDAS</v>
      </c>
      <c r="HE56" s="4251">
        <f>SUM(GW33:HH33)/SUM(FY33:GJ33)-1</f>
        <v>-0.32359818045576727</v>
      </c>
      <c r="HF56" s="4252">
        <f>HH43-GJ43</f>
        <v>-336572724.46927631</v>
      </c>
      <c r="HG56" s="4253">
        <f>SUM(GW33:HH33)/SUM(GK33:GV33)-1</f>
        <v>5.8825676143780425E-2</v>
      </c>
      <c r="HH56" s="4255">
        <f>HH43-GV43</f>
        <v>39085896.520723701</v>
      </c>
      <c r="HI56" s="4153"/>
      <c r="HJ56" s="2"/>
      <c r="HK56" s="2"/>
      <c r="HL56" s="2"/>
      <c r="HM56" s="2"/>
    </row>
    <row r="57" spans="1:221">
      <c r="A57" s="1042"/>
      <c r="B57" s="4051"/>
      <c r="C57" s="4051"/>
      <c r="D57" s="1042"/>
      <c r="E57" s="1042"/>
      <c r="F57" s="1042"/>
      <c r="G57" s="1042"/>
      <c r="H57" s="1042"/>
      <c r="I57" s="1042"/>
      <c r="J57" s="1042"/>
      <c r="K57" s="1042"/>
      <c r="L57" s="1042"/>
      <c r="M57" s="1042"/>
      <c r="N57" s="1042"/>
      <c r="O57" s="1042"/>
      <c r="P57" s="1042"/>
      <c r="Q57" s="1042"/>
      <c r="R57" s="1042"/>
      <c r="S57" s="1042"/>
      <c r="T57" s="1042"/>
      <c r="U57" s="1042"/>
      <c r="V57" s="1042"/>
      <c r="W57" s="1042"/>
      <c r="X57" s="1042"/>
      <c r="Y57" s="1042"/>
      <c r="Z57" s="1042"/>
      <c r="AA57" s="1042"/>
      <c r="AB57" s="1042"/>
      <c r="AC57" s="1042"/>
      <c r="AD57" s="1042"/>
      <c r="AE57" s="1042"/>
      <c r="AF57" s="1042"/>
      <c r="AG57" s="1042"/>
      <c r="AH57" s="1042"/>
      <c r="AI57" s="1042"/>
      <c r="AJ57" s="1042"/>
      <c r="AK57" s="1042"/>
      <c r="AL57" s="1042"/>
      <c r="AM57" s="1042"/>
      <c r="AN57" s="1042"/>
      <c r="AO57" s="1042"/>
      <c r="AP57" s="1042"/>
      <c r="AQ57" s="1042"/>
      <c r="AR57" s="1042"/>
      <c r="AS57" s="1042"/>
      <c r="AT57" s="1042"/>
      <c r="AU57" s="1042"/>
      <c r="AV57" s="1042"/>
      <c r="AW57" s="1042"/>
      <c r="AX57" s="1042"/>
      <c r="AY57" s="1042"/>
      <c r="AZ57" s="1042"/>
      <c r="BA57" s="1042"/>
      <c r="BB57" s="1042"/>
      <c r="BC57" s="1042"/>
      <c r="BD57" s="1042"/>
      <c r="BE57" s="1042"/>
      <c r="BF57" s="1042"/>
      <c r="BG57" s="1042"/>
      <c r="BH57" s="1042"/>
      <c r="BI57" s="1042"/>
      <c r="BJ57" s="1042"/>
      <c r="BK57" s="1042"/>
      <c r="BL57" s="1042"/>
      <c r="BM57" s="1042"/>
      <c r="BN57" s="1042"/>
      <c r="BO57" s="1042"/>
      <c r="BP57" s="1042"/>
      <c r="BQ57" s="1042"/>
      <c r="BR57" s="1042"/>
      <c r="BS57" s="1042"/>
      <c r="BT57" s="1042"/>
      <c r="BU57" s="1042"/>
      <c r="BV57" s="1042"/>
      <c r="BW57" s="1042"/>
      <c r="BX57" s="1042"/>
      <c r="BY57" s="1042"/>
      <c r="BZ57" s="1042"/>
      <c r="CA57" s="1042"/>
      <c r="CB57" s="1042"/>
      <c r="CC57" s="1042"/>
      <c r="CD57" s="1042"/>
      <c r="CE57" s="1042"/>
      <c r="CF57" s="1042"/>
      <c r="CG57" s="1042"/>
      <c r="CH57" s="1042"/>
      <c r="CI57" s="1042"/>
      <c r="CJ57" s="1042"/>
      <c r="CK57" s="1042"/>
      <c r="CL57" s="1042"/>
      <c r="CM57" s="1042"/>
      <c r="CN57" s="1042"/>
      <c r="CO57" s="1042"/>
      <c r="CP57" s="1042"/>
      <c r="CQ57" s="1042"/>
      <c r="CR57" s="1042"/>
      <c r="CS57" s="1042"/>
      <c r="CT57" s="1042"/>
      <c r="CU57" s="1042"/>
      <c r="CV57" s="1042"/>
      <c r="CW57" s="1042"/>
      <c r="CX57" s="1042"/>
      <c r="CY57" s="1042"/>
      <c r="CZ57" s="1042"/>
      <c r="DA57" s="1042"/>
      <c r="DB57" s="1042"/>
      <c r="DC57" s="1042"/>
      <c r="DD57" s="1042"/>
      <c r="DE57" s="1042"/>
      <c r="DF57" s="1042"/>
      <c r="DG57" s="1042"/>
      <c r="DH57" s="1042"/>
      <c r="DI57" s="1042"/>
      <c r="DJ57" s="1042"/>
      <c r="DK57" s="1042"/>
      <c r="DL57" s="1042"/>
      <c r="DM57" s="1042"/>
      <c r="DN57" s="1042"/>
      <c r="DO57" s="1042"/>
      <c r="DP57" s="1042"/>
      <c r="DQ57" s="1042"/>
      <c r="DR57" s="1042"/>
      <c r="DS57" s="1042"/>
      <c r="DT57" s="1042"/>
      <c r="DU57" s="1042"/>
      <c r="DV57" s="1042"/>
      <c r="DW57" s="1042"/>
      <c r="DX57" s="1042"/>
      <c r="DY57" s="1042"/>
      <c r="DZ57" s="1042"/>
      <c r="EA57" s="1042"/>
      <c r="EB57" s="1042"/>
      <c r="EC57" s="1042"/>
      <c r="ED57" s="1042"/>
      <c r="EE57" s="1042"/>
      <c r="EF57" s="1042"/>
      <c r="EG57" s="1042"/>
      <c r="EH57" s="1042"/>
      <c r="EI57" s="1042"/>
      <c r="EJ57" s="1042"/>
      <c r="EK57" s="1042"/>
      <c r="EL57" s="1042"/>
      <c r="EM57" s="1042"/>
      <c r="EN57" s="1042"/>
      <c r="EO57" s="1042"/>
      <c r="EP57" s="1042"/>
      <c r="EQ57" s="1042"/>
      <c r="ER57" s="1042"/>
      <c r="ES57" s="1042"/>
      <c r="ET57" s="1042"/>
      <c r="EU57" s="1042"/>
      <c r="EV57" s="1042"/>
      <c r="EW57" s="1042"/>
      <c r="EX57" s="1042"/>
      <c r="EY57" s="1042"/>
      <c r="EZ57" s="1042"/>
      <c r="FA57" s="1042"/>
      <c r="FB57" s="1042"/>
      <c r="FC57" s="1042"/>
      <c r="FD57" s="1042"/>
      <c r="FE57" s="1042"/>
      <c r="FF57" s="1042"/>
      <c r="FG57" s="1042"/>
      <c r="FH57" s="1042"/>
      <c r="FI57" s="1042"/>
      <c r="FJ57" s="1042"/>
      <c r="FK57" s="1042"/>
      <c r="FL57" s="1042"/>
      <c r="FM57" s="1042"/>
      <c r="FN57" s="1042"/>
      <c r="FO57" s="1042"/>
      <c r="FP57" s="1042"/>
      <c r="FQ57" s="1042"/>
      <c r="FR57" s="1042"/>
      <c r="FS57" s="1042"/>
      <c r="FT57" s="1042"/>
      <c r="FU57" s="1042"/>
      <c r="FV57" s="1042"/>
      <c r="FW57" s="1042"/>
      <c r="FX57" s="1042"/>
      <c r="FY57" s="2"/>
      <c r="FZ57" s="2"/>
      <c r="GA57" s="2"/>
      <c r="GB57" s="2"/>
      <c r="GC57" s="2"/>
      <c r="GD57" s="2"/>
      <c r="GE57" s="2"/>
      <c r="GF57" s="2"/>
      <c r="GG57" s="2"/>
      <c r="GH57" s="2"/>
      <c r="GI57" s="2"/>
      <c r="GJ57" s="2"/>
      <c r="GK57" s="4153"/>
      <c r="GL57" s="2"/>
      <c r="GM57" s="2"/>
      <c r="GN57" s="2"/>
      <c r="GO57" s="2"/>
      <c r="GP57" s="2"/>
      <c r="GQ57" s="2"/>
      <c r="GR57" s="2"/>
      <c r="GS57" s="2"/>
      <c r="GT57" s="2"/>
      <c r="GU57" s="2"/>
      <c r="GV57" s="2"/>
      <c r="GW57" s="4196" t="str">
        <f>A34</f>
        <v>ALOJAMIENTO</v>
      </c>
      <c r="GX57" s="4256">
        <f>SUM(GW34:HA34)/SUM(FV34:GC34)-1</f>
        <v>-0.72900458970495952</v>
      </c>
      <c r="GY57" s="4257">
        <f t="shared" ref="GY57:GY60" si="126">HA44-GC44</f>
        <v>-31144289.240000002</v>
      </c>
      <c r="GZ57" s="4258">
        <f>SUM(GW34:HA34)/SUM(GK34:GO34)-1</f>
        <v>-0.45885699505430733</v>
      </c>
      <c r="HA57" s="4259">
        <f t="shared" ref="HA57:HA60" si="127">HA44-GO44</f>
        <v>-10623989.91</v>
      </c>
      <c r="HB57" s="2"/>
      <c r="HC57" s="2"/>
      <c r="HD57" s="4193" t="str">
        <f t="shared" ref="HD57:HD59" si="128">GW57</f>
        <v>ALOJAMIENTO</v>
      </c>
      <c r="HE57" s="4251">
        <f t="shared" ref="HE57:HE59" si="129">SUM(GW34:HH34)/SUM(FY34:GJ34)-1</f>
        <v>-0.72852463643883636</v>
      </c>
      <c r="HF57" s="4257">
        <f t="shared" ref="HF57:HF60" si="130">HH44-GJ44</f>
        <v>-81628029.128987521</v>
      </c>
      <c r="HG57" s="4258">
        <f t="shared" ref="HG57:HG60" si="131">SUM(GW34:HH34)/SUM(GK34:GV34)-1</f>
        <v>-0.18563212262689022</v>
      </c>
      <c r="HH57" s="4217">
        <f t="shared" ref="HH57:HH60" si="132">HH44-GV44</f>
        <v>-6933587.2889875174</v>
      </c>
      <c r="HI57" s="4153"/>
      <c r="HJ57" s="2"/>
      <c r="HK57" s="2"/>
      <c r="HL57" s="2"/>
      <c r="HM57" s="2"/>
    </row>
    <row r="58" spans="1:221">
      <c r="A58" s="1042"/>
      <c r="B58" s="4051"/>
      <c r="C58" s="4051"/>
      <c r="D58" s="1042"/>
      <c r="E58" s="1042"/>
      <c r="F58" s="1042"/>
      <c r="G58" s="1042"/>
      <c r="H58" s="1042"/>
      <c r="I58" s="1042"/>
      <c r="J58" s="1042"/>
      <c r="K58" s="1042"/>
      <c r="L58" s="1042"/>
      <c r="M58" s="1042"/>
      <c r="N58" s="1042"/>
      <c r="O58" s="1042"/>
      <c r="P58" s="1042"/>
      <c r="Q58" s="1042"/>
      <c r="R58" s="1042"/>
      <c r="S58" s="1042"/>
      <c r="T58" s="1042"/>
      <c r="U58" s="1042"/>
      <c r="V58" s="1042"/>
      <c r="W58" s="1042"/>
      <c r="X58" s="1042"/>
      <c r="Y58" s="1042"/>
      <c r="Z58" s="1042"/>
      <c r="AA58" s="1042"/>
      <c r="AB58" s="1042"/>
      <c r="AC58" s="1042"/>
      <c r="AD58" s="1042"/>
      <c r="AE58" s="1042"/>
      <c r="AF58" s="1042"/>
      <c r="AG58" s="1042"/>
      <c r="AH58" s="1042"/>
      <c r="AI58" s="1042"/>
      <c r="AJ58" s="1042"/>
      <c r="AK58" s="1042"/>
      <c r="AL58" s="1042"/>
      <c r="AM58" s="1042"/>
      <c r="AN58" s="1042"/>
      <c r="AO58" s="1042"/>
      <c r="AP58" s="1042"/>
      <c r="AQ58" s="1042"/>
      <c r="AR58" s="1042"/>
      <c r="AS58" s="1042"/>
      <c r="AT58" s="1042"/>
      <c r="AU58" s="1042"/>
      <c r="AV58" s="1042"/>
      <c r="AW58" s="1042"/>
      <c r="AX58" s="1042"/>
      <c r="AY58" s="1042"/>
      <c r="AZ58" s="1042"/>
      <c r="BA58" s="1042"/>
      <c r="BB58" s="1042"/>
      <c r="BC58" s="1042"/>
      <c r="BD58" s="1042"/>
      <c r="BE58" s="1042"/>
      <c r="BF58" s="1042"/>
      <c r="BG58" s="1042"/>
      <c r="BH58" s="1042"/>
      <c r="BI58" s="1042"/>
      <c r="BJ58" s="1042"/>
      <c r="BK58" s="1042"/>
      <c r="BL58" s="1042"/>
      <c r="BM58" s="1042"/>
      <c r="BN58" s="1042"/>
      <c r="BO58" s="1042"/>
      <c r="BP58" s="1042"/>
      <c r="BQ58" s="1042"/>
      <c r="BR58" s="1042"/>
      <c r="BS58" s="1042"/>
      <c r="BT58" s="1042"/>
      <c r="BU58" s="1042"/>
      <c r="BV58" s="1042"/>
      <c r="BW58" s="1042"/>
      <c r="BX58" s="1042"/>
      <c r="BY58" s="1042"/>
      <c r="BZ58" s="1042"/>
      <c r="CA58" s="1042"/>
      <c r="CB58" s="1042"/>
      <c r="CC58" s="1042"/>
      <c r="CD58" s="1042"/>
      <c r="CE58" s="1042"/>
      <c r="CF58" s="1042"/>
      <c r="CG58" s="1042"/>
      <c r="CH58" s="1042"/>
      <c r="CI58" s="1042"/>
      <c r="CJ58" s="1042"/>
      <c r="CK58" s="1042"/>
      <c r="CL58" s="1042"/>
      <c r="CM58" s="1042"/>
      <c r="CN58" s="1042"/>
      <c r="CO58" s="1042"/>
      <c r="CP58" s="1042"/>
      <c r="CQ58" s="1042"/>
      <c r="CR58" s="1042"/>
      <c r="CS58" s="1042"/>
      <c r="CT58" s="1042"/>
      <c r="CU58" s="1042"/>
      <c r="CV58" s="1042"/>
      <c r="CW58" s="1042"/>
      <c r="CX58" s="1042"/>
      <c r="CY58" s="1042"/>
      <c r="CZ58" s="1042"/>
      <c r="DA58" s="1042"/>
      <c r="DB58" s="1042"/>
      <c r="DC58" s="1042"/>
      <c r="DD58" s="1042"/>
      <c r="DE58" s="1042"/>
      <c r="DF58" s="1042"/>
      <c r="DG58" s="1042"/>
      <c r="DH58" s="1042"/>
      <c r="DI58" s="1042"/>
      <c r="DJ58" s="1042"/>
      <c r="DK58" s="1042"/>
      <c r="DL58" s="1042"/>
      <c r="DM58" s="1042"/>
      <c r="DN58" s="1042"/>
      <c r="DO58" s="1042"/>
      <c r="DP58" s="1042"/>
      <c r="DQ58" s="1042"/>
      <c r="DR58" s="1042"/>
      <c r="DS58" s="1042"/>
      <c r="DT58" s="1042"/>
      <c r="DU58" s="1042"/>
      <c r="DV58" s="1042"/>
      <c r="DW58" s="1042"/>
      <c r="DX58" s="1042"/>
      <c r="DY58" s="1042"/>
      <c r="DZ58" s="1042"/>
      <c r="EA58" s="1042"/>
      <c r="EB58" s="1042"/>
      <c r="EC58" s="1042"/>
      <c r="ED58" s="1042"/>
      <c r="EE58" s="1042"/>
      <c r="EF58" s="1042"/>
      <c r="EG58" s="1042"/>
      <c r="EH58" s="1042"/>
      <c r="EI58" s="1042"/>
      <c r="EJ58" s="1042"/>
      <c r="EK58" s="1042"/>
      <c r="EL58" s="1042"/>
      <c r="EM58" s="1042"/>
      <c r="EN58" s="1042"/>
      <c r="EO58" s="1042"/>
      <c r="EP58" s="1042"/>
      <c r="EQ58" s="1042"/>
      <c r="ER58" s="1042"/>
      <c r="ES58" s="1042"/>
      <c r="ET58" s="1042"/>
      <c r="EU58" s="1042"/>
      <c r="EV58" s="1042"/>
      <c r="EW58" s="1042"/>
      <c r="EX58" s="1042"/>
      <c r="EY58" s="1042"/>
      <c r="EZ58" s="1042"/>
      <c r="FA58" s="1042"/>
      <c r="FB58" s="1042"/>
      <c r="FC58" s="1042"/>
      <c r="FD58" s="1042"/>
      <c r="FE58" s="1042"/>
      <c r="FF58" s="1042"/>
      <c r="FG58" s="1042"/>
      <c r="FH58" s="1042"/>
      <c r="FI58" s="1042"/>
      <c r="FJ58" s="1042"/>
      <c r="FK58" s="1042"/>
      <c r="FL58" s="1042"/>
      <c r="FM58" s="1042"/>
      <c r="FN58" s="1042"/>
      <c r="FO58" s="1042"/>
      <c r="FP58" s="1042"/>
      <c r="FQ58" s="1042"/>
      <c r="FR58" s="1042"/>
      <c r="FS58" s="1042"/>
      <c r="FT58" s="1042"/>
      <c r="FU58" s="1042"/>
      <c r="FV58" s="1042"/>
      <c r="FW58" s="1042"/>
      <c r="FX58" s="1042"/>
      <c r="FY58" s="2"/>
      <c r="FZ58" s="2"/>
      <c r="GA58" s="2"/>
      <c r="GB58" s="2"/>
      <c r="GC58" s="2"/>
      <c r="GD58" s="2"/>
      <c r="GE58" s="2"/>
      <c r="GF58" s="2"/>
      <c r="GG58" s="2"/>
      <c r="GH58" s="2"/>
      <c r="GI58" s="2"/>
      <c r="GJ58" s="2"/>
      <c r="GK58" s="4153"/>
      <c r="GL58" s="2"/>
      <c r="GM58" s="2"/>
      <c r="GN58" s="2"/>
      <c r="GO58" s="2"/>
      <c r="GP58" s="2"/>
      <c r="GQ58" s="2"/>
      <c r="GR58" s="2"/>
      <c r="GS58" s="2"/>
      <c r="GT58" s="2"/>
      <c r="GU58" s="2"/>
      <c r="GV58" s="2"/>
      <c r="GW58" s="4205" t="str">
        <f>A35</f>
        <v xml:space="preserve">TRANSPORTE TURISTICO </v>
      </c>
      <c r="GX58" s="4256">
        <f>SUM(GW35:HA35)/SUM(FV35:GC35)-1</f>
        <v>-0.69162578781721329</v>
      </c>
      <c r="GY58" s="4257">
        <f t="shared" si="126"/>
        <v>-251648697.68999997</v>
      </c>
      <c r="GZ58" s="4258">
        <f>SUM(GW35:HA35)/SUM(GK35:GO35)-1</f>
        <v>-0.29213685732113504</v>
      </c>
      <c r="HA58" s="4259">
        <f t="shared" si="127"/>
        <v>-54035187.900000006</v>
      </c>
      <c r="HB58" s="2"/>
      <c r="HC58" s="2"/>
      <c r="HD58" s="4202" t="str">
        <f t="shared" si="128"/>
        <v xml:space="preserve">TRANSPORTE TURISTICO </v>
      </c>
      <c r="HE58" s="4251">
        <f t="shared" si="129"/>
        <v>-0.61125008633738187</v>
      </c>
      <c r="HF58" s="4257">
        <f t="shared" si="130"/>
        <v>-531737807.08870512</v>
      </c>
      <c r="HG58" s="4258">
        <f t="shared" si="131"/>
        <v>0.11711304655523813</v>
      </c>
      <c r="HH58" s="4217">
        <f t="shared" si="132"/>
        <v>35453332.781294823</v>
      </c>
      <c r="HI58" s="4153"/>
      <c r="HJ58" s="2"/>
      <c r="HK58" s="2"/>
      <c r="HL58" s="2"/>
      <c r="HM58" s="2"/>
    </row>
    <row r="59" spans="1:221" ht="15" thickBot="1">
      <c r="A59" s="1042"/>
      <c r="B59" s="4051"/>
      <c r="C59" s="4051"/>
      <c r="D59" s="1042"/>
      <c r="E59" s="1042"/>
      <c r="F59" s="1042"/>
      <c r="G59" s="1042"/>
      <c r="H59" s="1042"/>
      <c r="I59" s="1042"/>
      <c r="J59" s="1042"/>
      <c r="K59" s="1042"/>
      <c r="L59" s="1042"/>
      <c r="M59" s="1042"/>
      <c r="N59" s="1042"/>
      <c r="O59" s="1042"/>
      <c r="P59" s="1042"/>
      <c r="Q59" s="1042"/>
      <c r="R59" s="1042"/>
      <c r="S59" s="1042"/>
      <c r="T59" s="1042"/>
      <c r="U59" s="1042"/>
      <c r="V59" s="1042"/>
      <c r="W59" s="1042"/>
      <c r="X59" s="1042"/>
      <c r="Y59" s="1042"/>
      <c r="Z59" s="1042"/>
      <c r="AA59" s="1042"/>
      <c r="AB59" s="1042"/>
      <c r="AC59" s="1042"/>
      <c r="AD59" s="1042"/>
      <c r="AE59" s="1042"/>
      <c r="AF59" s="1042"/>
      <c r="AG59" s="1042"/>
      <c r="AH59" s="1042"/>
      <c r="AI59" s="1042"/>
      <c r="AJ59" s="1042"/>
      <c r="AK59" s="1042"/>
      <c r="AL59" s="1042"/>
      <c r="AM59" s="1042"/>
      <c r="AN59" s="1042"/>
      <c r="AO59" s="1042"/>
      <c r="AP59" s="1042"/>
      <c r="AQ59" s="1042"/>
      <c r="AR59" s="1042"/>
      <c r="AS59" s="1042"/>
      <c r="AT59" s="1042"/>
      <c r="AU59" s="1042"/>
      <c r="AV59" s="1042"/>
      <c r="AW59" s="1042"/>
      <c r="AX59" s="1042"/>
      <c r="AY59" s="1042"/>
      <c r="AZ59" s="1042"/>
      <c r="BA59" s="1042"/>
      <c r="BB59" s="1042"/>
      <c r="BC59" s="1042"/>
      <c r="BD59" s="1042"/>
      <c r="BE59" s="1042"/>
      <c r="BF59" s="1042"/>
      <c r="BG59" s="1042"/>
      <c r="BH59" s="1042"/>
      <c r="BI59" s="1042"/>
      <c r="BJ59" s="1042"/>
      <c r="BK59" s="1042"/>
      <c r="BL59" s="1042"/>
      <c r="BM59" s="1042"/>
      <c r="BN59" s="1042"/>
      <c r="BO59" s="1042"/>
      <c r="BP59" s="1042"/>
      <c r="BQ59" s="1042"/>
      <c r="BR59" s="1042"/>
      <c r="BS59" s="1042"/>
      <c r="BT59" s="1042"/>
      <c r="BU59" s="1042"/>
      <c r="BV59" s="1042"/>
      <c r="BW59" s="1042"/>
      <c r="BX59" s="1042"/>
      <c r="BY59" s="1042"/>
      <c r="BZ59" s="1042"/>
      <c r="CA59" s="1042"/>
      <c r="CB59" s="1042"/>
      <c r="CC59" s="1042"/>
      <c r="CD59" s="1042"/>
      <c r="CE59" s="1042"/>
      <c r="CF59" s="1042"/>
      <c r="CG59" s="1042"/>
      <c r="CH59" s="1042"/>
      <c r="CI59" s="1042"/>
      <c r="CJ59" s="1042"/>
      <c r="CK59" s="1042"/>
      <c r="CL59" s="1042"/>
      <c r="CM59" s="1042"/>
      <c r="CN59" s="1042"/>
      <c r="CO59" s="1042"/>
      <c r="CP59" s="1042"/>
      <c r="CQ59" s="1042"/>
      <c r="CR59" s="1042"/>
      <c r="CS59" s="1042"/>
      <c r="CT59" s="1042"/>
      <c r="CU59" s="1042"/>
      <c r="CV59" s="1042"/>
      <c r="CW59" s="1042"/>
      <c r="CX59" s="1042"/>
      <c r="CY59" s="1042"/>
      <c r="CZ59" s="1042"/>
      <c r="DA59" s="1042"/>
      <c r="DB59" s="1042"/>
      <c r="DC59" s="1042"/>
      <c r="DD59" s="1042"/>
      <c r="DE59" s="1042"/>
      <c r="DF59" s="1042"/>
      <c r="DG59" s="1042"/>
      <c r="DH59" s="1042"/>
      <c r="DI59" s="1042"/>
      <c r="DJ59" s="1042"/>
      <c r="DK59" s="1042"/>
      <c r="DL59" s="1042"/>
      <c r="DM59" s="1042"/>
      <c r="DN59" s="1042"/>
      <c r="DO59" s="1042"/>
      <c r="DP59" s="1042"/>
      <c r="DQ59" s="1042"/>
      <c r="DR59" s="1042"/>
      <c r="DS59" s="1042"/>
      <c r="DT59" s="1042"/>
      <c r="DU59" s="1042"/>
      <c r="DV59" s="1042"/>
      <c r="DW59" s="1042"/>
      <c r="DX59" s="1042"/>
      <c r="DY59" s="1042"/>
      <c r="DZ59" s="1042"/>
      <c r="EA59" s="1042"/>
      <c r="EB59" s="1042"/>
      <c r="EC59" s="1042"/>
      <c r="ED59" s="1042"/>
      <c r="EE59" s="1042"/>
      <c r="EF59" s="1042"/>
      <c r="EG59" s="1042"/>
      <c r="EH59" s="1042"/>
      <c r="EI59" s="1042"/>
      <c r="EJ59" s="1042"/>
      <c r="EK59" s="1042"/>
      <c r="EL59" s="1042"/>
      <c r="EM59" s="1042"/>
      <c r="EN59" s="1042"/>
      <c r="EO59" s="1042"/>
      <c r="EP59" s="1042"/>
      <c r="EQ59" s="1042"/>
      <c r="ER59" s="1042"/>
      <c r="ES59" s="1042"/>
      <c r="ET59" s="1042"/>
      <c r="EU59" s="1042"/>
      <c r="EV59" s="1042"/>
      <c r="EW59" s="1042"/>
      <c r="EX59" s="1042"/>
      <c r="EY59" s="1042"/>
      <c r="EZ59" s="1042"/>
      <c r="FA59" s="1042"/>
      <c r="FB59" s="1042"/>
      <c r="FC59" s="1042"/>
      <c r="FD59" s="1042"/>
      <c r="FE59" s="1042"/>
      <c r="FF59" s="1042"/>
      <c r="FG59" s="1042"/>
      <c r="FH59" s="1042"/>
      <c r="FI59" s="1042"/>
      <c r="FJ59" s="1042"/>
      <c r="FK59" s="1042"/>
      <c r="FL59" s="1042"/>
      <c r="FM59" s="1042"/>
      <c r="FN59" s="1042"/>
      <c r="FO59" s="1042"/>
      <c r="FP59" s="1042"/>
      <c r="FQ59" s="1042"/>
      <c r="FR59" s="1042"/>
      <c r="FS59" s="1042"/>
      <c r="FT59" s="1042"/>
      <c r="FU59" s="1042"/>
      <c r="FV59" s="1042"/>
      <c r="FW59" s="1042"/>
      <c r="FX59" s="1042"/>
      <c r="FY59" s="2"/>
      <c r="FZ59" s="2"/>
      <c r="GA59" s="2"/>
      <c r="GB59" s="2"/>
      <c r="GC59" s="2"/>
      <c r="GD59" s="2"/>
      <c r="GE59" s="2"/>
      <c r="GF59" s="2"/>
      <c r="GG59" s="2"/>
      <c r="GH59" s="2"/>
      <c r="GI59" s="2"/>
      <c r="GJ59" s="2"/>
      <c r="GK59" s="4153"/>
      <c r="GL59" s="2"/>
      <c r="GM59" s="2"/>
      <c r="GN59" s="2"/>
      <c r="GO59" s="2"/>
      <c r="GP59" s="2"/>
      <c r="GQ59" s="2"/>
      <c r="GR59" s="2"/>
      <c r="GS59" s="2"/>
      <c r="GT59" s="2"/>
      <c r="GU59" s="2"/>
      <c r="GV59" s="2"/>
      <c r="GW59" s="4260" t="str">
        <f>A36</f>
        <v>TTOO</v>
      </c>
      <c r="GX59" s="4261">
        <f>SUM(GW36:HA36)/SUM(FV36:GC36)-1</f>
        <v>-0.45068456132721957</v>
      </c>
      <c r="GY59" s="4262">
        <f t="shared" si="126"/>
        <v>-33454139.149999999</v>
      </c>
      <c r="GZ59" s="4263">
        <f>SUM(GW36:HA36)/SUM(GK36:GO36)-1</f>
        <v>0.19304108065663539</v>
      </c>
      <c r="HA59" s="4264">
        <f t="shared" si="127"/>
        <v>10521986.139999986</v>
      </c>
      <c r="HB59" s="2"/>
      <c r="HC59" s="2"/>
      <c r="HD59" s="4265" t="str">
        <f t="shared" si="128"/>
        <v>TTOO</v>
      </c>
      <c r="HE59" s="4251">
        <f t="shared" si="129"/>
        <v>-0.33370876854515952</v>
      </c>
      <c r="HF59" s="4262">
        <f t="shared" si="130"/>
        <v>-83527202.101350784</v>
      </c>
      <c r="HG59" s="4263">
        <f t="shared" si="131"/>
        <v>0.596608114550081</v>
      </c>
      <c r="HH59" s="4266">
        <f t="shared" si="132"/>
        <v>62318248.328649238</v>
      </c>
      <c r="HI59" s="4153"/>
      <c r="HJ59" s="2"/>
      <c r="HK59" s="2"/>
      <c r="HL59" s="2"/>
      <c r="HM59" s="2"/>
    </row>
    <row r="60" spans="1:221" ht="15" thickBot="1">
      <c r="A60" s="1042"/>
      <c r="B60" s="4051"/>
      <c r="C60" s="4051"/>
      <c r="D60" s="1042"/>
      <c r="E60" s="1042"/>
      <c r="F60" s="1042"/>
      <c r="G60" s="1042"/>
      <c r="H60" s="1042"/>
      <c r="I60" s="1042"/>
      <c r="J60" s="1042"/>
      <c r="K60" s="1042"/>
      <c r="L60" s="1042"/>
      <c r="M60" s="1042"/>
      <c r="N60" s="1042"/>
      <c r="O60" s="1042"/>
      <c r="P60" s="1042"/>
      <c r="Q60" s="1042"/>
      <c r="R60" s="1042"/>
      <c r="S60" s="1042"/>
      <c r="T60" s="1042"/>
      <c r="U60" s="1042"/>
      <c r="V60" s="1042"/>
      <c r="W60" s="1042"/>
      <c r="X60" s="1042"/>
      <c r="Y60" s="1042"/>
      <c r="Z60" s="1042"/>
      <c r="AA60" s="1042"/>
      <c r="AB60" s="1042"/>
      <c r="AC60" s="1042"/>
      <c r="AD60" s="1042"/>
      <c r="AE60" s="1042"/>
      <c r="AF60" s="1042"/>
      <c r="AG60" s="1042"/>
      <c r="AH60" s="1042"/>
      <c r="AI60" s="1042"/>
      <c r="AJ60" s="1042"/>
      <c r="AK60" s="1042"/>
      <c r="AL60" s="1042"/>
      <c r="AM60" s="1042"/>
      <c r="AN60" s="1042"/>
      <c r="AO60" s="1042"/>
      <c r="AP60" s="1042"/>
      <c r="AQ60" s="1042"/>
      <c r="AR60" s="1042"/>
      <c r="AS60" s="1042"/>
      <c r="AT60" s="1042"/>
      <c r="AU60" s="1042"/>
      <c r="AV60" s="1042"/>
      <c r="AW60" s="1042"/>
      <c r="AX60" s="1042"/>
      <c r="AY60" s="1042"/>
      <c r="AZ60" s="1042"/>
      <c r="BA60" s="1042"/>
      <c r="BB60" s="1042"/>
      <c r="BC60" s="1042"/>
      <c r="BD60" s="1042"/>
      <c r="BE60" s="1042"/>
      <c r="BF60" s="1042"/>
      <c r="BG60" s="1042"/>
      <c r="BH60" s="1042"/>
      <c r="BI60" s="1042"/>
      <c r="BJ60" s="1042"/>
      <c r="BK60" s="1042"/>
      <c r="BL60" s="1042"/>
      <c r="BM60" s="1042"/>
      <c r="BN60" s="1042"/>
      <c r="BO60" s="1042"/>
      <c r="BP60" s="1042"/>
      <c r="BQ60" s="1042"/>
      <c r="BR60" s="1042"/>
      <c r="BS60" s="1042"/>
      <c r="BT60" s="1042"/>
      <c r="BU60" s="1042"/>
      <c r="BV60" s="1042"/>
      <c r="BW60" s="1042"/>
      <c r="BX60" s="1042"/>
      <c r="BY60" s="1042"/>
      <c r="BZ60" s="1042"/>
      <c r="CA60" s="1042"/>
      <c r="CB60" s="1042"/>
      <c r="CC60" s="1042"/>
      <c r="CD60" s="1042"/>
      <c r="CE60" s="1042"/>
      <c r="CF60" s="1042"/>
      <c r="CG60" s="1042"/>
      <c r="CH60" s="1042"/>
      <c r="CI60" s="1042"/>
      <c r="CJ60" s="1042"/>
      <c r="CK60" s="1042"/>
      <c r="CL60" s="1042"/>
      <c r="CM60" s="1042"/>
      <c r="CN60" s="1042"/>
      <c r="CO60" s="1042"/>
      <c r="CP60" s="1042"/>
      <c r="CQ60" s="1042"/>
      <c r="CR60" s="1042"/>
      <c r="CS60" s="1042"/>
      <c r="CT60" s="1042"/>
      <c r="CU60" s="1042"/>
      <c r="CV60" s="1042"/>
      <c r="CW60" s="1042"/>
      <c r="CX60" s="1042"/>
      <c r="CY60" s="1042"/>
      <c r="CZ60" s="1042"/>
      <c r="DA60" s="1042"/>
      <c r="DB60" s="1042"/>
      <c r="DC60" s="1042"/>
      <c r="DD60" s="1042"/>
      <c r="DE60" s="1042"/>
      <c r="DF60" s="1042"/>
      <c r="DG60" s="1042"/>
      <c r="DH60" s="1042"/>
      <c r="DI60" s="1042"/>
      <c r="DJ60" s="1042"/>
      <c r="DK60" s="1042"/>
      <c r="DL60" s="1042"/>
      <c r="DM60" s="1042"/>
      <c r="DN60" s="1042"/>
      <c r="DO60" s="1042"/>
      <c r="DP60" s="1042"/>
      <c r="DQ60" s="1042"/>
      <c r="DR60" s="1042"/>
      <c r="DS60" s="1042"/>
      <c r="DT60" s="1042"/>
      <c r="DU60" s="1042"/>
      <c r="DV60" s="1042"/>
      <c r="DW60" s="1042"/>
      <c r="DX60" s="1042"/>
      <c r="DY60" s="1042"/>
      <c r="DZ60" s="1042"/>
      <c r="EA60" s="1042"/>
      <c r="EB60" s="1042"/>
      <c r="EC60" s="1042"/>
      <c r="ED60" s="1042"/>
      <c r="EE60" s="1042"/>
      <c r="EF60" s="1042"/>
      <c r="EG60" s="1042"/>
      <c r="EH60" s="1042"/>
      <c r="EI60" s="1042"/>
      <c r="EJ60" s="1042"/>
      <c r="EK60" s="1042"/>
      <c r="EL60" s="1042"/>
      <c r="EM60" s="1042"/>
      <c r="EN60" s="1042"/>
      <c r="EO60" s="1042"/>
      <c r="EP60" s="1042"/>
      <c r="EQ60" s="1042"/>
      <c r="ER60" s="1042"/>
      <c r="ES60" s="1042"/>
      <c r="ET60" s="1042"/>
      <c r="EU60" s="1042"/>
      <c r="EV60" s="1042"/>
      <c r="EW60" s="1042"/>
      <c r="EX60" s="1042"/>
      <c r="EY60" s="1042"/>
      <c r="EZ60" s="1042"/>
      <c r="FA60" s="1042"/>
      <c r="FB60" s="1042"/>
      <c r="FC60" s="1042"/>
      <c r="FD60" s="1042"/>
      <c r="FE60" s="1042"/>
      <c r="FF60" s="1042"/>
      <c r="FG60" s="1042"/>
      <c r="FH60" s="1042"/>
      <c r="FI60" s="1042"/>
      <c r="FJ60" s="1042"/>
      <c r="FK60" s="1042"/>
      <c r="FL60" s="1042"/>
      <c r="FM60" s="1042"/>
      <c r="FN60" s="1042"/>
      <c r="FO60" s="1042"/>
      <c r="FP60" s="1042"/>
      <c r="FQ60" s="1042"/>
      <c r="FR60" s="1042"/>
      <c r="FS60" s="1042"/>
      <c r="FT60" s="1042"/>
      <c r="FU60" s="1042"/>
      <c r="FV60" s="1042"/>
      <c r="FW60" s="1042"/>
      <c r="FX60" s="1042"/>
      <c r="FY60" s="2"/>
      <c r="FZ60" s="2"/>
      <c r="GA60" s="2"/>
      <c r="GB60" s="2"/>
      <c r="GC60" s="2"/>
      <c r="GD60" s="2"/>
      <c r="GE60" s="2"/>
      <c r="GF60" s="2"/>
      <c r="GG60" s="2"/>
      <c r="GH60" s="2"/>
      <c r="GI60" s="2"/>
      <c r="GJ60" s="2"/>
      <c r="GK60" s="4153"/>
      <c r="GL60" s="2"/>
      <c r="GM60" s="2"/>
      <c r="GN60" s="2"/>
      <c r="GO60" s="2"/>
      <c r="GP60" s="2"/>
      <c r="GQ60" s="2"/>
      <c r="GR60" s="2"/>
      <c r="GS60" s="2"/>
      <c r="GT60" s="2"/>
      <c r="GU60" s="2"/>
      <c r="GV60" s="2"/>
      <c r="GW60" s="4267" t="s">
        <v>1727</v>
      </c>
      <c r="GX60" s="4268">
        <f>SUM(GW37:HA37)/SUM(FV37:GC37)-1</f>
        <v>-0.52630818688414926</v>
      </c>
      <c r="GY60" s="4269">
        <f t="shared" si="126"/>
        <v>-434644507.10000026</v>
      </c>
      <c r="GZ60" s="4270">
        <f>SUM(GW37:HA37)/SUM(GK37:GO37)-1</f>
        <v>-6.4773497106451083E-2</v>
      </c>
      <c r="HA60" s="4271">
        <f t="shared" si="127"/>
        <v>-34742272.980000079</v>
      </c>
      <c r="HB60" s="2"/>
      <c r="HC60" s="2"/>
      <c r="HD60" s="4244" t="s">
        <v>1727</v>
      </c>
      <c r="HE60" s="4268">
        <f>SUM(GW37:HH37)/SUM(FY37:GJ37)-1</f>
        <v>-0.45479872059532167</v>
      </c>
      <c r="HF60" s="4269">
        <f t="shared" si="130"/>
        <v>-1033465762.7883201</v>
      </c>
      <c r="HG60" s="4270">
        <f t="shared" si="131"/>
        <v>0.11715737954260752</v>
      </c>
      <c r="HH60" s="4272">
        <f t="shared" si="132"/>
        <v>129923890.34167957</v>
      </c>
      <c r="HI60" s="4153"/>
      <c r="HJ60" s="2"/>
      <c r="HK60" s="2"/>
      <c r="HL60" s="2"/>
      <c r="HM60" s="2"/>
    </row>
    <row r="61" spans="1:221" ht="14.4" customHeight="1">
      <c r="A61" s="1042"/>
      <c r="B61" s="4051"/>
      <c r="C61" s="4051"/>
      <c r="D61" s="1042"/>
      <c r="E61" s="1042"/>
      <c r="F61" s="1042"/>
      <c r="G61" s="1042"/>
      <c r="H61" s="1042"/>
      <c r="I61" s="1042"/>
      <c r="J61" s="1042"/>
      <c r="K61" s="1042"/>
      <c r="L61" s="1042"/>
      <c r="M61" s="1042"/>
      <c r="N61" s="1042"/>
      <c r="O61" s="1042"/>
      <c r="P61" s="1042"/>
      <c r="Q61" s="1042"/>
      <c r="R61" s="1042"/>
      <c r="S61" s="1042"/>
      <c r="T61" s="1042"/>
      <c r="U61" s="1042"/>
      <c r="V61" s="1042"/>
      <c r="W61" s="1042"/>
      <c r="X61" s="1042"/>
      <c r="Y61" s="1042"/>
      <c r="Z61" s="1042"/>
      <c r="AA61" s="1042"/>
      <c r="AB61" s="1042"/>
      <c r="AC61" s="1042"/>
      <c r="AD61" s="1042"/>
      <c r="AE61" s="1042"/>
      <c r="AF61" s="1042"/>
      <c r="AG61" s="1042"/>
      <c r="AH61" s="1042"/>
      <c r="AI61" s="1042"/>
      <c r="AJ61" s="1042"/>
      <c r="AK61" s="1042"/>
      <c r="AL61" s="1042"/>
      <c r="AM61" s="1042"/>
      <c r="AN61" s="1042"/>
      <c r="AO61" s="1042"/>
      <c r="AP61" s="1042"/>
      <c r="AQ61" s="1042"/>
      <c r="AR61" s="1042"/>
      <c r="AS61" s="1042"/>
      <c r="AT61" s="1042"/>
      <c r="AU61" s="1042"/>
      <c r="AV61" s="1042"/>
      <c r="AW61" s="1042"/>
      <c r="AX61" s="1042"/>
      <c r="AY61" s="1042"/>
      <c r="AZ61" s="1042"/>
      <c r="BA61" s="1042"/>
      <c r="BB61" s="1042"/>
      <c r="BC61" s="1042"/>
      <c r="BD61" s="1042"/>
      <c r="BE61" s="1042"/>
      <c r="BF61" s="1042"/>
      <c r="BG61" s="1042"/>
      <c r="BH61" s="1042"/>
      <c r="BI61" s="1042"/>
      <c r="BJ61" s="1042"/>
      <c r="BK61" s="1042"/>
      <c r="BL61" s="1042"/>
      <c r="BM61" s="1042"/>
      <c r="BN61" s="1042"/>
      <c r="BO61" s="1042"/>
      <c r="BP61" s="1042"/>
      <c r="BQ61" s="1042"/>
      <c r="BR61" s="1042"/>
      <c r="BS61" s="1042"/>
      <c r="BT61" s="1042"/>
      <c r="BU61" s="1042"/>
      <c r="BV61" s="1042"/>
      <c r="BW61" s="1042"/>
      <c r="BX61" s="1042"/>
      <c r="BY61" s="1042"/>
      <c r="BZ61" s="1042"/>
      <c r="CA61" s="1042"/>
      <c r="CB61" s="1042"/>
      <c r="CC61" s="1042"/>
      <c r="CD61" s="1042"/>
      <c r="CE61" s="1042"/>
      <c r="CF61" s="1042"/>
      <c r="CG61" s="1042"/>
      <c r="CH61" s="1042"/>
      <c r="CI61" s="1042"/>
      <c r="CJ61" s="1042"/>
      <c r="CK61" s="1042"/>
      <c r="CL61" s="1042"/>
      <c r="CM61" s="1042"/>
      <c r="CN61" s="1042"/>
      <c r="CO61" s="1042"/>
      <c r="CP61" s="1042"/>
      <c r="CQ61" s="1042"/>
      <c r="CR61" s="1042"/>
      <c r="CS61" s="1042"/>
      <c r="CT61" s="1042"/>
      <c r="CU61" s="1042"/>
      <c r="CV61" s="1042"/>
      <c r="CW61" s="1042"/>
      <c r="CX61" s="1042"/>
      <c r="CY61" s="1042"/>
      <c r="CZ61" s="1042"/>
      <c r="DA61" s="1042"/>
      <c r="DB61" s="1042"/>
      <c r="DC61" s="1042"/>
      <c r="DD61" s="1042"/>
      <c r="DE61" s="1042"/>
      <c r="DF61" s="1042"/>
      <c r="DG61" s="1042"/>
      <c r="DH61" s="1042"/>
      <c r="DI61" s="1042"/>
      <c r="DJ61" s="1042"/>
      <c r="DK61" s="1042"/>
      <c r="DL61" s="1042"/>
      <c r="DM61" s="1042"/>
      <c r="DN61" s="1042"/>
      <c r="DO61" s="1042"/>
      <c r="DP61" s="1042"/>
      <c r="DQ61" s="1042"/>
      <c r="DR61" s="1042"/>
      <c r="DS61" s="1042"/>
      <c r="DT61" s="1042"/>
      <c r="DU61" s="1042"/>
      <c r="DV61" s="1042"/>
      <c r="DW61" s="1042"/>
      <c r="DX61" s="1042"/>
      <c r="DY61" s="1042"/>
      <c r="DZ61" s="1042"/>
      <c r="EA61" s="1042"/>
      <c r="EB61" s="1042"/>
      <c r="EC61" s="1042"/>
      <c r="ED61" s="1042"/>
      <c r="EE61" s="1042"/>
      <c r="EF61" s="1042"/>
      <c r="EG61" s="1042"/>
      <c r="EH61" s="1042"/>
      <c r="EI61" s="1042"/>
      <c r="EJ61" s="1042"/>
      <c r="EK61" s="1042"/>
      <c r="EL61" s="1042"/>
      <c r="EM61" s="1042"/>
      <c r="EN61" s="1042"/>
      <c r="EO61" s="1042"/>
      <c r="EP61" s="1042"/>
      <c r="EQ61" s="1042"/>
      <c r="ER61" s="1042"/>
      <c r="ES61" s="1042"/>
      <c r="ET61" s="1042"/>
      <c r="EU61" s="1042"/>
      <c r="EV61" s="1042"/>
      <c r="EW61" s="1042"/>
      <c r="EX61" s="1042"/>
      <c r="EY61" s="1042"/>
      <c r="EZ61" s="1042"/>
      <c r="FA61" s="1042"/>
      <c r="FB61" s="1042"/>
      <c r="FC61" s="1042"/>
      <c r="FD61" s="1042"/>
      <c r="FE61" s="1042"/>
      <c r="FF61" s="1042"/>
      <c r="FG61" s="1042"/>
      <c r="FH61" s="1042"/>
      <c r="FI61" s="1042"/>
      <c r="FJ61" s="1042"/>
      <c r="FK61" s="1042"/>
      <c r="FL61" s="1042"/>
      <c r="FM61" s="1042"/>
      <c r="FN61" s="1042"/>
      <c r="FO61" s="1042"/>
      <c r="FP61" s="1042"/>
      <c r="FQ61" s="1042"/>
      <c r="FR61" s="1042"/>
      <c r="FS61" s="1042"/>
      <c r="FT61" s="1042"/>
      <c r="FU61" s="1042"/>
      <c r="FV61" s="1042"/>
      <c r="FW61" s="1042"/>
      <c r="FX61" s="1042"/>
      <c r="FY61" s="2"/>
      <c r="FZ61" s="2"/>
      <c r="GA61" s="2"/>
      <c r="GB61" s="2"/>
      <c r="GC61" s="2"/>
      <c r="GD61" s="2"/>
      <c r="GE61" s="2"/>
      <c r="GF61" s="2"/>
      <c r="GG61" s="2"/>
      <c r="GH61" s="2"/>
      <c r="GI61" s="2"/>
      <c r="GJ61" s="2"/>
      <c r="GK61" s="4153"/>
      <c r="GL61" s="2"/>
      <c r="GM61" s="2"/>
      <c r="GN61" s="2"/>
      <c r="GO61" s="2"/>
      <c r="GP61" s="2"/>
      <c r="GQ61" s="2"/>
      <c r="GR61" s="2"/>
      <c r="GS61" s="2"/>
      <c r="GT61" s="2"/>
      <c r="GU61" s="2"/>
      <c r="GV61" s="2"/>
      <c r="GW61" s="4153"/>
      <c r="GX61" s="2"/>
      <c r="GY61" s="2"/>
      <c r="GZ61" s="2"/>
      <c r="HA61" s="2"/>
      <c r="HB61" s="2"/>
      <c r="HC61" s="2"/>
      <c r="HD61" s="2"/>
      <c r="HE61" s="2"/>
      <c r="HF61" s="2"/>
      <c r="HG61" s="2"/>
      <c r="HH61" s="2"/>
      <c r="HI61" s="4153"/>
      <c r="HJ61" s="2"/>
      <c r="HK61" s="2"/>
      <c r="HL61" s="2"/>
      <c r="HM61" s="2"/>
    </row>
    <row r="62" spans="1:221" ht="14.4" customHeight="1"/>
    <row r="63" spans="1:221" ht="14.4" customHeight="1"/>
  </sheetData>
  <mergeCells count="121">
    <mergeCell ref="BZ2:CC2"/>
    <mergeCell ref="CD2:CG2"/>
    <mergeCell ref="CH2:CK2"/>
    <mergeCell ref="FU2:FV2"/>
    <mergeCell ref="DW32:DX32"/>
    <mergeCell ref="DY32:DZ32"/>
    <mergeCell ref="FW2:FX2"/>
    <mergeCell ref="D1:D2"/>
    <mergeCell ref="F1:BA1"/>
    <mergeCell ref="BB1:CW1"/>
    <mergeCell ref="CX1:DM1"/>
    <mergeCell ref="DS1:EP1"/>
    <mergeCell ref="EQ1:FN1"/>
    <mergeCell ref="AL2:AO2"/>
    <mergeCell ref="AP2:AS2"/>
    <mergeCell ref="AT2:AW2"/>
    <mergeCell ref="AX2:BA2"/>
    <mergeCell ref="BB2:BE2"/>
    <mergeCell ref="BF2:BI2"/>
    <mergeCell ref="BJ2:BM2"/>
    <mergeCell ref="BN2:BQ2"/>
    <mergeCell ref="BR2:BU2"/>
    <mergeCell ref="BV2:BY2"/>
    <mergeCell ref="CL2:CO2"/>
    <mergeCell ref="CP2:CS2"/>
    <mergeCell ref="DU2:DV2"/>
    <mergeCell ref="DW2:DX2"/>
    <mergeCell ref="CT2:CW2"/>
    <mergeCell ref="HK1:HK2"/>
    <mergeCell ref="HL1:HL2"/>
    <mergeCell ref="F2:I2"/>
    <mergeCell ref="J2:M2"/>
    <mergeCell ref="N2:Q2"/>
    <mergeCell ref="R2:U2"/>
    <mergeCell ref="V2:Y2"/>
    <mergeCell ref="Z2:AC2"/>
    <mergeCell ref="AD2:AG2"/>
    <mergeCell ref="AH2:AK2"/>
    <mergeCell ref="FO1:FX1"/>
    <mergeCell ref="FY1:GJ1"/>
    <mergeCell ref="GK1:GV1"/>
    <mergeCell ref="GW1:HA1"/>
    <mergeCell ref="HI1:HI2"/>
    <mergeCell ref="HJ1:HJ2"/>
    <mergeCell ref="FQ2:FR2"/>
    <mergeCell ref="FS2:FT2"/>
    <mergeCell ref="DJ2:DM2"/>
    <mergeCell ref="DN2:DQ2"/>
    <mergeCell ref="FI2:FJ2"/>
    <mergeCell ref="FK2:FL2"/>
    <mergeCell ref="FM2:FN2"/>
    <mergeCell ref="DS2:DT2"/>
    <mergeCell ref="EA32:EB32"/>
    <mergeCell ref="EC32:ED32"/>
    <mergeCell ref="FE2:FF2"/>
    <mergeCell ref="FG2:FH2"/>
    <mergeCell ref="EG2:EH2"/>
    <mergeCell ref="EI2:EJ2"/>
    <mergeCell ref="EK2:EL2"/>
    <mergeCell ref="EM2:EN2"/>
    <mergeCell ref="EO2:EP2"/>
    <mergeCell ref="EQ2:ER2"/>
    <mergeCell ref="EM32:EN32"/>
    <mergeCell ref="EO32:EP32"/>
    <mergeCell ref="FY30:GJ30"/>
    <mergeCell ref="GK30:GV30"/>
    <mergeCell ref="GW30:HA30"/>
    <mergeCell ref="A34:E34"/>
    <mergeCell ref="A35:E35"/>
    <mergeCell ref="DY2:DZ2"/>
    <mergeCell ref="EA2:EB2"/>
    <mergeCell ref="EC2:ED2"/>
    <mergeCell ref="EE2:EF2"/>
    <mergeCell ref="CX2:DA2"/>
    <mergeCell ref="DB2:DE2"/>
    <mergeCell ref="DF2:DI2"/>
    <mergeCell ref="EE32:EF32"/>
    <mergeCell ref="EG32:EH32"/>
    <mergeCell ref="FO2:FP2"/>
    <mergeCell ref="ES2:ET2"/>
    <mergeCell ref="EU2:EV2"/>
    <mergeCell ref="EW2:EX2"/>
    <mergeCell ref="EY2:EZ2"/>
    <mergeCell ref="FA2:FB2"/>
    <mergeCell ref="FC2:FD2"/>
    <mergeCell ref="A32:E32"/>
    <mergeCell ref="DS32:DT32"/>
    <mergeCell ref="DU32:DV32"/>
    <mergeCell ref="A36:E36"/>
    <mergeCell ref="GX53:GY53"/>
    <mergeCell ref="GZ53:HA53"/>
    <mergeCell ref="HE53:HF53"/>
    <mergeCell ref="FO32:FP32"/>
    <mergeCell ref="FQ32:FR32"/>
    <mergeCell ref="FS32:FT32"/>
    <mergeCell ref="FU32:FV32"/>
    <mergeCell ref="FW32:FX32"/>
    <mergeCell ref="A33:E33"/>
    <mergeCell ref="FC32:FD32"/>
    <mergeCell ref="FE32:FF32"/>
    <mergeCell ref="FG32:FH32"/>
    <mergeCell ref="FI32:FJ32"/>
    <mergeCell ref="FK32:FL32"/>
    <mergeCell ref="FM32:FN32"/>
    <mergeCell ref="EQ32:ER32"/>
    <mergeCell ref="ES32:ET32"/>
    <mergeCell ref="EU32:EV32"/>
    <mergeCell ref="EW32:EX32"/>
    <mergeCell ref="EY32:EZ32"/>
    <mergeCell ref="FA32:FB32"/>
    <mergeCell ref="EI32:EJ32"/>
    <mergeCell ref="EK32:EL32"/>
    <mergeCell ref="HG53:HH53"/>
    <mergeCell ref="GX54:GY54"/>
    <mergeCell ref="GZ54:HA54"/>
    <mergeCell ref="HE54:HF54"/>
    <mergeCell ref="HG54:HH54"/>
    <mergeCell ref="GX55:GY55"/>
    <mergeCell ref="GZ55:HA55"/>
    <mergeCell ref="HE55:HF55"/>
    <mergeCell ref="HG55:HH5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F1410-B07A-419A-A5FA-1BF4D5ECC2D0}">
  <sheetPr>
    <pageSetUpPr fitToPage="1"/>
  </sheetPr>
  <dimension ref="A1:M84"/>
  <sheetViews>
    <sheetView zoomScale="70" zoomScaleNormal="70" workbookViewId="0">
      <selection activeCell="A36" sqref="A36:A37"/>
    </sheetView>
  </sheetViews>
  <sheetFormatPr baseColWidth="10" defaultRowHeight="14.4"/>
  <cols>
    <col min="1" max="1" width="29.5546875" customWidth="1"/>
    <col min="2" max="2" width="12.5546875" bestFit="1" customWidth="1"/>
    <col min="4" max="4" width="13.33203125" bestFit="1" customWidth="1"/>
    <col min="6" max="6" width="12.5546875" bestFit="1" customWidth="1"/>
    <col min="8" max="8" width="12.5546875" bestFit="1" customWidth="1"/>
    <col min="10" max="10" width="12.44140625" customWidth="1"/>
    <col min="12" max="12" width="13.33203125" bestFit="1" customWidth="1"/>
  </cols>
  <sheetData>
    <row r="1" spans="1:13" ht="15.6">
      <c r="A1" s="222" t="s">
        <v>1552</v>
      </c>
    </row>
    <row r="2" spans="1:13">
      <c r="A2" t="s">
        <v>1553</v>
      </c>
    </row>
    <row r="4" spans="1:13" ht="15" thickBot="1">
      <c r="A4" s="45" t="s">
        <v>1777</v>
      </c>
    </row>
    <row r="5" spans="1:13" ht="33.75" customHeight="1" thickBot="1">
      <c r="A5" s="5520" t="s">
        <v>1554</v>
      </c>
      <c r="B5" s="4380" t="s">
        <v>1555</v>
      </c>
      <c r="C5" s="4381"/>
      <c r="D5" s="4382" t="s">
        <v>1556</v>
      </c>
      <c r="E5" s="4383"/>
      <c r="F5" s="4384" t="s">
        <v>1557</v>
      </c>
      <c r="G5" s="4385"/>
      <c r="H5" s="4386" t="s">
        <v>1558</v>
      </c>
      <c r="I5" s="4387"/>
      <c r="J5" s="4378" t="s">
        <v>1778</v>
      </c>
      <c r="K5" s="4379"/>
      <c r="L5" s="4340" t="s">
        <v>1543</v>
      </c>
      <c r="M5" s="4341"/>
    </row>
    <row r="6" spans="1:13" ht="15.75" customHeight="1" thickBot="1">
      <c r="A6" s="5521"/>
      <c r="B6" s="4352" t="s">
        <v>1561</v>
      </c>
      <c r="C6" s="4353" t="s">
        <v>1560</v>
      </c>
      <c r="D6" s="4354" t="s">
        <v>1561</v>
      </c>
      <c r="E6" s="4355" t="s">
        <v>1560</v>
      </c>
      <c r="F6" s="4356" t="s">
        <v>1559</v>
      </c>
      <c r="G6" s="4357" t="s">
        <v>1583</v>
      </c>
      <c r="H6" s="4358" t="s">
        <v>1561</v>
      </c>
      <c r="I6" s="4359" t="s">
        <v>1560</v>
      </c>
      <c r="J6" s="4360" t="s">
        <v>1561</v>
      </c>
      <c r="K6" s="4361" t="s">
        <v>1560</v>
      </c>
      <c r="L6" s="4362" t="s">
        <v>1561</v>
      </c>
      <c r="M6" s="4363" t="s">
        <v>1560</v>
      </c>
    </row>
    <row r="7" spans="1:13">
      <c r="A7" s="4364" t="s">
        <v>1562</v>
      </c>
      <c r="B7" s="4365">
        <v>680</v>
      </c>
      <c r="C7" s="4366">
        <v>2496</v>
      </c>
      <c r="D7" s="4367">
        <v>2046</v>
      </c>
      <c r="E7" s="4368">
        <v>9825</v>
      </c>
      <c r="F7" s="4367">
        <v>724</v>
      </c>
      <c r="G7" s="4368">
        <v>2758</v>
      </c>
      <c r="H7" s="4367">
        <v>411</v>
      </c>
      <c r="I7" s="4368">
        <v>1959</v>
      </c>
      <c r="J7" s="4367">
        <v>13830</v>
      </c>
      <c r="K7" s="4368">
        <v>0</v>
      </c>
      <c r="L7" s="4367">
        <f>B7+D7+F7+H7+J7</f>
        <v>17691</v>
      </c>
      <c r="M7" s="4367">
        <f>C7+E7+G7+I7+K7</f>
        <v>17038</v>
      </c>
    </row>
    <row r="8" spans="1:13">
      <c r="A8" s="4364" t="s">
        <v>1563</v>
      </c>
      <c r="B8" s="4369">
        <v>210</v>
      </c>
      <c r="C8" s="4366"/>
      <c r="D8" s="4370">
        <v>712</v>
      </c>
      <c r="E8" s="4371">
        <v>0</v>
      </c>
      <c r="F8" s="4370">
        <v>3</v>
      </c>
      <c r="G8" s="4371">
        <v>403</v>
      </c>
      <c r="H8" s="4370">
        <v>293</v>
      </c>
      <c r="I8" s="4371">
        <v>0</v>
      </c>
      <c r="J8" s="4370">
        <v>400</v>
      </c>
      <c r="K8" s="4371">
        <v>0</v>
      </c>
      <c r="L8" s="4367">
        <f t="shared" ref="L8:M23" si="0">B8+D8+F8+H8+J8</f>
        <v>1618</v>
      </c>
      <c r="M8" s="4367">
        <f t="shared" si="0"/>
        <v>403</v>
      </c>
    </row>
    <row r="9" spans="1:13">
      <c r="A9" s="4364" t="s">
        <v>1564</v>
      </c>
      <c r="B9" s="4369">
        <v>123</v>
      </c>
      <c r="C9" s="4366">
        <v>919</v>
      </c>
      <c r="D9" s="4370">
        <v>432</v>
      </c>
      <c r="E9" s="4371">
        <v>1578</v>
      </c>
      <c r="F9" s="4370">
        <v>280</v>
      </c>
      <c r="G9" s="4371">
        <v>772</v>
      </c>
      <c r="H9" s="4370">
        <v>6</v>
      </c>
      <c r="I9" s="4371">
        <v>448</v>
      </c>
      <c r="J9" s="4370">
        <v>2300</v>
      </c>
      <c r="K9" s="4371">
        <v>0</v>
      </c>
      <c r="L9" s="4367">
        <f t="shared" si="0"/>
        <v>3141</v>
      </c>
      <c r="M9" s="4367">
        <f t="shared" si="0"/>
        <v>3717</v>
      </c>
    </row>
    <row r="10" spans="1:13">
      <c r="A10" s="4364" t="s">
        <v>1565</v>
      </c>
      <c r="B10" s="4366">
        <v>465</v>
      </c>
      <c r="C10" s="4366">
        <v>663</v>
      </c>
      <c r="D10" s="4370">
        <v>2033</v>
      </c>
      <c r="E10" s="4371">
        <v>4975</v>
      </c>
      <c r="F10" s="4370">
        <v>975</v>
      </c>
      <c r="G10" s="4371">
        <v>2183</v>
      </c>
      <c r="H10" s="4370">
        <v>254</v>
      </c>
      <c r="I10" s="4371">
        <v>323</v>
      </c>
      <c r="J10" s="4370">
        <v>1333</v>
      </c>
      <c r="K10" s="4371">
        <v>0</v>
      </c>
      <c r="L10" s="4367">
        <f t="shared" si="0"/>
        <v>5060</v>
      </c>
      <c r="M10" s="4367">
        <f t="shared" si="0"/>
        <v>8144</v>
      </c>
    </row>
    <row r="11" spans="1:13">
      <c r="A11" s="4364" t="s">
        <v>1566</v>
      </c>
      <c r="B11" s="4369">
        <v>76</v>
      </c>
      <c r="C11" s="4369"/>
      <c r="D11" s="4370">
        <v>1170</v>
      </c>
      <c r="E11" s="4371">
        <v>0</v>
      </c>
      <c r="F11" s="4370"/>
      <c r="G11" s="4371">
        <v>526</v>
      </c>
      <c r="H11" s="4370">
        <v>13</v>
      </c>
      <c r="I11" s="4371">
        <v>0</v>
      </c>
      <c r="J11" s="4370">
        <v>0</v>
      </c>
      <c r="K11" s="4371">
        <v>0</v>
      </c>
      <c r="L11" s="4367">
        <f t="shared" si="0"/>
        <v>1259</v>
      </c>
      <c r="M11" s="4367">
        <f t="shared" si="0"/>
        <v>526</v>
      </c>
    </row>
    <row r="12" spans="1:13">
      <c r="A12" s="4364" t="s">
        <v>1567</v>
      </c>
      <c r="B12" s="4369">
        <v>696</v>
      </c>
      <c r="C12" s="4369">
        <v>169</v>
      </c>
      <c r="D12" s="4370">
        <v>27</v>
      </c>
      <c r="E12" s="4371">
        <v>138</v>
      </c>
      <c r="F12" s="4370">
        <v>9</v>
      </c>
      <c r="G12" s="4371">
        <v>32</v>
      </c>
      <c r="H12" s="4370">
        <v>23</v>
      </c>
      <c r="I12" s="4371">
        <v>154</v>
      </c>
      <c r="J12" s="4370">
        <v>150</v>
      </c>
      <c r="K12" s="4371">
        <v>0</v>
      </c>
      <c r="L12" s="4367">
        <f t="shared" si="0"/>
        <v>905</v>
      </c>
      <c r="M12" s="4367">
        <f t="shared" si="0"/>
        <v>493</v>
      </c>
    </row>
    <row r="13" spans="1:13">
      <c r="A13" s="4364" t="s">
        <v>1568</v>
      </c>
      <c r="B13" s="4370">
        <v>54</v>
      </c>
      <c r="C13" s="4371"/>
      <c r="D13" s="4370">
        <v>3</v>
      </c>
      <c r="E13" s="4371">
        <v>0</v>
      </c>
      <c r="F13" s="4370"/>
      <c r="G13" s="4371">
        <v>4</v>
      </c>
      <c r="H13" s="4370">
        <v>11</v>
      </c>
      <c r="I13" s="4371">
        <v>0</v>
      </c>
      <c r="J13" s="4370">
        <v>0</v>
      </c>
      <c r="K13" s="4371">
        <v>0</v>
      </c>
      <c r="L13" s="4367">
        <f t="shared" si="0"/>
        <v>68</v>
      </c>
      <c r="M13" s="4367">
        <f t="shared" si="0"/>
        <v>4</v>
      </c>
    </row>
    <row r="14" spans="1:13">
      <c r="A14" s="4364" t="s">
        <v>1569</v>
      </c>
      <c r="B14" s="4370">
        <v>12</v>
      </c>
      <c r="C14" s="4371">
        <v>173</v>
      </c>
      <c r="D14" s="4370">
        <v>0</v>
      </c>
      <c r="E14" s="4371">
        <v>24</v>
      </c>
      <c r="F14" s="4370"/>
      <c r="G14" s="4371">
        <v>7</v>
      </c>
      <c r="H14" s="4370">
        <v>0</v>
      </c>
      <c r="I14" s="4371">
        <v>10</v>
      </c>
      <c r="J14" s="4370">
        <v>0</v>
      </c>
      <c r="K14" s="4371">
        <v>0</v>
      </c>
      <c r="L14" s="4367">
        <f t="shared" si="0"/>
        <v>12</v>
      </c>
      <c r="M14" s="4367">
        <f t="shared" si="0"/>
        <v>214</v>
      </c>
    </row>
    <row r="15" spans="1:13">
      <c r="A15" s="4364" t="s">
        <v>1570</v>
      </c>
      <c r="B15" s="4370">
        <v>6</v>
      </c>
      <c r="C15" s="4371">
        <v>24</v>
      </c>
      <c r="D15" s="4370">
        <v>9</v>
      </c>
      <c r="E15" s="4371">
        <v>27</v>
      </c>
      <c r="F15" s="4370"/>
      <c r="G15" s="4371">
        <v>17</v>
      </c>
      <c r="H15" s="4370">
        <v>0</v>
      </c>
      <c r="I15" s="4371">
        <v>7</v>
      </c>
      <c r="J15" s="4370">
        <v>0</v>
      </c>
      <c r="K15" s="4371">
        <v>0</v>
      </c>
      <c r="L15" s="4367">
        <f t="shared" si="0"/>
        <v>15</v>
      </c>
      <c r="M15" s="4367">
        <f t="shared" si="0"/>
        <v>75</v>
      </c>
    </row>
    <row r="16" spans="1:13">
      <c r="A16" s="4364" t="s">
        <v>1571</v>
      </c>
      <c r="B16" s="4370">
        <v>14</v>
      </c>
      <c r="C16" s="4371"/>
      <c r="D16" s="4370">
        <v>6</v>
      </c>
      <c r="E16" s="4371">
        <v>0</v>
      </c>
      <c r="F16" s="4370"/>
      <c r="G16" s="4371"/>
      <c r="H16" s="4370">
        <v>1</v>
      </c>
      <c r="I16" s="4371">
        <v>0</v>
      </c>
      <c r="J16" s="4370">
        <v>0</v>
      </c>
      <c r="K16" s="4371">
        <v>0</v>
      </c>
      <c r="L16" s="4367">
        <f t="shared" si="0"/>
        <v>21</v>
      </c>
      <c r="M16" s="4367">
        <f t="shared" si="0"/>
        <v>0</v>
      </c>
    </row>
    <row r="17" spans="1:13">
      <c r="A17" s="4364" t="s">
        <v>1572</v>
      </c>
      <c r="B17" s="4370">
        <v>59</v>
      </c>
      <c r="C17" s="4371"/>
      <c r="D17" s="4370">
        <v>304</v>
      </c>
      <c r="E17" s="4371">
        <v>0</v>
      </c>
      <c r="F17" s="4370"/>
      <c r="G17" s="4371">
        <v>116</v>
      </c>
      <c r="H17" s="4370">
        <v>53</v>
      </c>
      <c r="I17" s="4371">
        <v>0</v>
      </c>
      <c r="J17" s="4370">
        <v>14</v>
      </c>
      <c r="K17" s="4371">
        <v>0</v>
      </c>
      <c r="L17" s="4367">
        <f t="shared" si="0"/>
        <v>430</v>
      </c>
      <c r="M17" s="4367">
        <f t="shared" si="0"/>
        <v>116</v>
      </c>
    </row>
    <row r="18" spans="1:13">
      <c r="A18" s="4364" t="s">
        <v>1573</v>
      </c>
      <c r="B18" s="4370"/>
      <c r="C18" s="4371">
        <v>37</v>
      </c>
      <c r="D18" s="4370">
        <v>2</v>
      </c>
      <c r="E18" s="4371">
        <v>0</v>
      </c>
      <c r="F18" s="4370"/>
      <c r="G18" s="4371"/>
      <c r="H18" s="4370">
        <v>0</v>
      </c>
      <c r="I18" s="4371">
        <v>64</v>
      </c>
      <c r="J18" s="4370">
        <v>40</v>
      </c>
      <c r="K18" s="4371">
        <v>0</v>
      </c>
      <c r="L18" s="4367">
        <f t="shared" si="0"/>
        <v>42</v>
      </c>
      <c r="M18" s="4367">
        <f t="shared" si="0"/>
        <v>101</v>
      </c>
    </row>
    <row r="19" spans="1:13">
      <c r="A19" s="4364" t="s">
        <v>1574</v>
      </c>
      <c r="B19" s="4370"/>
      <c r="C19" s="4371">
        <v>2</v>
      </c>
      <c r="D19" s="4370">
        <v>0</v>
      </c>
      <c r="E19" s="4371">
        <v>0</v>
      </c>
      <c r="F19" s="4370"/>
      <c r="G19" s="4371"/>
      <c r="H19" s="4370">
        <v>0</v>
      </c>
      <c r="I19" s="4371">
        <v>843</v>
      </c>
      <c r="J19" s="4370">
        <v>18067</v>
      </c>
      <c r="K19" s="4371">
        <v>0</v>
      </c>
      <c r="L19" s="4367">
        <f t="shared" si="0"/>
        <v>18067</v>
      </c>
      <c r="M19" s="4367">
        <f t="shared" si="0"/>
        <v>845</v>
      </c>
    </row>
    <row r="20" spans="1:13">
      <c r="A20" s="4364" t="s">
        <v>1584</v>
      </c>
      <c r="B20" s="4370">
        <v>2</v>
      </c>
      <c r="C20" s="4371">
        <v>5</v>
      </c>
      <c r="D20" s="4370">
        <v>0</v>
      </c>
      <c r="E20" s="4371">
        <v>4</v>
      </c>
      <c r="F20" s="4370"/>
      <c r="G20" s="4371"/>
      <c r="H20" s="4370">
        <v>581</v>
      </c>
      <c r="I20" s="4371">
        <v>0</v>
      </c>
      <c r="J20" s="4370">
        <v>30</v>
      </c>
      <c r="K20" s="4371">
        <v>0</v>
      </c>
      <c r="L20" s="4367">
        <f t="shared" si="0"/>
        <v>613</v>
      </c>
      <c r="M20" s="4367">
        <f t="shared" si="0"/>
        <v>9</v>
      </c>
    </row>
    <row r="21" spans="1:13">
      <c r="A21" s="4364" t="s">
        <v>1575</v>
      </c>
      <c r="B21" s="4370">
        <v>5</v>
      </c>
      <c r="C21" s="4371">
        <v>7</v>
      </c>
      <c r="D21" s="4370">
        <v>18</v>
      </c>
      <c r="E21" s="4371">
        <v>30</v>
      </c>
      <c r="F21" s="4370"/>
      <c r="G21" s="4371">
        <v>18</v>
      </c>
      <c r="H21" s="4370">
        <v>38</v>
      </c>
      <c r="I21" s="4371">
        <v>0</v>
      </c>
      <c r="J21" s="4370">
        <v>20</v>
      </c>
      <c r="K21" s="4371">
        <v>0</v>
      </c>
      <c r="L21" s="4367">
        <f t="shared" si="0"/>
        <v>81</v>
      </c>
      <c r="M21" s="4367">
        <f t="shared" si="0"/>
        <v>55</v>
      </c>
    </row>
    <row r="22" spans="1:13">
      <c r="A22" s="4364" t="s">
        <v>1576</v>
      </c>
      <c r="B22" s="4370"/>
      <c r="C22" s="4371"/>
      <c r="D22" s="4370"/>
      <c r="E22" s="4371"/>
      <c r="F22" s="4370"/>
      <c r="G22" s="4371"/>
      <c r="H22" s="4370">
        <v>425</v>
      </c>
      <c r="I22" s="4371">
        <v>0</v>
      </c>
      <c r="J22" s="4370">
        <v>667</v>
      </c>
      <c r="K22" s="4371">
        <v>0</v>
      </c>
      <c r="L22" s="4367">
        <f t="shared" si="0"/>
        <v>1092</v>
      </c>
      <c r="M22" s="4367">
        <f t="shared" si="0"/>
        <v>0</v>
      </c>
    </row>
    <row r="23" spans="1:13">
      <c r="A23" s="4372" t="s">
        <v>1577</v>
      </c>
      <c r="B23" s="4370"/>
      <c r="C23" s="4371">
        <v>7</v>
      </c>
      <c r="D23" s="4370"/>
      <c r="E23" s="4371"/>
      <c r="F23" s="4370"/>
      <c r="G23" s="4371"/>
      <c r="H23" s="4370">
        <v>0</v>
      </c>
      <c r="I23" s="4371">
        <v>0</v>
      </c>
      <c r="J23" s="4370">
        <v>0</v>
      </c>
      <c r="K23" s="4371">
        <v>0</v>
      </c>
      <c r="L23" s="4367">
        <f t="shared" si="0"/>
        <v>0</v>
      </c>
      <c r="M23" s="4367">
        <f t="shared" si="0"/>
        <v>7</v>
      </c>
    </row>
    <row r="24" spans="1:13" ht="15" thickBot="1">
      <c r="A24" s="4373" t="s">
        <v>1578</v>
      </c>
      <c r="B24" s="4370" t="s">
        <v>1779</v>
      </c>
      <c r="C24" s="4371"/>
      <c r="D24" s="4370"/>
      <c r="E24" s="4371"/>
      <c r="F24" s="4370"/>
      <c r="G24" s="4371"/>
      <c r="H24" s="4370">
        <v>0</v>
      </c>
      <c r="I24" s="4371">
        <v>0</v>
      </c>
      <c r="J24" s="4370">
        <v>0</v>
      </c>
      <c r="K24" s="4371">
        <v>0</v>
      </c>
      <c r="L24" s="4367">
        <v>0</v>
      </c>
      <c r="M24" s="4367">
        <f t="shared" ref="M24" si="1">C24+E24+G24+I24+K24</f>
        <v>0</v>
      </c>
    </row>
    <row r="25" spans="1:13" ht="14.25" customHeight="1" thickBot="1">
      <c r="A25" s="3822" t="s">
        <v>1579</v>
      </c>
      <c r="B25" s="4370">
        <f>SUM(B7:B24)</f>
        <v>2402</v>
      </c>
      <c r="C25" s="4370">
        <f>SUM(C7:C24)</f>
        <v>4502</v>
      </c>
      <c r="D25" s="4374">
        <f>SUM(D7:D24)</f>
        <v>6762</v>
      </c>
      <c r="E25" s="4375">
        <v>16601</v>
      </c>
      <c r="F25" s="4374">
        <f>SUM(F7:F24)</f>
        <v>1991</v>
      </c>
      <c r="G25" s="4374">
        <f>SUM(G7:G24)</f>
        <v>6836</v>
      </c>
      <c r="H25" s="4374">
        <v>2109</v>
      </c>
      <c r="I25" s="4375">
        <v>3808</v>
      </c>
      <c r="J25" s="4374">
        <v>36851</v>
      </c>
      <c r="K25" s="4375">
        <v>0</v>
      </c>
      <c r="L25" s="4374">
        <f>SUM(L7:L24)</f>
        <v>50115</v>
      </c>
      <c r="M25" s="4374">
        <f>SUM(M7:M24)</f>
        <v>31747</v>
      </c>
    </row>
    <row r="26" spans="1:13" ht="14.25" customHeight="1" thickBot="1">
      <c r="A26" s="4376" t="s">
        <v>1580</v>
      </c>
      <c r="B26" s="4389">
        <f>SUM(B25+C25)</f>
        <v>6904</v>
      </c>
      <c r="C26" s="4390"/>
      <c r="D26" s="4342">
        <f>SUM(D25+E25)</f>
        <v>23363</v>
      </c>
      <c r="E26" s="4343"/>
      <c r="F26" s="4342">
        <f>SUM(F25+G25)</f>
        <v>8827</v>
      </c>
      <c r="G26" s="4343"/>
      <c r="H26" s="4342">
        <f>SUM(H25+I25)</f>
        <v>5917</v>
      </c>
      <c r="I26" s="4343"/>
      <c r="J26" s="4342">
        <f>SUM(J25+K25)</f>
        <v>36851</v>
      </c>
      <c r="K26" s="4343"/>
      <c r="L26" s="4342">
        <f>SUM(L25+M25)</f>
        <v>81862</v>
      </c>
      <c r="M26" s="4343"/>
    </row>
    <row r="27" spans="1:13" ht="14.25" customHeight="1">
      <c r="A27" s="4377"/>
      <c r="B27" s="3775"/>
      <c r="C27" s="3775"/>
      <c r="D27" s="3775"/>
      <c r="E27" s="3775"/>
    </row>
    <row r="28" spans="1:13" ht="14.25" customHeight="1">
      <c r="A28" s="4377"/>
      <c r="B28" s="3775"/>
      <c r="C28" s="3775"/>
      <c r="D28" s="3775"/>
      <c r="E28" s="3775"/>
    </row>
    <row r="32" spans="1:13" ht="15.6">
      <c r="A32" s="222" t="s">
        <v>1552</v>
      </c>
    </row>
    <row r="33" spans="1:13">
      <c r="A33" t="s">
        <v>1553</v>
      </c>
    </row>
    <row r="35" spans="1:13" ht="14.25" customHeight="1" thickBot="1">
      <c r="A35" s="3774" t="s">
        <v>1547</v>
      </c>
      <c r="B35" s="3775"/>
      <c r="C35" s="3775"/>
      <c r="D35" s="3775"/>
      <c r="E35" s="3775"/>
    </row>
    <row r="36" spans="1:13" ht="27.75" customHeight="1" thickBot="1">
      <c r="A36" s="5520" t="s">
        <v>1554</v>
      </c>
      <c r="B36" s="4336" t="s">
        <v>1555</v>
      </c>
      <c r="C36" s="4336"/>
      <c r="D36" s="4337" t="s">
        <v>1556</v>
      </c>
      <c r="E36" s="4337"/>
      <c r="F36" s="4338" t="s">
        <v>1557</v>
      </c>
      <c r="G36" s="4338"/>
      <c r="H36" s="4339" t="s">
        <v>1558</v>
      </c>
      <c r="I36" s="4339"/>
      <c r="J36" s="4378" t="s">
        <v>1778</v>
      </c>
      <c r="K36" s="4379"/>
      <c r="L36" s="4340" t="s">
        <v>1543</v>
      </c>
      <c r="M36" s="4341"/>
    </row>
    <row r="37" spans="1:13" ht="15" thickBot="1">
      <c r="A37" s="5521"/>
      <c r="B37" s="3776" t="s">
        <v>1561</v>
      </c>
      <c r="C37" s="3777" t="s">
        <v>1560</v>
      </c>
      <c r="D37" s="3778" t="s">
        <v>1561</v>
      </c>
      <c r="E37" s="3779" t="s">
        <v>1560</v>
      </c>
      <c r="F37" s="3780" t="s">
        <v>1559</v>
      </c>
      <c r="G37" s="3781" t="s">
        <v>1583</v>
      </c>
      <c r="H37" s="3782" t="s">
        <v>1559</v>
      </c>
      <c r="I37" s="3783" t="s">
        <v>1560</v>
      </c>
      <c r="J37" s="4360" t="s">
        <v>1561</v>
      </c>
      <c r="K37" s="4361" t="s">
        <v>1560</v>
      </c>
      <c r="L37" s="3784" t="s">
        <v>1561</v>
      </c>
      <c r="M37" s="3785" t="s">
        <v>1560</v>
      </c>
    </row>
    <row r="38" spans="1:13">
      <c r="A38" s="3786" t="s">
        <v>1562</v>
      </c>
      <c r="B38" s="3787">
        <f>13459+2208+821+842+229+5</f>
        <v>17564</v>
      </c>
      <c r="C38" s="3788">
        <f>299+1119+180+119+2+122+2</f>
        <v>1843</v>
      </c>
      <c r="D38" s="3789">
        <f>24714+227+145+454+97+12</f>
        <v>25649</v>
      </c>
      <c r="E38" s="3789">
        <f>980+4053+850+44+50+201+9+168+34</f>
        <v>6389</v>
      </c>
      <c r="F38" s="3790">
        <f>7214+253+45+200+40+25</f>
        <v>7777</v>
      </c>
      <c r="G38" s="3791">
        <f>376+1309+298+104+50</f>
        <v>2137</v>
      </c>
      <c r="H38" s="3792">
        <f>10694+47+650+176+7</f>
        <v>11574</v>
      </c>
      <c r="I38" s="3791">
        <f>215+864+145+158+156</f>
        <v>1538</v>
      </c>
      <c r="J38" s="3792"/>
      <c r="K38" s="3792"/>
      <c r="L38" s="3793">
        <f t="shared" ref="L38:L54" si="2">+B38+D38+F38+H38</f>
        <v>62564</v>
      </c>
      <c r="M38" s="3794">
        <f t="shared" ref="M38:M54" si="3">+C38+E38+G38+I38</f>
        <v>11907</v>
      </c>
    </row>
    <row r="39" spans="1:13">
      <c r="A39" s="3795" t="s">
        <v>1563</v>
      </c>
      <c r="B39" s="3796">
        <f>645+571+194+46+18+8</f>
        <v>1482</v>
      </c>
      <c r="C39" s="3797">
        <v>1</v>
      </c>
      <c r="D39" s="3798">
        <f>2192+370+89+16+28+17</f>
        <v>2712</v>
      </c>
      <c r="E39" s="3798">
        <v>0</v>
      </c>
      <c r="F39" s="3799">
        <f>725+116+39+28+25+15</f>
        <v>948</v>
      </c>
      <c r="G39" s="3800">
        <v>0</v>
      </c>
      <c r="H39" s="3801">
        <f>1194+264+42+35+39+11</f>
        <v>1585</v>
      </c>
      <c r="I39" s="3800">
        <v>0</v>
      </c>
      <c r="J39" s="3801"/>
      <c r="K39" s="3801"/>
      <c r="L39" s="3802">
        <f t="shared" si="2"/>
        <v>6727</v>
      </c>
      <c r="M39" s="3803">
        <f t="shared" si="3"/>
        <v>1</v>
      </c>
    </row>
    <row r="40" spans="1:13">
      <c r="A40" s="3795" t="s">
        <v>1564</v>
      </c>
      <c r="B40" s="3796">
        <f>5675+693+322+194+40+3</f>
        <v>6927</v>
      </c>
      <c r="C40" s="3797">
        <f>467+1058+233+55+61</f>
        <v>1874</v>
      </c>
      <c r="D40" s="3798">
        <f>8200+113+20+76+19+17+11</f>
        <v>8456</v>
      </c>
      <c r="E40" s="3798">
        <f>347+1234+423+67+17+75</f>
        <v>2163</v>
      </c>
      <c r="F40" s="3799">
        <f>3874+19+65+29</f>
        <v>3987</v>
      </c>
      <c r="G40" s="3800">
        <f>215+503+134+32+15</f>
        <v>899</v>
      </c>
      <c r="H40" s="3801">
        <f>2725+13+15</f>
        <v>2753</v>
      </c>
      <c r="I40" s="3800">
        <f>47+485+97+26+8</f>
        <v>663</v>
      </c>
      <c r="J40" s="3801"/>
      <c r="K40" s="3801"/>
      <c r="L40" s="3802">
        <f t="shared" si="2"/>
        <v>22123</v>
      </c>
      <c r="M40" s="3803">
        <f t="shared" si="3"/>
        <v>5599</v>
      </c>
    </row>
    <row r="41" spans="1:13">
      <c r="A41" s="3795" t="s">
        <v>1565</v>
      </c>
      <c r="B41" s="3796">
        <f>3010+446+129+146+31+3+3</f>
        <v>3768</v>
      </c>
      <c r="C41" s="3797">
        <f>480+850+87+25+24</f>
        <v>1466</v>
      </c>
      <c r="D41" s="3798">
        <f>13333+495+25+46+182+50+55+40</f>
        <v>14226</v>
      </c>
      <c r="E41" s="3798">
        <f>961+2882+1183+105+13+86</f>
        <v>5230</v>
      </c>
      <c r="F41" s="3799">
        <f>7033+319+14+198+85+37</f>
        <v>7686</v>
      </c>
      <c r="G41" s="3800">
        <f>1285+2577+695+69+33</f>
        <v>4659</v>
      </c>
      <c r="H41" s="3801">
        <f>1613+2+60+12+12</f>
        <v>1699</v>
      </c>
      <c r="I41" s="3800">
        <f>155+160+15+43+19</f>
        <v>392</v>
      </c>
      <c r="J41" s="3801"/>
      <c r="K41" s="3801"/>
      <c r="L41" s="3802">
        <f t="shared" si="2"/>
        <v>27379</v>
      </c>
      <c r="M41" s="3803">
        <f t="shared" si="3"/>
        <v>11747</v>
      </c>
    </row>
    <row r="42" spans="1:13">
      <c r="A42" s="3795" t="s">
        <v>1566</v>
      </c>
      <c r="B42" s="3796">
        <f>226+68+10+3+10</f>
        <v>317</v>
      </c>
      <c r="C42" s="3797">
        <v>0</v>
      </c>
      <c r="D42" s="3798">
        <f>1374+496+79+16+41+28</f>
        <v>2034</v>
      </c>
      <c r="E42" s="3798">
        <v>0</v>
      </c>
      <c r="F42" s="3799">
        <f>1840+54+6+32+17</f>
        <v>1949</v>
      </c>
      <c r="G42" s="3800">
        <v>0</v>
      </c>
      <c r="H42" s="3801">
        <v>0</v>
      </c>
      <c r="I42" s="3800">
        <v>0</v>
      </c>
      <c r="J42" s="3801"/>
      <c r="K42" s="3801"/>
      <c r="L42" s="3802">
        <f t="shared" si="2"/>
        <v>4300</v>
      </c>
      <c r="M42" s="3803">
        <f t="shared" si="3"/>
        <v>0</v>
      </c>
    </row>
    <row r="43" spans="1:13">
      <c r="A43" s="3795" t="s">
        <v>1567</v>
      </c>
      <c r="B43" s="3796">
        <f>714+898+523+44+22+11</f>
        <v>2212</v>
      </c>
      <c r="C43" s="3797">
        <f>128+384+154+29+31</f>
        <v>726</v>
      </c>
      <c r="D43" s="3798">
        <f>13+28+2+33</f>
        <v>76</v>
      </c>
      <c r="E43" s="3798">
        <f>41+162+37+6+10</f>
        <v>256</v>
      </c>
      <c r="F43" s="3799">
        <f>5+1</f>
        <v>6</v>
      </c>
      <c r="G43" s="3800">
        <f>7+15+11</f>
        <v>33</v>
      </c>
      <c r="H43" s="3801">
        <f>179+12</f>
        <v>191</v>
      </c>
      <c r="I43" s="3800">
        <f>30+113+25+5+12</f>
        <v>185</v>
      </c>
      <c r="J43" s="3801"/>
      <c r="K43" s="3801"/>
      <c r="L43" s="3802">
        <f t="shared" si="2"/>
        <v>2485</v>
      </c>
      <c r="M43" s="3803">
        <f t="shared" si="3"/>
        <v>1200</v>
      </c>
    </row>
    <row r="44" spans="1:13">
      <c r="A44" s="3795" t="s">
        <v>1568</v>
      </c>
      <c r="B44" s="3796">
        <f>105+226+122+1+7</f>
        <v>461</v>
      </c>
      <c r="C44" s="3797">
        <v>0</v>
      </c>
      <c r="D44" s="3798">
        <f>9+1</f>
        <v>10</v>
      </c>
      <c r="E44" s="3798">
        <v>0</v>
      </c>
      <c r="F44" s="3799">
        <f>1+2</f>
        <v>3</v>
      </c>
      <c r="G44" s="3800">
        <v>0</v>
      </c>
      <c r="H44" s="3801">
        <f>37+43+4</f>
        <v>84</v>
      </c>
      <c r="I44" s="3800">
        <v>0</v>
      </c>
      <c r="J44" s="3801"/>
      <c r="K44" s="3801"/>
      <c r="L44" s="3802">
        <f t="shared" si="2"/>
        <v>558</v>
      </c>
      <c r="M44" s="3803">
        <f t="shared" si="3"/>
        <v>0</v>
      </c>
    </row>
    <row r="45" spans="1:13">
      <c r="A45" s="3795" t="s">
        <v>1569</v>
      </c>
      <c r="B45" s="3796">
        <f>83+20+8+1</f>
        <v>112</v>
      </c>
      <c r="C45" s="3797">
        <f>16+71+15+4+6</f>
        <v>112</v>
      </c>
      <c r="D45" s="3798"/>
      <c r="E45" s="3798">
        <f>9+22+2+5</f>
        <v>38</v>
      </c>
      <c r="F45" s="3799"/>
      <c r="G45" s="3800">
        <v>4</v>
      </c>
      <c r="H45" s="3801">
        <v>0</v>
      </c>
      <c r="I45" s="3800">
        <v>1</v>
      </c>
      <c r="J45" s="3801"/>
      <c r="K45" s="3801"/>
      <c r="L45" s="3802">
        <f t="shared" si="2"/>
        <v>112</v>
      </c>
      <c r="M45" s="3803">
        <f t="shared" si="3"/>
        <v>155</v>
      </c>
    </row>
    <row r="46" spans="1:13">
      <c r="A46" s="3795" t="s">
        <v>1570</v>
      </c>
      <c r="B46" s="3804">
        <f>10+11+9+1+1</f>
        <v>32</v>
      </c>
      <c r="C46" s="3805">
        <f>7+8+3</f>
        <v>18</v>
      </c>
      <c r="D46" s="3800"/>
      <c r="E46" s="3800">
        <f>2+3+2</f>
        <v>7</v>
      </c>
      <c r="F46" s="3799"/>
      <c r="G46" s="3800">
        <f>8+7+6</f>
        <v>21</v>
      </c>
      <c r="H46" s="3801">
        <v>2</v>
      </c>
      <c r="I46" s="3800">
        <v>0</v>
      </c>
      <c r="J46" s="3801"/>
      <c r="K46" s="3801"/>
      <c r="L46" s="3802">
        <f t="shared" si="2"/>
        <v>34</v>
      </c>
      <c r="M46" s="3803">
        <f t="shared" si="3"/>
        <v>46</v>
      </c>
    </row>
    <row r="47" spans="1:13">
      <c r="A47" s="3795" t="s">
        <v>1571</v>
      </c>
      <c r="B47" s="3804">
        <f>4+24</f>
        <v>28</v>
      </c>
      <c r="C47" s="3805"/>
      <c r="D47" s="3800">
        <f>3+3+1</f>
        <v>7</v>
      </c>
      <c r="E47" s="3800">
        <v>18</v>
      </c>
      <c r="F47" s="3799">
        <f>1+2</f>
        <v>3</v>
      </c>
      <c r="G47" s="3800"/>
      <c r="H47" s="3801">
        <v>0</v>
      </c>
      <c r="I47" s="3800">
        <v>0</v>
      </c>
      <c r="J47" s="3801"/>
      <c r="K47" s="3801"/>
      <c r="L47" s="3802">
        <f t="shared" si="2"/>
        <v>38</v>
      </c>
      <c r="M47" s="3803">
        <f t="shared" si="3"/>
        <v>18</v>
      </c>
    </row>
    <row r="48" spans="1:13">
      <c r="A48" s="3795" t="s">
        <v>1572</v>
      </c>
      <c r="B48" s="3804">
        <f>7+60+6+11+25+4</f>
        <v>113</v>
      </c>
      <c r="C48" s="3805"/>
      <c r="D48" s="3800">
        <f>192+207+36+9+4</f>
        <v>448</v>
      </c>
      <c r="E48" s="3800"/>
      <c r="F48" s="3799">
        <f>74+7+6+3</f>
        <v>90</v>
      </c>
      <c r="G48" s="3800"/>
      <c r="H48" s="3801">
        <f>4+24+7+2+2+3</f>
        <v>42</v>
      </c>
      <c r="I48" s="3800">
        <v>0</v>
      </c>
      <c r="J48" s="3801"/>
      <c r="K48" s="3801"/>
      <c r="L48" s="3802">
        <f t="shared" si="2"/>
        <v>693</v>
      </c>
      <c r="M48" s="3803">
        <f t="shared" si="3"/>
        <v>0</v>
      </c>
    </row>
    <row r="49" spans="1:13">
      <c r="A49" s="3795" t="s">
        <v>1573</v>
      </c>
      <c r="B49" s="3804"/>
      <c r="C49" s="3805">
        <f>1+7+1+4+3</f>
        <v>16</v>
      </c>
      <c r="D49" s="3800"/>
      <c r="E49" s="3800"/>
      <c r="F49" s="3799"/>
      <c r="G49" s="3800"/>
      <c r="H49" s="3801"/>
      <c r="I49" s="3800">
        <f>20+14+4+2+5</f>
        <v>45</v>
      </c>
      <c r="J49" s="3801"/>
      <c r="K49" s="3801"/>
      <c r="L49" s="3802">
        <f t="shared" si="2"/>
        <v>0</v>
      </c>
      <c r="M49" s="3803">
        <f t="shared" si="3"/>
        <v>61</v>
      </c>
    </row>
    <row r="50" spans="1:13">
      <c r="A50" s="3795" t="s">
        <v>1574</v>
      </c>
      <c r="B50" s="3804"/>
      <c r="C50" s="3805">
        <v>40</v>
      </c>
      <c r="D50" s="3800"/>
      <c r="E50" s="3800"/>
      <c r="F50" s="3799"/>
      <c r="G50" s="3800"/>
      <c r="H50" s="3801"/>
      <c r="I50" s="3800">
        <f>180+60+15</f>
        <v>255</v>
      </c>
      <c r="J50" s="3801"/>
      <c r="K50" s="3801"/>
      <c r="L50" s="3802">
        <f t="shared" si="2"/>
        <v>0</v>
      </c>
      <c r="M50" s="3803">
        <f t="shared" si="3"/>
        <v>295</v>
      </c>
    </row>
    <row r="51" spans="1:13">
      <c r="A51" s="3795" t="s">
        <v>1584</v>
      </c>
      <c r="B51" s="3804"/>
      <c r="C51" s="3805">
        <f>2+8</f>
        <v>10</v>
      </c>
      <c r="D51" s="3800"/>
      <c r="E51" s="3800"/>
      <c r="F51" s="3799"/>
      <c r="G51" s="3800"/>
      <c r="H51" s="3801"/>
      <c r="I51" s="3800">
        <v>2</v>
      </c>
      <c r="J51" s="3801"/>
      <c r="K51" s="3801"/>
      <c r="L51" s="3802">
        <f t="shared" si="2"/>
        <v>0</v>
      </c>
      <c r="M51" s="3803">
        <f t="shared" si="3"/>
        <v>12</v>
      </c>
    </row>
    <row r="52" spans="1:13">
      <c r="A52" s="3795" t="s">
        <v>1575</v>
      </c>
      <c r="B52" s="3804"/>
      <c r="C52" s="3800"/>
      <c r="D52" s="3800"/>
      <c r="E52" s="3800"/>
      <c r="F52" s="3799"/>
      <c r="G52" s="3800"/>
      <c r="H52" s="3801"/>
      <c r="I52" s="3800"/>
      <c r="J52" s="3801"/>
      <c r="K52" s="3801"/>
      <c r="L52" s="3802">
        <f t="shared" si="2"/>
        <v>0</v>
      </c>
      <c r="M52" s="3803">
        <f t="shared" si="3"/>
        <v>0</v>
      </c>
    </row>
    <row r="53" spans="1:13">
      <c r="A53" s="3795" t="s">
        <v>1576</v>
      </c>
      <c r="B53" s="3804"/>
      <c r="C53" s="3805"/>
      <c r="D53" s="3800"/>
      <c r="E53" s="3800"/>
      <c r="F53" s="3799"/>
      <c r="G53" s="3800"/>
      <c r="H53" s="3801"/>
      <c r="I53" s="3800"/>
      <c r="J53" s="3801"/>
      <c r="K53" s="3801"/>
      <c r="L53" s="3802">
        <f t="shared" si="2"/>
        <v>0</v>
      </c>
      <c r="M53" s="3803">
        <f t="shared" si="3"/>
        <v>0</v>
      </c>
    </row>
    <row r="54" spans="1:13">
      <c r="A54" s="3806" t="s">
        <v>1577</v>
      </c>
      <c r="B54" s="3807"/>
      <c r="C54" s="3808"/>
      <c r="D54" s="3809"/>
      <c r="E54" s="3809"/>
      <c r="F54" s="3810"/>
      <c r="G54" s="3811"/>
      <c r="H54" s="3812"/>
      <c r="I54" s="3811"/>
      <c r="J54" s="3812"/>
      <c r="K54" s="3812"/>
      <c r="L54" s="3802">
        <f t="shared" si="2"/>
        <v>0</v>
      </c>
      <c r="M54" s="3803">
        <f t="shared" si="3"/>
        <v>0</v>
      </c>
    </row>
    <row r="55" spans="1:13" ht="15" thickBot="1">
      <c r="A55" s="3813" t="s">
        <v>1578</v>
      </c>
      <c r="B55" s="3807"/>
      <c r="C55" s="3814"/>
      <c r="D55" s="3815"/>
      <c r="E55" s="3815"/>
      <c r="F55" s="3816"/>
      <c r="G55" s="3817"/>
      <c r="H55" s="3818"/>
      <c r="I55" s="3819"/>
      <c r="J55" s="3818"/>
      <c r="K55" s="3818"/>
      <c r="L55" s="3820"/>
      <c r="M55" s="3821">
        <f>+C55+E55+G55+I55</f>
        <v>0</v>
      </c>
    </row>
    <row r="56" spans="1:13" ht="15" thickBot="1">
      <c r="A56" s="3822" t="s">
        <v>1579</v>
      </c>
      <c r="B56" s="3823">
        <f t="shared" ref="B56" si="4">SUM(B38:B54)</f>
        <v>33016</v>
      </c>
      <c r="C56" s="3824">
        <f>SUM(C38:C55)</f>
        <v>6106</v>
      </c>
      <c r="D56" s="3824">
        <f t="shared" ref="D56:E56" si="5">SUM(D38:D54)</f>
        <v>53618</v>
      </c>
      <c r="E56" s="3824">
        <f t="shared" si="5"/>
        <v>14101</v>
      </c>
      <c r="F56" s="3825">
        <f>SUM(F38:F55)</f>
        <v>22449</v>
      </c>
      <c r="G56" s="3823">
        <f>SUM(G38:G55)</f>
        <v>7753</v>
      </c>
      <c r="H56" s="3825">
        <f t="shared" ref="H56:L56" si="6">SUM(H38:H54)</f>
        <v>17930</v>
      </c>
      <c r="I56" s="3823">
        <f t="shared" si="6"/>
        <v>3081</v>
      </c>
      <c r="J56" s="3823"/>
      <c r="K56" s="3823"/>
      <c r="L56" s="3826">
        <f t="shared" si="6"/>
        <v>127013</v>
      </c>
      <c r="M56" s="3826">
        <f>SUM(M38:M55)</f>
        <v>31041</v>
      </c>
    </row>
    <row r="57" spans="1:13" ht="15" thickBot="1">
      <c r="A57" s="3827" t="s">
        <v>1580</v>
      </c>
      <c r="B57" s="4342">
        <f>+B56+C56</f>
        <v>39122</v>
      </c>
      <c r="C57" s="4343"/>
      <c r="D57" s="4342">
        <f>+D56+E56</f>
        <v>67719</v>
      </c>
      <c r="E57" s="4343"/>
      <c r="F57" s="4342">
        <f>+F56+G56</f>
        <v>30202</v>
      </c>
      <c r="G57" s="4343"/>
      <c r="H57" s="4342">
        <f>+H56+I56</f>
        <v>21011</v>
      </c>
      <c r="I57" s="4343"/>
      <c r="J57" s="4388"/>
      <c r="K57" s="4388"/>
      <c r="L57" s="4344">
        <f>SUM(B57:I57)</f>
        <v>158054</v>
      </c>
      <c r="M57" s="4345"/>
    </row>
    <row r="58" spans="1:13">
      <c r="A58" s="229" t="s">
        <v>1585</v>
      </c>
      <c r="B58" s="3775"/>
      <c r="C58" s="3775"/>
      <c r="D58" s="3775"/>
      <c r="E58" s="3775"/>
    </row>
    <row r="59" spans="1:13">
      <c r="A59" s="229" t="s">
        <v>1582</v>
      </c>
      <c r="B59" s="3775"/>
      <c r="C59" s="3775"/>
      <c r="D59" s="3775"/>
      <c r="E59" s="3775"/>
    </row>
    <row r="60" spans="1:13">
      <c r="A60" s="3828"/>
      <c r="B60" s="3775"/>
      <c r="C60" s="3775"/>
      <c r="D60" s="3775"/>
      <c r="E60" s="3775"/>
    </row>
    <row r="61" spans="1:13" ht="16.2" thickBot="1">
      <c r="A61" s="3774" t="s">
        <v>1546</v>
      </c>
      <c r="B61" s="3775"/>
      <c r="C61" s="3775"/>
      <c r="D61" s="3775"/>
      <c r="E61" s="3775"/>
    </row>
    <row r="62" spans="1:13" ht="31.5" customHeight="1" thickBot="1">
      <c r="A62" s="5520" t="s">
        <v>1554</v>
      </c>
      <c r="B62" s="5524" t="s">
        <v>1555</v>
      </c>
      <c r="C62" s="5524"/>
      <c r="D62" s="5525" t="s">
        <v>1556</v>
      </c>
      <c r="E62" s="5525"/>
      <c r="F62" s="5526" t="s">
        <v>1557</v>
      </c>
      <c r="G62" s="5526"/>
      <c r="H62" s="5527" t="s">
        <v>1558</v>
      </c>
      <c r="I62" s="5527"/>
      <c r="J62" s="4378" t="s">
        <v>1778</v>
      </c>
      <c r="K62" s="4379"/>
      <c r="L62" s="5522" t="s">
        <v>1543</v>
      </c>
      <c r="M62" s="5523"/>
    </row>
    <row r="63" spans="1:13" ht="15" thickBot="1">
      <c r="A63" s="5521"/>
      <c r="B63" s="3776" t="s">
        <v>1559</v>
      </c>
      <c r="C63" s="3777" t="s">
        <v>1560</v>
      </c>
      <c r="D63" s="3778" t="s">
        <v>1559</v>
      </c>
      <c r="E63" s="3779" t="s">
        <v>1560</v>
      </c>
      <c r="F63" s="3780" t="s">
        <v>1561</v>
      </c>
      <c r="G63" s="3781" t="s">
        <v>1560</v>
      </c>
      <c r="H63" s="3782" t="s">
        <v>1561</v>
      </c>
      <c r="I63" s="3783" t="s">
        <v>1560</v>
      </c>
      <c r="J63" s="4360" t="s">
        <v>1561</v>
      </c>
      <c r="K63" s="4361" t="s">
        <v>1560</v>
      </c>
      <c r="L63" s="3784" t="s">
        <v>1561</v>
      </c>
      <c r="M63" s="3785" t="s">
        <v>1560</v>
      </c>
    </row>
    <row r="64" spans="1:13">
      <c r="A64" s="3786" t="s">
        <v>1562</v>
      </c>
      <c r="B64" s="3787">
        <f>2103+582+784+666+1153+645+792+492+1559+1378+1040+5221</f>
        <v>16415</v>
      </c>
      <c r="C64" s="3788">
        <f>456+502+840+450+583+529+4+719+2+3405+6+570+151+985+2153</f>
        <v>11355</v>
      </c>
      <c r="D64" s="3789">
        <f>1774+248+528+402+387+322+932+370+115+48+175+562</f>
        <v>5863</v>
      </c>
      <c r="E64" s="3789">
        <f>1608+152+3148+342+5009+496+2441+325+2757+286+2669+208+3677+362+6854+568+2896+264+899+70+2650+170+2117+192</f>
        <v>40160</v>
      </c>
      <c r="F64" s="3790">
        <f>654+157+302+402+334+542+498+369+116+172+297+335</f>
        <v>4178</v>
      </c>
      <c r="G64" s="3791">
        <f>526+886+4+1326+2+902+1006+704+4+1200+4+1854+1220+6+311+877+579</f>
        <v>11411</v>
      </c>
      <c r="H64" s="3792">
        <f>518+45+119+42+39+72+100+242+24+256+65+175</f>
        <v>1697</v>
      </c>
      <c r="I64" s="3791">
        <f>275+321+510+387+612+376+750+3741+594+120+817+1426</f>
        <v>9929</v>
      </c>
      <c r="J64" s="3792"/>
      <c r="K64" s="3792"/>
      <c r="L64" s="3793">
        <f t="shared" ref="L64:L79" si="7">+B64+D64+F64+H64</f>
        <v>28153</v>
      </c>
      <c r="M64" s="3794">
        <f t="shared" ref="M64:M79" si="8">+C64+E64+G64+I64</f>
        <v>72855</v>
      </c>
    </row>
    <row r="65" spans="1:13">
      <c r="A65" s="3795" t="s">
        <v>1563</v>
      </c>
      <c r="B65" s="3796">
        <f>291+98+200+80+96+135+288+830+382+236+337+679</f>
        <v>3652</v>
      </c>
      <c r="C65" s="3797">
        <f>66+97+127+71+103+46+1</f>
        <v>511</v>
      </c>
      <c r="D65" s="3798">
        <f>76+12+11+9+144+771+1150+299+123+274+280</f>
        <v>3149</v>
      </c>
      <c r="E65" s="3798">
        <f>171+350+542+271+288+97</f>
        <v>1719</v>
      </c>
      <c r="F65" s="3799">
        <f>19+86+206+373+166+69+106+106</f>
        <v>1131</v>
      </c>
      <c r="G65" s="3800">
        <f>41+93+97+71+84+38</f>
        <v>424</v>
      </c>
      <c r="H65" s="3801">
        <f>161+23+67+159+398+635+169+85+227+749</f>
        <v>2673</v>
      </c>
      <c r="I65" s="3800">
        <f>109+113+109+102+126+39</f>
        <v>598</v>
      </c>
      <c r="J65" s="3801"/>
      <c r="K65" s="3801"/>
      <c r="L65" s="3802">
        <f t="shared" si="7"/>
        <v>10605</v>
      </c>
      <c r="M65" s="3803">
        <f t="shared" si="8"/>
        <v>3252</v>
      </c>
    </row>
    <row r="66" spans="1:13">
      <c r="A66" s="3795" t="s">
        <v>1564</v>
      </c>
      <c r="B66" s="3796">
        <f>1476+349+743+298+709+308+6+491+3+162+661+954+703+863</f>
        <v>7726</v>
      </c>
      <c r="C66" s="3797">
        <f>877+730+1044+937+876+1311+739+1096+463+386+716+803</f>
        <v>9978</v>
      </c>
      <c r="D66" s="3798">
        <f>318+45+52+70+151+149+55+73+70+45+19+50+221+33+276+120+26+73+16+13+40+171+53</f>
        <v>2139</v>
      </c>
      <c r="E66" s="3798">
        <f>586+1006+1466+1075+1080+1228+1370+1502+679+382+895+698</f>
        <v>11967</v>
      </c>
      <c r="F66" s="3799">
        <f>311+11+91+2+248+334+78+33+3+1+12+70</f>
        <v>1194</v>
      </c>
      <c r="G66" s="3800">
        <f>393+499+759+869+748+520+439+607+396+189+901+398</f>
        <v>6718</v>
      </c>
      <c r="H66" s="3801">
        <f>215+1+45+26+78+101+10+25</f>
        <v>501</v>
      </c>
      <c r="I66" s="3800">
        <f>251+121+192+234+329+199+176+665+178+72+352+385</f>
        <v>3154</v>
      </c>
      <c r="J66" s="3801"/>
      <c r="K66" s="3801"/>
      <c r="L66" s="3802">
        <f t="shared" si="7"/>
        <v>11560</v>
      </c>
      <c r="M66" s="3803">
        <f t="shared" si="8"/>
        <v>31817</v>
      </c>
    </row>
    <row r="67" spans="1:13">
      <c r="A67" s="3795" t="s">
        <v>1565</v>
      </c>
      <c r="B67" s="3796">
        <f>665+226+452+309+277+3+110+574+506+9+192+177+223+1+1065</f>
        <v>4789</v>
      </c>
      <c r="C67" s="3797">
        <f>632+416+806+591+558+597+471+972+138+23+890+833</f>
        <v>6927</v>
      </c>
      <c r="D67" s="3798">
        <f>1114+183+63+449+431+592+331+416+129+384+403+259+999+519+1175+729+91+323+17+89+21+209+301+232</f>
        <v>9459</v>
      </c>
      <c r="E67" s="3798">
        <f>1923+3638+4348+3552+3528+3392+4202+4322+1083+703+2367+2083</f>
        <v>35141</v>
      </c>
      <c r="F67" s="3799">
        <f>312+129+3+548+260+278+6+1160+6+1931+65+6+124+74+382</f>
        <v>5284</v>
      </c>
      <c r="G67" s="3800">
        <f>2805+2296+2917+2626+2515+3256+3167+2176+644+465+3765+1427</f>
        <v>28059</v>
      </c>
      <c r="H67" s="3801">
        <f>78+35+70+4+16+1+201+340+4+45+49</f>
        <v>843</v>
      </c>
      <c r="I67" s="3800">
        <f>45+71+90+37+135+47+128+637+63+18+117+217</f>
        <v>1605</v>
      </c>
      <c r="J67" s="3801"/>
      <c r="K67" s="3801"/>
      <c r="L67" s="3802">
        <f t="shared" si="7"/>
        <v>20375</v>
      </c>
      <c r="M67" s="3803">
        <f t="shared" si="8"/>
        <v>71732</v>
      </c>
    </row>
    <row r="68" spans="1:13">
      <c r="A68" s="3795" t="s">
        <v>1566</v>
      </c>
      <c r="B68" s="3796">
        <f>114+51+62+19+62+41+84+110+42+38+44+87</f>
        <v>754</v>
      </c>
      <c r="C68" s="3797"/>
      <c r="D68" s="3798">
        <f>376+472+691+413+475+398+595+890+361+134+408+315</f>
        <v>5528</v>
      </c>
      <c r="E68" s="3798"/>
      <c r="F68" s="3799">
        <f>219+204+272+282+238+189+443+391+168+93+271+124</f>
        <v>2894</v>
      </c>
      <c r="G68" s="3800"/>
      <c r="H68" s="3801">
        <f>11+2+6+1+2+1+2</f>
        <v>25</v>
      </c>
      <c r="I68" s="3800"/>
      <c r="J68" s="3801"/>
      <c r="K68" s="3801"/>
      <c r="L68" s="3802">
        <f t="shared" si="7"/>
        <v>9201</v>
      </c>
      <c r="M68" s="3803">
        <f t="shared" si="8"/>
        <v>0</v>
      </c>
    </row>
    <row r="69" spans="1:13">
      <c r="A69" s="3795" t="s">
        <v>1567</v>
      </c>
      <c r="B69" s="3796">
        <f>1391+443+715+504+358+423+369+172+599+508+649+550</f>
        <v>6681</v>
      </c>
      <c r="C69" s="3797">
        <f>279+297+309+405+331+349+506+447+288+140+345+302</f>
        <v>3998</v>
      </c>
      <c r="D69" s="3798">
        <f>3+1</f>
        <v>4</v>
      </c>
      <c r="E69" s="3798">
        <f>21+19+20+47+31+47+40+51+17+10+18+8</f>
        <v>329</v>
      </c>
      <c r="F69" s="3799">
        <v>2</v>
      </c>
      <c r="G69" s="3800">
        <f>20+7+8+16+2+16+11+18+19+2+8+9</f>
        <v>136</v>
      </c>
      <c r="H69" s="3801">
        <f>131+1+11+52+35</f>
        <v>230</v>
      </c>
      <c r="I69" s="3800">
        <f>146+125+113+94+99+121+224+128+122+32+146+70</f>
        <v>1420</v>
      </c>
      <c r="J69" s="3801"/>
      <c r="K69" s="3801"/>
      <c r="L69" s="3802">
        <f t="shared" si="7"/>
        <v>6917</v>
      </c>
      <c r="M69" s="3803">
        <f t="shared" si="8"/>
        <v>5883</v>
      </c>
    </row>
    <row r="70" spans="1:13">
      <c r="A70" s="3795" t="s">
        <v>1568</v>
      </c>
      <c r="B70" s="3796">
        <f>238+62+195+63+84+141+191+114+223+160+423+169</f>
        <v>2063</v>
      </c>
      <c r="C70" s="3797">
        <f>183+169+136+132+139+34</f>
        <v>793</v>
      </c>
      <c r="D70" s="3798">
        <f>2+1+1+1</f>
        <v>5</v>
      </c>
      <c r="E70" s="3798">
        <v>2</v>
      </c>
      <c r="F70" s="3799">
        <f>3+1+1+2+1</f>
        <v>8</v>
      </c>
      <c r="G70" s="3800">
        <f>2+1+2</f>
        <v>5</v>
      </c>
      <c r="H70" s="3801">
        <f>29+25+26+37+33+10+37+23</f>
        <v>220</v>
      </c>
      <c r="I70" s="3800">
        <f>51+42+49+23+1+4</f>
        <v>170</v>
      </c>
      <c r="J70" s="3801"/>
      <c r="K70" s="3801"/>
      <c r="L70" s="3802">
        <f t="shared" si="7"/>
        <v>2296</v>
      </c>
      <c r="M70" s="3803">
        <f t="shared" si="8"/>
        <v>970</v>
      </c>
    </row>
    <row r="71" spans="1:13">
      <c r="A71" s="3795" t="s">
        <v>1569</v>
      </c>
      <c r="B71" s="3796">
        <f>255+64+222+37+39+30+54+34+109+63+88+12</f>
        <v>1007</v>
      </c>
      <c r="C71" s="3797">
        <f>98+178+200+89+107+183+250+169+154+47+97+36</f>
        <v>1608</v>
      </c>
      <c r="D71" s="3798"/>
      <c r="E71" s="3798">
        <f>7+5+5+42+1+5+2+20+2+6+3</f>
        <v>98</v>
      </c>
      <c r="F71" s="3799"/>
      <c r="G71" s="3800">
        <f>2+2+1+2+1+3</f>
        <v>11</v>
      </c>
      <c r="H71" s="3801">
        <v>3</v>
      </c>
      <c r="I71" s="3800">
        <f>32+3+2+1+1+9+2+1+2+11+2</f>
        <v>66</v>
      </c>
      <c r="J71" s="3801"/>
      <c r="K71" s="3801"/>
      <c r="L71" s="3802">
        <f t="shared" si="7"/>
        <v>1010</v>
      </c>
      <c r="M71" s="3803">
        <f t="shared" si="8"/>
        <v>1783</v>
      </c>
    </row>
    <row r="72" spans="1:13">
      <c r="A72" s="3795" t="s">
        <v>1570</v>
      </c>
      <c r="B72" s="3804">
        <f>43+9+27+4+7+4+22+1+13+7+2+10</f>
        <v>149</v>
      </c>
      <c r="C72" s="3805">
        <f>13+9+13+16+7+17+37+29+4+4+9+26</f>
        <v>184</v>
      </c>
      <c r="D72" s="3800"/>
      <c r="E72" s="3800">
        <f>2+4+5+6+1+15+16+13+1+9+2</f>
        <v>74</v>
      </c>
      <c r="F72" s="3799"/>
      <c r="G72" s="3800">
        <f>13+6+1+1+12+7+9+16+11+2+5+4</f>
        <v>87</v>
      </c>
      <c r="H72" s="3801">
        <v>6</v>
      </c>
      <c r="I72" s="3800">
        <f>3+2+2+3</f>
        <v>10</v>
      </c>
      <c r="J72" s="3801"/>
      <c r="K72" s="3801"/>
      <c r="L72" s="3802">
        <f t="shared" si="7"/>
        <v>155</v>
      </c>
      <c r="M72" s="3803">
        <f t="shared" si="8"/>
        <v>355</v>
      </c>
    </row>
    <row r="73" spans="1:13">
      <c r="A73" s="3795" t="s">
        <v>1571</v>
      </c>
      <c r="B73" s="3804">
        <f>7+1+7+2+2+3+2+4+9+1</f>
        <v>38</v>
      </c>
      <c r="C73" s="3805"/>
      <c r="D73" s="3800">
        <f>2+1+2+1+4+1+3+3+1</f>
        <v>18</v>
      </c>
      <c r="E73" s="3800"/>
      <c r="F73" s="3799">
        <f>3+1+2+6+4+1+1+2</f>
        <v>20</v>
      </c>
      <c r="G73" s="3800"/>
      <c r="H73" s="3801">
        <v>1</v>
      </c>
      <c r="I73" s="3800"/>
      <c r="J73" s="3801"/>
      <c r="K73" s="3801"/>
      <c r="L73" s="3802">
        <f t="shared" si="7"/>
        <v>77</v>
      </c>
      <c r="M73" s="3803">
        <f t="shared" si="8"/>
        <v>0</v>
      </c>
    </row>
    <row r="74" spans="1:13">
      <c r="A74" s="3795" t="s">
        <v>1572</v>
      </c>
      <c r="B74" s="3804">
        <f>38+26+36+73+27+27+32+113+20+11+36+57</f>
        <v>496</v>
      </c>
      <c r="C74" s="3805"/>
      <c r="D74" s="3800">
        <f>51+123+196+120+193+153+141+169+129+40+72+58</f>
        <v>1445</v>
      </c>
      <c r="E74" s="3800"/>
      <c r="F74" s="3799">
        <f>18+20+25+35+55+15+45+86+32+10+61+18</f>
        <v>420</v>
      </c>
      <c r="G74" s="3800"/>
      <c r="H74" s="3801">
        <f>7+14+21+6+17+8+26+72+14+5+50+33</f>
        <v>273</v>
      </c>
      <c r="I74" s="3800"/>
      <c r="J74" s="3801"/>
      <c r="K74" s="3801"/>
      <c r="L74" s="3802">
        <f t="shared" si="7"/>
        <v>2634</v>
      </c>
      <c r="M74" s="3803">
        <f t="shared" si="8"/>
        <v>0</v>
      </c>
    </row>
    <row r="75" spans="1:13">
      <c r="A75" s="3795" t="s">
        <v>1573</v>
      </c>
      <c r="B75" s="3804"/>
      <c r="C75" s="3805">
        <f>2+7+1+3+7+19+7+4+5+3+5+7</f>
        <v>70</v>
      </c>
      <c r="D75" s="3800"/>
      <c r="E75" s="3800"/>
      <c r="F75" s="3799"/>
      <c r="G75" s="3800"/>
      <c r="H75" s="3801"/>
      <c r="I75" s="3800">
        <f>63+59+31+35+38+27+29+5+21+4+36+21</f>
        <v>369</v>
      </c>
      <c r="J75" s="3801"/>
      <c r="K75" s="3801"/>
      <c r="L75" s="3802">
        <f t="shared" si="7"/>
        <v>0</v>
      </c>
      <c r="M75" s="3803">
        <f t="shared" si="8"/>
        <v>439</v>
      </c>
    </row>
    <row r="76" spans="1:13">
      <c r="A76" s="3795" t="s">
        <v>1574</v>
      </c>
      <c r="B76" s="3804"/>
      <c r="C76" s="3805">
        <f>80+21+1+26</f>
        <v>128</v>
      </c>
      <c r="D76" s="3800"/>
      <c r="E76" s="3800"/>
      <c r="F76" s="3799"/>
      <c r="G76" s="3800"/>
      <c r="H76" s="3801"/>
      <c r="I76" s="3800">
        <f>45+223+291+128+124+120+124+120+120+93+101+120</f>
        <v>1609</v>
      </c>
      <c r="J76" s="3801"/>
      <c r="K76" s="3801"/>
      <c r="L76" s="3802">
        <f t="shared" si="7"/>
        <v>0</v>
      </c>
      <c r="M76" s="3803">
        <f t="shared" si="8"/>
        <v>1737</v>
      </c>
    </row>
    <row r="77" spans="1:13">
      <c r="A77" s="3795" t="s">
        <v>1575</v>
      </c>
      <c r="B77" s="3804">
        <v>17</v>
      </c>
      <c r="C77" s="3800">
        <f>17+9+17</f>
        <v>43</v>
      </c>
      <c r="D77" s="3800"/>
      <c r="E77" s="3800">
        <f>32+4</f>
        <v>36</v>
      </c>
      <c r="F77" s="3799"/>
      <c r="G77" s="3800">
        <v>75</v>
      </c>
      <c r="H77" s="3801"/>
      <c r="I77" s="3800"/>
      <c r="J77" s="3801"/>
      <c r="K77" s="3801"/>
      <c r="L77" s="3802">
        <f t="shared" si="7"/>
        <v>17</v>
      </c>
      <c r="M77" s="3803">
        <f t="shared" si="8"/>
        <v>154</v>
      </c>
    </row>
    <row r="78" spans="1:13">
      <c r="A78" s="3795" t="s">
        <v>1576</v>
      </c>
      <c r="B78" s="3804"/>
      <c r="C78" s="3805"/>
      <c r="D78" s="3800"/>
      <c r="E78" s="3800"/>
      <c r="F78" s="3799"/>
      <c r="G78" s="3800">
        <v>1</v>
      </c>
      <c r="H78" s="3801"/>
      <c r="I78" s="3800"/>
      <c r="J78" s="3801"/>
      <c r="K78" s="3801"/>
      <c r="L78" s="3802">
        <f t="shared" si="7"/>
        <v>0</v>
      </c>
      <c r="M78" s="3803">
        <f t="shared" si="8"/>
        <v>1</v>
      </c>
    </row>
    <row r="79" spans="1:13">
      <c r="A79" s="3806" t="s">
        <v>1577</v>
      </c>
      <c r="B79" s="3807">
        <f>28942+26024</f>
        <v>54966</v>
      </c>
      <c r="C79" s="3808"/>
      <c r="D79" s="3809"/>
      <c r="E79" s="3809"/>
      <c r="F79" s="3810"/>
      <c r="G79" s="3811"/>
      <c r="H79" s="3812"/>
      <c r="I79" s="3811"/>
      <c r="J79" s="3812"/>
      <c r="K79" s="3812"/>
      <c r="L79" s="3802">
        <f t="shared" si="7"/>
        <v>54966</v>
      </c>
      <c r="M79" s="3803">
        <f t="shared" si="8"/>
        <v>0</v>
      </c>
    </row>
    <row r="80" spans="1:13" ht="15" thickBot="1">
      <c r="A80" s="3813" t="s">
        <v>1578</v>
      </c>
      <c r="B80" s="3807"/>
      <c r="C80" s="3814"/>
      <c r="D80" s="3815"/>
      <c r="E80" s="3815"/>
      <c r="F80" s="3816"/>
      <c r="G80" s="3817">
        <f>215+339+162+19</f>
        <v>735</v>
      </c>
      <c r="H80" s="3818"/>
      <c r="I80" s="3819"/>
      <c r="J80" s="3818"/>
      <c r="K80" s="3818"/>
      <c r="L80" s="3820"/>
      <c r="M80" s="3821">
        <f>+C80+E80+G80+I80</f>
        <v>735</v>
      </c>
    </row>
    <row r="81" spans="1:13" ht="15" thickBot="1">
      <c r="A81" s="3822" t="s">
        <v>1579</v>
      </c>
      <c r="B81" s="3823">
        <f t="shared" ref="B81" si="9">SUM(B64:B79)</f>
        <v>98753</v>
      </c>
      <c r="C81" s="3824">
        <f>SUM(C64:C80)</f>
        <v>35595</v>
      </c>
      <c r="D81" s="3824">
        <f t="shared" ref="D81:L81" si="10">SUM(D64:D79)</f>
        <v>27610</v>
      </c>
      <c r="E81" s="3824">
        <f t="shared" si="10"/>
        <v>89526</v>
      </c>
      <c r="F81" s="3825">
        <f>SUM(F64:F80)</f>
        <v>15131</v>
      </c>
      <c r="G81" s="3823">
        <f>SUM(G64:G80)</f>
        <v>47662</v>
      </c>
      <c r="H81" s="3825">
        <f t="shared" si="10"/>
        <v>6472</v>
      </c>
      <c r="I81" s="3823">
        <f t="shared" si="10"/>
        <v>18930</v>
      </c>
      <c r="J81" s="3823"/>
      <c r="K81" s="3823"/>
      <c r="L81" s="3826">
        <f t="shared" si="10"/>
        <v>147966</v>
      </c>
      <c r="M81" s="3826">
        <f>SUM(M64:M80)</f>
        <v>191713</v>
      </c>
    </row>
    <row r="82" spans="1:13" ht="15" thickBot="1">
      <c r="A82" s="3827" t="s">
        <v>1580</v>
      </c>
      <c r="B82" s="4342">
        <f>+B81+C81</f>
        <v>134348</v>
      </c>
      <c r="C82" s="4343"/>
      <c r="D82" s="4342">
        <f>+D81+E81</f>
        <v>117136</v>
      </c>
      <c r="E82" s="4343"/>
      <c r="F82" s="4342">
        <f>+F81+G81</f>
        <v>62793</v>
      </c>
      <c r="G82" s="4343"/>
      <c r="H82" s="4342">
        <f>+H81+I81</f>
        <v>25402</v>
      </c>
      <c r="I82" s="4343"/>
      <c r="J82" s="4388"/>
      <c r="K82" s="4388"/>
      <c r="L82" s="4344">
        <f>SUM(B82:I82)</f>
        <v>339679</v>
      </c>
      <c r="M82" s="4345"/>
    </row>
    <row r="83" spans="1:13">
      <c r="A83" s="229" t="s">
        <v>1581</v>
      </c>
      <c r="B83" s="3775"/>
      <c r="C83" s="3775"/>
      <c r="D83" s="3775"/>
      <c r="E83" s="3775"/>
    </row>
    <row r="84" spans="1:13">
      <c r="A84" s="229" t="s">
        <v>1582</v>
      </c>
      <c r="B84" s="3775"/>
      <c r="C84" s="3775"/>
      <c r="D84" s="3775"/>
      <c r="E84" s="3775"/>
    </row>
  </sheetData>
  <mergeCells count="8">
    <mergeCell ref="A5:A6"/>
    <mergeCell ref="A36:A37"/>
    <mergeCell ref="L62:M62"/>
    <mergeCell ref="A62:A63"/>
    <mergeCell ref="B62:C62"/>
    <mergeCell ref="D62:E62"/>
    <mergeCell ref="F62:G62"/>
    <mergeCell ref="H62:I62"/>
  </mergeCells>
  <pageMargins left="0.70866141732283472" right="0.70866141732283472" top="0.74803149606299213" bottom="0.74803149606299213" header="0.31496062992125984" footer="0.31496062992125984"/>
  <pageSetup paperSize="9" scale="37" orientation="landscape" verticalDpi="597"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807C3F-642D-462B-A29B-5E0AE5041FC0}">
  <dimension ref="A1:K162"/>
  <sheetViews>
    <sheetView topLeftCell="G1" zoomScale="70" zoomScaleNormal="70" workbookViewId="0">
      <selection activeCell="K16" sqref="K16"/>
    </sheetView>
  </sheetViews>
  <sheetFormatPr baseColWidth="10" defaultRowHeight="14.4"/>
  <cols>
    <col min="1" max="1" width="7.5546875" style="2977" customWidth="1"/>
    <col min="2" max="2" width="33.6640625" customWidth="1"/>
    <col min="3" max="3" width="20.44140625" customWidth="1"/>
    <col min="5" max="5" width="22.6640625" customWidth="1"/>
    <col min="7" max="7" width="22.5546875" customWidth="1"/>
    <col min="8" max="8" width="24.44140625" customWidth="1"/>
    <col min="9" max="9" width="4.5546875" customWidth="1"/>
    <col min="10" max="10" width="23.44140625" hidden="1" customWidth="1"/>
    <col min="11" max="11" width="15.5546875" style="2975" customWidth="1"/>
    <col min="12" max="12" width="16" customWidth="1"/>
    <col min="13" max="28" width="3.109375" customWidth="1"/>
    <col min="29" max="31" width="4.109375" customWidth="1"/>
    <col min="32" max="32" width="11" customWidth="1"/>
    <col min="33" max="33" width="12.5546875" bestFit="1" customWidth="1"/>
  </cols>
  <sheetData>
    <row r="1" spans="1:11">
      <c r="A1" s="4004" t="s">
        <v>1108</v>
      </c>
    </row>
    <row r="2" spans="1:11">
      <c r="C2" s="4005"/>
      <c r="D2" t="s">
        <v>1608</v>
      </c>
      <c r="G2" s="4010" t="s">
        <v>1609</v>
      </c>
      <c r="H2" t="s">
        <v>1614</v>
      </c>
      <c r="J2" s="4010" t="s">
        <v>1609</v>
      </c>
      <c r="K2" s="4006" t="s">
        <v>1610</v>
      </c>
    </row>
    <row r="3" spans="1:11">
      <c r="A3" s="2977" t="s">
        <v>196</v>
      </c>
      <c r="B3" t="s">
        <v>1609</v>
      </c>
      <c r="C3" t="s">
        <v>606</v>
      </c>
      <c r="D3" t="s">
        <v>1611</v>
      </c>
      <c r="E3" t="s">
        <v>607</v>
      </c>
    </row>
    <row r="4" spans="1:11">
      <c r="A4" s="2977">
        <v>2016</v>
      </c>
      <c r="B4" t="s">
        <v>1610</v>
      </c>
      <c r="C4" t="s">
        <v>608</v>
      </c>
      <c r="D4">
        <v>1</v>
      </c>
      <c r="E4">
        <v>103</v>
      </c>
      <c r="G4" s="4007" t="s">
        <v>1612</v>
      </c>
      <c r="H4" s="2977" t="s">
        <v>476</v>
      </c>
      <c r="J4" s="4010" t="s">
        <v>1612</v>
      </c>
      <c r="K4" s="2975" t="s">
        <v>1613</v>
      </c>
    </row>
    <row r="5" spans="1:11">
      <c r="A5" s="2977">
        <v>2016</v>
      </c>
      <c r="B5" t="s">
        <v>1610</v>
      </c>
      <c r="C5" t="s">
        <v>609</v>
      </c>
      <c r="D5">
        <v>2</v>
      </c>
      <c r="E5">
        <v>76</v>
      </c>
      <c r="G5" s="4008" t="s">
        <v>608</v>
      </c>
      <c r="H5" s="4011">
        <v>133</v>
      </c>
      <c r="J5" s="4008" t="s">
        <v>608</v>
      </c>
      <c r="K5" s="4012">
        <v>1</v>
      </c>
    </row>
    <row r="6" spans="1:11">
      <c r="A6" s="2977">
        <v>2016</v>
      </c>
      <c r="B6" t="s">
        <v>1610</v>
      </c>
      <c r="C6" t="s">
        <v>611</v>
      </c>
      <c r="D6">
        <v>4</v>
      </c>
      <c r="E6">
        <v>63</v>
      </c>
      <c r="G6" s="4008" t="s">
        <v>609</v>
      </c>
      <c r="H6" s="4011">
        <v>67</v>
      </c>
      <c r="J6" s="4008" t="s">
        <v>609</v>
      </c>
      <c r="K6" s="4012">
        <v>2</v>
      </c>
    </row>
    <row r="7" spans="1:11">
      <c r="A7" s="2977">
        <v>2016</v>
      </c>
      <c r="B7" t="s">
        <v>1610</v>
      </c>
      <c r="C7" t="s">
        <v>610</v>
      </c>
      <c r="D7">
        <v>3</v>
      </c>
      <c r="E7">
        <v>64</v>
      </c>
      <c r="G7" s="4008" t="s">
        <v>610</v>
      </c>
      <c r="H7" s="4011">
        <v>66</v>
      </c>
      <c r="J7" s="4008" t="s">
        <v>611</v>
      </c>
      <c r="K7" s="4012">
        <v>3</v>
      </c>
    </row>
    <row r="8" spans="1:11">
      <c r="A8" s="2977">
        <v>2016</v>
      </c>
      <c r="B8" t="s">
        <v>1610</v>
      </c>
      <c r="C8" t="s">
        <v>614</v>
      </c>
      <c r="D8">
        <v>7</v>
      </c>
      <c r="E8">
        <v>45</v>
      </c>
      <c r="G8" s="4008" t="s">
        <v>611</v>
      </c>
      <c r="H8" s="4011">
        <v>63</v>
      </c>
      <c r="J8" s="4008" t="s">
        <v>610</v>
      </c>
      <c r="K8" s="4012">
        <v>4</v>
      </c>
    </row>
    <row r="9" spans="1:11">
      <c r="A9" s="2977">
        <v>2016</v>
      </c>
      <c r="B9" t="s">
        <v>1610</v>
      </c>
      <c r="C9" t="s">
        <v>613</v>
      </c>
      <c r="D9">
        <v>6</v>
      </c>
      <c r="E9">
        <v>46</v>
      </c>
      <c r="G9" s="4008" t="s">
        <v>614</v>
      </c>
      <c r="H9" s="4011">
        <v>56</v>
      </c>
      <c r="J9" s="4008" t="s">
        <v>13</v>
      </c>
      <c r="K9" s="4012">
        <v>5</v>
      </c>
    </row>
    <row r="10" spans="1:11">
      <c r="A10" s="2977">
        <v>2016</v>
      </c>
      <c r="B10" t="s">
        <v>1610</v>
      </c>
      <c r="C10" t="s">
        <v>612</v>
      </c>
      <c r="D10">
        <v>5</v>
      </c>
      <c r="E10">
        <v>48</v>
      </c>
      <c r="G10" s="4008" t="s">
        <v>613</v>
      </c>
      <c r="H10" s="4011">
        <v>53</v>
      </c>
      <c r="J10" s="4008" t="s">
        <v>614</v>
      </c>
      <c r="K10" s="4012">
        <v>6</v>
      </c>
    </row>
    <row r="11" spans="1:11">
      <c r="A11" s="2977">
        <v>2016</v>
      </c>
      <c r="B11" t="s">
        <v>1610</v>
      </c>
      <c r="C11" t="s">
        <v>616</v>
      </c>
      <c r="D11">
        <v>9</v>
      </c>
      <c r="E11">
        <v>32</v>
      </c>
      <c r="G11" s="4008" t="s">
        <v>13</v>
      </c>
      <c r="H11" s="4011">
        <v>42</v>
      </c>
      <c r="J11" s="4008" t="s">
        <v>613</v>
      </c>
      <c r="K11" s="4012">
        <v>7</v>
      </c>
    </row>
    <row r="12" spans="1:11">
      <c r="A12" s="2977">
        <v>2016</v>
      </c>
      <c r="B12" t="s">
        <v>1610</v>
      </c>
      <c r="C12" t="s">
        <v>615</v>
      </c>
      <c r="D12">
        <v>8</v>
      </c>
      <c r="E12">
        <v>42</v>
      </c>
      <c r="G12" s="4008" t="s">
        <v>616</v>
      </c>
      <c r="H12" s="4011">
        <v>39</v>
      </c>
      <c r="J12" s="4008" t="s">
        <v>612</v>
      </c>
      <c r="K12" s="4012">
        <v>8</v>
      </c>
    </row>
    <row r="13" spans="1:11">
      <c r="A13" s="2977">
        <v>2016</v>
      </c>
      <c r="B13" t="s">
        <v>1610</v>
      </c>
      <c r="C13" t="s">
        <v>204</v>
      </c>
      <c r="D13">
        <v>10</v>
      </c>
      <c r="E13">
        <v>24</v>
      </c>
      <c r="G13" s="4008" t="s">
        <v>612</v>
      </c>
      <c r="H13" s="4011">
        <v>39</v>
      </c>
      <c r="J13" s="4008" t="s">
        <v>616</v>
      </c>
      <c r="K13" s="4012">
        <v>9</v>
      </c>
    </row>
    <row r="14" spans="1:11">
      <c r="A14" s="2977">
        <v>2016</v>
      </c>
      <c r="B14" t="s">
        <v>1610</v>
      </c>
      <c r="C14" t="s">
        <v>357</v>
      </c>
      <c r="D14">
        <v>24</v>
      </c>
      <c r="G14" s="4008" t="s">
        <v>619</v>
      </c>
      <c r="H14" s="4011">
        <v>37</v>
      </c>
      <c r="J14" s="4008" t="s">
        <v>1373</v>
      </c>
      <c r="K14" s="4012">
        <v>10</v>
      </c>
    </row>
    <row r="15" spans="1:11">
      <c r="A15" s="2977">
        <v>2017</v>
      </c>
      <c r="B15" t="s">
        <v>1610</v>
      </c>
      <c r="C15" t="s">
        <v>608</v>
      </c>
      <c r="D15">
        <v>1</v>
      </c>
      <c r="E15">
        <v>131</v>
      </c>
      <c r="G15" s="4008" t="s">
        <v>1374</v>
      </c>
      <c r="H15" s="4011">
        <v>34</v>
      </c>
      <c r="J15" s="4008" t="s">
        <v>615</v>
      </c>
      <c r="K15" s="4012">
        <v>11</v>
      </c>
    </row>
    <row r="16" spans="1:11">
      <c r="A16" s="2977">
        <v>2017</v>
      </c>
      <c r="B16" t="s">
        <v>1610</v>
      </c>
      <c r="C16" t="s">
        <v>609</v>
      </c>
      <c r="D16">
        <v>2</v>
      </c>
      <c r="E16">
        <v>74</v>
      </c>
      <c r="G16" s="4009" t="s">
        <v>204</v>
      </c>
      <c r="H16" s="4011">
        <v>33</v>
      </c>
      <c r="J16" s="4008" t="s">
        <v>1374</v>
      </c>
      <c r="K16" s="4012">
        <v>12</v>
      </c>
    </row>
    <row r="17" spans="1:11">
      <c r="A17" s="2977">
        <v>2017</v>
      </c>
      <c r="B17" t="s">
        <v>1610</v>
      </c>
      <c r="C17" t="s">
        <v>611</v>
      </c>
      <c r="D17">
        <v>4</v>
      </c>
      <c r="E17">
        <v>55</v>
      </c>
      <c r="G17" s="4008" t="s">
        <v>1113</v>
      </c>
      <c r="H17" s="4011">
        <v>29</v>
      </c>
      <c r="J17" s="4009" t="s">
        <v>204</v>
      </c>
      <c r="K17" s="4012">
        <v>13</v>
      </c>
    </row>
    <row r="18" spans="1:11">
      <c r="A18" s="2977">
        <v>2017</v>
      </c>
      <c r="B18" t="s">
        <v>1610</v>
      </c>
      <c r="C18" t="s">
        <v>610</v>
      </c>
      <c r="D18">
        <v>3</v>
      </c>
      <c r="E18">
        <v>66</v>
      </c>
      <c r="G18" s="4008" t="s">
        <v>617</v>
      </c>
      <c r="H18" s="4011">
        <v>26</v>
      </c>
      <c r="J18" s="4008" t="s">
        <v>357</v>
      </c>
      <c r="K18" s="4012">
        <v>14</v>
      </c>
    </row>
    <row r="19" spans="1:11">
      <c r="A19" s="2977">
        <v>2017</v>
      </c>
      <c r="B19" t="s">
        <v>1610</v>
      </c>
      <c r="C19" t="s">
        <v>614</v>
      </c>
      <c r="D19">
        <v>5</v>
      </c>
      <c r="E19">
        <v>52</v>
      </c>
      <c r="G19" s="4008" t="s">
        <v>618</v>
      </c>
      <c r="H19" s="4011">
        <v>25</v>
      </c>
      <c r="J19" s="4008" t="s">
        <v>350</v>
      </c>
      <c r="K19" s="4012">
        <v>15</v>
      </c>
    </row>
    <row r="20" spans="1:11">
      <c r="A20" s="2977">
        <v>2017</v>
      </c>
      <c r="B20" t="s">
        <v>1610</v>
      </c>
      <c r="C20" t="s">
        <v>613</v>
      </c>
      <c r="D20">
        <v>6</v>
      </c>
      <c r="E20">
        <v>48</v>
      </c>
      <c r="G20" s="4008" t="s">
        <v>1375</v>
      </c>
      <c r="H20" s="4011">
        <v>15</v>
      </c>
      <c r="J20" s="4008" t="s">
        <v>53</v>
      </c>
      <c r="K20" s="4012">
        <v>15</v>
      </c>
    </row>
    <row r="21" spans="1:11">
      <c r="A21" s="2977">
        <v>2017</v>
      </c>
      <c r="B21" t="s">
        <v>1610</v>
      </c>
      <c r="C21" t="s">
        <v>612</v>
      </c>
      <c r="D21">
        <v>7</v>
      </c>
      <c r="E21">
        <v>40</v>
      </c>
      <c r="G21" s="4008" t="s">
        <v>357</v>
      </c>
      <c r="H21" s="4011">
        <v>15</v>
      </c>
    </row>
    <row r="22" spans="1:11">
      <c r="A22" s="2977">
        <v>2017</v>
      </c>
      <c r="B22" t="s">
        <v>1610</v>
      </c>
      <c r="C22" t="s">
        <v>616</v>
      </c>
      <c r="D22">
        <v>8</v>
      </c>
      <c r="E22">
        <v>35</v>
      </c>
      <c r="G22" s="4008" t="s">
        <v>350</v>
      </c>
      <c r="H22" s="4011">
        <v>13</v>
      </c>
    </row>
    <row r="23" spans="1:11">
      <c r="A23" s="2977">
        <v>2017</v>
      </c>
      <c r="B23" t="s">
        <v>1610</v>
      </c>
      <c r="C23" t="s">
        <v>615</v>
      </c>
      <c r="D23">
        <v>10</v>
      </c>
      <c r="E23">
        <v>23</v>
      </c>
      <c r="G23" s="4008" t="s">
        <v>53</v>
      </c>
      <c r="H23" s="4011">
        <v>785</v>
      </c>
    </row>
    <row r="24" spans="1:11">
      <c r="A24" s="2977">
        <v>2017</v>
      </c>
      <c r="B24" t="s">
        <v>1610</v>
      </c>
      <c r="C24" t="s">
        <v>204</v>
      </c>
      <c r="D24">
        <v>9</v>
      </c>
      <c r="E24">
        <v>25</v>
      </c>
    </row>
    <row r="25" spans="1:11">
      <c r="A25" s="2977">
        <v>2018</v>
      </c>
      <c r="B25" t="s">
        <v>1610</v>
      </c>
      <c r="C25" t="s">
        <v>608</v>
      </c>
      <c r="D25">
        <v>1</v>
      </c>
      <c r="E25">
        <v>133</v>
      </c>
    </row>
    <row r="26" spans="1:11">
      <c r="A26" s="2977">
        <v>2018</v>
      </c>
      <c r="B26" t="s">
        <v>1610</v>
      </c>
      <c r="C26" t="s">
        <v>609</v>
      </c>
      <c r="D26">
        <v>2</v>
      </c>
      <c r="E26">
        <v>67</v>
      </c>
    </row>
    <row r="27" spans="1:11">
      <c r="A27" s="2977">
        <v>2018</v>
      </c>
      <c r="B27" t="s">
        <v>1610</v>
      </c>
      <c r="C27" t="s">
        <v>611</v>
      </c>
      <c r="D27">
        <v>3</v>
      </c>
      <c r="E27">
        <v>60</v>
      </c>
    </row>
    <row r="28" spans="1:11">
      <c r="A28" s="2977">
        <v>2018</v>
      </c>
      <c r="B28" t="s">
        <v>1610</v>
      </c>
      <c r="C28" t="s">
        <v>610</v>
      </c>
      <c r="D28">
        <v>4</v>
      </c>
      <c r="E28">
        <v>59</v>
      </c>
    </row>
    <row r="29" spans="1:11">
      <c r="A29" s="2977">
        <v>2018</v>
      </c>
      <c r="B29" t="s">
        <v>1610</v>
      </c>
      <c r="C29" t="s">
        <v>13</v>
      </c>
      <c r="D29">
        <v>5</v>
      </c>
      <c r="E29">
        <v>48</v>
      </c>
    </row>
    <row r="30" spans="1:11">
      <c r="A30" s="2977">
        <v>2018</v>
      </c>
      <c r="B30" t="s">
        <v>1610</v>
      </c>
      <c r="C30" t="s">
        <v>614</v>
      </c>
      <c r="D30">
        <v>6</v>
      </c>
      <c r="E30">
        <v>46</v>
      </c>
    </row>
    <row r="31" spans="1:11">
      <c r="A31" s="2977">
        <v>2018</v>
      </c>
      <c r="B31" t="s">
        <v>1610</v>
      </c>
      <c r="C31" t="s">
        <v>613</v>
      </c>
      <c r="D31">
        <v>6</v>
      </c>
      <c r="E31">
        <v>46</v>
      </c>
    </row>
    <row r="32" spans="1:11">
      <c r="A32" s="2977">
        <v>2018</v>
      </c>
      <c r="B32" t="s">
        <v>1610</v>
      </c>
      <c r="C32" t="s">
        <v>612</v>
      </c>
      <c r="D32">
        <v>8</v>
      </c>
      <c r="E32">
        <v>42</v>
      </c>
    </row>
    <row r="33" spans="1:5">
      <c r="A33" s="2977">
        <v>2018</v>
      </c>
      <c r="B33" t="s">
        <v>1610</v>
      </c>
      <c r="C33" t="s">
        <v>616</v>
      </c>
      <c r="D33">
        <v>9</v>
      </c>
      <c r="E33">
        <v>35</v>
      </c>
    </row>
    <row r="34" spans="1:5">
      <c r="A34" s="2977">
        <v>2018</v>
      </c>
      <c r="B34" t="s">
        <v>1610</v>
      </c>
      <c r="C34" t="s">
        <v>1373</v>
      </c>
      <c r="D34">
        <v>10</v>
      </c>
      <c r="E34">
        <v>32</v>
      </c>
    </row>
    <row r="35" spans="1:5">
      <c r="A35" s="2977">
        <v>2018</v>
      </c>
      <c r="B35" t="s">
        <v>1610</v>
      </c>
      <c r="C35" t="s">
        <v>615</v>
      </c>
      <c r="D35">
        <v>11</v>
      </c>
      <c r="E35">
        <v>25</v>
      </c>
    </row>
    <row r="36" spans="1:5">
      <c r="A36" s="2977">
        <v>2018</v>
      </c>
      <c r="B36" t="s">
        <v>1610</v>
      </c>
      <c r="C36" t="s">
        <v>1374</v>
      </c>
      <c r="D36">
        <v>12</v>
      </c>
      <c r="E36">
        <v>23</v>
      </c>
    </row>
    <row r="37" spans="1:5">
      <c r="A37" s="2977">
        <v>2018</v>
      </c>
      <c r="B37" t="s">
        <v>1610</v>
      </c>
      <c r="C37" t="s">
        <v>204</v>
      </c>
      <c r="D37">
        <v>13</v>
      </c>
      <c r="E37">
        <v>21</v>
      </c>
    </row>
    <row r="38" spans="1:5">
      <c r="A38" s="2977">
        <v>2018</v>
      </c>
      <c r="B38" t="s">
        <v>1610</v>
      </c>
      <c r="C38" t="s">
        <v>357</v>
      </c>
      <c r="D38">
        <v>16</v>
      </c>
      <c r="E38">
        <v>20</v>
      </c>
    </row>
    <row r="39" spans="1:5">
      <c r="A39" s="2977">
        <v>2018</v>
      </c>
      <c r="B39" t="s">
        <v>1610</v>
      </c>
      <c r="C39" t="s">
        <v>350</v>
      </c>
      <c r="D39">
        <v>46</v>
      </c>
      <c r="E39">
        <v>5</v>
      </c>
    </row>
    <row r="40" spans="1:5">
      <c r="A40" s="2977">
        <v>2016</v>
      </c>
      <c r="B40" t="s">
        <v>1614</v>
      </c>
      <c r="C40" t="s">
        <v>608</v>
      </c>
      <c r="D40">
        <v>1</v>
      </c>
      <c r="E40">
        <v>103</v>
      </c>
    </row>
    <row r="41" spans="1:5">
      <c r="A41" s="2977">
        <v>2016</v>
      </c>
      <c r="B41" t="s">
        <v>1614</v>
      </c>
      <c r="C41" t="s">
        <v>609</v>
      </c>
      <c r="D41">
        <v>2</v>
      </c>
      <c r="E41">
        <v>76</v>
      </c>
    </row>
    <row r="42" spans="1:5">
      <c r="A42" s="2977">
        <v>2016</v>
      </c>
      <c r="B42" t="s">
        <v>1614</v>
      </c>
      <c r="C42" t="s">
        <v>610</v>
      </c>
      <c r="D42">
        <v>3</v>
      </c>
      <c r="E42">
        <v>64</v>
      </c>
    </row>
    <row r="43" spans="1:5">
      <c r="A43" s="2977">
        <v>2016</v>
      </c>
      <c r="B43" t="s">
        <v>1614</v>
      </c>
      <c r="C43" t="s">
        <v>611</v>
      </c>
      <c r="D43">
        <v>5</v>
      </c>
      <c r="E43">
        <v>63</v>
      </c>
    </row>
    <row r="44" spans="1:5">
      <c r="A44" s="2977">
        <v>2016</v>
      </c>
      <c r="B44" t="s">
        <v>1614</v>
      </c>
      <c r="C44" t="s">
        <v>614</v>
      </c>
      <c r="D44">
        <v>8</v>
      </c>
      <c r="E44">
        <v>45</v>
      </c>
    </row>
    <row r="45" spans="1:5">
      <c r="A45" s="2977">
        <v>2016</v>
      </c>
      <c r="B45" t="s">
        <v>1614</v>
      </c>
      <c r="C45" t="s">
        <v>613</v>
      </c>
      <c r="D45">
        <v>7</v>
      </c>
      <c r="E45">
        <v>46</v>
      </c>
    </row>
    <row r="46" spans="1:5">
      <c r="A46" s="2977">
        <v>2016</v>
      </c>
      <c r="B46" t="s">
        <v>1614</v>
      </c>
      <c r="C46" t="s">
        <v>13</v>
      </c>
      <c r="D46">
        <v>9</v>
      </c>
      <c r="E46">
        <v>44</v>
      </c>
    </row>
    <row r="47" spans="1:5">
      <c r="A47" s="2977">
        <v>2016</v>
      </c>
      <c r="B47" t="s">
        <v>1614</v>
      </c>
      <c r="C47" t="s">
        <v>612</v>
      </c>
      <c r="D47">
        <v>6</v>
      </c>
      <c r="E47">
        <v>48</v>
      </c>
    </row>
    <row r="48" spans="1:5">
      <c r="A48" s="2977">
        <v>2016</v>
      </c>
      <c r="B48" t="s">
        <v>1614</v>
      </c>
      <c r="C48" t="s">
        <v>616</v>
      </c>
      <c r="D48">
        <v>12</v>
      </c>
      <c r="E48">
        <v>32</v>
      </c>
    </row>
    <row r="49" spans="1:5">
      <c r="A49" s="2977">
        <v>2016</v>
      </c>
      <c r="B49" t="s">
        <v>1614</v>
      </c>
      <c r="C49" t="s">
        <v>619</v>
      </c>
      <c r="D49">
        <v>11</v>
      </c>
      <c r="E49">
        <v>38</v>
      </c>
    </row>
    <row r="50" spans="1:5">
      <c r="A50" s="2977">
        <v>2016</v>
      </c>
      <c r="B50" t="s">
        <v>1614</v>
      </c>
      <c r="C50" t="s">
        <v>204</v>
      </c>
      <c r="D50">
        <v>13</v>
      </c>
      <c r="E50">
        <v>24</v>
      </c>
    </row>
    <row r="51" spans="1:5">
      <c r="A51" s="2977">
        <v>2016</v>
      </c>
      <c r="B51" t="s">
        <v>1614</v>
      </c>
      <c r="C51" t="s">
        <v>617</v>
      </c>
      <c r="D51">
        <v>4</v>
      </c>
      <c r="E51">
        <v>64</v>
      </c>
    </row>
    <row r="52" spans="1:5">
      <c r="A52" s="2977">
        <v>2016</v>
      </c>
      <c r="B52" t="s">
        <v>1614</v>
      </c>
      <c r="C52" t="s">
        <v>618</v>
      </c>
      <c r="D52">
        <v>10</v>
      </c>
      <c r="E52">
        <v>42</v>
      </c>
    </row>
    <row r="53" spans="1:5">
      <c r="A53" s="2977">
        <v>2016</v>
      </c>
      <c r="B53" t="s">
        <v>1614</v>
      </c>
      <c r="C53" t="s">
        <v>357</v>
      </c>
      <c r="D53">
        <v>37</v>
      </c>
    </row>
    <row r="54" spans="1:5">
      <c r="A54" s="2977">
        <v>2017</v>
      </c>
      <c r="B54" t="s">
        <v>1614</v>
      </c>
      <c r="C54" t="s">
        <v>608</v>
      </c>
      <c r="D54">
        <v>1</v>
      </c>
      <c r="E54">
        <v>131</v>
      </c>
    </row>
    <row r="55" spans="1:5">
      <c r="A55" s="2977">
        <v>2017</v>
      </c>
      <c r="B55" t="s">
        <v>1614</v>
      </c>
      <c r="C55" t="s">
        <v>609</v>
      </c>
      <c r="D55">
        <v>2</v>
      </c>
      <c r="E55">
        <v>74</v>
      </c>
    </row>
    <row r="56" spans="1:5">
      <c r="A56" s="2977">
        <v>2017</v>
      </c>
      <c r="B56" t="s">
        <v>1614</v>
      </c>
      <c r="C56" t="s">
        <v>610</v>
      </c>
      <c r="D56">
        <v>3</v>
      </c>
      <c r="E56">
        <v>66</v>
      </c>
    </row>
    <row r="57" spans="1:5">
      <c r="A57" s="2977">
        <v>2017</v>
      </c>
      <c r="B57" t="s">
        <v>1614</v>
      </c>
      <c r="C57" t="s">
        <v>611</v>
      </c>
      <c r="D57">
        <v>4</v>
      </c>
      <c r="E57">
        <v>55</v>
      </c>
    </row>
    <row r="58" spans="1:5">
      <c r="A58" s="2977">
        <v>2017</v>
      </c>
      <c r="B58" t="s">
        <v>1614</v>
      </c>
      <c r="C58" t="s">
        <v>614</v>
      </c>
      <c r="D58">
        <v>5</v>
      </c>
      <c r="E58">
        <v>52</v>
      </c>
    </row>
    <row r="59" spans="1:5">
      <c r="A59" s="2977">
        <v>2017</v>
      </c>
      <c r="B59" t="s">
        <v>1614</v>
      </c>
      <c r="C59" t="s">
        <v>613</v>
      </c>
      <c r="D59">
        <v>6</v>
      </c>
      <c r="E59">
        <v>48</v>
      </c>
    </row>
    <row r="60" spans="1:5">
      <c r="A60" s="2977">
        <v>2017</v>
      </c>
      <c r="B60" t="s">
        <v>1614</v>
      </c>
      <c r="C60" t="s">
        <v>13</v>
      </c>
      <c r="D60">
        <v>7</v>
      </c>
      <c r="E60">
        <v>42</v>
      </c>
    </row>
    <row r="61" spans="1:5">
      <c r="A61" s="2977">
        <v>2017</v>
      </c>
      <c r="B61" t="s">
        <v>1614</v>
      </c>
      <c r="C61" t="s">
        <v>612</v>
      </c>
      <c r="D61">
        <v>8</v>
      </c>
      <c r="E61">
        <v>40</v>
      </c>
    </row>
    <row r="62" spans="1:5">
      <c r="A62" s="2977">
        <v>2017</v>
      </c>
      <c r="B62" t="s">
        <v>1614</v>
      </c>
      <c r="C62" t="s">
        <v>616</v>
      </c>
      <c r="D62">
        <v>9</v>
      </c>
      <c r="E62">
        <v>35</v>
      </c>
    </row>
    <row r="63" spans="1:5">
      <c r="A63" s="2977">
        <v>2017</v>
      </c>
      <c r="B63" t="s">
        <v>1614</v>
      </c>
      <c r="C63" t="s">
        <v>619</v>
      </c>
      <c r="D63">
        <v>10</v>
      </c>
      <c r="E63">
        <v>30</v>
      </c>
    </row>
    <row r="64" spans="1:5">
      <c r="A64" s="2977">
        <v>2017</v>
      </c>
      <c r="B64" t="s">
        <v>1614</v>
      </c>
      <c r="C64" t="s">
        <v>204</v>
      </c>
      <c r="D64">
        <v>11</v>
      </c>
      <c r="E64">
        <v>25</v>
      </c>
    </row>
    <row r="65" spans="1:5">
      <c r="A65" s="2977">
        <v>2017</v>
      </c>
      <c r="B65" t="s">
        <v>1614</v>
      </c>
      <c r="C65" t="s">
        <v>1113</v>
      </c>
      <c r="D65">
        <v>12</v>
      </c>
      <c r="E65">
        <v>25</v>
      </c>
    </row>
    <row r="66" spans="1:5">
      <c r="A66" s="2977">
        <v>2018</v>
      </c>
      <c r="B66" t="s">
        <v>1614</v>
      </c>
      <c r="C66" t="s">
        <v>608</v>
      </c>
      <c r="D66">
        <v>1</v>
      </c>
      <c r="E66">
        <v>133</v>
      </c>
    </row>
    <row r="67" spans="1:5">
      <c r="A67" s="2977">
        <v>2018</v>
      </c>
      <c r="B67" t="s">
        <v>1614</v>
      </c>
      <c r="C67" t="s">
        <v>609</v>
      </c>
      <c r="D67">
        <v>2</v>
      </c>
      <c r="E67">
        <v>67</v>
      </c>
    </row>
    <row r="68" spans="1:5">
      <c r="A68" s="2977">
        <v>2018</v>
      </c>
      <c r="B68" t="s">
        <v>1614</v>
      </c>
      <c r="C68" t="s">
        <v>610</v>
      </c>
      <c r="D68">
        <v>4</v>
      </c>
      <c r="E68">
        <v>59</v>
      </c>
    </row>
    <row r="69" spans="1:5">
      <c r="A69" s="2977">
        <v>2018</v>
      </c>
      <c r="B69" t="s">
        <v>1614</v>
      </c>
      <c r="C69" t="s">
        <v>611</v>
      </c>
      <c r="D69">
        <v>3</v>
      </c>
      <c r="E69">
        <v>60</v>
      </c>
    </row>
    <row r="70" spans="1:5">
      <c r="A70" s="2977">
        <v>2018</v>
      </c>
      <c r="B70" t="s">
        <v>1614</v>
      </c>
      <c r="C70" t="s">
        <v>614</v>
      </c>
      <c r="D70">
        <v>7</v>
      </c>
      <c r="E70">
        <v>46</v>
      </c>
    </row>
    <row r="71" spans="1:5">
      <c r="A71" s="2977">
        <v>2018</v>
      </c>
      <c r="B71" t="s">
        <v>1614</v>
      </c>
      <c r="C71" t="s">
        <v>613</v>
      </c>
      <c r="D71">
        <v>8</v>
      </c>
      <c r="E71">
        <v>46</v>
      </c>
    </row>
    <row r="72" spans="1:5">
      <c r="A72" s="2977">
        <v>2018</v>
      </c>
      <c r="B72" t="s">
        <v>1614</v>
      </c>
      <c r="C72" t="s">
        <v>13</v>
      </c>
      <c r="D72">
        <v>6</v>
      </c>
      <c r="E72">
        <v>48</v>
      </c>
    </row>
    <row r="73" spans="1:5">
      <c r="A73" s="2977">
        <v>2018</v>
      </c>
      <c r="B73" t="s">
        <v>1614</v>
      </c>
      <c r="C73" t="s">
        <v>612</v>
      </c>
      <c r="D73">
        <v>9</v>
      </c>
      <c r="E73">
        <v>42</v>
      </c>
    </row>
    <row r="74" spans="1:5">
      <c r="A74" s="2977">
        <v>2018</v>
      </c>
      <c r="B74" t="s">
        <v>1614</v>
      </c>
      <c r="C74" t="s">
        <v>616</v>
      </c>
      <c r="D74">
        <v>10</v>
      </c>
      <c r="E74">
        <v>35</v>
      </c>
    </row>
    <row r="75" spans="1:5">
      <c r="A75" s="2977">
        <v>2018</v>
      </c>
      <c r="B75" t="s">
        <v>1614</v>
      </c>
      <c r="C75" t="s">
        <v>619</v>
      </c>
      <c r="D75">
        <v>11</v>
      </c>
      <c r="E75">
        <v>32</v>
      </c>
    </row>
    <row r="76" spans="1:5">
      <c r="A76" s="2977">
        <v>2018</v>
      </c>
      <c r="B76" t="s">
        <v>1614</v>
      </c>
      <c r="C76" t="s">
        <v>1374</v>
      </c>
      <c r="D76">
        <v>13</v>
      </c>
      <c r="E76">
        <v>23</v>
      </c>
    </row>
    <row r="77" spans="1:5">
      <c r="A77" s="2977">
        <v>2018</v>
      </c>
      <c r="B77" t="s">
        <v>1614</v>
      </c>
      <c r="C77" t="s">
        <v>204</v>
      </c>
      <c r="D77">
        <v>14</v>
      </c>
      <c r="E77">
        <v>21</v>
      </c>
    </row>
    <row r="78" spans="1:5">
      <c r="A78" s="2977">
        <v>2018</v>
      </c>
      <c r="B78" t="s">
        <v>1614</v>
      </c>
      <c r="C78" t="s">
        <v>1113</v>
      </c>
      <c r="D78">
        <v>17</v>
      </c>
      <c r="E78">
        <v>14</v>
      </c>
    </row>
    <row r="79" spans="1:5">
      <c r="A79" s="2977">
        <v>2018</v>
      </c>
      <c r="B79" t="s">
        <v>1614</v>
      </c>
      <c r="C79" t="s">
        <v>617</v>
      </c>
      <c r="D79">
        <v>5</v>
      </c>
      <c r="E79">
        <v>53</v>
      </c>
    </row>
    <row r="80" spans="1:5">
      <c r="A80" s="2977">
        <v>2018</v>
      </c>
      <c r="B80" t="s">
        <v>1614</v>
      </c>
      <c r="C80" t="s">
        <v>618</v>
      </c>
      <c r="D80">
        <v>12</v>
      </c>
      <c r="E80">
        <v>25</v>
      </c>
    </row>
    <row r="81" spans="1:5">
      <c r="A81" s="2977">
        <v>2018</v>
      </c>
      <c r="B81" t="s">
        <v>1614</v>
      </c>
      <c r="C81" t="s">
        <v>357</v>
      </c>
      <c r="D81">
        <v>15</v>
      </c>
      <c r="E81">
        <v>20</v>
      </c>
    </row>
    <row r="82" spans="1:5">
      <c r="A82" s="2977">
        <v>2018</v>
      </c>
      <c r="B82" t="s">
        <v>1614</v>
      </c>
      <c r="C82" t="s">
        <v>1375</v>
      </c>
      <c r="D82">
        <v>16</v>
      </c>
      <c r="E82">
        <v>15</v>
      </c>
    </row>
    <row r="83" spans="1:5">
      <c r="A83" s="2977">
        <v>2018</v>
      </c>
      <c r="B83" t="s">
        <v>1614</v>
      </c>
      <c r="C83" t="s">
        <v>350</v>
      </c>
      <c r="D83">
        <v>38</v>
      </c>
      <c r="E83">
        <v>5</v>
      </c>
    </row>
    <row r="84" spans="1:5">
      <c r="A84" s="2977">
        <v>2016</v>
      </c>
      <c r="B84" t="s">
        <v>1615</v>
      </c>
      <c r="C84" t="s">
        <v>16</v>
      </c>
      <c r="D84">
        <v>1</v>
      </c>
    </row>
    <row r="85" spans="1:5">
      <c r="A85" s="2977">
        <v>2016</v>
      </c>
      <c r="B85" t="s">
        <v>1615</v>
      </c>
      <c r="C85" t="s">
        <v>10</v>
      </c>
      <c r="D85">
        <v>4</v>
      </c>
    </row>
    <row r="86" spans="1:5">
      <c r="A86" s="2977">
        <v>2016</v>
      </c>
      <c r="B86" t="s">
        <v>1615</v>
      </c>
      <c r="C86" t="s">
        <v>6</v>
      </c>
      <c r="D86">
        <v>3</v>
      </c>
    </row>
    <row r="87" spans="1:5">
      <c r="A87" s="2977">
        <v>2016</v>
      </c>
      <c r="B87" t="s">
        <v>1615</v>
      </c>
      <c r="C87" t="s">
        <v>622</v>
      </c>
      <c r="D87">
        <v>5</v>
      </c>
    </row>
    <row r="88" spans="1:5">
      <c r="A88" s="2977">
        <v>2016</v>
      </c>
      <c r="B88" t="s">
        <v>1615</v>
      </c>
      <c r="C88" t="s">
        <v>11</v>
      </c>
      <c r="D88">
        <v>6</v>
      </c>
    </row>
    <row r="89" spans="1:5">
      <c r="A89" s="2977">
        <v>2016</v>
      </c>
      <c r="B89" t="s">
        <v>1615</v>
      </c>
      <c r="C89" t="s">
        <v>24</v>
      </c>
      <c r="D89">
        <v>7</v>
      </c>
    </row>
    <row r="90" spans="1:5">
      <c r="A90" s="2977">
        <v>2016</v>
      </c>
      <c r="B90" t="s">
        <v>1615</v>
      </c>
      <c r="C90" t="s">
        <v>9</v>
      </c>
      <c r="D90">
        <v>11</v>
      </c>
    </row>
    <row r="91" spans="1:5">
      <c r="A91" s="2977">
        <v>2016</v>
      </c>
      <c r="B91" t="s">
        <v>1615</v>
      </c>
      <c r="C91" t="s">
        <v>623</v>
      </c>
      <c r="D91">
        <v>8</v>
      </c>
    </row>
    <row r="92" spans="1:5">
      <c r="A92" s="2977">
        <v>2016</v>
      </c>
      <c r="B92" t="s">
        <v>1615</v>
      </c>
      <c r="C92" t="s">
        <v>625</v>
      </c>
      <c r="D92">
        <v>10</v>
      </c>
    </row>
    <row r="93" spans="1:5">
      <c r="A93" s="2977">
        <v>2016</v>
      </c>
      <c r="B93" t="s">
        <v>1615</v>
      </c>
      <c r="C93" t="s">
        <v>624</v>
      </c>
      <c r="D93">
        <v>9</v>
      </c>
    </row>
    <row r="94" spans="1:5">
      <c r="A94" s="2977">
        <v>2016</v>
      </c>
      <c r="B94" t="s">
        <v>1615</v>
      </c>
      <c r="C94" t="s">
        <v>621</v>
      </c>
      <c r="D94">
        <v>2</v>
      </c>
    </row>
    <row r="95" spans="1:5">
      <c r="A95" s="2977">
        <v>2017</v>
      </c>
      <c r="B95" t="s">
        <v>1615</v>
      </c>
      <c r="C95" t="s">
        <v>16</v>
      </c>
      <c r="D95">
        <v>1</v>
      </c>
    </row>
    <row r="96" spans="1:5">
      <c r="A96" s="2977">
        <v>2017</v>
      </c>
      <c r="B96" t="s">
        <v>1615</v>
      </c>
      <c r="C96" t="s">
        <v>10</v>
      </c>
      <c r="D96">
        <v>2</v>
      </c>
    </row>
    <row r="97" spans="1:4">
      <c r="A97" s="2977">
        <v>2017</v>
      </c>
      <c r="B97" t="s">
        <v>1615</v>
      </c>
      <c r="C97" t="s">
        <v>6</v>
      </c>
      <c r="D97">
        <v>3</v>
      </c>
    </row>
    <row r="98" spans="1:4">
      <c r="A98" s="2977">
        <v>2017</v>
      </c>
      <c r="B98" t="s">
        <v>1615</v>
      </c>
      <c r="C98" t="s">
        <v>622</v>
      </c>
      <c r="D98">
        <v>4</v>
      </c>
    </row>
    <row r="99" spans="1:4">
      <c r="A99" s="2977">
        <v>2017</v>
      </c>
      <c r="B99" t="s">
        <v>1615</v>
      </c>
      <c r="C99" t="s">
        <v>11</v>
      </c>
      <c r="D99">
        <v>5</v>
      </c>
    </row>
    <row r="100" spans="1:4">
      <c r="A100" s="2977">
        <v>2017</v>
      </c>
      <c r="B100" t="s">
        <v>1615</v>
      </c>
      <c r="C100" t="s">
        <v>24</v>
      </c>
      <c r="D100">
        <v>6</v>
      </c>
    </row>
    <row r="101" spans="1:4">
      <c r="A101" s="2977">
        <v>2017</v>
      </c>
      <c r="B101" t="s">
        <v>1615</v>
      </c>
      <c r="C101" t="s">
        <v>9</v>
      </c>
      <c r="D101">
        <v>8</v>
      </c>
    </row>
    <row r="102" spans="1:4">
      <c r="A102" s="2977">
        <v>2017</v>
      </c>
      <c r="B102" t="s">
        <v>1615</v>
      </c>
      <c r="C102" t="s">
        <v>623</v>
      </c>
      <c r="D102">
        <v>7</v>
      </c>
    </row>
    <row r="103" spans="1:4">
      <c r="A103" s="2977">
        <v>2017</v>
      </c>
      <c r="B103" t="s">
        <v>1615</v>
      </c>
      <c r="C103" t="s">
        <v>625</v>
      </c>
      <c r="D103">
        <v>9</v>
      </c>
    </row>
    <row r="104" spans="1:4">
      <c r="A104" s="2977">
        <v>2017</v>
      </c>
      <c r="B104" t="s">
        <v>1615</v>
      </c>
      <c r="C104" t="s">
        <v>19</v>
      </c>
      <c r="D104">
        <v>10</v>
      </c>
    </row>
    <row r="105" spans="1:4">
      <c r="A105" s="2977">
        <v>2018</v>
      </c>
      <c r="B105" t="s">
        <v>1615</v>
      </c>
      <c r="C105" t="s">
        <v>16</v>
      </c>
      <c r="D105">
        <v>1</v>
      </c>
    </row>
    <row r="106" spans="1:4">
      <c r="A106" s="2977">
        <v>2018</v>
      </c>
      <c r="B106" t="s">
        <v>1615</v>
      </c>
      <c r="C106" t="s">
        <v>10</v>
      </c>
      <c r="D106">
        <v>2</v>
      </c>
    </row>
    <row r="107" spans="1:4">
      <c r="A107" s="2977">
        <v>2018</v>
      </c>
      <c r="B107" t="s">
        <v>1615</v>
      </c>
      <c r="C107" t="s">
        <v>6</v>
      </c>
      <c r="D107">
        <v>4</v>
      </c>
    </row>
    <row r="108" spans="1:4">
      <c r="A108" s="2977">
        <v>2018</v>
      </c>
      <c r="B108" t="s">
        <v>1615</v>
      </c>
      <c r="C108" t="s">
        <v>622</v>
      </c>
      <c r="D108">
        <v>5</v>
      </c>
    </row>
    <row r="109" spans="1:4">
      <c r="A109" s="2977">
        <v>2018</v>
      </c>
      <c r="B109" t="s">
        <v>1615</v>
      </c>
      <c r="C109" t="s">
        <v>11</v>
      </c>
      <c r="D109">
        <v>6</v>
      </c>
    </row>
    <row r="110" spans="1:4">
      <c r="A110" s="2977">
        <v>2018</v>
      </c>
      <c r="B110" t="s">
        <v>1615</v>
      </c>
      <c r="C110" t="s">
        <v>24</v>
      </c>
      <c r="D110">
        <v>7</v>
      </c>
    </row>
    <row r="111" spans="1:4">
      <c r="A111" s="2977">
        <v>2018</v>
      </c>
      <c r="B111" t="s">
        <v>1615</v>
      </c>
      <c r="C111" t="s">
        <v>9</v>
      </c>
      <c r="D111">
        <v>8</v>
      </c>
    </row>
    <row r="112" spans="1:4">
      <c r="A112" s="2977">
        <v>2018</v>
      </c>
      <c r="B112" t="s">
        <v>1615</v>
      </c>
      <c r="C112" t="s">
        <v>623</v>
      </c>
      <c r="D112">
        <v>9</v>
      </c>
    </row>
    <row r="113" spans="1:5">
      <c r="A113" s="2977">
        <v>2018</v>
      </c>
      <c r="B113" t="s">
        <v>1615</v>
      </c>
      <c r="C113" t="s">
        <v>625</v>
      </c>
      <c r="D113">
        <v>10</v>
      </c>
    </row>
    <row r="114" spans="1:5">
      <c r="A114" s="2977">
        <v>2018</v>
      </c>
      <c r="B114" t="s">
        <v>1615</v>
      </c>
      <c r="C114" t="s">
        <v>624</v>
      </c>
      <c r="D114">
        <v>11</v>
      </c>
    </row>
    <row r="115" spans="1:5">
      <c r="A115" s="2977">
        <v>2018</v>
      </c>
      <c r="B115" t="s">
        <v>1615</v>
      </c>
      <c r="C115" t="s">
        <v>18</v>
      </c>
      <c r="D115">
        <v>12</v>
      </c>
    </row>
    <row r="116" spans="1:5">
      <c r="A116" s="2977">
        <v>2018</v>
      </c>
      <c r="B116" t="s">
        <v>1615</v>
      </c>
      <c r="C116" t="s">
        <v>1377</v>
      </c>
      <c r="D116">
        <v>13</v>
      </c>
    </row>
    <row r="117" spans="1:5">
      <c r="A117" s="2977">
        <v>2018</v>
      </c>
      <c r="B117" t="s">
        <v>1615</v>
      </c>
      <c r="C117" t="s">
        <v>1378</v>
      </c>
      <c r="D117">
        <v>14</v>
      </c>
    </row>
    <row r="118" spans="1:5">
      <c r="A118" s="2977">
        <v>2018</v>
      </c>
      <c r="B118" t="s">
        <v>1615</v>
      </c>
      <c r="C118" t="s">
        <v>19</v>
      </c>
      <c r="D118">
        <v>15</v>
      </c>
    </row>
    <row r="119" spans="1:5">
      <c r="A119" s="2977">
        <v>2018</v>
      </c>
      <c r="B119" t="s">
        <v>1615</v>
      </c>
      <c r="C119" t="s">
        <v>621</v>
      </c>
      <c r="D119">
        <v>3</v>
      </c>
    </row>
    <row r="120" spans="1:5">
      <c r="A120" s="2977">
        <v>2019</v>
      </c>
      <c r="B120" t="s">
        <v>1610</v>
      </c>
      <c r="C120" t="s">
        <v>608</v>
      </c>
      <c r="D120">
        <v>1</v>
      </c>
      <c r="E120">
        <v>133</v>
      </c>
    </row>
    <row r="121" spans="1:5">
      <c r="A121" s="2977">
        <v>2019</v>
      </c>
      <c r="B121" t="s">
        <v>1610</v>
      </c>
      <c r="C121" t="s">
        <v>609</v>
      </c>
      <c r="D121">
        <v>2</v>
      </c>
      <c r="E121">
        <v>67</v>
      </c>
    </row>
    <row r="122" spans="1:5">
      <c r="A122" s="2977">
        <v>2019</v>
      </c>
      <c r="B122" t="s">
        <v>1610</v>
      </c>
      <c r="C122" t="s">
        <v>611</v>
      </c>
      <c r="D122">
        <v>3</v>
      </c>
      <c r="E122">
        <v>66</v>
      </c>
    </row>
    <row r="123" spans="1:5">
      <c r="A123" s="2977">
        <v>2019</v>
      </c>
      <c r="B123" t="s">
        <v>1610</v>
      </c>
      <c r="C123" t="s">
        <v>610</v>
      </c>
      <c r="D123">
        <v>4</v>
      </c>
      <c r="E123">
        <v>56</v>
      </c>
    </row>
    <row r="124" spans="1:5">
      <c r="A124" s="2977">
        <v>2019</v>
      </c>
      <c r="B124" t="s">
        <v>1610</v>
      </c>
      <c r="C124" t="s">
        <v>13</v>
      </c>
      <c r="D124">
        <v>5</v>
      </c>
      <c r="E124">
        <v>53</v>
      </c>
    </row>
    <row r="125" spans="1:5">
      <c r="A125" s="2977">
        <v>2019</v>
      </c>
      <c r="B125" t="s">
        <v>1610</v>
      </c>
      <c r="C125" t="s">
        <v>614</v>
      </c>
      <c r="D125">
        <v>6</v>
      </c>
      <c r="E125">
        <v>42</v>
      </c>
    </row>
    <row r="126" spans="1:5">
      <c r="A126" s="2977">
        <v>2019</v>
      </c>
      <c r="B126" t="s">
        <v>1610</v>
      </c>
      <c r="C126" t="s">
        <v>613</v>
      </c>
      <c r="D126">
        <v>7</v>
      </c>
      <c r="E126">
        <v>39</v>
      </c>
    </row>
    <row r="127" spans="1:5">
      <c r="A127" s="2977">
        <v>2019</v>
      </c>
      <c r="B127" t="s">
        <v>1610</v>
      </c>
      <c r="C127" t="s">
        <v>612</v>
      </c>
      <c r="D127">
        <v>8</v>
      </c>
      <c r="E127">
        <v>34</v>
      </c>
    </row>
    <row r="128" spans="1:5">
      <c r="A128" s="2977">
        <v>2019</v>
      </c>
      <c r="B128" t="s">
        <v>1610</v>
      </c>
      <c r="C128" t="s">
        <v>616</v>
      </c>
      <c r="D128">
        <v>9</v>
      </c>
      <c r="E128">
        <v>33</v>
      </c>
    </row>
    <row r="129" spans="1:5">
      <c r="A129" s="2977">
        <v>2019</v>
      </c>
      <c r="B129" t="s">
        <v>1610</v>
      </c>
      <c r="C129" t="s">
        <v>1373</v>
      </c>
      <c r="D129">
        <v>10</v>
      </c>
      <c r="E129">
        <v>26</v>
      </c>
    </row>
    <row r="130" spans="1:5">
      <c r="A130" s="2977">
        <v>2019</v>
      </c>
      <c r="B130" t="s">
        <v>1610</v>
      </c>
      <c r="C130" t="s">
        <v>615</v>
      </c>
      <c r="D130">
        <v>11</v>
      </c>
      <c r="E130">
        <v>25</v>
      </c>
    </row>
    <row r="131" spans="1:5">
      <c r="A131" s="2977">
        <v>2019</v>
      </c>
      <c r="B131" t="s">
        <v>1610</v>
      </c>
      <c r="C131" t="s">
        <v>1374</v>
      </c>
      <c r="D131">
        <v>12</v>
      </c>
      <c r="E131">
        <v>15</v>
      </c>
    </row>
    <row r="132" spans="1:5">
      <c r="A132" s="2977">
        <v>2019</v>
      </c>
      <c r="B132" t="s">
        <v>1610</v>
      </c>
      <c r="C132" t="s">
        <v>204</v>
      </c>
      <c r="D132">
        <v>13</v>
      </c>
      <c r="E132">
        <v>13</v>
      </c>
    </row>
    <row r="133" spans="1:5">
      <c r="A133" s="2977">
        <v>2019</v>
      </c>
      <c r="B133" t="s">
        <v>1610</v>
      </c>
      <c r="C133" t="s">
        <v>357</v>
      </c>
      <c r="D133">
        <v>14</v>
      </c>
      <c r="E133">
        <v>13</v>
      </c>
    </row>
    <row r="134" spans="1:5">
      <c r="A134" s="2977">
        <v>2019</v>
      </c>
      <c r="B134" t="s">
        <v>1610</v>
      </c>
      <c r="C134" t="s">
        <v>350</v>
      </c>
      <c r="D134">
        <v>15</v>
      </c>
      <c r="E134">
        <v>12</v>
      </c>
    </row>
    <row r="135" spans="1:5">
      <c r="A135" s="2977">
        <v>2019</v>
      </c>
      <c r="B135" t="s">
        <v>1614</v>
      </c>
      <c r="C135" t="s">
        <v>608</v>
      </c>
      <c r="D135">
        <v>1</v>
      </c>
      <c r="E135">
        <v>133</v>
      </c>
    </row>
    <row r="136" spans="1:5">
      <c r="A136" s="2977">
        <v>2019</v>
      </c>
      <c r="B136" t="s">
        <v>1614</v>
      </c>
      <c r="C136" t="s">
        <v>609</v>
      </c>
      <c r="D136">
        <v>2</v>
      </c>
      <c r="E136">
        <v>67</v>
      </c>
    </row>
    <row r="137" spans="1:5">
      <c r="A137" s="2977">
        <v>2019</v>
      </c>
      <c r="B137" t="s">
        <v>1614</v>
      </c>
      <c r="C137" t="s">
        <v>610</v>
      </c>
      <c r="D137">
        <v>3</v>
      </c>
      <c r="E137">
        <v>66</v>
      </c>
    </row>
    <row r="138" spans="1:5">
      <c r="A138" s="2977">
        <v>2019</v>
      </c>
      <c r="B138" t="s">
        <v>1614</v>
      </c>
      <c r="C138" t="s">
        <v>611</v>
      </c>
      <c r="D138">
        <v>4</v>
      </c>
      <c r="E138">
        <v>63</v>
      </c>
    </row>
    <row r="139" spans="1:5">
      <c r="A139" s="2977">
        <v>2019</v>
      </c>
      <c r="B139" t="s">
        <v>1614</v>
      </c>
      <c r="C139" t="s">
        <v>614</v>
      </c>
      <c r="D139">
        <v>5</v>
      </c>
      <c r="E139">
        <v>56</v>
      </c>
    </row>
    <row r="140" spans="1:5">
      <c r="A140" s="2977">
        <v>2019</v>
      </c>
      <c r="B140" t="s">
        <v>1614</v>
      </c>
      <c r="C140" t="s">
        <v>613</v>
      </c>
      <c r="D140">
        <v>6</v>
      </c>
      <c r="E140">
        <v>53</v>
      </c>
    </row>
    <row r="141" spans="1:5">
      <c r="A141" s="2977">
        <v>2019</v>
      </c>
      <c r="B141" t="s">
        <v>1614</v>
      </c>
      <c r="C141" t="s">
        <v>13</v>
      </c>
      <c r="D141">
        <v>7</v>
      </c>
      <c r="E141">
        <v>42</v>
      </c>
    </row>
    <row r="142" spans="1:5">
      <c r="A142" s="2977">
        <v>2019</v>
      </c>
      <c r="B142" t="s">
        <v>1614</v>
      </c>
      <c r="C142" t="s">
        <v>612</v>
      </c>
      <c r="D142">
        <v>8</v>
      </c>
      <c r="E142">
        <v>39</v>
      </c>
    </row>
    <row r="143" spans="1:5">
      <c r="A143" s="2977">
        <v>2019</v>
      </c>
      <c r="B143" t="s">
        <v>1614</v>
      </c>
      <c r="C143" t="s">
        <v>616</v>
      </c>
      <c r="D143">
        <v>9</v>
      </c>
      <c r="E143">
        <v>39</v>
      </c>
    </row>
    <row r="144" spans="1:5">
      <c r="A144" s="2977">
        <v>2019</v>
      </c>
      <c r="B144" t="s">
        <v>1614</v>
      </c>
      <c r="C144" t="s">
        <v>619</v>
      </c>
      <c r="D144">
        <v>10</v>
      </c>
      <c r="E144">
        <v>37</v>
      </c>
    </row>
    <row r="145" spans="1:5">
      <c r="A145" s="2977">
        <v>2019</v>
      </c>
      <c r="B145" t="s">
        <v>1614</v>
      </c>
      <c r="C145" t="s">
        <v>1374</v>
      </c>
      <c r="D145">
        <v>11</v>
      </c>
      <c r="E145">
        <v>34</v>
      </c>
    </row>
    <row r="146" spans="1:5">
      <c r="A146" s="2977">
        <v>2019</v>
      </c>
      <c r="B146" t="s">
        <v>1614</v>
      </c>
      <c r="C146" t="s">
        <v>204</v>
      </c>
      <c r="D146">
        <v>12</v>
      </c>
      <c r="E146">
        <v>33</v>
      </c>
    </row>
    <row r="147" spans="1:5">
      <c r="A147" s="2977">
        <v>2019</v>
      </c>
      <c r="B147" t="s">
        <v>1614</v>
      </c>
      <c r="C147" t="s">
        <v>1113</v>
      </c>
      <c r="D147">
        <v>13</v>
      </c>
      <c r="E147">
        <v>29</v>
      </c>
    </row>
    <row r="148" spans="1:5">
      <c r="A148" s="2977">
        <v>2019</v>
      </c>
      <c r="B148" t="s">
        <v>1614</v>
      </c>
      <c r="C148" t="s">
        <v>617</v>
      </c>
      <c r="D148">
        <v>14</v>
      </c>
      <c r="E148">
        <v>26</v>
      </c>
    </row>
    <row r="149" spans="1:5">
      <c r="A149" s="2977">
        <v>2019</v>
      </c>
      <c r="B149" t="s">
        <v>1614</v>
      </c>
      <c r="C149" t="s">
        <v>618</v>
      </c>
      <c r="D149">
        <v>15</v>
      </c>
      <c r="E149">
        <v>25</v>
      </c>
    </row>
    <row r="150" spans="1:5">
      <c r="A150" s="2977">
        <v>2019</v>
      </c>
      <c r="B150" t="s">
        <v>1614</v>
      </c>
      <c r="C150" t="s">
        <v>357</v>
      </c>
      <c r="D150">
        <v>16</v>
      </c>
      <c r="E150">
        <v>15</v>
      </c>
    </row>
    <row r="151" spans="1:5">
      <c r="A151" s="2977">
        <v>2019</v>
      </c>
      <c r="B151" t="s">
        <v>1614</v>
      </c>
      <c r="C151" t="s">
        <v>1375</v>
      </c>
      <c r="D151">
        <v>17</v>
      </c>
      <c r="E151">
        <v>15</v>
      </c>
    </row>
    <row r="152" spans="1:5">
      <c r="A152" s="2977">
        <v>2019</v>
      </c>
      <c r="B152" t="s">
        <v>1614</v>
      </c>
      <c r="C152" t="s">
        <v>350</v>
      </c>
      <c r="D152">
        <v>18</v>
      </c>
      <c r="E152">
        <v>13</v>
      </c>
    </row>
    <row r="153" spans="1:5">
      <c r="A153" s="2977">
        <v>2019</v>
      </c>
      <c r="B153" t="s">
        <v>1615</v>
      </c>
      <c r="C153" t="s">
        <v>16</v>
      </c>
      <c r="D153">
        <v>2</v>
      </c>
    </row>
    <row r="154" spans="1:5">
      <c r="A154" s="2977">
        <v>2019</v>
      </c>
      <c r="B154" t="s">
        <v>1615</v>
      </c>
      <c r="C154" t="s">
        <v>10</v>
      </c>
      <c r="D154">
        <v>1</v>
      </c>
    </row>
    <row r="155" spans="1:5">
      <c r="A155" s="2977">
        <v>2019</v>
      </c>
      <c r="B155" t="s">
        <v>1615</v>
      </c>
      <c r="C155" t="s">
        <v>6</v>
      </c>
      <c r="D155">
        <v>4</v>
      </c>
    </row>
    <row r="156" spans="1:5">
      <c r="A156" s="2977">
        <v>2019</v>
      </c>
      <c r="B156" t="s">
        <v>1615</v>
      </c>
      <c r="C156" t="s">
        <v>622</v>
      </c>
      <c r="D156">
        <v>5</v>
      </c>
    </row>
    <row r="157" spans="1:5">
      <c r="A157" s="2977">
        <v>2019</v>
      </c>
      <c r="B157" t="s">
        <v>1615</v>
      </c>
      <c r="C157" t="s">
        <v>11</v>
      </c>
      <c r="D157">
        <v>6</v>
      </c>
    </row>
    <row r="158" spans="1:5">
      <c r="A158" s="2977">
        <v>2019</v>
      </c>
      <c r="B158" t="s">
        <v>1615</v>
      </c>
      <c r="C158" t="s">
        <v>24</v>
      </c>
      <c r="D158">
        <v>7</v>
      </c>
    </row>
    <row r="159" spans="1:5">
      <c r="A159" s="2977">
        <v>2019</v>
      </c>
      <c r="B159" t="s">
        <v>1615</v>
      </c>
      <c r="C159" t="s">
        <v>9</v>
      </c>
      <c r="D159">
        <v>9</v>
      </c>
    </row>
    <row r="160" spans="1:5">
      <c r="A160" s="2977">
        <v>2019</v>
      </c>
      <c r="B160" t="s">
        <v>1615</v>
      </c>
      <c r="C160" t="s">
        <v>623</v>
      </c>
      <c r="D160">
        <v>10</v>
      </c>
    </row>
    <row r="161" spans="1:4">
      <c r="A161" s="2977">
        <v>2019</v>
      </c>
      <c r="B161" t="s">
        <v>1615</v>
      </c>
      <c r="C161" t="s">
        <v>625</v>
      </c>
      <c r="D161">
        <v>8</v>
      </c>
    </row>
    <row r="162" spans="1:4">
      <c r="A162" s="2977">
        <v>2019</v>
      </c>
      <c r="B162" t="s">
        <v>1615</v>
      </c>
      <c r="C162" t="s">
        <v>621</v>
      </c>
      <c r="D162">
        <v>3</v>
      </c>
    </row>
  </sheetData>
  <pageMargins left="0.7" right="0.7" top="0.75" bottom="0.75" header="0.3" footer="0.3"/>
  <pageSetup orientation="portrait" horizontalDpi="200" verticalDpi="200" r:id="rId3"/>
  <drawing r:id="rId4"/>
  <tableParts count="1">
    <tablePart r:id="rId5"/>
  </tableParts>
  <extLst>
    <ext xmlns:x14="http://schemas.microsoft.com/office/spreadsheetml/2009/9/main" uri="{A8765BA9-456A-4dab-B4F3-ACF838C121DE}">
      <x14:slicerList>
        <x14:slicer r:id="rId6"/>
      </x14:slicerList>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T65"/>
  <sheetViews>
    <sheetView workbookViewId="0">
      <selection activeCell="G6" sqref="G6:H6"/>
    </sheetView>
  </sheetViews>
  <sheetFormatPr baseColWidth="10" defaultColWidth="9.6640625" defaultRowHeight="14.4"/>
  <cols>
    <col min="1" max="1" width="4" style="703" customWidth="1"/>
    <col min="2" max="2" width="23.77734375" style="1839" customWidth="1"/>
    <col min="3" max="6" width="13" style="1105" customWidth="1"/>
    <col min="7" max="12" width="13" style="703" customWidth="1"/>
    <col min="13" max="14" width="9.5546875" customWidth="1"/>
  </cols>
  <sheetData>
    <row r="1" spans="1:20" ht="46.2" customHeight="1">
      <c r="A1" s="5538" t="s">
        <v>1108</v>
      </c>
      <c r="B1" s="5538"/>
      <c r="C1" s="5538"/>
      <c r="D1" s="5538"/>
      <c r="E1" s="5538"/>
      <c r="F1" s="5538"/>
      <c r="G1" s="5538"/>
      <c r="H1" s="5538"/>
      <c r="I1" s="2976"/>
      <c r="J1" s="2976"/>
      <c r="K1" s="2976"/>
      <c r="L1" s="2976"/>
    </row>
    <row r="2" spans="1:20">
      <c r="B2" s="1836" t="s">
        <v>1109</v>
      </c>
    </row>
    <row r="3" spans="1:20">
      <c r="B3" s="1837"/>
    </row>
    <row r="4" spans="1:20" ht="15" thickBot="1">
      <c r="A4" s="1838" t="s">
        <v>1110</v>
      </c>
      <c r="C4" s="1840"/>
      <c r="D4" s="1840"/>
      <c r="F4" s="1840"/>
    </row>
    <row r="5" spans="1:20" ht="28.8">
      <c r="B5" s="5539" t="s">
        <v>606</v>
      </c>
      <c r="C5" s="1841" t="s">
        <v>1111</v>
      </c>
      <c r="D5" s="1842" t="s">
        <v>607</v>
      </c>
      <c r="E5" s="2138" t="s">
        <v>1111</v>
      </c>
      <c r="F5" s="2139" t="s">
        <v>607</v>
      </c>
      <c r="G5" s="2140" t="s">
        <v>1111</v>
      </c>
      <c r="H5" s="2141" t="s">
        <v>607</v>
      </c>
      <c r="I5" s="3002"/>
      <c r="J5" s="3002"/>
      <c r="K5" s="3002"/>
      <c r="L5" s="3002"/>
      <c r="N5" s="2226" t="s">
        <v>1406</v>
      </c>
      <c r="O5" s="2224"/>
      <c r="P5" s="2224"/>
      <c r="Q5" s="2224"/>
      <c r="R5" s="2224"/>
      <c r="S5" s="2225">
        <v>43891</v>
      </c>
      <c r="T5" s="2224"/>
    </row>
    <row r="6" spans="1:20" ht="15" thickBot="1">
      <c r="B6" s="5540"/>
      <c r="C6" s="5541">
        <v>2016</v>
      </c>
      <c r="D6" s="5542"/>
      <c r="E6" s="5543">
        <v>2017</v>
      </c>
      <c r="F6" s="5544"/>
      <c r="G6" s="5545">
        <v>2018</v>
      </c>
      <c r="H6" s="5546"/>
      <c r="I6" s="3003"/>
      <c r="J6" s="3003"/>
      <c r="K6" s="3003"/>
      <c r="L6" s="3003"/>
      <c r="N6" s="2224"/>
      <c r="O6" s="2224"/>
      <c r="P6" s="2224"/>
      <c r="Q6" s="2224"/>
      <c r="R6" s="2224"/>
      <c r="S6" s="2224"/>
      <c r="T6" s="2224"/>
    </row>
    <row r="7" spans="1:20">
      <c r="B7" s="1843" t="s">
        <v>608</v>
      </c>
      <c r="C7" s="1844">
        <v>1</v>
      </c>
      <c r="D7" s="1845">
        <v>103</v>
      </c>
      <c r="E7" s="1844">
        <v>1</v>
      </c>
      <c r="F7" s="1845">
        <v>131</v>
      </c>
      <c r="G7" s="1844">
        <v>1</v>
      </c>
      <c r="H7" s="1845">
        <v>133</v>
      </c>
      <c r="I7" s="3004"/>
      <c r="J7" s="3004"/>
      <c r="K7" s="3004"/>
      <c r="L7" s="3004"/>
      <c r="N7" s="2224"/>
      <c r="O7" s="2224"/>
      <c r="P7" s="2224"/>
      <c r="Q7" s="2224"/>
      <c r="R7" s="2224"/>
      <c r="S7" s="2224"/>
      <c r="T7" s="2224"/>
    </row>
    <row r="8" spans="1:20">
      <c r="B8" s="1846" t="s">
        <v>609</v>
      </c>
      <c r="C8" s="1847">
        <v>2</v>
      </c>
      <c r="D8" s="1848">
        <v>76</v>
      </c>
      <c r="E8" s="1847">
        <v>2</v>
      </c>
      <c r="F8" s="1848">
        <v>74</v>
      </c>
      <c r="G8" s="1847">
        <v>2</v>
      </c>
      <c r="H8" s="1848">
        <v>67</v>
      </c>
      <c r="I8" s="3004"/>
      <c r="J8" s="3004"/>
      <c r="K8" s="3004"/>
      <c r="L8" s="3004"/>
      <c r="N8" s="2224"/>
      <c r="O8" s="2224"/>
      <c r="P8" s="2224"/>
      <c r="Q8" s="2224"/>
      <c r="R8" s="2224"/>
      <c r="S8" s="2224"/>
      <c r="T8" s="2224"/>
    </row>
    <row r="9" spans="1:20">
      <c r="B9" s="1846" t="s">
        <v>611</v>
      </c>
      <c r="C9" s="1847">
        <v>4</v>
      </c>
      <c r="D9" s="1848">
        <v>63</v>
      </c>
      <c r="E9" s="1847">
        <v>4</v>
      </c>
      <c r="F9" s="1848">
        <v>55</v>
      </c>
      <c r="G9" s="1847">
        <v>3</v>
      </c>
      <c r="H9" s="1848">
        <v>60</v>
      </c>
      <c r="I9" s="3004"/>
      <c r="J9" s="3004"/>
      <c r="K9" s="3004"/>
      <c r="L9" s="3004"/>
      <c r="N9" s="2224"/>
      <c r="O9" s="2224"/>
      <c r="P9" s="2224"/>
      <c r="Q9" s="2224"/>
      <c r="R9" s="2224"/>
      <c r="S9" s="2224"/>
      <c r="T9" s="2224"/>
    </row>
    <row r="10" spans="1:20">
      <c r="B10" s="1846" t="s">
        <v>610</v>
      </c>
      <c r="C10" s="1847">
        <v>3</v>
      </c>
      <c r="D10" s="1848">
        <v>64</v>
      </c>
      <c r="E10" s="1847">
        <v>3</v>
      </c>
      <c r="F10" s="1848">
        <v>66</v>
      </c>
      <c r="G10" s="1847">
        <v>4</v>
      </c>
      <c r="H10" s="1848">
        <v>59</v>
      </c>
      <c r="I10" s="3004"/>
      <c r="J10" s="3004"/>
      <c r="K10" s="3004"/>
      <c r="L10" s="3004"/>
      <c r="N10" s="2224"/>
      <c r="O10" s="2224"/>
      <c r="P10" s="2224"/>
      <c r="Q10" s="2224"/>
      <c r="R10" s="2224"/>
      <c r="S10" s="2224"/>
      <c r="T10" s="2224"/>
    </row>
    <row r="11" spans="1:20">
      <c r="B11" s="2148" t="s">
        <v>13</v>
      </c>
      <c r="C11" s="2142"/>
      <c r="D11" s="2143">
        <v>52</v>
      </c>
      <c r="E11" s="2142"/>
      <c r="F11" s="2143">
        <v>50</v>
      </c>
      <c r="G11" s="2142">
        <v>5</v>
      </c>
      <c r="H11" s="2143">
        <v>48</v>
      </c>
      <c r="I11" s="3005"/>
      <c r="J11" s="3005"/>
      <c r="K11" s="3005"/>
      <c r="L11" s="3005"/>
      <c r="N11" s="2224"/>
      <c r="O11" s="2224"/>
      <c r="P11" s="2224"/>
      <c r="Q11" s="2224"/>
      <c r="R11" s="2224"/>
      <c r="S11" s="2224"/>
      <c r="T11" s="2224"/>
    </row>
    <row r="12" spans="1:20">
      <c r="B12" s="1846" t="s">
        <v>614</v>
      </c>
      <c r="C12" s="1847">
        <v>7</v>
      </c>
      <c r="D12" s="1848">
        <v>45</v>
      </c>
      <c r="E12" s="1847">
        <v>5</v>
      </c>
      <c r="F12" s="1848">
        <v>52</v>
      </c>
      <c r="G12" s="1847">
        <v>6</v>
      </c>
      <c r="H12" s="1848">
        <v>46</v>
      </c>
      <c r="I12" s="3004"/>
      <c r="J12" s="3004"/>
      <c r="K12" s="3004"/>
      <c r="L12" s="3004"/>
      <c r="N12" s="2224"/>
      <c r="O12" s="2224"/>
      <c r="P12" s="2224"/>
      <c r="Q12" s="2224"/>
      <c r="R12" s="2224"/>
      <c r="S12" s="2224"/>
      <c r="T12" s="2224"/>
    </row>
    <row r="13" spans="1:20">
      <c r="B13" s="1846" t="s">
        <v>613</v>
      </c>
      <c r="C13" s="1847">
        <v>6</v>
      </c>
      <c r="D13" s="1848">
        <v>46</v>
      </c>
      <c r="E13" s="1847">
        <v>6</v>
      </c>
      <c r="F13" s="1848">
        <v>48</v>
      </c>
      <c r="G13" s="1847">
        <v>6</v>
      </c>
      <c r="H13" s="1848">
        <v>46</v>
      </c>
      <c r="I13" s="3004"/>
      <c r="J13" s="3004"/>
      <c r="K13" s="3004"/>
      <c r="L13" s="3004"/>
      <c r="N13" s="2224"/>
      <c r="O13" s="2224"/>
      <c r="P13" s="2224"/>
      <c r="Q13" s="2224"/>
      <c r="R13" s="2224"/>
      <c r="S13" s="2224"/>
      <c r="T13" s="2224"/>
    </row>
    <row r="14" spans="1:20">
      <c r="B14" s="1846" t="s">
        <v>612</v>
      </c>
      <c r="C14" s="1847">
        <v>5</v>
      </c>
      <c r="D14" s="1848">
        <v>48</v>
      </c>
      <c r="E14" s="1847">
        <v>7</v>
      </c>
      <c r="F14" s="1848">
        <v>40</v>
      </c>
      <c r="G14" s="1847">
        <v>8</v>
      </c>
      <c r="H14" s="1848">
        <v>42</v>
      </c>
      <c r="I14" s="3004"/>
      <c r="J14" s="3004"/>
      <c r="K14" s="3004"/>
      <c r="L14" s="3004"/>
      <c r="N14" s="2224"/>
      <c r="O14" s="2224"/>
      <c r="P14" s="2224"/>
      <c r="Q14" s="2224"/>
      <c r="R14" s="2224"/>
      <c r="S14" s="2224"/>
      <c r="T14" s="2224"/>
    </row>
    <row r="15" spans="1:20">
      <c r="B15" s="1846" t="s">
        <v>616</v>
      </c>
      <c r="C15" s="1847">
        <v>9</v>
      </c>
      <c r="D15" s="1848">
        <v>32</v>
      </c>
      <c r="E15" s="1847">
        <v>8</v>
      </c>
      <c r="F15" s="1848">
        <v>35</v>
      </c>
      <c r="G15" s="1847">
        <v>9</v>
      </c>
      <c r="H15" s="1848">
        <v>35</v>
      </c>
      <c r="I15" s="3004"/>
      <c r="J15" s="3004"/>
      <c r="K15" s="3004"/>
      <c r="L15" s="3004"/>
      <c r="N15" s="2224"/>
      <c r="O15" s="2224"/>
      <c r="P15" s="2224"/>
      <c r="Q15" s="2224"/>
      <c r="R15" s="2224"/>
      <c r="S15" s="2224"/>
      <c r="T15" s="2224"/>
    </row>
    <row r="16" spans="1:20">
      <c r="B16" s="1846" t="s">
        <v>1373</v>
      </c>
      <c r="C16" s="1847"/>
      <c r="D16" s="1848"/>
      <c r="E16" s="1847"/>
      <c r="F16" s="1848"/>
      <c r="G16" s="1847">
        <v>10</v>
      </c>
      <c r="H16" s="1848">
        <v>32</v>
      </c>
      <c r="I16" s="3004"/>
      <c r="J16" s="3004"/>
      <c r="K16" s="3004"/>
      <c r="L16" s="3004"/>
      <c r="N16" s="2224"/>
      <c r="O16" s="2224"/>
      <c r="P16" s="2224"/>
      <c r="Q16" s="2224"/>
      <c r="R16" s="2224"/>
      <c r="S16" s="2224"/>
      <c r="T16" s="2224"/>
    </row>
    <row r="17" spans="1:20">
      <c r="B17" s="1846" t="s">
        <v>615</v>
      </c>
      <c r="C17" s="1847">
        <v>8</v>
      </c>
      <c r="D17" s="1848">
        <v>42</v>
      </c>
      <c r="E17" s="1854">
        <v>10</v>
      </c>
      <c r="F17" s="1855">
        <v>23</v>
      </c>
      <c r="G17" s="1854">
        <v>11</v>
      </c>
      <c r="H17" s="1855">
        <v>25</v>
      </c>
      <c r="I17" s="1108"/>
      <c r="J17" s="1108"/>
      <c r="K17" s="1108"/>
      <c r="L17" s="1108"/>
      <c r="N17" s="2224"/>
      <c r="O17" s="2224"/>
      <c r="P17" s="2224"/>
      <c r="Q17" s="2224"/>
      <c r="R17" s="2224"/>
      <c r="S17" s="2224"/>
      <c r="T17" s="2224"/>
    </row>
    <row r="18" spans="1:20">
      <c r="B18" s="1846" t="s">
        <v>1374</v>
      </c>
      <c r="C18" s="1847"/>
      <c r="D18" s="1848"/>
      <c r="E18" s="1847"/>
      <c r="F18" s="1848"/>
      <c r="G18" s="1847">
        <v>12</v>
      </c>
      <c r="H18" s="1848">
        <v>23</v>
      </c>
      <c r="I18" s="3004"/>
      <c r="J18" s="3004"/>
      <c r="K18" s="3004"/>
      <c r="L18" s="3004"/>
      <c r="N18" s="2224"/>
      <c r="O18" s="2224"/>
      <c r="P18" s="2224"/>
      <c r="Q18" s="2224"/>
      <c r="R18" s="2224"/>
      <c r="S18" s="2224"/>
      <c r="T18" s="2224"/>
    </row>
    <row r="19" spans="1:20">
      <c r="B19" s="1849" t="s">
        <v>204</v>
      </c>
      <c r="C19" s="1850">
        <v>10</v>
      </c>
      <c r="D19" s="1851">
        <v>24</v>
      </c>
      <c r="E19" s="1852">
        <v>9</v>
      </c>
      <c r="F19" s="1853">
        <v>25</v>
      </c>
      <c r="G19" s="1852">
        <v>13</v>
      </c>
      <c r="H19" s="1853">
        <v>21</v>
      </c>
      <c r="I19" s="2982"/>
      <c r="J19" s="2982"/>
      <c r="K19" s="2982"/>
      <c r="L19" s="2982"/>
      <c r="N19" s="2224"/>
      <c r="O19" s="2224"/>
      <c r="P19" s="2224"/>
      <c r="Q19" s="2224"/>
      <c r="R19" s="2224"/>
      <c r="S19" s="2224"/>
      <c r="T19" s="2224"/>
    </row>
    <row r="20" spans="1:20">
      <c r="B20" s="2149" t="s">
        <v>357</v>
      </c>
      <c r="C20" s="2150">
        <v>24</v>
      </c>
      <c r="D20" s="2151"/>
      <c r="E20" s="2144"/>
      <c r="F20" s="2145"/>
      <c r="G20" s="2144">
        <v>16</v>
      </c>
      <c r="H20" s="2145">
        <v>20</v>
      </c>
      <c r="I20" s="1108"/>
      <c r="J20" s="1108"/>
      <c r="K20" s="1108"/>
      <c r="L20" s="1108"/>
      <c r="N20" s="2224"/>
      <c r="O20" s="2224"/>
      <c r="P20" s="2224"/>
      <c r="Q20" s="2224"/>
      <c r="R20" s="2224"/>
      <c r="S20" s="2224"/>
      <c r="T20" s="2224"/>
    </row>
    <row r="21" spans="1:20" ht="15" thickBot="1">
      <c r="B21" s="1856" t="s">
        <v>350</v>
      </c>
      <c r="C21" s="1857"/>
      <c r="D21" s="2152"/>
      <c r="E21" s="2146"/>
      <c r="F21" s="2147"/>
      <c r="G21" s="2146">
        <v>46</v>
      </c>
      <c r="H21" s="2147">
        <v>5</v>
      </c>
      <c r="I21" s="1108"/>
      <c r="J21" s="1108"/>
      <c r="K21" s="1108"/>
      <c r="L21" s="1108"/>
      <c r="N21" s="2224"/>
      <c r="O21" s="2224"/>
      <c r="P21" s="2224"/>
      <c r="Q21" s="2224"/>
      <c r="R21" s="2224"/>
      <c r="S21" s="2224"/>
      <c r="T21" s="2224"/>
    </row>
    <row r="22" spans="1:20">
      <c r="E22" s="603" t="s">
        <v>1379</v>
      </c>
      <c r="N22" s="2224"/>
      <c r="O22" s="2224"/>
      <c r="P22" s="2224"/>
      <c r="Q22" s="2224"/>
      <c r="R22" s="2224"/>
      <c r="S22" s="2224"/>
      <c r="T22" s="2224"/>
    </row>
    <row r="23" spans="1:20">
      <c r="N23" s="2224"/>
      <c r="O23" s="2224"/>
      <c r="P23" s="2224"/>
      <c r="Q23" s="2224"/>
      <c r="R23" s="2224"/>
      <c r="S23" s="2224"/>
      <c r="T23" s="2224"/>
    </row>
    <row r="24" spans="1:20" ht="15" thickBot="1">
      <c r="A24" s="1860" t="s">
        <v>1112</v>
      </c>
      <c r="N24" s="2224"/>
      <c r="O24" s="2224"/>
      <c r="P24" s="2224"/>
      <c r="Q24" s="2224"/>
      <c r="R24" s="2224"/>
      <c r="S24" s="2224"/>
      <c r="T24" s="2224"/>
    </row>
    <row r="25" spans="1:20" ht="28.8">
      <c r="B25" s="5539" t="s">
        <v>606</v>
      </c>
      <c r="C25" s="1841" t="s">
        <v>1111</v>
      </c>
      <c r="D25" s="1842" t="s">
        <v>607</v>
      </c>
      <c r="E25" s="2138" t="s">
        <v>1111</v>
      </c>
      <c r="F25" s="2139" t="s">
        <v>607</v>
      </c>
      <c r="G25" s="2140" t="s">
        <v>1111</v>
      </c>
      <c r="H25" s="2141" t="s">
        <v>607</v>
      </c>
      <c r="I25" s="3002"/>
      <c r="J25" s="3002"/>
      <c r="K25" s="3002"/>
      <c r="L25" s="3002"/>
      <c r="N25" s="2224"/>
      <c r="O25" s="2224"/>
      <c r="P25" s="2224"/>
      <c r="Q25" s="2224"/>
      <c r="R25" s="2224"/>
      <c r="S25" s="2224"/>
      <c r="T25" s="2224"/>
    </row>
    <row r="26" spans="1:20" ht="15" thickBot="1">
      <c r="B26" s="5540"/>
      <c r="C26" s="5541">
        <v>2016</v>
      </c>
      <c r="D26" s="5542"/>
      <c r="E26" s="5543">
        <v>2017</v>
      </c>
      <c r="F26" s="5544"/>
      <c r="G26" s="5545">
        <v>2018</v>
      </c>
      <c r="H26" s="5546"/>
      <c r="I26" s="3003"/>
      <c r="J26" s="3003"/>
      <c r="K26" s="3003"/>
      <c r="L26" s="3003"/>
      <c r="N26" s="2224"/>
      <c r="O26" s="2224"/>
      <c r="P26" s="2224"/>
      <c r="Q26" s="2224"/>
      <c r="R26" s="2224"/>
      <c r="S26" s="2224"/>
      <c r="T26" s="2224"/>
    </row>
    <row r="27" spans="1:20">
      <c r="B27" s="1846" t="s">
        <v>608</v>
      </c>
      <c r="C27" s="1847">
        <v>1</v>
      </c>
      <c r="D27" s="1848">
        <v>103</v>
      </c>
      <c r="E27" s="1847">
        <v>1</v>
      </c>
      <c r="F27" s="1848">
        <v>131</v>
      </c>
      <c r="G27" s="1847">
        <v>1</v>
      </c>
      <c r="H27" s="1848">
        <f>+H7</f>
        <v>133</v>
      </c>
      <c r="I27" s="3004"/>
      <c r="J27" s="3004"/>
      <c r="K27" s="3004"/>
      <c r="L27" s="3004"/>
      <c r="N27" s="2224"/>
      <c r="O27" s="2224"/>
      <c r="P27" s="2224"/>
      <c r="Q27" s="2224"/>
      <c r="R27" s="2224"/>
      <c r="S27" s="2224"/>
      <c r="T27" s="2224"/>
    </row>
    <row r="28" spans="1:20">
      <c r="B28" s="1846" t="s">
        <v>609</v>
      </c>
      <c r="C28" s="1847">
        <v>2</v>
      </c>
      <c r="D28" s="1848">
        <v>76</v>
      </c>
      <c r="E28" s="1847">
        <v>2</v>
      </c>
      <c r="F28" s="1848">
        <v>74</v>
      </c>
      <c r="G28" s="1847">
        <v>2</v>
      </c>
      <c r="H28" s="1848">
        <f>+H8</f>
        <v>67</v>
      </c>
      <c r="I28" s="3004"/>
      <c r="J28" s="3004"/>
      <c r="K28" s="3004"/>
      <c r="L28" s="3004"/>
      <c r="N28" s="2224"/>
      <c r="O28" s="2224"/>
      <c r="P28" s="2224"/>
      <c r="Q28" s="2224"/>
      <c r="R28" s="2224"/>
      <c r="S28" s="2224"/>
      <c r="T28" s="2224"/>
    </row>
    <row r="29" spans="1:20">
      <c r="B29" s="1846" t="s">
        <v>610</v>
      </c>
      <c r="C29" s="1847">
        <v>3</v>
      </c>
      <c r="D29" s="1848">
        <v>64</v>
      </c>
      <c r="E29" s="1847">
        <v>3</v>
      </c>
      <c r="F29" s="1848">
        <v>66</v>
      </c>
      <c r="G29" s="1847">
        <v>4</v>
      </c>
      <c r="H29" s="1848">
        <v>59</v>
      </c>
      <c r="I29" s="3004"/>
      <c r="J29" s="3004"/>
      <c r="K29" s="3004"/>
      <c r="L29" s="3004"/>
      <c r="N29" s="2224"/>
      <c r="O29" s="2224"/>
      <c r="P29" s="2224"/>
      <c r="Q29" s="2224"/>
      <c r="R29" s="2224"/>
      <c r="S29" s="2224"/>
      <c r="T29" s="2224"/>
    </row>
    <row r="30" spans="1:20">
      <c r="B30" s="1846" t="s">
        <v>611</v>
      </c>
      <c r="C30" s="1847">
        <v>5</v>
      </c>
      <c r="D30" s="1848">
        <v>63</v>
      </c>
      <c r="E30" s="1847">
        <v>4</v>
      </c>
      <c r="F30" s="1848">
        <v>55</v>
      </c>
      <c r="G30" s="1847">
        <v>3</v>
      </c>
      <c r="H30" s="1848">
        <v>60</v>
      </c>
      <c r="I30" s="3004"/>
      <c r="J30" s="3004"/>
      <c r="K30" s="3004"/>
      <c r="L30" s="3004"/>
      <c r="N30" s="2224"/>
      <c r="O30" s="2224"/>
      <c r="P30" s="2224"/>
      <c r="Q30" s="2224"/>
      <c r="R30" s="2224"/>
      <c r="S30" s="2224"/>
      <c r="T30" s="2224"/>
    </row>
    <row r="31" spans="1:20">
      <c r="B31" s="1846" t="s">
        <v>614</v>
      </c>
      <c r="C31" s="1847">
        <v>8</v>
      </c>
      <c r="D31" s="1848">
        <v>45</v>
      </c>
      <c r="E31" s="1847">
        <v>5</v>
      </c>
      <c r="F31" s="1848">
        <v>52</v>
      </c>
      <c r="G31" s="1847">
        <v>7</v>
      </c>
      <c r="H31" s="1848">
        <v>46</v>
      </c>
      <c r="I31" s="3004"/>
      <c r="J31" s="3004"/>
      <c r="K31" s="3004"/>
      <c r="L31" s="3004"/>
      <c r="N31" s="2224"/>
      <c r="O31" s="2224"/>
      <c r="P31" s="2224"/>
      <c r="Q31" s="2224"/>
      <c r="R31" s="2224"/>
      <c r="S31" s="2224"/>
      <c r="T31" s="2224"/>
    </row>
    <row r="32" spans="1:20">
      <c r="B32" s="1846" t="s">
        <v>613</v>
      </c>
      <c r="C32" s="1847">
        <v>7</v>
      </c>
      <c r="D32" s="1848">
        <v>46</v>
      </c>
      <c r="E32" s="1847">
        <v>6</v>
      </c>
      <c r="F32" s="1848">
        <v>48</v>
      </c>
      <c r="G32" s="1847">
        <v>8</v>
      </c>
      <c r="H32" s="1848">
        <v>46</v>
      </c>
      <c r="I32" s="3004"/>
      <c r="J32" s="3004"/>
      <c r="K32" s="3004"/>
      <c r="L32" s="3004"/>
      <c r="N32" s="2224"/>
      <c r="O32" s="2224"/>
      <c r="P32" s="2224"/>
      <c r="Q32" s="2224"/>
      <c r="R32" s="2224"/>
      <c r="S32" s="2224"/>
      <c r="T32" s="2224"/>
    </row>
    <row r="33" spans="1:20">
      <c r="B33" s="1846" t="s">
        <v>13</v>
      </c>
      <c r="C33" s="1847">
        <v>9</v>
      </c>
      <c r="D33" s="1848">
        <v>44</v>
      </c>
      <c r="E33" s="1847">
        <v>7</v>
      </c>
      <c r="F33" s="1848">
        <v>42</v>
      </c>
      <c r="G33" s="1847">
        <v>6</v>
      </c>
      <c r="H33" s="1848">
        <v>48</v>
      </c>
      <c r="I33" s="3004"/>
      <c r="J33" s="3004"/>
      <c r="K33" s="3004"/>
      <c r="L33" s="3004"/>
      <c r="N33" s="2224"/>
      <c r="O33" s="2224"/>
      <c r="P33" s="2224"/>
      <c r="Q33" s="2224"/>
      <c r="R33" s="2224"/>
      <c r="S33" s="2224"/>
      <c r="T33" s="2224"/>
    </row>
    <row r="34" spans="1:20">
      <c r="B34" s="1846" t="s">
        <v>612</v>
      </c>
      <c r="C34" s="1847">
        <v>6</v>
      </c>
      <c r="D34" s="1848">
        <v>48</v>
      </c>
      <c r="E34" s="1847">
        <v>8</v>
      </c>
      <c r="F34" s="1848">
        <v>40</v>
      </c>
      <c r="G34" s="1847">
        <v>9</v>
      </c>
      <c r="H34" s="1848">
        <v>42</v>
      </c>
      <c r="I34" s="3004"/>
      <c r="J34" s="3004"/>
      <c r="K34" s="3004"/>
      <c r="L34" s="3004"/>
    </row>
    <row r="35" spans="1:20">
      <c r="B35" s="1846" t="s">
        <v>616</v>
      </c>
      <c r="C35" s="1847">
        <v>12</v>
      </c>
      <c r="D35" s="1848">
        <v>32</v>
      </c>
      <c r="E35" s="1847">
        <v>9</v>
      </c>
      <c r="F35" s="1848">
        <v>35</v>
      </c>
      <c r="G35" s="1847">
        <v>10</v>
      </c>
      <c r="H35" s="1848">
        <v>35</v>
      </c>
      <c r="I35" s="3004"/>
      <c r="J35" s="3004"/>
      <c r="K35" s="3004"/>
      <c r="L35" s="3004"/>
    </row>
    <row r="36" spans="1:20">
      <c r="B36" s="1846" t="s">
        <v>619</v>
      </c>
      <c r="C36" s="1847">
        <v>11</v>
      </c>
      <c r="D36" s="1848">
        <v>38</v>
      </c>
      <c r="E36" s="1847">
        <v>10</v>
      </c>
      <c r="F36" s="1848">
        <v>30</v>
      </c>
      <c r="G36" s="1847">
        <v>11</v>
      </c>
      <c r="H36" s="1848">
        <v>32</v>
      </c>
      <c r="I36" s="3004"/>
      <c r="J36" s="3004"/>
      <c r="K36" s="3004"/>
      <c r="L36" s="3004"/>
    </row>
    <row r="37" spans="1:20">
      <c r="B37" s="1846" t="s">
        <v>1374</v>
      </c>
      <c r="C37" s="1847"/>
      <c r="D37" s="1848"/>
      <c r="E37" s="1847"/>
      <c r="F37" s="1848"/>
      <c r="G37" s="1847">
        <v>13</v>
      </c>
      <c r="H37" s="1848">
        <v>23</v>
      </c>
      <c r="I37" s="3004"/>
      <c r="J37" s="3004"/>
      <c r="K37" s="3004"/>
      <c r="L37" s="3004"/>
    </row>
    <row r="38" spans="1:20">
      <c r="B38" s="1849" t="s">
        <v>204</v>
      </c>
      <c r="C38" s="1850">
        <v>13</v>
      </c>
      <c r="D38" s="1851">
        <v>24</v>
      </c>
      <c r="E38" s="1852">
        <v>11</v>
      </c>
      <c r="F38" s="1853">
        <v>25</v>
      </c>
      <c r="G38" s="1852">
        <v>14</v>
      </c>
      <c r="H38" s="1853">
        <v>21</v>
      </c>
      <c r="I38" s="2982"/>
      <c r="J38" s="2982"/>
      <c r="K38" s="2982"/>
      <c r="L38" s="2982"/>
    </row>
    <row r="39" spans="1:20">
      <c r="B39" s="1846" t="s">
        <v>1113</v>
      </c>
      <c r="C39" s="1861"/>
      <c r="D39" s="1862"/>
      <c r="E39" s="1847">
        <v>12</v>
      </c>
      <c r="F39" s="1848">
        <v>25</v>
      </c>
      <c r="G39" s="1847">
        <v>17</v>
      </c>
      <c r="H39" s="1848">
        <v>14</v>
      </c>
      <c r="I39" s="3004"/>
      <c r="J39" s="3004"/>
      <c r="K39" s="3004"/>
      <c r="L39" s="3004"/>
    </row>
    <row r="40" spans="1:20">
      <c r="B40" s="1846" t="s">
        <v>617</v>
      </c>
      <c r="C40" s="1847">
        <v>4</v>
      </c>
      <c r="D40" s="1848">
        <v>64</v>
      </c>
      <c r="E40" s="1861"/>
      <c r="F40" s="1862"/>
      <c r="G40" s="1861">
        <v>5</v>
      </c>
      <c r="H40" s="1862">
        <v>53</v>
      </c>
      <c r="I40" s="3006"/>
      <c r="J40" s="3006"/>
      <c r="K40" s="3006"/>
      <c r="L40" s="3006"/>
    </row>
    <row r="41" spans="1:20" ht="28.8" customHeight="1">
      <c r="B41" s="1846" t="s">
        <v>618</v>
      </c>
      <c r="C41" s="1847">
        <v>10</v>
      </c>
      <c r="D41" s="1848">
        <v>42</v>
      </c>
      <c r="E41" s="1861"/>
      <c r="F41" s="1862"/>
      <c r="G41" s="1861">
        <v>12</v>
      </c>
      <c r="H41" s="1862">
        <v>25</v>
      </c>
      <c r="I41" s="3006"/>
      <c r="J41" s="3006"/>
      <c r="K41" s="3006"/>
      <c r="L41" s="3006"/>
    </row>
    <row r="42" spans="1:20">
      <c r="B42" s="2149" t="s">
        <v>357</v>
      </c>
      <c r="C42" s="2150">
        <v>37</v>
      </c>
      <c r="D42" s="2151"/>
      <c r="E42" s="2153"/>
      <c r="F42" s="2154"/>
      <c r="G42" s="2153">
        <v>15</v>
      </c>
      <c r="H42" s="2154">
        <v>20</v>
      </c>
      <c r="I42" s="3006"/>
      <c r="J42" s="3006"/>
      <c r="K42" s="3006"/>
      <c r="L42" s="3006"/>
    </row>
    <row r="43" spans="1:20">
      <c r="B43" s="2149" t="s">
        <v>1375</v>
      </c>
      <c r="C43" s="2150"/>
      <c r="D43" s="2151"/>
      <c r="E43" s="2153"/>
      <c r="F43" s="2154"/>
      <c r="G43" s="2153">
        <v>16</v>
      </c>
      <c r="H43" s="2154">
        <v>15</v>
      </c>
      <c r="I43" s="3006"/>
      <c r="J43" s="3006"/>
      <c r="K43" s="3006"/>
      <c r="L43" s="3006"/>
    </row>
    <row r="44" spans="1:20" ht="15" thickBot="1">
      <c r="B44" s="1856" t="s">
        <v>350</v>
      </c>
      <c r="C44" s="1857"/>
      <c r="D44" s="2152"/>
      <c r="E44" s="1858"/>
      <c r="F44" s="1859"/>
      <c r="G44" s="1858">
        <v>38</v>
      </c>
      <c r="H44" s="1859">
        <v>5</v>
      </c>
      <c r="I44" s="3006"/>
      <c r="J44" s="3006"/>
      <c r="K44" s="3006"/>
      <c r="L44" s="3006"/>
    </row>
    <row r="45" spans="1:20">
      <c r="E45" s="603" t="s">
        <v>1379</v>
      </c>
    </row>
    <row r="46" spans="1:20">
      <c r="B46" s="603"/>
    </row>
    <row r="47" spans="1:20" ht="15" thickBot="1">
      <c r="A47" s="1860" t="s">
        <v>1376</v>
      </c>
    </row>
    <row r="48" spans="1:20" ht="14.4" customHeight="1">
      <c r="B48" s="5547" t="s">
        <v>620</v>
      </c>
      <c r="C48" s="5549" t="s">
        <v>1114</v>
      </c>
      <c r="D48" s="5550"/>
      <c r="E48" s="5534" t="s">
        <v>1114</v>
      </c>
      <c r="F48" s="5535"/>
      <c r="G48" s="5530" t="s">
        <v>1114</v>
      </c>
      <c r="H48" s="5531"/>
      <c r="I48" s="3002"/>
      <c r="J48" s="3002"/>
      <c r="K48" s="3002"/>
      <c r="L48" s="3002"/>
    </row>
    <row r="49" spans="2:12" ht="15" thickBot="1">
      <c r="B49" s="5548"/>
      <c r="C49" s="5551">
        <v>2016</v>
      </c>
      <c r="D49" s="5552"/>
      <c r="E49" s="5536">
        <v>2017</v>
      </c>
      <c r="F49" s="5537"/>
      <c r="G49" s="5532">
        <v>2018</v>
      </c>
      <c r="H49" s="5533"/>
      <c r="I49" s="3002"/>
      <c r="J49" s="3002"/>
      <c r="K49" s="3002"/>
      <c r="L49" s="3002"/>
    </row>
    <row r="50" spans="2:12">
      <c r="B50" s="1863" t="s">
        <v>16</v>
      </c>
      <c r="C50" s="5528">
        <v>1</v>
      </c>
      <c r="D50" s="5529"/>
      <c r="E50" s="5528">
        <v>1</v>
      </c>
      <c r="F50" s="5529"/>
      <c r="G50" s="5528">
        <v>1</v>
      </c>
      <c r="H50" s="5529"/>
      <c r="I50" s="472"/>
      <c r="J50" s="472"/>
      <c r="K50" s="472"/>
      <c r="L50" s="472"/>
    </row>
    <row r="51" spans="2:12">
      <c r="B51" s="1864" t="s">
        <v>10</v>
      </c>
      <c r="C51" s="5528">
        <v>4</v>
      </c>
      <c r="D51" s="5529"/>
      <c r="E51" s="5528">
        <v>2</v>
      </c>
      <c r="F51" s="5529"/>
      <c r="G51" s="5528">
        <v>2</v>
      </c>
      <c r="H51" s="5529"/>
      <c r="I51" s="472"/>
      <c r="J51" s="472"/>
      <c r="K51" s="472"/>
      <c r="L51" s="472"/>
    </row>
    <row r="52" spans="2:12">
      <c r="B52" s="1864" t="s">
        <v>6</v>
      </c>
      <c r="C52" s="5528">
        <v>3</v>
      </c>
      <c r="D52" s="5529"/>
      <c r="E52" s="5528">
        <v>3</v>
      </c>
      <c r="F52" s="5529"/>
      <c r="G52" s="5528">
        <v>4</v>
      </c>
      <c r="H52" s="5529"/>
      <c r="I52" s="472"/>
      <c r="J52" s="472"/>
      <c r="K52" s="472"/>
      <c r="L52" s="472"/>
    </row>
    <row r="53" spans="2:12">
      <c r="B53" s="1864" t="s">
        <v>622</v>
      </c>
      <c r="C53" s="5528">
        <v>5</v>
      </c>
      <c r="D53" s="5529"/>
      <c r="E53" s="5528">
        <v>4</v>
      </c>
      <c r="F53" s="5529"/>
      <c r="G53" s="5528">
        <v>5</v>
      </c>
      <c r="H53" s="5529"/>
      <c r="I53" s="472"/>
      <c r="J53" s="472"/>
      <c r="K53" s="472"/>
      <c r="L53" s="472"/>
    </row>
    <row r="54" spans="2:12">
      <c r="B54" s="1864" t="s">
        <v>11</v>
      </c>
      <c r="C54" s="5528">
        <v>6</v>
      </c>
      <c r="D54" s="5529"/>
      <c r="E54" s="5528">
        <v>5</v>
      </c>
      <c r="F54" s="5529"/>
      <c r="G54" s="5528">
        <v>6</v>
      </c>
      <c r="H54" s="5529"/>
      <c r="I54" s="472"/>
      <c r="J54" s="472"/>
      <c r="K54" s="472"/>
      <c r="L54" s="472"/>
    </row>
    <row r="55" spans="2:12">
      <c r="B55" s="1864" t="s">
        <v>24</v>
      </c>
      <c r="C55" s="5528">
        <v>7</v>
      </c>
      <c r="D55" s="5529"/>
      <c r="E55" s="5528">
        <v>6</v>
      </c>
      <c r="F55" s="5529"/>
      <c r="G55" s="5528">
        <v>7</v>
      </c>
      <c r="H55" s="5529"/>
      <c r="I55" s="472"/>
      <c r="J55" s="472"/>
      <c r="K55" s="472"/>
      <c r="L55" s="472"/>
    </row>
    <row r="56" spans="2:12">
      <c r="B56" s="1865" t="s">
        <v>9</v>
      </c>
      <c r="C56" s="5553">
        <v>11</v>
      </c>
      <c r="D56" s="5554"/>
      <c r="E56" s="5555">
        <v>8</v>
      </c>
      <c r="F56" s="5556"/>
      <c r="G56" s="5555">
        <v>8</v>
      </c>
      <c r="H56" s="5556"/>
      <c r="I56" s="3007"/>
      <c r="J56" s="3007"/>
      <c r="K56" s="3007"/>
      <c r="L56" s="3007"/>
    </row>
    <row r="57" spans="2:12">
      <c r="B57" s="1864" t="s">
        <v>623</v>
      </c>
      <c r="C57" s="5528">
        <v>8</v>
      </c>
      <c r="D57" s="5529"/>
      <c r="E57" s="5528">
        <v>7</v>
      </c>
      <c r="F57" s="5529"/>
      <c r="G57" s="5528">
        <v>9</v>
      </c>
      <c r="H57" s="5529"/>
      <c r="I57" s="472"/>
      <c r="J57" s="472"/>
      <c r="K57" s="472"/>
      <c r="L57" s="472"/>
    </row>
    <row r="58" spans="2:12">
      <c r="B58" s="1864" t="s">
        <v>625</v>
      </c>
      <c r="C58" s="5528">
        <v>10</v>
      </c>
      <c r="D58" s="5529"/>
      <c r="E58" s="5528">
        <v>9</v>
      </c>
      <c r="F58" s="5529"/>
      <c r="G58" s="5528">
        <v>10</v>
      </c>
      <c r="H58" s="5529"/>
      <c r="I58" s="472"/>
      <c r="J58" s="472"/>
      <c r="K58" s="472"/>
      <c r="L58" s="472"/>
    </row>
    <row r="59" spans="2:12">
      <c r="B59" s="1864" t="s">
        <v>624</v>
      </c>
      <c r="C59" s="5528">
        <v>9</v>
      </c>
      <c r="D59" s="5529"/>
      <c r="E59" s="5528"/>
      <c r="F59" s="5529"/>
      <c r="G59" s="5528">
        <v>11</v>
      </c>
      <c r="H59" s="5529"/>
      <c r="I59" s="472"/>
      <c r="J59" s="472"/>
      <c r="K59" s="472"/>
      <c r="L59" s="472"/>
    </row>
    <row r="60" spans="2:12">
      <c r="B60" s="1864" t="s">
        <v>18</v>
      </c>
      <c r="C60" s="5528"/>
      <c r="D60" s="5529"/>
      <c r="E60" s="5528"/>
      <c r="F60" s="5529"/>
      <c r="G60" s="5528">
        <v>12</v>
      </c>
      <c r="H60" s="5529"/>
      <c r="I60" s="472"/>
      <c r="J60" s="472"/>
      <c r="K60" s="472"/>
      <c r="L60" s="472"/>
    </row>
    <row r="61" spans="2:12">
      <c r="B61" s="1864" t="s">
        <v>1377</v>
      </c>
      <c r="C61" s="5528"/>
      <c r="D61" s="5529"/>
      <c r="E61" s="5528"/>
      <c r="F61" s="5529"/>
      <c r="G61" s="5528">
        <v>13</v>
      </c>
      <c r="H61" s="5529"/>
      <c r="I61" s="472"/>
      <c r="J61" s="472"/>
      <c r="K61" s="472"/>
      <c r="L61" s="472"/>
    </row>
    <row r="62" spans="2:12">
      <c r="B62" s="1864" t="s">
        <v>1378</v>
      </c>
      <c r="C62" s="5528"/>
      <c r="D62" s="5529"/>
      <c r="E62" s="5528"/>
      <c r="F62" s="5529"/>
      <c r="G62" s="5528">
        <v>14</v>
      </c>
      <c r="H62" s="5529"/>
      <c r="I62" s="472"/>
      <c r="J62" s="472"/>
      <c r="K62" s="472"/>
      <c r="L62" s="472"/>
    </row>
    <row r="63" spans="2:12">
      <c r="B63" s="1866" t="s">
        <v>19</v>
      </c>
      <c r="C63" s="5528"/>
      <c r="D63" s="5529"/>
      <c r="E63" s="5528">
        <v>10</v>
      </c>
      <c r="F63" s="5529"/>
      <c r="G63" s="5528">
        <v>15</v>
      </c>
      <c r="H63" s="5529"/>
      <c r="I63" s="472"/>
      <c r="J63" s="472"/>
      <c r="K63" s="472"/>
      <c r="L63" s="472"/>
    </row>
    <row r="64" spans="2:12" ht="15" thickBot="1">
      <c r="B64" s="1867" t="s">
        <v>621</v>
      </c>
      <c r="C64" s="5557">
        <v>2</v>
      </c>
      <c r="D64" s="5558"/>
      <c r="E64" s="5557"/>
      <c r="F64" s="5558"/>
      <c r="G64" s="5557">
        <v>3</v>
      </c>
      <c r="H64" s="5558"/>
      <c r="I64" s="472"/>
      <c r="J64" s="472"/>
      <c r="K64" s="472"/>
      <c r="L64" s="472"/>
    </row>
    <row r="65" spans="5:5">
      <c r="E65" s="603" t="s">
        <v>1379</v>
      </c>
    </row>
  </sheetData>
  <mergeCells count="61">
    <mergeCell ref="C64:D64"/>
    <mergeCell ref="E64:F64"/>
    <mergeCell ref="G64:H64"/>
    <mergeCell ref="C62:D62"/>
    <mergeCell ref="E62:F62"/>
    <mergeCell ref="G62:H62"/>
    <mergeCell ref="C63:D63"/>
    <mergeCell ref="E63:F63"/>
    <mergeCell ref="G63:H63"/>
    <mergeCell ref="C60:D60"/>
    <mergeCell ref="E60:F60"/>
    <mergeCell ref="G60:H60"/>
    <mergeCell ref="C61:D61"/>
    <mergeCell ref="E61:F61"/>
    <mergeCell ref="G61:H61"/>
    <mergeCell ref="C58:D58"/>
    <mergeCell ref="E58:F58"/>
    <mergeCell ref="G58:H58"/>
    <mergeCell ref="C59:D59"/>
    <mergeCell ref="E59:F59"/>
    <mergeCell ref="G59:H59"/>
    <mergeCell ref="C56:D56"/>
    <mergeCell ref="E56:F56"/>
    <mergeCell ref="G56:H56"/>
    <mergeCell ref="C57:D57"/>
    <mergeCell ref="E57:F57"/>
    <mergeCell ref="G57:H57"/>
    <mergeCell ref="C55:D55"/>
    <mergeCell ref="E55:F55"/>
    <mergeCell ref="G55:H55"/>
    <mergeCell ref="B48:B49"/>
    <mergeCell ref="B25:B26"/>
    <mergeCell ref="C26:D26"/>
    <mergeCell ref="E26:F26"/>
    <mergeCell ref="G26:H26"/>
    <mergeCell ref="C52:D52"/>
    <mergeCell ref="C53:D53"/>
    <mergeCell ref="C54:D54"/>
    <mergeCell ref="C48:D48"/>
    <mergeCell ref="C49:D49"/>
    <mergeCell ref="C50:D50"/>
    <mergeCell ref="C51:D51"/>
    <mergeCell ref="E54:F54"/>
    <mergeCell ref="A1:H1"/>
    <mergeCell ref="B5:B6"/>
    <mergeCell ref="C6:D6"/>
    <mergeCell ref="E6:F6"/>
    <mergeCell ref="G6:H6"/>
    <mergeCell ref="G48:H48"/>
    <mergeCell ref="G49:H49"/>
    <mergeCell ref="E48:F48"/>
    <mergeCell ref="E49:F49"/>
    <mergeCell ref="E50:F50"/>
    <mergeCell ref="G54:H54"/>
    <mergeCell ref="E51:F51"/>
    <mergeCell ref="E52:F52"/>
    <mergeCell ref="E53:F53"/>
    <mergeCell ref="G50:H50"/>
    <mergeCell ref="G51:H51"/>
    <mergeCell ref="G52:H52"/>
    <mergeCell ref="G53:H53"/>
  </mergeCells>
  <hyperlinks>
    <hyperlink ref="B2" r:id="rId1" xr:uid="{00000000-0004-0000-0700-000000000000}"/>
  </hyperlinks>
  <printOptions horizontalCentered="1"/>
  <pageMargins left="0.23622047244094491" right="0.19685039370078741" top="0.51181102362204722" bottom="0.47244094488188981" header="0.31496062992125984" footer="0.31496062992125984"/>
  <pageSetup paperSize="9" scale="75" orientation="portrait" r:id="rId2"/>
  <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X59"/>
  <sheetViews>
    <sheetView showGridLines="0" topLeftCell="N3" workbookViewId="0">
      <selection activeCell="T5" sqref="T5"/>
    </sheetView>
  </sheetViews>
  <sheetFormatPr baseColWidth="10" defaultColWidth="11.44140625" defaultRowHeight="14.4"/>
  <cols>
    <col min="1" max="1" width="14.88671875" style="706" bestFit="1" customWidth="1"/>
    <col min="2" max="2" width="24.88671875" style="706" bestFit="1" customWidth="1"/>
    <col min="3" max="3" width="14.109375" style="706" bestFit="1" customWidth="1"/>
    <col min="4" max="17" width="16.109375" style="704" customWidth="1"/>
    <col min="18" max="18" width="15" style="704" bestFit="1" customWidth="1"/>
    <col min="19" max="19" width="15.6640625" style="704" customWidth="1"/>
    <col min="20" max="20" width="23.6640625" style="704" bestFit="1" customWidth="1"/>
    <col min="21" max="21" width="23.109375" style="704" bestFit="1" customWidth="1"/>
    <col min="22" max="23" width="11.44140625" style="704"/>
    <col min="24" max="16384" width="11.44140625" style="164"/>
  </cols>
  <sheetData>
    <row r="1" spans="1:23" hidden="1"/>
    <row r="2" spans="1:23" hidden="1"/>
    <row r="3" spans="1:23" s="1311" customFormat="1" ht="23.4">
      <c r="A3" s="728" t="s">
        <v>795</v>
      </c>
      <c r="B3" s="387"/>
      <c r="C3" s="387"/>
      <c r="D3" s="703"/>
      <c r="E3" s="703"/>
      <c r="F3" s="703"/>
      <c r="G3" s="703"/>
      <c r="H3" s="703"/>
      <c r="I3" s="703"/>
      <c r="J3" s="703"/>
      <c r="K3" s="703"/>
      <c r="L3" s="703"/>
      <c r="M3" s="703"/>
      <c r="N3" s="703"/>
      <c r="O3" s="703"/>
      <c r="P3" s="703"/>
      <c r="Q3" s="703"/>
      <c r="R3" s="703"/>
      <c r="S3" s="703"/>
      <c r="T3" s="703"/>
      <c r="U3" s="703"/>
      <c r="V3" s="703"/>
      <c r="W3" s="703"/>
    </row>
    <row r="4" spans="1:23" s="1311" customFormat="1" ht="23.4">
      <c r="A4" s="728" t="s">
        <v>796</v>
      </c>
      <c r="B4" s="387"/>
      <c r="C4" s="387"/>
      <c r="D4" s="702"/>
      <c r="E4" s="702"/>
      <c r="F4" s="702"/>
      <c r="G4" s="702"/>
      <c r="H4" s="702"/>
      <c r="I4" s="702"/>
      <c r="J4" s="702"/>
      <c r="K4" s="702"/>
      <c r="L4" s="702"/>
      <c r="M4" s="702"/>
      <c r="N4" s="702"/>
      <c r="O4" s="702"/>
      <c r="P4" s="702"/>
      <c r="Q4" s="702"/>
      <c r="R4" s="702"/>
      <c r="S4" s="703"/>
      <c r="T4" s="703"/>
      <c r="U4" s="703"/>
      <c r="V4" s="703"/>
      <c r="W4" s="703"/>
    </row>
    <row r="5" spans="1:23">
      <c r="A5" s="1315"/>
      <c r="F5" s="709"/>
      <c r="I5" s="709"/>
      <c r="K5" s="710"/>
      <c r="M5" s="709"/>
    </row>
    <row r="6" spans="1:23" ht="15" thickBot="1">
      <c r="A6" s="1315"/>
      <c r="D6" s="1338">
        <v>0</v>
      </c>
      <c r="E6" s="1338">
        <v>0</v>
      </c>
      <c r="F6" s="1339">
        <v>0</v>
      </c>
      <c r="G6" s="1338">
        <v>0</v>
      </c>
      <c r="H6" s="1338">
        <v>0</v>
      </c>
      <c r="I6" s="1339">
        <v>0</v>
      </c>
      <c r="J6" s="1338">
        <v>1</v>
      </c>
      <c r="K6" s="1340">
        <v>0.13</v>
      </c>
      <c r="L6" s="1340">
        <v>5.5E-2</v>
      </c>
      <c r="M6" s="1339">
        <v>2.3E-2</v>
      </c>
      <c r="N6" s="1338">
        <v>0</v>
      </c>
      <c r="O6" s="1338">
        <v>0</v>
      </c>
      <c r="P6" s="1339">
        <v>0</v>
      </c>
      <c r="Q6" s="1338">
        <v>0</v>
      </c>
      <c r="R6" s="711"/>
    </row>
    <row r="7" spans="1:23" ht="42" thickBot="1">
      <c r="A7" s="701" t="s">
        <v>196</v>
      </c>
      <c r="B7" s="700" t="s">
        <v>480</v>
      </c>
      <c r="C7" s="701" t="s">
        <v>481</v>
      </c>
      <c r="D7" s="1291" t="s">
        <v>797</v>
      </c>
      <c r="E7" s="1292" t="s">
        <v>798</v>
      </c>
      <c r="F7" s="1292" t="s">
        <v>799</v>
      </c>
      <c r="G7" s="1292" t="s">
        <v>800</v>
      </c>
      <c r="H7" s="1292" t="s">
        <v>801</v>
      </c>
      <c r="I7" s="1292" t="s">
        <v>802</v>
      </c>
      <c r="J7" s="1293" t="s">
        <v>803</v>
      </c>
      <c r="K7" s="1292" t="s">
        <v>804</v>
      </c>
      <c r="L7" s="1292" t="s">
        <v>805</v>
      </c>
      <c r="M7" s="1292" t="s">
        <v>806</v>
      </c>
      <c r="N7" s="1292" t="s">
        <v>807</v>
      </c>
      <c r="O7" s="1292" t="s">
        <v>808</v>
      </c>
      <c r="P7" s="1292" t="s">
        <v>809</v>
      </c>
      <c r="Q7" s="1294" t="s">
        <v>810</v>
      </c>
      <c r="R7" s="717" t="s">
        <v>811</v>
      </c>
      <c r="S7" s="1336" t="s">
        <v>812</v>
      </c>
      <c r="T7" s="717" t="s">
        <v>813</v>
      </c>
    </row>
    <row r="8" spans="1:23">
      <c r="A8" s="727">
        <v>2007</v>
      </c>
      <c r="B8" s="1314" t="s">
        <v>482</v>
      </c>
      <c r="C8" s="727" t="s">
        <v>204</v>
      </c>
      <c r="D8" s="719">
        <v>63304.648598650187</v>
      </c>
      <c r="E8" s="719">
        <v>24104.53039399672</v>
      </c>
      <c r="F8" s="719">
        <v>2184152.4698238345</v>
      </c>
      <c r="G8" s="719">
        <v>42628.00954622835</v>
      </c>
      <c r="H8" s="719">
        <v>764111.63758787757</v>
      </c>
      <c r="I8" s="719">
        <v>1084223.4883242128</v>
      </c>
      <c r="J8" s="720">
        <v>189925.9604709126</v>
      </c>
      <c r="K8" s="719">
        <v>1108338.1546763675</v>
      </c>
      <c r="L8" s="719">
        <v>593388.125262646</v>
      </c>
      <c r="M8" s="719">
        <v>2631549.1472298275</v>
      </c>
      <c r="N8" s="719">
        <v>648462.94843365275</v>
      </c>
      <c r="O8" s="719">
        <v>411950.70003383385</v>
      </c>
      <c r="P8" s="719">
        <v>293417.4850611632</v>
      </c>
      <c r="Q8" s="721">
        <v>563088.03688356921</v>
      </c>
      <c r="R8" s="722">
        <v>10602645.342326771</v>
      </c>
      <c r="S8" s="1337">
        <f t="shared" ref="S8:S17" si="0">((D8*$D$6)+(E8*$E$6)+(F8*$F$6)+(G8*$G$6)+(H8*$H$6)+(I8*$I$6)+(J8)+(K8*$K$6)+(L8*$L$6)+(M8*$M$6)+(N8*$N$6)+(O8*$O$6)+(P8*$P$6)+(Q8*$Q$6))/R8</f>
        <v>4.0289181054586544E-2</v>
      </c>
      <c r="T8" s="722" t="s">
        <v>814</v>
      </c>
    </row>
    <row r="9" spans="1:23">
      <c r="A9" s="727">
        <v>2008</v>
      </c>
      <c r="B9" s="1314" t="s">
        <v>482</v>
      </c>
      <c r="C9" s="727" t="s">
        <v>204</v>
      </c>
      <c r="D9" s="719">
        <v>105673.87866689188</v>
      </c>
      <c r="E9" s="719">
        <v>35492.0641490165</v>
      </c>
      <c r="F9" s="719">
        <v>2668891.7598498138</v>
      </c>
      <c r="G9" s="719">
        <v>47873.823554933813</v>
      </c>
      <c r="H9" s="719">
        <v>926010.16842142714</v>
      </c>
      <c r="I9" s="719">
        <v>1410014.9163597175</v>
      </c>
      <c r="J9" s="720">
        <v>226939.67722284907</v>
      </c>
      <c r="K9" s="719">
        <v>1299943.4792724028</v>
      </c>
      <c r="L9" s="719">
        <v>668756.97370611504</v>
      </c>
      <c r="M9" s="719">
        <v>2933066.6986841024</v>
      </c>
      <c r="N9" s="719">
        <v>816506.9814007642</v>
      </c>
      <c r="O9" s="719">
        <v>527273.75162840798</v>
      </c>
      <c r="P9" s="719">
        <v>344614.02768483607</v>
      </c>
      <c r="Q9" s="721">
        <v>704171.03899376863</v>
      </c>
      <c r="R9" s="722">
        <v>12715229.239595046</v>
      </c>
      <c r="S9" s="1337">
        <f t="shared" si="0"/>
        <v>3.9336648024739948E-2</v>
      </c>
      <c r="T9" s="722" t="s">
        <v>814</v>
      </c>
    </row>
    <row r="10" spans="1:23">
      <c r="A10" s="727">
        <v>2009</v>
      </c>
      <c r="B10" s="1314" t="s">
        <v>482</v>
      </c>
      <c r="C10" s="727" t="s">
        <v>204</v>
      </c>
      <c r="D10" s="723">
        <v>93700.083159183298</v>
      </c>
      <c r="E10" s="719">
        <v>41194.213065190488</v>
      </c>
      <c r="F10" s="719">
        <v>2690342.6684163334</v>
      </c>
      <c r="G10" s="719">
        <v>45408.928936460754</v>
      </c>
      <c r="H10" s="719">
        <v>1060621.1667419525</v>
      </c>
      <c r="I10" s="719">
        <v>1313710.523455644</v>
      </c>
      <c r="J10" s="720">
        <v>263723.70149069594</v>
      </c>
      <c r="K10" s="719">
        <v>1250578.1900201831</v>
      </c>
      <c r="L10" s="719">
        <v>764937.99243963312</v>
      </c>
      <c r="M10" s="719">
        <v>2994965.2157189008</v>
      </c>
      <c r="N10" s="719">
        <v>916380.6845303158</v>
      </c>
      <c r="O10" s="719">
        <v>541481.49464957684</v>
      </c>
      <c r="P10" s="719">
        <v>332993.60277584253</v>
      </c>
      <c r="Q10" s="721">
        <v>627736.78216992517</v>
      </c>
      <c r="R10" s="722">
        <v>12937775.247569835</v>
      </c>
      <c r="S10" s="1337">
        <f t="shared" si="0"/>
        <v>4.1526046438312446E-2</v>
      </c>
      <c r="T10" s="722" t="s">
        <v>814</v>
      </c>
    </row>
    <row r="11" spans="1:23">
      <c r="A11" s="727">
        <v>2010</v>
      </c>
      <c r="B11" s="1314" t="s">
        <v>482</v>
      </c>
      <c r="C11" s="727" t="s">
        <v>204</v>
      </c>
      <c r="D11" s="723">
        <v>115305.68854279626</v>
      </c>
      <c r="E11" s="719">
        <v>35147.049442968659</v>
      </c>
      <c r="F11" s="719">
        <v>2981674.1529837204</v>
      </c>
      <c r="G11" s="719">
        <v>129136.61519497237</v>
      </c>
      <c r="H11" s="719">
        <v>1291718.7887568611</v>
      </c>
      <c r="I11" s="719">
        <v>1375057.505375976</v>
      </c>
      <c r="J11" s="720">
        <v>296427.69033150922</v>
      </c>
      <c r="K11" s="719">
        <v>1391185.4237446371</v>
      </c>
      <c r="L11" s="719">
        <v>846555.19517326402</v>
      </c>
      <c r="M11" s="719">
        <v>3525811.1575769889</v>
      </c>
      <c r="N11" s="719">
        <v>1195135.0194112053</v>
      </c>
      <c r="O11" s="719">
        <v>557066.94952930999</v>
      </c>
      <c r="P11" s="719">
        <v>394725.82433861046</v>
      </c>
      <c r="Q11" s="721">
        <v>568473.524202795</v>
      </c>
      <c r="R11" s="722">
        <v>14703420.584605612</v>
      </c>
      <c r="S11" s="1337">
        <f t="shared" si="0"/>
        <v>4.1142534439263502E-2</v>
      </c>
      <c r="T11" s="722" t="s">
        <v>814</v>
      </c>
    </row>
    <row r="12" spans="1:23">
      <c r="A12" s="727">
        <v>2011</v>
      </c>
      <c r="B12" s="1314" t="s">
        <v>482</v>
      </c>
      <c r="C12" s="727" t="s">
        <v>204</v>
      </c>
      <c r="D12" s="723">
        <v>146976.02810252312</v>
      </c>
      <c r="E12" s="719">
        <v>53608.386727943507</v>
      </c>
      <c r="F12" s="719">
        <v>3293923.8514540093</v>
      </c>
      <c r="G12" s="719">
        <v>161385.46901657694</v>
      </c>
      <c r="H12" s="719">
        <v>1876498.3087501854</v>
      </c>
      <c r="I12" s="719">
        <v>1709709.4791067545</v>
      </c>
      <c r="J12" s="720">
        <v>337341.43208725739</v>
      </c>
      <c r="K12" s="719">
        <v>1273153.659912677</v>
      </c>
      <c r="L12" s="719">
        <v>968769.74085154769</v>
      </c>
      <c r="M12" s="719">
        <v>3733726.4632581929</v>
      </c>
      <c r="N12" s="719">
        <v>1276257.6261392736</v>
      </c>
      <c r="O12" s="719">
        <v>544440.27698331594</v>
      </c>
      <c r="P12" s="719">
        <v>416939.56359771074</v>
      </c>
      <c r="Q12" s="721">
        <v>718793.86953845387</v>
      </c>
      <c r="R12" s="722">
        <v>16511524.155526428</v>
      </c>
      <c r="S12" s="1337">
        <f t="shared" si="0"/>
        <v>3.8882506922463464E-2</v>
      </c>
      <c r="T12" s="722" t="s">
        <v>814</v>
      </c>
    </row>
    <row r="13" spans="1:23">
      <c r="A13" s="727">
        <v>2012</v>
      </c>
      <c r="B13" s="1314" t="s">
        <v>482</v>
      </c>
      <c r="C13" s="727" t="s">
        <v>204</v>
      </c>
      <c r="D13" s="723">
        <v>162234.12885982631</v>
      </c>
      <c r="E13" s="719">
        <v>45592.825352620363</v>
      </c>
      <c r="F13" s="719">
        <v>3455632.8913340177</v>
      </c>
      <c r="G13" s="719">
        <v>207094.59527694288</v>
      </c>
      <c r="H13" s="719">
        <v>2173212.3191676028</v>
      </c>
      <c r="I13" s="719">
        <v>1673389.9081846306</v>
      </c>
      <c r="J13" s="720">
        <v>421801.52447812504</v>
      </c>
      <c r="K13" s="719">
        <v>1411272.8213112408</v>
      </c>
      <c r="L13" s="719">
        <v>1203331.1933460147</v>
      </c>
      <c r="M13" s="719">
        <v>4361714.2838389631</v>
      </c>
      <c r="N13" s="719">
        <v>1865435.7054172438</v>
      </c>
      <c r="O13" s="719">
        <v>617570.53137664089</v>
      </c>
      <c r="P13" s="719">
        <v>483902.4057217355</v>
      </c>
      <c r="Q13" s="721">
        <v>754931.54648980382</v>
      </c>
      <c r="R13" s="722">
        <v>18837116.680155415</v>
      </c>
      <c r="S13" s="1337">
        <f t="shared" si="0"/>
        <v>4.0970688270140602E-2</v>
      </c>
      <c r="T13" s="722" t="s">
        <v>814</v>
      </c>
    </row>
    <row r="14" spans="1:23">
      <c r="A14" s="727">
        <v>2013</v>
      </c>
      <c r="B14" s="1314" t="s">
        <v>482</v>
      </c>
      <c r="C14" s="727" t="s">
        <v>204</v>
      </c>
      <c r="D14" s="723">
        <v>182083.28260201751</v>
      </c>
      <c r="E14" s="719">
        <v>63056.975053988615</v>
      </c>
      <c r="F14" s="719">
        <v>3745899.3567081084</v>
      </c>
      <c r="G14" s="719">
        <v>194605.91910922417</v>
      </c>
      <c r="H14" s="719">
        <v>2445471.9317070809</v>
      </c>
      <c r="I14" s="719">
        <v>1962850.2834356935</v>
      </c>
      <c r="J14" s="720">
        <v>483549.37214129994</v>
      </c>
      <c r="K14" s="719">
        <v>1560468.8603990532</v>
      </c>
      <c r="L14" s="719">
        <v>1114414.324532182</v>
      </c>
      <c r="M14" s="719">
        <v>4623751.4739644704</v>
      </c>
      <c r="N14" s="719">
        <v>2478290.0830926048</v>
      </c>
      <c r="O14" s="719">
        <v>662369.858096121</v>
      </c>
      <c r="P14" s="719">
        <v>577185.21222364204</v>
      </c>
      <c r="Q14" s="721">
        <v>846262.77272465639</v>
      </c>
      <c r="R14" s="722">
        <v>20940259.705790155</v>
      </c>
      <c r="S14" s="1337">
        <f t="shared" si="0"/>
        <v>4.0785043153379712E-2</v>
      </c>
      <c r="T14" s="722" t="s">
        <v>814</v>
      </c>
    </row>
    <row r="15" spans="1:23">
      <c r="A15" s="727">
        <v>2014</v>
      </c>
      <c r="B15" s="1314" t="s">
        <v>482</v>
      </c>
      <c r="C15" s="727" t="s">
        <v>204</v>
      </c>
      <c r="D15" s="723">
        <v>201701.86067606922</v>
      </c>
      <c r="E15" s="719">
        <v>75122.85831143496</v>
      </c>
      <c r="F15" s="719">
        <v>4206064.3091817461</v>
      </c>
      <c r="G15" s="719">
        <v>256898.13690860878</v>
      </c>
      <c r="H15" s="719">
        <v>2761543.2756389752</v>
      </c>
      <c r="I15" s="719">
        <v>2026124.6257945842</v>
      </c>
      <c r="J15" s="720">
        <v>535769.95107360627</v>
      </c>
      <c r="K15" s="719">
        <v>1723141.2900961041</v>
      </c>
      <c r="L15" s="719">
        <v>1299206.5542834455</v>
      </c>
      <c r="M15" s="719">
        <v>5144752.7022950761</v>
      </c>
      <c r="N15" s="719">
        <v>2528139.2211955735</v>
      </c>
      <c r="O15" s="719">
        <v>697290.1488463392</v>
      </c>
      <c r="P15" s="719">
        <v>608290.24872891046</v>
      </c>
      <c r="Q15" s="721">
        <v>933273.97287819465</v>
      </c>
      <c r="R15" s="722">
        <v>22997319.155908685</v>
      </c>
      <c r="S15" s="1337">
        <f t="shared" si="0"/>
        <v>4.1290203653172555E-2</v>
      </c>
      <c r="T15" s="722" t="s">
        <v>814</v>
      </c>
    </row>
    <row r="16" spans="1:23">
      <c r="A16" s="727">
        <v>2015</v>
      </c>
      <c r="B16" s="1314" t="s">
        <v>482</v>
      </c>
      <c r="C16" s="727" t="s">
        <v>204</v>
      </c>
      <c r="D16" s="724">
        <v>322923.65799778036</v>
      </c>
      <c r="E16" s="725">
        <v>73890.363824791493</v>
      </c>
      <c r="F16" s="725">
        <v>4349039.1971345376</v>
      </c>
      <c r="G16" s="725">
        <v>317157.82712235767</v>
      </c>
      <c r="H16" s="725">
        <v>2427018.9998156535</v>
      </c>
      <c r="I16" s="725">
        <v>1865957.0935885832</v>
      </c>
      <c r="J16" s="725">
        <v>552811.99787082756</v>
      </c>
      <c r="K16" s="725">
        <v>1595006.4392276648</v>
      </c>
      <c r="L16" s="725">
        <v>1294102.8548831502</v>
      </c>
      <c r="M16" s="725">
        <v>4799443.2048693374</v>
      </c>
      <c r="N16" s="725">
        <v>3405247.7100365749</v>
      </c>
      <c r="O16" s="725">
        <v>782431.16900367581</v>
      </c>
      <c r="P16" s="725">
        <v>690671.08777526126</v>
      </c>
      <c r="Q16" s="726">
        <v>756700.42807353497</v>
      </c>
      <c r="R16" s="722">
        <v>23232402.031223733</v>
      </c>
      <c r="S16" s="1337">
        <f t="shared" si="0"/>
        <v>4.0535011594381741E-2</v>
      </c>
      <c r="T16" s="722" t="s">
        <v>814</v>
      </c>
    </row>
    <row r="17" spans="1:24">
      <c r="A17" s="727">
        <v>2016</v>
      </c>
      <c r="B17" s="727" t="s">
        <v>482</v>
      </c>
      <c r="C17" s="727" t="s">
        <v>204</v>
      </c>
      <c r="D17" s="724">
        <v>375542.99614872306</v>
      </c>
      <c r="E17" s="725">
        <v>95242.390090242974</v>
      </c>
      <c r="F17" s="725">
        <v>4290389.2548484309</v>
      </c>
      <c r="G17" s="725">
        <v>332798.41485854448</v>
      </c>
      <c r="H17" s="725">
        <v>2745505.1569721168</v>
      </c>
      <c r="I17" s="725">
        <v>1641091.2412359775</v>
      </c>
      <c r="J17" s="725">
        <v>551461.33182469895</v>
      </c>
      <c r="K17" s="725">
        <v>1642844.2191815914</v>
      </c>
      <c r="L17" s="725">
        <v>1316902.2364554824</v>
      </c>
      <c r="M17" s="725">
        <v>4418107.1254909914</v>
      </c>
      <c r="N17" s="725">
        <v>3523725.9993655756</v>
      </c>
      <c r="O17" s="725">
        <v>809724.4944579791</v>
      </c>
      <c r="P17" s="725">
        <v>688969.36468537385</v>
      </c>
      <c r="Q17" s="726">
        <v>796382.97197872889</v>
      </c>
      <c r="R17" s="722">
        <v>23228687.19759446</v>
      </c>
      <c r="S17" s="1337">
        <f t="shared" si="0"/>
        <v>4.0427474838392936E-2</v>
      </c>
      <c r="T17" s="722" t="s">
        <v>815</v>
      </c>
      <c r="U17" s="712"/>
    </row>
    <row r="18" spans="1:24" s="1312" customFormat="1">
      <c r="A18" s="1139">
        <v>2017</v>
      </c>
      <c r="B18" s="1139" t="s">
        <v>482</v>
      </c>
      <c r="C18" s="1139" t="s">
        <v>204</v>
      </c>
      <c r="D18" s="1140">
        <v>423957.66239965986</v>
      </c>
      <c r="E18" s="1141">
        <v>123263.70164313466</v>
      </c>
      <c r="F18" s="1141">
        <v>4338616.7594407769</v>
      </c>
      <c r="G18" s="1141">
        <v>352413.33568882546</v>
      </c>
      <c r="H18" s="1141">
        <v>2623429.2539050714</v>
      </c>
      <c r="I18" s="1141">
        <v>1553705.3348553979</v>
      </c>
      <c r="J18" s="1141">
        <v>586293.03526271228</v>
      </c>
      <c r="K18" s="1141">
        <v>1671136.9249244421</v>
      </c>
      <c r="L18" s="1141">
        <v>1516891.7767089892</v>
      </c>
      <c r="M18" s="1141">
        <v>4884860.7396037336</v>
      </c>
      <c r="N18" s="1141">
        <v>3897779.6952470392</v>
      </c>
      <c r="O18" s="1141">
        <v>889860.99662378093</v>
      </c>
      <c r="P18" s="1141">
        <v>765322.25560926087</v>
      </c>
      <c r="Q18" s="1142">
        <v>799066.42790453043</v>
      </c>
      <c r="R18" s="1143">
        <f>SUM(D18:Q18)</f>
        <v>24426597.899817355</v>
      </c>
      <c r="S18" s="1335">
        <f>(((D18*$D$6)+(E18*$E$6)+(F18*$F$6)+(G18*$G$6)+(H18*$H$6)+(I18*$I$6)+(J18)+(K18*$K$6)+(L18*$L$6)+(M18*$M$6)+(N18*$N$6)+(O18*$O$6)+(P18*$P$6)+(Q18*$Q$6))/R18)-0.0005</f>
        <v>4.0411210162436997E-2</v>
      </c>
      <c r="T18" s="1143" t="s">
        <v>1056</v>
      </c>
      <c r="U18" s="5559" t="s">
        <v>1053</v>
      </c>
      <c r="V18" s="5559"/>
      <c r="W18" s="5559"/>
    </row>
    <row r="19" spans="1:24">
      <c r="A19" s="1132">
        <v>2018</v>
      </c>
      <c r="B19" s="1132" t="s">
        <v>482</v>
      </c>
      <c r="C19" s="1132" t="s">
        <v>204</v>
      </c>
      <c r="D19" s="1134">
        <v>423957.66239965986</v>
      </c>
      <c r="E19" s="1135">
        <v>123263.70164313466</v>
      </c>
      <c r="F19" s="1135">
        <v>4338616.7594407769</v>
      </c>
      <c r="G19" s="1135">
        <v>352413.33568882546</v>
      </c>
      <c r="H19" s="1135">
        <v>2623429.2539050714</v>
      </c>
      <c r="I19" s="1135">
        <v>1553705.3348553979</v>
      </c>
      <c r="J19" s="1135">
        <v>586293.03526271228</v>
      </c>
      <c r="K19" s="1135">
        <v>1671136.9249244421</v>
      </c>
      <c r="L19" s="1135">
        <v>1516891.7767089892</v>
      </c>
      <c r="M19" s="1135">
        <v>4884860.7396037336</v>
      </c>
      <c r="N19" s="1135">
        <v>3897779.6952470392</v>
      </c>
      <c r="O19" s="1135">
        <v>889860.99662378093</v>
      </c>
      <c r="P19" s="1135">
        <v>765322.25560926087</v>
      </c>
      <c r="Q19" s="1136">
        <v>799066.42790453043</v>
      </c>
      <c r="R19" s="1147">
        <f>SUM(D19:Q19)</f>
        <v>24426597.899817355</v>
      </c>
      <c r="S19" s="1137">
        <f>((D19*$D$6)+(E19*$E$6)+(F19*$F$6)+(G19*$G$6)+(H19*$H$6)+(I19*$I$6)+(J19)+(K19*$K$6)+(L19*$L$6)+(M19*$M$6)+(N19*$N$6)+(O19*$O$6)+(P19*$P$6)+(Q19*$Q$6))/R19</f>
        <v>4.0911210162436998E-2</v>
      </c>
      <c r="T19" s="1147" t="s">
        <v>819</v>
      </c>
      <c r="U19" s="1138"/>
      <c r="V19" s="1138"/>
      <c r="W19" s="1138"/>
    </row>
    <row r="20" spans="1:24">
      <c r="A20" s="1132">
        <v>2019</v>
      </c>
      <c r="B20" s="1132" t="s">
        <v>482</v>
      </c>
      <c r="C20" s="1132" t="s">
        <v>204</v>
      </c>
      <c r="D20" s="1134">
        <v>423957.66239965986</v>
      </c>
      <c r="E20" s="1135">
        <v>123263.70164313466</v>
      </c>
      <c r="F20" s="1135">
        <v>4338616.7594407769</v>
      </c>
      <c r="G20" s="1135">
        <v>352413.33568882546</v>
      </c>
      <c r="H20" s="1135">
        <v>2623429.2539050714</v>
      </c>
      <c r="I20" s="1135">
        <v>1553705.3348553979</v>
      </c>
      <c r="J20" s="1135">
        <v>586293.03526271228</v>
      </c>
      <c r="K20" s="1135">
        <v>1671136.9249244421</v>
      </c>
      <c r="L20" s="1135">
        <v>1516891.7767089892</v>
      </c>
      <c r="M20" s="1135">
        <v>4884860.7396037336</v>
      </c>
      <c r="N20" s="1135">
        <v>3897779.6952470392</v>
      </c>
      <c r="O20" s="1135">
        <v>889860.99662378093</v>
      </c>
      <c r="P20" s="1135">
        <v>765322.25560926087</v>
      </c>
      <c r="Q20" s="1136">
        <v>799066.42790453043</v>
      </c>
      <c r="R20" s="1147">
        <f>SUM(D20:Q20)</f>
        <v>24426597.899817355</v>
      </c>
      <c r="S20" s="1137">
        <f>((D20*$D$6)+(E20*$E$6)+(F20*$F$6)+(G20*$G$6)+(H20*$H$6)+(I20*$I$6)+(J20)+(K20*$K$6)+(L20*$L$6)+(M20*$M$6)+(N20*$N$6)+(O20*$O$6)+(P20*$P$6)+(Q20*$Q$6))/R20</f>
        <v>4.0911210162436998E-2</v>
      </c>
      <c r="T20" s="1147" t="s">
        <v>819</v>
      </c>
      <c r="U20" s="1138"/>
      <c r="V20" s="1138"/>
      <c r="W20" s="1138"/>
    </row>
    <row r="22" spans="1:24" s="1313" customFormat="1" ht="10.199999999999999">
      <c r="A22" s="1288"/>
      <c r="B22" s="1288"/>
      <c r="C22" s="1288" t="s">
        <v>592</v>
      </c>
      <c r="D22" s="1290">
        <f t="shared" ref="D22:P22" si="1">+D18/$R$18</f>
        <v>1.7356394211689625E-2</v>
      </c>
      <c r="E22" s="1290">
        <f t="shared" si="1"/>
        <v>5.0462902017172169E-3</v>
      </c>
      <c r="F22" s="1290">
        <f t="shared" si="1"/>
        <v>0.17761854422933035</v>
      </c>
      <c r="G22" s="1290">
        <f t="shared" si="1"/>
        <v>1.4427442459822068E-2</v>
      </c>
      <c r="H22" s="1290">
        <f t="shared" si="1"/>
        <v>0.10740051744679056</v>
      </c>
      <c r="I22" s="1290">
        <f t="shared" si="1"/>
        <v>6.3607111445798822E-2</v>
      </c>
      <c r="J22" s="1290">
        <f t="shared" si="1"/>
        <v>2.4002238775425053E-2</v>
      </c>
      <c r="K22" s="1290">
        <f t="shared" si="1"/>
        <v>6.8414640949116284E-2</v>
      </c>
      <c r="L22" s="1290">
        <f t="shared" si="1"/>
        <v>6.2100001929467692E-2</v>
      </c>
      <c r="M22" s="1290">
        <f t="shared" si="1"/>
        <v>0.19998121554374379</v>
      </c>
      <c r="N22" s="1290">
        <f t="shared" si="1"/>
        <v>0.15957112452717717</v>
      </c>
      <c r="O22" s="1290">
        <f t="shared" si="1"/>
        <v>3.6430001438326975E-2</v>
      </c>
      <c r="P22" s="1290">
        <f t="shared" si="1"/>
        <v>3.1331512425436185E-2</v>
      </c>
      <c r="Q22" s="1290">
        <f>+Q18/$R$18</f>
        <v>3.271296441615823E-2</v>
      </c>
      <c r="R22" s="1289"/>
      <c r="S22" s="1289"/>
      <c r="T22" s="1289"/>
      <c r="U22" s="1289"/>
      <c r="V22" s="1289"/>
      <c r="W22" s="1289"/>
    </row>
    <row r="25" spans="1:24" ht="15" thickBot="1">
      <c r="A25" s="1146"/>
      <c r="D25" s="5560" t="s">
        <v>1048</v>
      </c>
      <c r="E25" s="5560"/>
      <c r="F25" s="5560"/>
      <c r="G25" s="5560"/>
      <c r="H25" s="5560"/>
      <c r="I25" s="5560"/>
      <c r="J25" s="5560"/>
      <c r="K25" s="5560"/>
      <c r="L25" s="5560"/>
      <c r="M25" s="5560"/>
      <c r="N25" s="5560"/>
      <c r="O25" s="5560"/>
      <c r="P25" s="5560"/>
      <c r="Q25" s="5560"/>
      <c r="S25" s="709"/>
    </row>
    <row r="26" spans="1:24" ht="29.4" thickBot="1">
      <c r="A26" s="1328" t="str">
        <f t="shared" ref="A26:C39" si="2">A7</f>
        <v>AÑO</v>
      </c>
      <c r="B26" s="1329" t="str">
        <f t="shared" si="2"/>
        <v>PROVINCIA</v>
      </c>
      <c r="C26" s="1329" t="str">
        <f t="shared" si="2"/>
        <v>CANTÓN</v>
      </c>
      <c r="D26" s="1330">
        <f t="shared" ref="D26:I26" si="3">D6</f>
        <v>0</v>
      </c>
      <c r="E26" s="1330">
        <f t="shared" si="3"/>
        <v>0</v>
      </c>
      <c r="F26" s="1330">
        <f t="shared" si="3"/>
        <v>0</v>
      </c>
      <c r="G26" s="1330">
        <f t="shared" si="3"/>
        <v>0</v>
      </c>
      <c r="H26" s="1330">
        <f t="shared" si="3"/>
        <v>0</v>
      </c>
      <c r="I26" s="1330">
        <f t="shared" si="3"/>
        <v>0</v>
      </c>
      <c r="J26" s="1326">
        <f>J6</f>
        <v>1</v>
      </c>
      <c r="K26" s="1326">
        <f t="shared" ref="K26:Q26" si="4">K6</f>
        <v>0.13</v>
      </c>
      <c r="L26" s="1326">
        <f t="shared" si="4"/>
        <v>5.5E-2</v>
      </c>
      <c r="M26" s="1326">
        <f t="shared" si="4"/>
        <v>2.3E-2</v>
      </c>
      <c r="N26" s="1330">
        <f t="shared" si="4"/>
        <v>0</v>
      </c>
      <c r="O26" s="1330">
        <f t="shared" si="4"/>
        <v>0</v>
      </c>
      <c r="P26" s="1330">
        <f t="shared" si="4"/>
        <v>0</v>
      </c>
      <c r="Q26" s="1331">
        <f t="shared" si="4"/>
        <v>0</v>
      </c>
      <c r="R26" s="1327" t="s">
        <v>196</v>
      </c>
      <c r="S26" s="701" t="s">
        <v>816</v>
      </c>
      <c r="T26" s="701" t="s">
        <v>817</v>
      </c>
      <c r="U26" s="1317" t="s">
        <v>818</v>
      </c>
      <c r="V26" s="712"/>
      <c r="W26" s="712"/>
      <c r="X26" s="712"/>
    </row>
    <row r="27" spans="1:24">
      <c r="A27" s="1316">
        <f t="shared" si="2"/>
        <v>2007</v>
      </c>
      <c r="B27" s="1316" t="str">
        <f t="shared" si="2"/>
        <v>PICHINCHA</v>
      </c>
      <c r="C27" s="1316" t="str">
        <f t="shared" si="2"/>
        <v>Quito</v>
      </c>
      <c r="D27" s="1318">
        <f t="shared" ref="D27:I27" si="5">+D8*D$6</f>
        <v>0</v>
      </c>
      <c r="E27" s="1318">
        <f t="shared" si="5"/>
        <v>0</v>
      </c>
      <c r="F27" s="1318">
        <f t="shared" si="5"/>
        <v>0</v>
      </c>
      <c r="G27" s="1318">
        <f t="shared" si="5"/>
        <v>0</v>
      </c>
      <c r="H27" s="1318">
        <f t="shared" si="5"/>
        <v>0</v>
      </c>
      <c r="I27" s="1318">
        <f t="shared" si="5"/>
        <v>0</v>
      </c>
      <c r="J27" s="1318">
        <f t="shared" ref="J27:M39" si="6">+J8*J$6</f>
        <v>189925.9604709126</v>
      </c>
      <c r="K27" s="1318">
        <f t="shared" si="6"/>
        <v>144083.96010792779</v>
      </c>
      <c r="L27" s="1318">
        <f t="shared" si="6"/>
        <v>32636.346889445529</v>
      </c>
      <c r="M27" s="1318">
        <f t="shared" si="6"/>
        <v>60525.63038628603</v>
      </c>
      <c r="N27" s="1318">
        <f t="shared" ref="N27:Q39" si="7">+N8*N$6</f>
        <v>0</v>
      </c>
      <c r="O27" s="1318">
        <f t="shared" si="7"/>
        <v>0</v>
      </c>
      <c r="P27" s="1318">
        <f t="shared" si="7"/>
        <v>0</v>
      </c>
      <c r="Q27" s="1318">
        <f t="shared" si="7"/>
        <v>0</v>
      </c>
      <c r="R27" s="1145">
        <v>2007</v>
      </c>
      <c r="S27" s="1319">
        <f t="shared" ref="S27:S39" si="8">SUM(J27:M27)</f>
        <v>427171.89785457199</v>
      </c>
      <c r="T27" s="1320">
        <f t="shared" ref="T27:T37" si="9">R8</f>
        <v>10602645.342326771</v>
      </c>
      <c r="U27" s="1321">
        <f>+S27/T27</f>
        <v>4.0289181054586544E-2</v>
      </c>
      <c r="V27" s="712"/>
      <c r="W27" s="712"/>
      <c r="X27" s="712"/>
    </row>
    <row r="28" spans="1:24">
      <c r="A28" s="1316">
        <f t="shared" si="2"/>
        <v>2008</v>
      </c>
      <c r="B28" s="1316" t="str">
        <f t="shared" si="2"/>
        <v>PICHINCHA</v>
      </c>
      <c r="C28" s="1316" t="str">
        <f t="shared" si="2"/>
        <v>Quito</v>
      </c>
      <c r="D28" s="1318">
        <f t="shared" ref="D28:I28" si="10">+D9*D$6</f>
        <v>0</v>
      </c>
      <c r="E28" s="1318">
        <f t="shared" si="10"/>
        <v>0</v>
      </c>
      <c r="F28" s="1318">
        <f t="shared" si="10"/>
        <v>0</v>
      </c>
      <c r="G28" s="1318">
        <f t="shared" si="10"/>
        <v>0</v>
      </c>
      <c r="H28" s="1318">
        <f t="shared" si="10"/>
        <v>0</v>
      </c>
      <c r="I28" s="1318">
        <f t="shared" si="10"/>
        <v>0</v>
      </c>
      <c r="J28" s="1318">
        <f t="shared" si="6"/>
        <v>226939.67722284907</v>
      </c>
      <c r="K28" s="1318">
        <f t="shared" si="6"/>
        <v>168992.65230541237</v>
      </c>
      <c r="L28" s="1318">
        <f t="shared" si="6"/>
        <v>36781.633553836327</v>
      </c>
      <c r="M28" s="1318">
        <f t="shared" si="6"/>
        <v>67460.534069734349</v>
      </c>
      <c r="N28" s="1318">
        <f t="shared" si="7"/>
        <v>0</v>
      </c>
      <c r="O28" s="1318">
        <f t="shared" si="7"/>
        <v>0</v>
      </c>
      <c r="P28" s="1318">
        <f t="shared" si="7"/>
        <v>0</v>
      </c>
      <c r="Q28" s="1318">
        <f t="shared" si="7"/>
        <v>0</v>
      </c>
      <c r="R28" s="699">
        <v>2008</v>
      </c>
      <c r="S28" s="1322">
        <f t="shared" si="8"/>
        <v>500174.4971518321</v>
      </c>
      <c r="T28" s="1323">
        <f t="shared" si="9"/>
        <v>12715229.239595046</v>
      </c>
      <c r="U28" s="1324">
        <f t="shared" ref="U28:U34" si="11">+S28/T28</f>
        <v>3.9336648024739948E-2</v>
      </c>
      <c r="V28" s="712"/>
      <c r="W28" s="712"/>
      <c r="X28" s="712"/>
    </row>
    <row r="29" spans="1:24">
      <c r="A29" s="1316">
        <f t="shared" si="2"/>
        <v>2009</v>
      </c>
      <c r="B29" s="1316" t="str">
        <f t="shared" si="2"/>
        <v>PICHINCHA</v>
      </c>
      <c r="C29" s="1316" t="str">
        <f t="shared" si="2"/>
        <v>Quito</v>
      </c>
      <c r="D29" s="1318">
        <f t="shared" ref="D29:I29" si="12">+D10*D$6</f>
        <v>0</v>
      </c>
      <c r="E29" s="1318">
        <f t="shared" si="12"/>
        <v>0</v>
      </c>
      <c r="F29" s="1318">
        <f t="shared" si="12"/>
        <v>0</v>
      </c>
      <c r="G29" s="1318">
        <f t="shared" si="12"/>
        <v>0</v>
      </c>
      <c r="H29" s="1318">
        <f t="shared" si="12"/>
        <v>0</v>
      </c>
      <c r="I29" s="1318">
        <f t="shared" si="12"/>
        <v>0</v>
      </c>
      <c r="J29" s="1318">
        <f t="shared" si="6"/>
        <v>263723.70149069594</v>
      </c>
      <c r="K29" s="1318">
        <f t="shared" si="6"/>
        <v>162575.16470262382</v>
      </c>
      <c r="L29" s="1318">
        <f t="shared" si="6"/>
        <v>42071.589584179819</v>
      </c>
      <c r="M29" s="1318">
        <f t="shared" si="6"/>
        <v>68884.199961534716</v>
      </c>
      <c r="N29" s="1318">
        <f t="shared" si="7"/>
        <v>0</v>
      </c>
      <c r="O29" s="1318">
        <f t="shared" si="7"/>
        <v>0</v>
      </c>
      <c r="P29" s="1318">
        <f t="shared" si="7"/>
        <v>0</v>
      </c>
      <c r="Q29" s="1318">
        <f t="shared" si="7"/>
        <v>0</v>
      </c>
      <c r="R29" s="699">
        <v>2009</v>
      </c>
      <c r="S29" s="1322">
        <f t="shared" si="8"/>
        <v>537254.65573903429</v>
      </c>
      <c r="T29" s="1323">
        <f t="shared" si="9"/>
        <v>12937775.247569835</v>
      </c>
      <c r="U29" s="1324">
        <f t="shared" si="11"/>
        <v>4.1526046438312446E-2</v>
      </c>
      <c r="V29" s="712"/>
      <c r="W29" s="712"/>
      <c r="X29" s="712"/>
    </row>
    <row r="30" spans="1:24">
      <c r="A30" s="1316">
        <f t="shared" si="2"/>
        <v>2010</v>
      </c>
      <c r="B30" s="1316" t="str">
        <f t="shared" si="2"/>
        <v>PICHINCHA</v>
      </c>
      <c r="C30" s="1316" t="str">
        <f t="shared" si="2"/>
        <v>Quito</v>
      </c>
      <c r="D30" s="1318">
        <f t="shared" ref="D30:I30" si="13">+D11*D$6</f>
        <v>0</v>
      </c>
      <c r="E30" s="1318">
        <f t="shared" si="13"/>
        <v>0</v>
      </c>
      <c r="F30" s="1318">
        <f t="shared" si="13"/>
        <v>0</v>
      </c>
      <c r="G30" s="1318">
        <f t="shared" si="13"/>
        <v>0</v>
      </c>
      <c r="H30" s="1318">
        <f t="shared" si="13"/>
        <v>0</v>
      </c>
      <c r="I30" s="1318">
        <f t="shared" si="13"/>
        <v>0</v>
      </c>
      <c r="J30" s="1318">
        <f t="shared" si="6"/>
        <v>296427.69033150922</v>
      </c>
      <c r="K30" s="1318">
        <f t="shared" si="6"/>
        <v>180854.10508680283</v>
      </c>
      <c r="L30" s="1318">
        <f t="shared" si="6"/>
        <v>46560.53573452952</v>
      </c>
      <c r="M30" s="1318">
        <f t="shared" si="6"/>
        <v>81093.656624270749</v>
      </c>
      <c r="N30" s="1318">
        <f t="shared" si="7"/>
        <v>0</v>
      </c>
      <c r="O30" s="1318">
        <f t="shared" si="7"/>
        <v>0</v>
      </c>
      <c r="P30" s="1318">
        <f t="shared" si="7"/>
        <v>0</v>
      </c>
      <c r="Q30" s="1318">
        <f t="shared" si="7"/>
        <v>0</v>
      </c>
      <c r="R30" s="699">
        <v>2010</v>
      </c>
      <c r="S30" s="1322">
        <f t="shared" si="8"/>
        <v>604935.98777711228</v>
      </c>
      <c r="T30" s="1323">
        <f t="shared" si="9"/>
        <v>14703420.584605612</v>
      </c>
      <c r="U30" s="1324">
        <f t="shared" si="11"/>
        <v>4.1142534439263502E-2</v>
      </c>
      <c r="V30" s="712"/>
      <c r="W30" s="712"/>
      <c r="X30" s="712"/>
    </row>
    <row r="31" spans="1:24">
      <c r="A31" s="1316">
        <f t="shared" si="2"/>
        <v>2011</v>
      </c>
      <c r="B31" s="1316" t="str">
        <f t="shared" si="2"/>
        <v>PICHINCHA</v>
      </c>
      <c r="C31" s="1316" t="str">
        <f t="shared" si="2"/>
        <v>Quito</v>
      </c>
      <c r="D31" s="1318">
        <f t="shared" ref="D31:I31" si="14">+D12*D$6</f>
        <v>0</v>
      </c>
      <c r="E31" s="1318">
        <f t="shared" si="14"/>
        <v>0</v>
      </c>
      <c r="F31" s="1318">
        <f t="shared" si="14"/>
        <v>0</v>
      </c>
      <c r="G31" s="1318">
        <f t="shared" si="14"/>
        <v>0</v>
      </c>
      <c r="H31" s="1318">
        <f t="shared" si="14"/>
        <v>0</v>
      </c>
      <c r="I31" s="1318">
        <f t="shared" si="14"/>
        <v>0</v>
      </c>
      <c r="J31" s="1318">
        <f t="shared" si="6"/>
        <v>337341.43208725739</v>
      </c>
      <c r="K31" s="1318">
        <f t="shared" si="6"/>
        <v>165509.97578864801</v>
      </c>
      <c r="L31" s="1318">
        <f t="shared" si="6"/>
        <v>53282.335746835124</v>
      </c>
      <c r="M31" s="1318">
        <f t="shared" si="6"/>
        <v>85875.70865493844</v>
      </c>
      <c r="N31" s="1318">
        <f t="shared" si="7"/>
        <v>0</v>
      </c>
      <c r="O31" s="1318">
        <f t="shared" si="7"/>
        <v>0</v>
      </c>
      <c r="P31" s="1318">
        <f t="shared" si="7"/>
        <v>0</v>
      </c>
      <c r="Q31" s="1318">
        <f t="shared" si="7"/>
        <v>0</v>
      </c>
      <c r="R31" s="699">
        <v>2011</v>
      </c>
      <c r="S31" s="1322">
        <f t="shared" si="8"/>
        <v>642009.452277679</v>
      </c>
      <c r="T31" s="1323">
        <f t="shared" si="9"/>
        <v>16511524.155526428</v>
      </c>
      <c r="U31" s="1324">
        <f t="shared" si="11"/>
        <v>3.8882506922463464E-2</v>
      </c>
      <c r="V31" s="712"/>
      <c r="W31" s="712"/>
      <c r="X31" s="712"/>
    </row>
    <row r="32" spans="1:24">
      <c r="A32" s="1316">
        <f t="shared" si="2"/>
        <v>2012</v>
      </c>
      <c r="B32" s="1316" t="str">
        <f t="shared" si="2"/>
        <v>PICHINCHA</v>
      </c>
      <c r="C32" s="1316" t="str">
        <f t="shared" si="2"/>
        <v>Quito</v>
      </c>
      <c r="D32" s="1318">
        <f t="shared" ref="D32:I32" si="15">+D13*D$6</f>
        <v>0</v>
      </c>
      <c r="E32" s="1318">
        <f t="shared" si="15"/>
        <v>0</v>
      </c>
      <c r="F32" s="1318">
        <f t="shared" si="15"/>
        <v>0</v>
      </c>
      <c r="G32" s="1318">
        <f t="shared" si="15"/>
        <v>0</v>
      </c>
      <c r="H32" s="1318">
        <f t="shared" si="15"/>
        <v>0</v>
      </c>
      <c r="I32" s="1318">
        <f t="shared" si="15"/>
        <v>0</v>
      </c>
      <c r="J32" s="1318">
        <f t="shared" si="6"/>
        <v>421801.52447812504</v>
      </c>
      <c r="K32" s="1318">
        <f t="shared" si="6"/>
        <v>183465.46677046129</v>
      </c>
      <c r="L32" s="1318">
        <f t="shared" si="6"/>
        <v>66183.215634030814</v>
      </c>
      <c r="M32" s="1318">
        <f t="shared" si="6"/>
        <v>100319.42852829615</v>
      </c>
      <c r="N32" s="1318">
        <f t="shared" si="7"/>
        <v>0</v>
      </c>
      <c r="O32" s="1318">
        <f t="shared" si="7"/>
        <v>0</v>
      </c>
      <c r="P32" s="1318">
        <f t="shared" si="7"/>
        <v>0</v>
      </c>
      <c r="Q32" s="1318">
        <f t="shared" si="7"/>
        <v>0</v>
      </c>
      <c r="R32" s="699">
        <v>2012</v>
      </c>
      <c r="S32" s="1322">
        <f t="shared" si="8"/>
        <v>771769.63541091338</v>
      </c>
      <c r="T32" s="1323">
        <f t="shared" si="9"/>
        <v>18837116.680155415</v>
      </c>
      <c r="U32" s="1324">
        <f t="shared" si="11"/>
        <v>4.0970688270140602E-2</v>
      </c>
      <c r="V32" s="712"/>
      <c r="W32" s="712"/>
      <c r="X32" s="712"/>
    </row>
    <row r="33" spans="1:24">
      <c r="A33" s="1316">
        <f t="shared" si="2"/>
        <v>2013</v>
      </c>
      <c r="B33" s="1316" t="str">
        <f t="shared" si="2"/>
        <v>PICHINCHA</v>
      </c>
      <c r="C33" s="1316" t="str">
        <f t="shared" si="2"/>
        <v>Quito</v>
      </c>
      <c r="D33" s="1318">
        <f t="shared" ref="D33:I33" si="16">+D14*D$6</f>
        <v>0</v>
      </c>
      <c r="E33" s="1318">
        <f t="shared" si="16"/>
        <v>0</v>
      </c>
      <c r="F33" s="1318">
        <f t="shared" si="16"/>
        <v>0</v>
      </c>
      <c r="G33" s="1318">
        <f t="shared" si="16"/>
        <v>0</v>
      </c>
      <c r="H33" s="1318">
        <f t="shared" si="16"/>
        <v>0</v>
      </c>
      <c r="I33" s="1318">
        <f t="shared" si="16"/>
        <v>0</v>
      </c>
      <c r="J33" s="1318">
        <f t="shared" si="6"/>
        <v>483549.37214129994</v>
      </c>
      <c r="K33" s="1318">
        <f t="shared" si="6"/>
        <v>202860.95185187692</v>
      </c>
      <c r="L33" s="1318">
        <f t="shared" si="6"/>
        <v>61292.787849270011</v>
      </c>
      <c r="M33" s="1318">
        <f t="shared" si="6"/>
        <v>106346.28390118282</v>
      </c>
      <c r="N33" s="1318">
        <f t="shared" si="7"/>
        <v>0</v>
      </c>
      <c r="O33" s="1318">
        <f t="shared" si="7"/>
        <v>0</v>
      </c>
      <c r="P33" s="1318">
        <f t="shared" si="7"/>
        <v>0</v>
      </c>
      <c r="Q33" s="1318">
        <f t="shared" si="7"/>
        <v>0</v>
      </c>
      <c r="R33" s="699">
        <v>2013</v>
      </c>
      <c r="S33" s="1322">
        <f t="shared" si="8"/>
        <v>854049.39574362978</v>
      </c>
      <c r="T33" s="1323">
        <f t="shared" si="9"/>
        <v>20940259.705790155</v>
      </c>
      <c r="U33" s="1324">
        <f t="shared" si="11"/>
        <v>4.0785043153379712E-2</v>
      </c>
      <c r="V33" s="712"/>
      <c r="W33" s="712"/>
      <c r="X33" s="712"/>
    </row>
    <row r="34" spans="1:24">
      <c r="A34" s="1316">
        <f t="shared" si="2"/>
        <v>2014</v>
      </c>
      <c r="B34" s="1316" t="str">
        <f t="shared" si="2"/>
        <v>PICHINCHA</v>
      </c>
      <c r="C34" s="1316" t="str">
        <f t="shared" si="2"/>
        <v>Quito</v>
      </c>
      <c r="D34" s="1318">
        <f t="shared" ref="D34:I34" si="17">+D15*D$6</f>
        <v>0</v>
      </c>
      <c r="E34" s="1318">
        <f t="shared" si="17"/>
        <v>0</v>
      </c>
      <c r="F34" s="1318">
        <f t="shared" si="17"/>
        <v>0</v>
      </c>
      <c r="G34" s="1318">
        <f t="shared" si="17"/>
        <v>0</v>
      </c>
      <c r="H34" s="1318">
        <f t="shared" si="17"/>
        <v>0</v>
      </c>
      <c r="I34" s="1318">
        <f t="shared" si="17"/>
        <v>0</v>
      </c>
      <c r="J34" s="1318">
        <f t="shared" si="6"/>
        <v>535769.95107360627</v>
      </c>
      <c r="K34" s="1318">
        <f t="shared" si="6"/>
        <v>224008.36771249355</v>
      </c>
      <c r="L34" s="1318">
        <f t="shared" si="6"/>
        <v>71456.360485589496</v>
      </c>
      <c r="M34" s="1318">
        <f t="shared" si="6"/>
        <v>118329.31215278675</v>
      </c>
      <c r="N34" s="1318">
        <f t="shared" si="7"/>
        <v>0</v>
      </c>
      <c r="O34" s="1318">
        <f t="shared" si="7"/>
        <v>0</v>
      </c>
      <c r="P34" s="1318">
        <f t="shared" si="7"/>
        <v>0</v>
      </c>
      <c r="Q34" s="1318">
        <f t="shared" si="7"/>
        <v>0</v>
      </c>
      <c r="R34" s="699">
        <v>2014</v>
      </c>
      <c r="S34" s="1322">
        <f t="shared" si="8"/>
        <v>949563.99142447603</v>
      </c>
      <c r="T34" s="1323">
        <f t="shared" si="9"/>
        <v>22997319.155908685</v>
      </c>
      <c r="U34" s="1324">
        <f t="shared" si="11"/>
        <v>4.1290203653172555E-2</v>
      </c>
      <c r="V34" s="712"/>
      <c r="W34" s="712"/>
      <c r="X34" s="712"/>
    </row>
    <row r="35" spans="1:24">
      <c r="A35" s="1316">
        <f t="shared" si="2"/>
        <v>2015</v>
      </c>
      <c r="B35" s="1316" t="str">
        <f t="shared" si="2"/>
        <v>PICHINCHA</v>
      </c>
      <c r="C35" s="1316" t="str">
        <f t="shared" si="2"/>
        <v>Quito</v>
      </c>
      <c r="D35" s="1318">
        <f t="shared" ref="D35:I35" si="18">+D16*D$6</f>
        <v>0</v>
      </c>
      <c r="E35" s="1318">
        <f t="shared" si="18"/>
        <v>0</v>
      </c>
      <c r="F35" s="1318">
        <f t="shared" si="18"/>
        <v>0</v>
      </c>
      <c r="G35" s="1318">
        <f t="shared" si="18"/>
        <v>0</v>
      </c>
      <c r="H35" s="1318">
        <f t="shared" si="18"/>
        <v>0</v>
      </c>
      <c r="I35" s="1318">
        <f t="shared" si="18"/>
        <v>0</v>
      </c>
      <c r="J35" s="1318">
        <f t="shared" si="6"/>
        <v>552811.99787082756</v>
      </c>
      <c r="K35" s="1318">
        <f t="shared" si="6"/>
        <v>207350.83709959645</v>
      </c>
      <c r="L35" s="1318">
        <f t="shared" si="6"/>
        <v>71175.657018573256</v>
      </c>
      <c r="M35" s="1318">
        <f t="shared" si="6"/>
        <v>110387.19371199475</v>
      </c>
      <c r="N35" s="1318">
        <f t="shared" si="7"/>
        <v>0</v>
      </c>
      <c r="O35" s="1318">
        <f t="shared" si="7"/>
        <v>0</v>
      </c>
      <c r="P35" s="1318">
        <f t="shared" si="7"/>
        <v>0</v>
      </c>
      <c r="Q35" s="1318">
        <f t="shared" si="7"/>
        <v>0</v>
      </c>
      <c r="R35" s="699">
        <v>2015</v>
      </c>
      <c r="S35" s="1322">
        <f t="shared" si="8"/>
        <v>941725.68570099201</v>
      </c>
      <c r="T35" s="1325">
        <f t="shared" si="9"/>
        <v>23232402.031223733</v>
      </c>
      <c r="U35" s="1324">
        <f>+S35/T35</f>
        <v>4.0535011594381741E-2</v>
      </c>
      <c r="V35" s="712"/>
      <c r="W35" s="712"/>
      <c r="X35" s="712"/>
    </row>
    <row r="36" spans="1:24">
      <c r="A36" s="1316">
        <f t="shared" si="2"/>
        <v>2016</v>
      </c>
      <c r="B36" s="1316" t="str">
        <f t="shared" si="2"/>
        <v>PICHINCHA</v>
      </c>
      <c r="C36" s="1316" t="str">
        <f t="shared" si="2"/>
        <v>Quito</v>
      </c>
      <c r="D36" s="1318">
        <f t="shared" ref="D36:I36" si="19">+D17*D$6</f>
        <v>0</v>
      </c>
      <c r="E36" s="1318">
        <f t="shared" si="19"/>
        <v>0</v>
      </c>
      <c r="F36" s="1318">
        <f t="shared" si="19"/>
        <v>0</v>
      </c>
      <c r="G36" s="1318">
        <f t="shared" si="19"/>
        <v>0</v>
      </c>
      <c r="H36" s="1318">
        <f t="shared" si="19"/>
        <v>0</v>
      </c>
      <c r="I36" s="1318">
        <f t="shared" si="19"/>
        <v>0</v>
      </c>
      <c r="J36" s="1318">
        <f t="shared" si="6"/>
        <v>551461.33182469895</v>
      </c>
      <c r="K36" s="1318">
        <f t="shared" si="6"/>
        <v>213569.74849360689</v>
      </c>
      <c r="L36" s="1318">
        <f t="shared" si="6"/>
        <v>72429.62300505153</v>
      </c>
      <c r="M36" s="1318">
        <f t="shared" si="6"/>
        <v>101616.4638862928</v>
      </c>
      <c r="N36" s="1318">
        <f t="shared" si="7"/>
        <v>0</v>
      </c>
      <c r="O36" s="1318">
        <f t="shared" si="7"/>
        <v>0</v>
      </c>
      <c r="P36" s="1318">
        <f t="shared" si="7"/>
        <v>0</v>
      </c>
      <c r="Q36" s="1318">
        <f t="shared" si="7"/>
        <v>0</v>
      </c>
      <c r="R36" s="699">
        <v>2016</v>
      </c>
      <c r="S36" s="1322">
        <f t="shared" si="8"/>
        <v>939077.16720965016</v>
      </c>
      <c r="T36" s="1325">
        <f t="shared" si="9"/>
        <v>23228687.19759446</v>
      </c>
      <c r="U36" s="1324">
        <f>+S36/T36</f>
        <v>4.0427474838392936E-2</v>
      </c>
      <c r="V36" s="712"/>
      <c r="W36" s="712"/>
      <c r="X36" s="712"/>
    </row>
    <row r="37" spans="1:24">
      <c r="A37" s="1316">
        <f t="shared" si="2"/>
        <v>2017</v>
      </c>
      <c r="B37" s="1316" t="str">
        <f t="shared" si="2"/>
        <v>PICHINCHA</v>
      </c>
      <c r="C37" s="1316" t="str">
        <f t="shared" si="2"/>
        <v>Quito</v>
      </c>
      <c r="D37" s="1318">
        <f t="shared" ref="D37:I37" si="20">+D18*D$6</f>
        <v>0</v>
      </c>
      <c r="E37" s="1318">
        <f t="shared" si="20"/>
        <v>0</v>
      </c>
      <c r="F37" s="1318">
        <f t="shared" si="20"/>
        <v>0</v>
      </c>
      <c r="G37" s="1318">
        <f t="shared" si="20"/>
        <v>0</v>
      </c>
      <c r="H37" s="1318">
        <f t="shared" si="20"/>
        <v>0</v>
      </c>
      <c r="I37" s="1318">
        <f t="shared" si="20"/>
        <v>0</v>
      </c>
      <c r="J37" s="1318">
        <f t="shared" si="6"/>
        <v>586293.03526271228</v>
      </c>
      <c r="K37" s="1318">
        <f t="shared" si="6"/>
        <v>217247.80024017749</v>
      </c>
      <c r="L37" s="1318">
        <f t="shared" si="6"/>
        <v>83429.047718994407</v>
      </c>
      <c r="M37" s="1318">
        <f t="shared" si="6"/>
        <v>112351.79701088587</v>
      </c>
      <c r="N37" s="1318">
        <f t="shared" si="7"/>
        <v>0</v>
      </c>
      <c r="O37" s="1318">
        <f t="shared" si="7"/>
        <v>0</v>
      </c>
      <c r="P37" s="1318">
        <f t="shared" si="7"/>
        <v>0</v>
      </c>
      <c r="Q37" s="1318">
        <f t="shared" si="7"/>
        <v>0</v>
      </c>
      <c r="R37" s="699">
        <v>2017</v>
      </c>
      <c r="S37" s="1322">
        <f t="shared" si="8"/>
        <v>999321.68023277004</v>
      </c>
      <c r="T37" s="1325">
        <f t="shared" si="9"/>
        <v>24426597.899817355</v>
      </c>
      <c r="U37" s="1324">
        <f>+S37/T37</f>
        <v>4.0911210162436998E-2</v>
      </c>
      <c r="V37" s="712"/>
      <c r="W37" s="712"/>
      <c r="X37" s="712"/>
    </row>
    <row r="38" spans="1:24">
      <c r="A38" s="1295">
        <f t="shared" si="2"/>
        <v>2018</v>
      </c>
      <c r="B38" s="1295" t="str">
        <f t="shared" si="2"/>
        <v>PICHINCHA</v>
      </c>
      <c r="C38" s="1295" t="str">
        <f t="shared" si="2"/>
        <v>Quito</v>
      </c>
      <c r="D38" s="1296">
        <f t="shared" ref="D38:I38" si="21">+D19*D$6</f>
        <v>0</v>
      </c>
      <c r="E38" s="1296">
        <f t="shared" si="21"/>
        <v>0</v>
      </c>
      <c r="F38" s="1296">
        <f t="shared" si="21"/>
        <v>0</v>
      </c>
      <c r="G38" s="1296">
        <f t="shared" si="21"/>
        <v>0</v>
      </c>
      <c r="H38" s="1296">
        <f t="shared" si="21"/>
        <v>0</v>
      </c>
      <c r="I38" s="1296">
        <f t="shared" si="21"/>
        <v>0</v>
      </c>
      <c r="J38" s="1296">
        <f t="shared" si="6"/>
        <v>586293.03526271228</v>
      </c>
      <c r="K38" s="1296">
        <f t="shared" si="6"/>
        <v>217247.80024017749</v>
      </c>
      <c r="L38" s="1296">
        <f t="shared" si="6"/>
        <v>83429.047718994407</v>
      </c>
      <c r="M38" s="1296">
        <f t="shared" si="6"/>
        <v>112351.79701088587</v>
      </c>
      <c r="N38" s="1296">
        <f t="shared" si="7"/>
        <v>0</v>
      </c>
      <c r="O38" s="1296">
        <f t="shared" si="7"/>
        <v>0</v>
      </c>
      <c r="P38" s="1296">
        <f t="shared" si="7"/>
        <v>0</v>
      </c>
      <c r="Q38" s="1296">
        <f t="shared" si="7"/>
        <v>0</v>
      </c>
      <c r="R38" s="1133">
        <v>2018</v>
      </c>
      <c r="S38" s="1144">
        <f t="shared" si="8"/>
        <v>999321.68023277004</v>
      </c>
      <c r="T38" s="1135">
        <f>R19</f>
        <v>24426597.899817355</v>
      </c>
      <c r="U38" s="1297">
        <f>+S38/T38</f>
        <v>4.0911210162436998E-2</v>
      </c>
      <c r="V38" s="1138"/>
      <c r="W38" s="1138"/>
      <c r="X38" s="1138"/>
    </row>
    <row r="39" spans="1:24">
      <c r="A39" s="1295">
        <f t="shared" si="2"/>
        <v>2019</v>
      </c>
      <c r="B39" s="1295" t="str">
        <f t="shared" si="2"/>
        <v>PICHINCHA</v>
      </c>
      <c r="C39" s="1295" t="str">
        <f t="shared" si="2"/>
        <v>Quito</v>
      </c>
      <c r="D39" s="1296">
        <f t="shared" ref="D39:I39" si="22">+D20*D$6</f>
        <v>0</v>
      </c>
      <c r="E39" s="1296">
        <f t="shared" si="22"/>
        <v>0</v>
      </c>
      <c r="F39" s="1296">
        <f t="shared" si="22"/>
        <v>0</v>
      </c>
      <c r="G39" s="1296">
        <f t="shared" si="22"/>
        <v>0</v>
      </c>
      <c r="H39" s="1296">
        <f t="shared" si="22"/>
        <v>0</v>
      </c>
      <c r="I39" s="1296">
        <f t="shared" si="22"/>
        <v>0</v>
      </c>
      <c r="J39" s="1296">
        <f t="shared" si="6"/>
        <v>586293.03526271228</v>
      </c>
      <c r="K39" s="1296">
        <f t="shared" si="6"/>
        <v>217247.80024017749</v>
      </c>
      <c r="L39" s="1296">
        <f t="shared" si="6"/>
        <v>83429.047718994407</v>
      </c>
      <c r="M39" s="1296">
        <f t="shared" si="6"/>
        <v>112351.79701088587</v>
      </c>
      <c r="N39" s="1296">
        <f t="shared" si="7"/>
        <v>0</v>
      </c>
      <c r="O39" s="1296">
        <f t="shared" si="7"/>
        <v>0</v>
      </c>
      <c r="P39" s="1296">
        <f t="shared" si="7"/>
        <v>0</v>
      </c>
      <c r="Q39" s="1296">
        <f t="shared" si="7"/>
        <v>0</v>
      </c>
      <c r="R39" s="1133">
        <v>2019</v>
      </c>
      <c r="S39" s="1144">
        <f t="shared" si="8"/>
        <v>999321.68023277004</v>
      </c>
      <c r="T39" s="1135">
        <f>R20</f>
        <v>24426597.899817355</v>
      </c>
      <c r="U39" s="1297">
        <f>+S39/T39</f>
        <v>4.0911210162436998E-2</v>
      </c>
      <c r="V39" s="1138"/>
      <c r="W39" s="1138"/>
      <c r="X39" s="1138"/>
    </row>
    <row r="40" spans="1:24">
      <c r="X40" s="704"/>
    </row>
    <row r="43" spans="1:24" ht="22.2" customHeight="1">
      <c r="N43" s="5559" t="s">
        <v>1053</v>
      </c>
      <c r="O43" s="5559"/>
      <c r="P43" s="5559"/>
      <c r="Q43" s="1154" t="s">
        <v>1010</v>
      </c>
      <c r="R43" s="5561" t="s">
        <v>1007</v>
      </c>
      <c r="S43" s="5561"/>
      <c r="T43" s="5561"/>
      <c r="U43" s="5561"/>
    </row>
    <row r="44" spans="1:24" ht="22.2" customHeight="1">
      <c r="N44" s="5559" t="s">
        <v>1054</v>
      </c>
      <c r="O44" s="5559"/>
      <c r="P44" s="5559"/>
      <c r="Q44" s="1154" t="s">
        <v>9</v>
      </c>
      <c r="R44" s="5561" t="s">
        <v>1009</v>
      </c>
      <c r="S44" s="5561"/>
      <c r="T44" s="5561"/>
      <c r="U44" s="5561"/>
    </row>
    <row r="45" spans="1:24" ht="22.2" customHeight="1">
      <c r="A45" s="707" t="s">
        <v>1057</v>
      </c>
      <c r="N45" s="1285"/>
      <c r="O45" s="1285"/>
      <c r="P45" s="1285"/>
      <c r="Q45" s="1286"/>
      <c r="R45" s="1287"/>
      <c r="S45" s="1287"/>
      <c r="T45" s="1287"/>
      <c r="U45" s="1287"/>
    </row>
    <row r="46" spans="1:24" ht="22.2" customHeight="1">
      <c r="I46" s="1332"/>
      <c r="N46" s="1285"/>
      <c r="O46" s="1285"/>
      <c r="P46" s="1285"/>
      <c r="Q46" s="1286"/>
      <c r="R46" s="1287"/>
      <c r="S46" s="1287"/>
      <c r="T46" s="1287"/>
      <c r="U46" s="1287"/>
    </row>
    <row r="47" spans="1:24">
      <c r="D47" s="5560" t="s">
        <v>1049</v>
      </c>
      <c r="E47" s="5560"/>
      <c r="F47" s="5560"/>
      <c r="G47" s="5560"/>
      <c r="H47" s="5560"/>
      <c r="I47" s="5560"/>
      <c r="J47" s="5560"/>
      <c r="K47" s="5560"/>
      <c r="L47" s="5560"/>
      <c r="M47" s="5560"/>
      <c r="N47" s="5560"/>
      <c r="O47" s="5560"/>
      <c r="P47" s="5560"/>
      <c r="Q47" s="5560"/>
    </row>
    <row r="48" spans="1:24" s="1212" customFormat="1" ht="28.2" thickBot="1">
      <c r="A48" s="706"/>
      <c r="B48" s="706"/>
      <c r="C48" s="1309" t="s">
        <v>1052</v>
      </c>
      <c r="D48" s="1308"/>
      <c r="E48" s="1308"/>
      <c r="F48" s="1308"/>
      <c r="G48" s="1308"/>
      <c r="H48" s="1308"/>
      <c r="I48" s="1308">
        <v>2.5000000000000001E-2</v>
      </c>
      <c r="J48" s="1308">
        <v>0.85499999999999998</v>
      </c>
      <c r="K48" s="1308">
        <v>6.5000000000000002E-2</v>
      </c>
      <c r="L48" s="1308">
        <v>2.7E-2</v>
      </c>
      <c r="M48" s="1308">
        <v>5.8500000000000003E-2</v>
      </c>
      <c r="N48" s="1308">
        <v>3.0000000000000001E-3</v>
      </c>
      <c r="O48" s="1308"/>
      <c r="P48" s="1308"/>
      <c r="Q48" s="1308"/>
      <c r="R48" s="706"/>
      <c r="S48" s="706"/>
      <c r="T48" s="706"/>
      <c r="U48" s="706"/>
      <c r="V48" s="706"/>
      <c r="W48" s="706"/>
    </row>
    <row r="49" spans="1:23" ht="42" thickBot="1">
      <c r="A49" s="700" t="s">
        <v>196</v>
      </c>
      <c r="B49" s="700" t="s">
        <v>480</v>
      </c>
      <c r="C49" s="701" t="s">
        <v>481</v>
      </c>
      <c r="D49" s="713" t="s">
        <v>797</v>
      </c>
      <c r="E49" s="714" t="s">
        <v>798</v>
      </c>
      <c r="F49" s="714" t="s">
        <v>799</v>
      </c>
      <c r="G49" s="714" t="s">
        <v>800</v>
      </c>
      <c r="H49" s="714" t="s">
        <v>801</v>
      </c>
      <c r="I49" s="714" t="s">
        <v>802</v>
      </c>
      <c r="J49" s="715" t="s">
        <v>803</v>
      </c>
      <c r="K49" s="714" t="s">
        <v>804</v>
      </c>
      <c r="L49" s="714" t="s">
        <v>805</v>
      </c>
      <c r="M49" s="714" t="s">
        <v>806</v>
      </c>
      <c r="N49" s="714" t="s">
        <v>807</v>
      </c>
      <c r="O49" s="714" t="s">
        <v>808</v>
      </c>
      <c r="P49" s="714" t="s">
        <v>809</v>
      </c>
      <c r="Q49" s="716" t="s">
        <v>810</v>
      </c>
      <c r="R49" s="717" t="s">
        <v>811</v>
      </c>
      <c r="S49" s="718" t="s">
        <v>812</v>
      </c>
      <c r="T49" s="718" t="s">
        <v>813</v>
      </c>
    </row>
    <row r="50" spans="1:23">
      <c r="A50" s="1298">
        <f>A18</f>
        <v>2017</v>
      </c>
      <c r="B50" s="1298" t="str">
        <f t="shared" ref="B50:C52" si="23">B18</f>
        <v>PICHINCHA</v>
      </c>
      <c r="C50" s="1299" t="str">
        <f t="shared" si="23"/>
        <v>Quito</v>
      </c>
      <c r="D50" s="1300">
        <f t="shared" ref="D50:P50" si="24">D18*D48</f>
        <v>0</v>
      </c>
      <c r="E50" s="1300">
        <f t="shared" si="24"/>
        <v>0</v>
      </c>
      <c r="F50" s="1300">
        <f t="shared" si="24"/>
        <v>0</v>
      </c>
      <c r="G50" s="1300">
        <f t="shared" si="24"/>
        <v>0</v>
      </c>
      <c r="H50" s="1300">
        <f t="shared" si="24"/>
        <v>0</v>
      </c>
      <c r="I50" s="1300">
        <f t="shared" si="24"/>
        <v>38842.633371384953</v>
      </c>
      <c r="J50" s="1300">
        <f t="shared" si="24"/>
        <v>501280.54514961899</v>
      </c>
      <c r="K50" s="1300">
        <f t="shared" si="24"/>
        <v>108623.90012008874</v>
      </c>
      <c r="L50" s="1300">
        <f t="shared" si="24"/>
        <v>40956.077971142709</v>
      </c>
      <c r="M50" s="1300">
        <f t="shared" si="24"/>
        <v>285764.35326681845</v>
      </c>
      <c r="N50" s="1300">
        <f t="shared" si="24"/>
        <v>11693.339085741118</v>
      </c>
      <c r="O50" s="1300">
        <f t="shared" si="24"/>
        <v>0</v>
      </c>
      <c r="P50" s="1300">
        <f t="shared" si="24"/>
        <v>0</v>
      </c>
      <c r="Q50" s="1301"/>
      <c r="R50" s="1300">
        <f>SUM(D50:Q50)</f>
        <v>987160.84896479489</v>
      </c>
      <c r="S50" s="1302">
        <f>R50/R18</f>
        <v>4.0413358135812115E-2</v>
      </c>
      <c r="T50" s="1299" t="s">
        <v>1050</v>
      </c>
    </row>
    <row r="51" spans="1:23">
      <c r="A51" s="1298">
        <f>A19</f>
        <v>2018</v>
      </c>
      <c r="B51" s="1298" t="str">
        <f t="shared" si="23"/>
        <v>PICHINCHA</v>
      </c>
      <c r="C51" s="1299" t="str">
        <f t="shared" si="23"/>
        <v>Quito</v>
      </c>
      <c r="D51" s="1300">
        <f>D19*D48</f>
        <v>0</v>
      </c>
      <c r="E51" s="1300">
        <f t="shared" ref="E51:Q51" si="25">E19*E48</f>
        <v>0</v>
      </c>
      <c r="F51" s="1300">
        <f t="shared" si="25"/>
        <v>0</v>
      </c>
      <c r="G51" s="1300">
        <f t="shared" si="25"/>
        <v>0</v>
      </c>
      <c r="H51" s="1300">
        <f t="shared" si="25"/>
        <v>0</v>
      </c>
      <c r="I51" s="1300">
        <f t="shared" si="25"/>
        <v>38842.633371384953</v>
      </c>
      <c r="J51" s="1300">
        <f t="shared" si="25"/>
        <v>501280.54514961899</v>
      </c>
      <c r="K51" s="1300">
        <f t="shared" si="25"/>
        <v>108623.90012008874</v>
      </c>
      <c r="L51" s="1300">
        <f t="shared" si="25"/>
        <v>40956.077971142709</v>
      </c>
      <c r="M51" s="1300">
        <f t="shared" si="25"/>
        <v>285764.35326681845</v>
      </c>
      <c r="N51" s="1300">
        <f t="shared" si="25"/>
        <v>11693.339085741118</v>
      </c>
      <c r="O51" s="1300">
        <f t="shared" si="25"/>
        <v>0</v>
      </c>
      <c r="P51" s="1300">
        <f t="shared" si="25"/>
        <v>0</v>
      </c>
      <c r="Q51" s="1300">
        <f t="shared" si="25"/>
        <v>0</v>
      </c>
      <c r="R51" s="1300">
        <f>SUM(D51:Q51)</f>
        <v>987160.84896479489</v>
      </c>
      <c r="S51" s="1302">
        <f>R51/R19</f>
        <v>4.0413358135812115E-2</v>
      </c>
      <c r="T51" s="1299" t="s">
        <v>1050</v>
      </c>
    </row>
    <row r="52" spans="1:23">
      <c r="A52" s="1298">
        <f>A20</f>
        <v>2019</v>
      </c>
      <c r="B52" s="1298" t="str">
        <f t="shared" si="23"/>
        <v>PICHINCHA</v>
      </c>
      <c r="C52" s="1299" t="str">
        <f t="shared" si="23"/>
        <v>Quito</v>
      </c>
      <c r="D52" s="1300">
        <f>D20*D48</f>
        <v>0</v>
      </c>
      <c r="E52" s="1300">
        <f t="shared" ref="E52:Q52" si="26">E20*E48</f>
        <v>0</v>
      </c>
      <c r="F52" s="1300">
        <f t="shared" si="26"/>
        <v>0</v>
      </c>
      <c r="G52" s="1300">
        <f t="shared" si="26"/>
        <v>0</v>
      </c>
      <c r="H52" s="1300">
        <f t="shared" si="26"/>
        <v>0</v>
      </c>
      <c r="I52" s="1300">
        <f t="shared" si="26"/>
        <v>38842.633371384953</v>
      </c>
      <c r="J52" s="1300">
        <f t="shared" si="26"/>
        <v>501280.54514961899</v>
      </c>
      <c r="K52" s="1300">
        <f t="shared" si="26"/>
        <v>108623.90012008874</v>
      </c>
      <c r="L52" s="1300">
        <f t="shared" si="26"/>
        <v>40956.077971142709</v>
      </c>
      <c r="M52" s="1300">
        <f t="shared" si="26"/>
        <v>285764.35326681845</v>
      </c>
      <c r="N52" s="1300">
        <f t="shared" si="26"/>
        <v>11693.339085741118</v>
      </c>
      <c r="O52" s="1300">
        <f t="shared" si="26"/>
        <v>0</v>
      </c>
      <c r="P52" s="1300">
        <f t="shared" si="26"/>
        <v>0</v>
      </c>
      <c r="Q52" s="1300">
        <f t="shared" si="26"/>
        <v>0</v>
      </c>
      <c r="R52" s="1300">
        <f>SUM(D52:Q52)</f>
        <v>987160.84896479489</v>
      </c>
      <c r="S52" s="1302">
        <f>R52/R20</f>
        <v>4.0413358135812115E-2</v>
      </c>
      <c r="T52" s="1299" t="s">
        <v>1050</v>
      </c>
    </row>
    <row r="54" spans="1:23" ht="15" thickBot="1"/>
    <row r="55" spans="1:23" s="1212" customFormat="1" ht="28.2" thickBot="1">
      <c r="A55" s="706"/>
      <c r="B55" s="706"/>
      <c r="C55" s="1310" t="s">
        <v>1051</v>
      </c>
      <c r="D55" s="1303"/>
      <c r="E55" s="1303"/>
      <c r="F55" s="1303"/>
      <c r="G55" s="1303"/>
      <c r="H55" s="1303"/>
      <c r="I55" s="1303">
        <v>2.4296168541821025E-2</v>
      </c>
      <c r="J55" s="1303">
        <v>0.27757035691790694</v>
      </c>
      <c r="K55" s="1303">
        <v>2.3976350305267579E-2</v>
      </c>
      <c r="L55" s="1303">
        <v>2.6486874543632084E-2</v>
      </c>
      <c r="M55" s="1303">
        <v>5.6161314544625786E-2</v>
      </c>
      <c r="N55" s="1303">
        <v>2.7272334406707008E-3</v>
      </c>
      <c r="O55" s="1303"/>
      <c r="P55" s="1303"/>
      <c r="Q55" s="1303"/>
      <c r="R55" s="706"/>
      <c r="S55" s="706"/>
      <c r="T55" s="706"/>
      <c r="U55" s="706"/>
      <c r="V55" s="706"/>
      <c r="W55" s="706"/>
    </row>
    <row r="56" spans="1:23" ht="42" thickBot="1">
      <c r="A56" s="700" t="s">
        <v>196</v>
      </c>
      <c r="B56" s="700" t="s">
        <v>480</v>
      </c>
      <c r="C56" s="701" t="s">
        <v>481</v>
      </c>
      <c r="D56" s="713" t="s">
        <v>797</v>
      </c>
      <c r="E56" s="714" t="s">
        <v>798</v>
      </c>
      <c r="F56" s="714" t="s">
        <v>799</v>
      </c>
      <c r="G56" s="714" t="s">
        <v>800</v>
      </c>
      <c r="H56" s="714" t="s">
        <v>801</v>
      </c>
      <c r="I56" s="714" t="s">
        <v>802</v>
      </c>
      <c r="J56" s="715" t="s">
        <v>803</v>
      </c>
      <c r="K56" s="714" t="s">
        <v>804</v>
      </c>
      <c r="L56" s="714" t="s">
        <v>805</v>
      </c>
      <c r="M56" s="714" t="s">
        <v>806</v>
      </c>
      <c r="N56" s="714" t="s">
        <v>807</v>
      </c>
      <c r="O56" s="714" t="s">
        <v>808</v>
      </c>
      <c r="P56" s="714" t="s">
        <v>809</v>
      </c>
      <c r="Q56" s="716" t="s">
        <v>810</v>
      </c>
      <c r="R56" s="717" t="s">
        <v>811</v>
      </c>
      <c r="S56" s="718" t="s">
        <v>812</v>
      </c>
      <c r="T56" s="718" t="s">
        <v>813</v>
      </c>
    </row>
    <row r="57" spans="1:23">
      <c r="A57" s="1333">
        <f t="shared" ref="A57:C59" si="27">A18</f>
        <v>2017</v>
      </c>
      <c r="B57" s="1334" t="str">
        <f t="shared" si="27"/>
        <v>PICHINCHA</v>
      </c>
      <c r="C57" s="1307" t="str">
        <f t="shared" si="27"/>
        <v>Quito</v>
      </c>
      <c r="D57" s="1305">
        <f t="shared" ref="D57:Q57" si="28">D18*D55</f>
        <v>0</v>
      </c>
      <c r="E57" s="1305">
        <f t="shared" si="28"/>
        <v>0</v>
      </c>
      <c r="F57" s="1305">
        <f t="shared" si="28"/>
        <v>0</v>
      </c>
      <c r="G57" s="1305">
        <f t="shared" si="28"/>
        <v>0</v>
      </c>
      <c r="H57" s="1305">
        <f t="shared" si="28"/>
        <v>0</v>
      </c>
      <c r="I57" s="1305">
        <f t="shared" si="28"/>
        <v>37749.086679973225</v>
      </c>
      <c r="J57" s="1305">
        <f t="shared" si="28"/>
        <v>162737.56705635405</v>
      </c>
      <c r="K57" s="1305">
        <f t="shared" si="28"/>
        <v>40067.764320056071</v>
      </c>
      <c r="L57" s="1305">
        <f t="shared" si="28"/>
        <v>40177.72218595817</v>
      </c>
      <c r="M57" s="1305">
        <f t="shared" si="28"/>
        <v>274340.20050357864</v>
      </c>
      <c r="N57" s="1305">
        <f t="shared" si="28"/>
        <v>10630.155129244979</v>
      </c>
      <c r="O57" s="1305">
        <f t="shared" si="28"/>
        <v>0</v>
      </c>
      <c r="P57" s="1305">
        <f t="shared" si="28"/>
        <v>0</v>
      </c>
      <c r="Q57" s="1305">
        <f t="shared" si="28"/>
        <v>0</v>
      </c>
      <c r="R57" s="1305">
        <f>SUM(D57:Q57)</f>
        <v>565702.4958751651</v>
      </c>
      <c r="S57" s="1306">
        <f>R57/R18</f>
        <v>2.3159283097684061E-2</v>
      </c>
      <c r="T57" s="1307" t="s">
        <v>1050</v>
      </c>
      <c r="U57" s="1304"/>
      <c r="V57" s="1304"/>
      <c r="W57" s="1304"/>
    </row>
    <row r="58" spans="1:23">
      <c r="A58" s="1333">
        <f t="shared" si="27"/>
        <v>2018</v>
      </c>
      <c r="B58" s="1334" t="str">
        <f t="shared" si="27"/>
        <v>PICHINCHA</v>
      </c>
      <c r="C58" s="1307" t="str">
        <f t="shared" si="27"/>
        <v>Quito</v>
      </c>
      <c r="D58" s="1305">
        <f t="shared" ref="D58:Q58" si="29">D19*D55</f>
        <v>0</v>
      </c>
      <c r="E58" s="1305">
        <f t="shared" si="29"/>
        <v>0</v>
      </c>
      <c r="F58" s="1305">
        <f t="shared" si="29"/>
        <v>0</v>
      </c>
      <c r="G58" s="1305">
        <f t="shared" si="29"/>
        <v>0</v>
      </c>
      <c r="H58" s="1305">
        <f t="shared" si="29"/>
        <v>0</v>
      </c>
      <c r="I58" s="1305">
        <f t="shared" si="29"/>
        <v>37749.086679973225</v>
      </c>
      <c r="J58" s="1305">
        <f t="shared" si="29"/>
        <v>162737.56705635405</v>
      </c>
      <c r="K58" s="1305">
        <f t="shared" si="29"/>
        <v>40067.764320056071</v>
      </c>
      <c r="L58" s="1305">
        <f t="shared" si="29"/>
        <v>40177.72218595817</v>
      </c>
      <c r="M58" s="1305">
        <f t="shared" si="29"/>
        <v>274340.20050357864</v>
      </c>
      <c r="N58" s="1305">
        <f t="shared" si="29"/>
        <v>10630.155129244979</v>
      </c>
      <c r="O58" s="1305">
        <f t="shared" si="29"/>
        <v>0</v>
      </c>
      <c r="P58" s="1305">
        <f t="shared" si="29"/>
        <v>0</v>
      </c>
      <c r="Q58" s="1305">
        <f t="shared" si="29"/>
        <v>0</v>
      </c>
      <c r="R58" s="1305">
        <f>SUM(D58:Q58)</f>
        <v>565702.4958751651</v>
      </c>
      <c r="S58" s="1306">
        <f>R58/R19</f>
        <v>2.3159283097684061E-2</v>
      </c>
      <c r="T58" s="1307" t="s">
        <v>1050</v>
      </c>
      <c r="U58" s="1304"/>
      <c r="V58" s="1304"/>
      <c r="W58" s="1304"/>
    </row>
    <row r="59" spans="1:23">
      <c r="A59" s="1333">
        <f t="shared" si="27"/>
        <v>2019</v>
      </c>
      <c r="B59" s="1334" t="str">
        <f t="shared" si="27"/>
        <v>PICHINCHA</v>
      </c>
      <c r="C59" s="1307" t="str">
        <f t="shared" si="27"/>
        <v>Quito</v>
      </c>
      <c r="D59" s="1305">
        <f t="shared" ref="D59:Q59" si="30">D20*D55</f>
        <v>0</v>
      </c>
      <c r="E59" s="1305">
        <f t="shared" si="30"/>
        <v>0</v>
      </c>
      <c r="F59" s="1305">
        <f t="shared" si="30"/>
        <v>0</v>
      </c>
      <c r="G59" s="1305">
        <f t="shared" si="30"/>
        <v>0</v>
      </c>
      <c r="H59" s="1305">
        <f t="shared" si="30"/>
        <v>0</v>
      </c>
      <c r="I59" s="1305">
        <f t="shared" si="30"/>
        <v>37749.086679973225</v>
      </c>
      <c r="J59" s="1305">
        <f t="shared" si="30"/>
        <v>162737.56705635405</v>
      </c>
      <c r="K59" s="1305">
        <f t="shared" si="30"/>
        <v>40067.764320056071</v>
      </c>
      <c r="L59" s="1305">
        <f t="shared" si="30"/>
        <v>40177.72218595817</v>
      </c>
      <c r="M59" s="1305">
        <f t="shared" si="30"/>
        <v>274340.20050357864</v>
      </c>
      <c r="N59" s="1305">
        <f t="shared" si="30"/>
        <v>10630.155129244979</v>
      </c>
      <c r="O59" s="1305">
        <f t="shared" si="30"/>
        <v>0</v>
      </c>
      <c r="P59" s="1305">
        <f t="shared" si="30"/>
        <v>0</v>
      </c>
      <c r="Q59" s="1305">
        <f t="shared" si="30"/>
        <v>0</v>
      </c>
      <c r="R59" s="1305">
        <f>SUM(D59:Q59)</f>
        <v>565702.4958751651</v>
      </c>
      <c r="S59" s="1306">
        <f>R59/R20</f>
        <v>2.3159283097684061E-2</v>
      </c>
      <c r="T59" s="1307" t="s">
        <v>1050</v>
      </c>
      <c r="U59" s="1304"/>
      <c r="V59" s="1304"/>
      <c r="W59" s="1304"/>
    </row>
  </sheetData>
  <mergeCells count="7">
    <mergeCell ref="U18:W18"/>
    <mergeCell ref="D25:Q25"/>
    <mergeCell ref="D47:Q47"/>
    <mergeCell ref="R43:U43"/>
    <mergeCell ref="R44:U44"/>
    <mergeCell ref="N43:P43"/>
    <mergeCell ref="N44:P44"/>
  </mergeCells>
  <hyperlinks>
    <hyperlink ref="R43" r:id="rId1" xr:uid="{00000000-0004-0000-0800-000000000000}"/>
    <hyperlink ref="R44" r:id="rId2" xr:uid="{00000000-0004-0000-0800-000001000000}"/>
  </hyperlinks>
  <pageMargins left="0.17" right="0.17" top="0.45" bottom="0.43" header="0.31496062992125984" footer="0.31496062992125984"/>
  <pageSetup paperSize="9" scale="37" fitToWidth="2" orientation="landscape" verticalDpi="597" r:id="rId3"/>
  <drawing r:id="rId4"/>
  <legacyDrawing r:id="rId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75F50A-EF4E-4729-9E00-C31F10B49584}">
  <sheetPr>
    <tabColor theme="7" tint="0.39997558519241921"/>
    <pageSetUpPr fitToPage="1"/>
  </sheetPr>
  <dimension ref="A1:T58"/>
  <sheetViews>
    <sheetView workbookViewId="0">
      <pane xSplit="4" ySplit="3" topLeftCell="E4" activePane="bottomRight" state="frozen"/>
      <selection sqref="A1:XFD3"/>
      <selection pane="topRight" sqref="A1:XFD3"/>
      <selection pane="bottomLeft" sqref="A1:XFD3"/>
      <selection pane="bottomRight" activeCell="E12" sqref="E12"/>
    </sheetView>
  </sheetViews>
  <sheetFormatPr baseColWidth="10" defaultRowHeight="14.4"/>
  <cols>
    <col min="2" max="2" width="4.109375" bestFit="1" customWidth="1"/>
    <col min="3" max="3" width="27.21875" bestFit="1" customWidth="1"/>
    <col min="4" max="4" width="13.5546875" bestFit="1" customWidth="1"/>
    <col min="5" max="5" width="11.88671875" bestFit="1" customWidth="1"/>
    <col min="6" max="6" width="9.44140625" bestFit="1" customWidth="1"/>
    <col min="7" max="7" width="11.77734375" bestFit="1" customWidth="1"/>
    <col min="8" max="8" width="8.33203125" bestFit="1" customWidth="1"/>
    <col min="9" max="9" width="12.6640625" bestFit="1" customWidth="1"/>
    <col min="10" max="10" width="12.6640625" customWidth="1"/>
    <col min="11" max="11" width="9" bestFit="1" customWidth="1"/>
    <col min="12" max="12" width="8.44140625" bestFit="1" customWidth="1"/>
    <col min="13" max="15" width="10.88671875" customWidth="1"/>
    <col min="16" max="16" width="10.21875" customWidth="1"/>
    <col min="17" max="18" width="10.21875" style="22" customWidth="1"/>
    <col min="19" max="19" width="7" style="22" bestFit="1" customWidth="1"/>
    <col min="20" max="20" width="4.33203125" style="22" bestFit="1" customWidth="1"/>
  </cols>
  <sheetData>
    <row r="1" spans="1:20" ht="21" customHeight="1">
      <c r="B1" s="5562" t="s">
        <v>1801</v>
      </c>
      <c r="C1" s="5562"/>
      <c r="D1" s="5562"/>
      <c r="E1" s="5562"/>
      <c r="F1" s="5562"/>
      <c r="G1" s="5562"/>
      <c r="H1" s="5562"/>
      <c r="I1" s="5562"/>
      <c r="J1" s="5562"/>
      <c r="K1" s="5562"/>
      <c r="L1" s="5562"/>
      <c r="M1" s="5562"/>
      <c r="N1" s="5562"/>
      <c r="O1" s="5562"/>
      <c r="P1" s="5562"/>
      <c r="Q1" s="5562"/>
      <c r="R1" s="5562"/>
    </row>
    <row r="2" spans="1:20" ht="15" thickBot="1">
      <c r="B2" s="4579"/>
      <c r="C2" s="42"/>
      <c r="D2" s="4579"/>
      <c r="E2" s="42"/>
      <c r="F2" s="42"/>
      <c r="G2" s="42"/>
      <c r="H2" s="42"/>
      <c r="I2" s="42"/>
      <c r="J2" s="42"/>
      <c r="K2" s="42"/>
      <c r="L2" s="42"/>
      <c r="M2" s="42"/>
      <c r="N2" s="42"/>
      <c r="O2" s="42"/>
      <c r="P2" s="4674"/>
      <c r="Q2" s="42"/>
      <c r="R2" s="42"/>
    </row>
    <row r="3" spans="1:20" ht="28.2" thickBot="1">
      <c r="B3" s="2274" t="s">
        <v>535</v>
      </c>
      <c r="C3" s="4577" t="s">
        <v>1802</v>
      </c>
      <c r="D3" s="4580" t="s">
        <v>1803</v>
      </c>
      <c r="E3" s="4581" t="s">
        <v>1804</v>
      </c>
      <c r="F3" s="4577" t="s">
        <v>1805</v>
      </c>
      <c r="G3" s="4581" t="s">
        <v>1806</v>
      </c>
      <c r="H3" s="4577" t="s">
        <v>1807</v>
      </c>
      <c r="I3" s="4581" t="s">
        <v>1808</v>
      </c>
      <c r="J3" s="4577" t="s">
        <v>1809</v>
      </c>
      <c r="K3" s="4581" t="s">
        <v>1810</v>
      </c>
      <c r="L3" s="4577" t="s">
        <v>1811</v>
      </c>
      <c r="M3" s="4581" t="s">
        <v>1812</v>
      </c>
      <c r="N3" s="4581" t="s">
        <v>1813</v>
      </c>
      <c r="O3" s="5043" t="s">
        <v>2026</v>
      </c>
      <c r="P3" s="4674"/>
      <c r="Q3" s="4582" t="s">
        <v>1814</v>
      </c>
      <c r="R3" s="4583" t="s">
        <v>1815</v>
      </c>
    </row>
    <row r="4" spans="1:20" ht="20.399999999999999">
      <c r="A4" s="4584" t="s">
        <v>1816</v>
      </c>
      <c r="B4" s="4584">
        <v>2018</v>
      </c>
      <c r="C4" s="4585" t="s">
        <v>1817</v>
      </c>
      <c r="D4" s="4586" t="s">
        <v>1818</v>
      </c>
      <c r="E4" s="4587">
        <f>'FEB-MAR-Carnaval'!H6</f>
        <v>7575</v>
      </c>
      <c r="F4" s="4588">
        <f>'ABR-Semana Santa'!G6</f>
        <v>4967</v>
      </c>
      <c r="G4" s="4587">
        <f>'MAY-Trabajo'!H6</f>
        <v>6167</v>
      </c>
      <c r="H4" s="4589">
        <f>'MAY-Bat Pich'!H6</f>
        <v>5372</v>
      </c>
      <c r="I4" s="4587">
        <f>'AGO-Primer grito'!G6</f>
        <v>7175</v>
      </c>
      <c r="J4" s="4589"/>
      <c r="K4" s="4587">
        <f>'NOV-Finados'!G6</f>
        <v>6891</v>
      </c>
      <c r="L4" s="4589">
        <f>'DIC-FFQQ'!G6</f>
        <v>10735</v>
      </c>
      <c r="M4" s="4587"/>
      <c r="N4" s="4587"/>
      <c r="O4" s="5044">
        <f>SUM(M4:N4)</f>
        <v>0</v>
      </c>
      <c r="P4" s="4674"/>
      <c r="Q4" s="4590">
        <f t="shared" ref="Q4:Q17" si="0">SUM(E4:N4)</f>
        <v>48882</v>
      </c>
      <c r="R4" s="4591"/>
    </row>
    <row r="5" spans="1:20" ht="31.2" thickBot="1">
      <c r="A5" s="4592" t="s">
        <v>1816</v>
      </c>
      <c r="B5" s="4592">
        <v>2018</v>
      </c>
      <c r="C5" s="4593" t="s">
        <v>1819</v>
      </c>
      <c r="D5" s="4594" t="s">
        <v>1820</v>
      </c>
      <c r="E5" s="4595">
        <f>'FEB-MAR-Carnaval'!W8</f>
        <v>114948</v>
      </c>
      <c r="F5" s="4596">
        <f>'ABR-Semana Santa'!V8</f>
        <v>93180</v>
      </c>
      <c r="G5" s="4595">
        <f>'MAY-Trabajo'!W8</f>
        <v>118600</v>
      </c>
      <c r="H5" s="4596">
        <f>'MAY-Bat Pich'!W8</f>
        <v>90740</v>
      </c>
      <c r="I5" s="4595">
        <f>'AGO-Primer grito'!W9</f>
        <v>91613</v>
      </c>
      <c r="J5" s="4596"/>
      <c r="K5" s="4595">
        <f>'NOV-Finados'!W8</f>
        <v>81622</v>
      </c>
      <c r="L5" s="4596">
        <f>'DIC-FFQQ'!Y8</f>
        <v>86360</v>
      </c>
      <c r="M5" s="4595"/>
      <c r="N5" s="4595"/>
      <c r="O5" s="5045">
        <f t="shared" ref="O5:O14" si="1">SUM(M5:N5)</f>
        <v>0</v>
      </c>
      <c r="P5" s="4674"/>
      <c r="Q5" s="4597">
        <f t="shared" si="0"/>
        <v>677063</v>
      </c>
      <c r="R5" s="4591"/>
    </row>
    <row r="6" spans="1:20" ht="20.399999999999999">
      <c r="A6" s="4598" t="s">
        <v>1816</v>
      </c>
      <c r="B6" s="4598">
        <v>2019</v>
      </c>
      <c r="C6" s="4599" t="s">
        <v>1817</v>
      </c>
      <c r="D6" s="4600" t="s">
        <v>1821</v>
      </c>
      <c r="E6" s="4601">
        <f>'FEB-MAR-Carnaval'!I6</f>
        <v>6964</v>
      </c>
      <c r="F6" s="4602">
        <f>'ABR-Semana Santa'!H6</f>
        <v>5622</v>
      </c>
      <c r="G6" s="4601">
        <f>'MAY-Trabajo'!I6</f>
        <v>6352.01</v>
      </c>
      <c r="H6" s="4603">
        <f>'MAY-Bat Pich'!I6</f>
        <v>5479.4400000000005</v>
      </c>
      <c r="I6" s="4601">
        <f>'AGO-Primer grito'!H6</f>
        <v>7318.5</v>
      </c>
      <c r="J6" s="4603"/>
      <c r="K6" s="4601">
        <f>'NOV-Finados'!H6</f>
        <v>7028.82</v>
      </c>
      <c r="L6" s="4603">
        <f>'DIC-FFQQ'!H6</f>
        <v>10949.7</v>
      </c>
      <c r="M6" s="4601"/>
      <c r="N6" s="4601"/>
      <c r="O6" s="5046">
        <f t="shared" si="1"/>
        <v>0</v>
      </c>
      <c r="P6" s="4674"/>
      <c r="Q6" s="4604">
        <f t="shared" si="0"/>
        <v>49714.47</v>
      </c>
      <c r="R6" s="4605">
        <f>IF(Q4=0,"",Q6/Q4-1)</f>
        <v>1.7030195163864059E-2</v>
      </c>
    </row>
    <row r="7" spans="1:20" ht="31.2" thickBot="1">
      <c r="A7" s="4606" t="s">
        <v>1816</v>
      </c>
      <c r="B7" s="4606">
        <v>2019</v>
      </c>
      <c r="C7" s="4607" t="s">
        <v>1819</v>
      </c>
      <c r="D7" s="4608" t="s">
        <v>1820</v>
      </c>
      <c r="E7" s="4609">
        <f>'FEB-MAR-Carnaval'!X8</f>
        <v>119922</v>
      </c>
      <c r="F7" s="4610">
        <f>'ABR-Semana Santa'!W8</f>
        <v>83328</v>
      </c>
      <c r="G7" s="4609">
        <f>'MAY-Trabajo'!X8</f>
        <v>87051</v>
      </c>
      <c r="H7" s="4610">
        <f>'MAY-Bat Pich'!X8</f>
        <v>88618</v>
      </c>
      <c r="I7" s="4609">
        <f>'AGO-Primer grito'!X9</f>
        <v>97280</v>
      </c>
      <c r="J7" s="4610"/>
      <c r="K7" s="4609">
        <f>'NOV-Finados'!X8</f>
        <v>76392</v>
      </c>
      <c r="L7" s="4610">
        <f>'DIC-FFQQ'!Z8</f>
        <v>93807</v>
      </c>
      <c r="M7" s="4609"/>
      <c r="N7" s="4609"/>
      <c r="O7" s="5047">
        <f t="shared" si="1"/>
        <v>0</v>
      </c>
      <c r="P7" s="4674"/>
      <c r="Q7" s="4611">
        <f t="shared" si="0"/>
        <v>646398</v>
      </c>
      <c r="R7" s="4612">
        <f>IF(Q5=0,"",Q7/Q5-1)</f>
        <v>-4.5291206283610275E-2</v>
      </c>
    </row>
    <row r="8" spans="1:20">
      <c r="A8" s="4613" t="s">
        <v>1816</v>
      </c>
      <c r="B8" s="4613">
        <v>2020</v>
      </c>
      <c r="C8" s="4614" t="s">
        <v>1817</v>
      </c>
      <c r="D8" s="4615" t="s">
        <v>1822</v>
      </c>
      <c r="E8" s="4616">
        <f>'FEB-MAR-Carnaval'!J6</f>
        <v>6964</v>
      </c>
      <c r="F8" s="4617">
        <f>'ABR-Semana Santa'!I6</f>
        <v>0</v>
      </c>
      <c r="G8" s="4616">
        <f>'MAY-Trabajo'!J6</f>
        <v>0</v>
      </c>
      <c r="H8" s="4618">
        <f>'MAY-Bat Pich'!J6</f>
        <v>0</v>
      </c>
      <c r="I8" s="4616">
        <f>'AGO-Primer grito'!J6</f>
        <v>904</v>
      </c>
      <c r="J8" s="4618">
        <f>'OCT-Ind.GYE'!D6</f>
        <v>2153</v>
      </c>
      <c r="K8" s="4616">
        <f>'NOV-Finados'!J6</f>
        <v>2885</v>
      </c>
      <c r="L8" s="4618">
        <f>'DIC-FFQQ'!J6</f>
        <v>5017</v>
      </c>
      <c r="M8" s="4616"/>
      <c r="N8" s="4616"/>
      <c r="O8" s="5048">
        <f t="shared" si="1"/>
        <v>0</v>
      </c>
      <c r="P8" s="4674"/>
      <c r="Q8" s="4619">
        <f t="shared" si="0"/>
        <v>17923</v>
      </c>
      <c r="R8" s="4620">
        <f>IF(Q6=0,"",Q8/Q6-1)</f>
        <v>-0.63948122146328834</v>
      </c>
      <c r="S8" s="4621">
        <f>SUM(Q8:Q9)</f>
        <v>27560</v>
      </c>
    </row>
    <row r="9" spans="1:20">
      <c r="A9" s="4622" t="s">
        <v>1816</v>
      </c>
      <c r="B9" s="4622">
        <v>2020</v>
      </c>
      <c r="C9" s="4623" t="s">
        <v>1823</v>
      </c>
      <c r="D9" s="4624" t="s">
        <v>1824</v>
      </c>
      <c r="E9" s="4625"/>
      <c r="F9" s="4626">
        <f>'ABR-Semana Santa'!X8</f>
        <v>0</v>
      </c>
      <c r="G9" s="4625">
        <f>'MAY-Trabajo'!Y8</f>
        <v>0</v>
      </c>
      <c r="H9" s="4626">
        <f>'MAY-Bat Pich'!Y8</f>
        <v>0</v>
      </c>
      <c r="I9" s="4625">
        <f>'AGO-Primer grito'!I6</f>
        <v>730</v>
      </c>
      <c r="J9" s="4626">
        <f>'OCT-Ind.GYE'!C6</f>
        <v>2420</v>
      </c>
      <c r="K9" s="4625">
        <f>'NOV-Finados'!I6</f>
        <v>2621</v>
      </c>
      <c r="L9" s="4626">
        <f>'DIC-FFQQ'!I6</f>
        <v>3866</v>
      </c>
      <c r="M9" s="4625"/>
      <c r="N9" s="4625"/>
      <c r="O9" s="5049">
        <f t="shared" si="1"/>
        <v>0</v>
      </c>
      <c r="P9" s="4674"/>
      <c r="Q9" s="4627">
        <f t="shared" si="0"/>
        <v>9637</v>
      </c>
      <c r="R9" s="4628">
        <f>IF(Q7=0,"",Q9/Q7-1)</f>
        <v>-0.9850912286238509</v>
      </c>
    </row>
    <row r="10" spans="1:20">
      <c r="A10" s="4622"/>
      <c r="B10" s="4622">
        <v>2020</v>
      </c>
      <c r="C10" s="4623" t="s">
        <v>1825</v>
      </c>
      <c r="D10" s="4624"/>
      <c r="E10" s="4625">
        <f>'FEB-MAR-Carnaval'!Y15</f>
        <v>40000</v>
      </c>
      <c r="F10" s="4626"/>
      <c r="G10" s="4625"/>
      <c r="H10" s="4626"/>
      <c r="I10" s="4625"/>
      <c r="J10" s="4626"/>
      <c r="K10" s="4625"/>
      <c r="L10" s="4626"/>
      <c r="M10" s="4625"/>
      <c r="N10" s="4625"/>
      <c r="O10" s="5049">
        <f t="shared" si="1"/>
        <v>0</v>
      </c>
      <c r="P10" s="4674"/>
      <c r="Q10" s="4627">
        <f t="shared" si="0"/>
        <v>40000</v>
      </c>
      <c r="R10" s="4628"/>
    </row>
    <row r="11" spans="1:20" ht="31.2" thickBot="1">
      <c r="A11" s="4622" t="s">
        <v>1816</v>
      </c>
      <c r="B11" s="4622">
        <v>2020</v>
      </c>
      <c r="C11" s="4629" t="s">
        <v>1819</v>
      </c>
      <c r="D11" s="4630" t="s">
        <v>1820</v>
      </c>
      <c r="E11" s="4631">
        <f>'FEB-MAR-Carnaval'!Y8</f>
        <v>119922</v>
      </c>
      <c r="F11" s="4632">
        <f>'ABR-Semana Santa'!X8</f>
        <v>0</v>
      </c>
      <c r="G11" s="4631">
        <f>'MAY-Trabajo'!Y9</f>
        <v>0</v>
      </c>
      <c r="H11" s="4632">
        <f>'MAY-Bat Pich'!Y8</f>
        <v>0</v>
      </c>
      <c r="I11" s="4631">
        <f>'AGO-Primer grito'!Y9</f>
        <v>0</v>
      </c>
      <c r="J11" s="4632">
        <f>'OCT-Ind.GYE'!O8</f>
        <v>24641</v>
      </c>
      <c r="K11" s="4631">
        <f>'NOV-Finados'!Y8</f>
        <v>49326</v>
      </c>
      <c r="L11" s="4632">
        <f>'DIC-FFQQ'!AA8</f>
        <v>26272</v>
      </c>
      <c r="M11" s="4631"/>
      <c r="N11" s="4631"/>
      <c r="O11" s="5050">
        <f t="shared" si="1"/>
        <v>0</v>
      </c>
      <c r="P11" s="4674"/>
      <c r="Q11" s="4633">
        <f t="shared" si="0"/>
        <v>220161</v>
      </c>
      <c r="R11" s="4634">
        <f>IF(Q7=0,"",Q11/Q7-1)</f>
        <v>-0.65940333973805609</v>
      </c>
    </row>
    <row r="12" spans="1:20">
      <c r="A12" s="4635" t="s">
        <v>1816</v>
      </c>
      <c r="B12" s="4635">
        <v>2021</v>
      </c>
      <c r="C12" s="4636" t="s">
        <v>1817</v>
      </c>
      <c r="D12" s="4637" t="s">
        <v>1822</v>
      </c>
      <c r="E12" s="4638">
        <f>'FEB-MAR-Carnaval'!L6</f>
        <v>2892</v>
      </c>
      <c r="F12" s="4639">
        <f>'ABR-Semana Santa'!J6</f>
        <v>1517</v>
      </c>
      <c r="G12" s="4638">
        <f>'MAY-Trabajo'!L6</f>
        <v>3446</v>
      </c>
      <c r="H12" s="4640">
        <f>'MAY-Bat Pich'!L6</f>
        <v>7578</v>
      </c>
      <c r="I12" s="4638">
        <f>'AGO-Primer grito'!L6</f>
        <v>11185</v>
      </c>
      <c r="J12" s="4640">
        <f>'OCT-Ind.GYE'!F6</f>
        <v>3000</v>
      </c>
      <c r="K12" s="4638">
        <f>'NOV-Finados'!L6</f>
        <v>11280</v>
      </c>
      <c r="L12" s="4640">
        <f>'DIC-FFQQ'!L6</f>
        <v>12707</v>
      </c>
      <c r="M12" s="4638">
        <f>'DIC-FF Navidad'!E6</f>
        <v>9331</v>
      </c>
      <c r="N12" s="4638">
        <f>'DIC-Fin Año'!E6</f>
        <v>8781</v>
      </c>
      <c r="O12" s="5051">
        <f t="shared" si="1"/>
        <v>18112</v>
      </c>
      <c r="P12" s="4674"/>
      <c r="Q12" s="4641">
        <f t="shared" si="0"/>
        <v>71717</v>
      </c>
      <c r="R12" s="4642">
        <f>IF(Q8=0,"",Q12/Q8-1)</f>
        <v>3.0013948557719132</v>
      </c>
      <c r="S12" s="4621">
        <f>SUM(Q12:Q13)</f>
        <v>130848</v>
      </c>
      <c r="T12" s="47">
        <f>S12/S8-1</f>
        <v>3.7477503628447026</v>
      </c>
    </row>
    <row r="13" spans="1:20">
      <c r="A13" s="4643" t="s">
        <v>1816</v>
      </c>
      <c r="B13" s="4643">
        <v>2021</v>
      </c>
      <c r="C13" s="4644" t="s">
        <v>1823</v>
      </c>
      <c r="D13" s="4645" t="s">
        <v>1824</v>
      </c>
      <c r="E13" s="4646">
        <f>'FEB-MAR-Carnaval'!K6</f>
        <v>2951</v>
      </c>
      <c r="F13" s="4647">
        <f>'ABR-Semana Santa'!K6</f>
        <v>1792</v>
      </c>
      <c r="G13" s="4646">
        <f>'MAY-Trabajo'!K6</f>
        <v>2185</v>
      </c>
      <c r="H13" s="4647">
        <f>'MAY-Bat Pich'!K6</f>
        <v>4274</v>
      </c>
      <c r="I13" s="4646">
        <f>'AGO-Primer grito'!K6</f>
        <v>7372</v>
      </c>
      <c r="J13" s="4647">
        <f>'OCT-Ind.GYE'!E6</f>
        <v>2200</v>
      </c>
      <c r="K13" s="4646">
        <f>'NOV-Finados'!K6</f>
        <v>9692</v>
      </c>
      <c r="L13" s="4647">
        <f>'DIC-FFQQ'!K6</f>
        <v>12484</v>
      </c>
      <c r="M13" s="4646">
        <f>'DIC-FF Navidad'!D6</f>
        <v>7732</v>
      </c>
      <c r="N13" s="4646">
        <f>'DIC-Fin Año'!D6</f>
        <v>8449</v>
      </c>
      <c r="O13" s="5052">
        <f t="shared" si="1"/>
        <v>16181</v>
      </c>
      <c r="P13" s="4674"/>
      <c r="Q13" s="4648">
        <f t="shared" si="0"/>
        <v>59131</v>
      </c>
      <c r="R13" s="4649">
        <f>IF(Q9=0,"",Q13/Q9-1)</f>
        <v>5.1358306526927464</v>
      </c>
    </row>
    <row r="14" spans="1:20" ht="31.2" thickBot="1">
      <c r="A14" s="4650" t="s">
        <v>1816</v>
      </c>
      <c r="B14" s="4650">
        <v>2021</v>
      </c>
      <c r="C14" s="4651" t="s">
        <v>1819</v>
      </c>
      <c r="D14" s="4652" t="s">
        <v>1820</v>
      </c>
      <c r="E14" s="4653">
        <f>'FEB-MAR-Carnaval'!Z8</f>
        <v>31240</v>
      </c>
      <c r="F14" s="4654">
        <f>'ABR-Semana Santa'!Y8</f>
        <v>13362</v>
      </c>
      <c r="G14" s="4653">
        <f>'MAY-Trabajo'!Z8</f>
        <v>28000</v>
      </c>
      <c r="H14" s="4654">
        <f>'MAY-Bat Pich'!Z8</f>
        <v>34840</v>
      </c>
      <c r="I14" s="4653">
        <f>'AGO-Primer grito'!AB9</f>
        <v>77800</v>
      </c>
      <c r="J14" s="4654">
        <f>'OCT-Ind.GYE'!Q8</f>
        <v>47796</v>
      </c>
      <c r="K14" s="4653">
        <f>'NOV-Finados'!Z8</f>
        <v>69984</v>
      </c>
      <c r="L14" s="4654">
        <f>'DIC-FFQQ'!AB8</f>
        <v>39408</v>
      </c>
      <c r="M14" s="4653">
        <f>'DIC-FF Navidad'!P7</f>
        <v>53444</v>
      </c>
      <c r="N14" s="4653">
        <f>'DIC-Fin Año'!P8</f>
        <v>45462</v>
      </c>
      <c r="O14" s="5053">
        <f t="shared" si="1"/>
        <v>98906</v>
      </c>
      <c r="P14" s="4674"/>
      <c r="Q14" s="4655">
        <f t="shared" si="0"/>
        <v>441336</v>
      </c>
      <c r="R14" s="4656">
        <f>IF(Q11=0,"",Q14/Q11-1)</f>
        <v>1.0046057203591916</v>
      </c>
      <c r="T14" s="4621"/>
    </row>
    <row r="15" spans="1:20" hidden="1">
      <c r="A15" s="4657" t="s">
        <v>1816</v>
      </c>
      <c r="B15" s="4657">
        <v>2022</v>
      </c>
      <c r="C15" s="4658" t="s">
        <v>1817</v>
      </c>
      <c r="D15" s="4659" t="s">
        <v>1822</v>
      </c>
      <c r="E15" s="4660"/>
      <c r="F15" s="4661"/>
      <c r="G15" s="4660"/>
      <c r="H15" s="4662"/>
      <c r="I15" s="4660"/>
      <c r="J15" s="4662"/>
      <c r="K15" s="4660"/>
      <c r="L15" s="4662"/>
      <c r="M15" s="4660"/>
      <c r="N15" s="4660"/>
      <c r="O15" s="5054"/>
      <c r="P15" s="4674"/>
      <c r="Q15" s="4641">
        <f t="shared" si="0"/>
        <v>0</v>
      </c>
      <c r="R15" s="4642">
        <f>IF(Q11=0,"",Q15/Q11-1)</f>
        <v>-1</v>
      </c>
      <c r="T15" s="4621"/>
    </row>
    <row r="16" spans="1:20" hidden="1">
      <c r="A16" s="4663" t="s">
        <v>1816</v>
      </c>
      <c r="B16" s="4663">
        <v>2022</v>
      </c>
      <c r="C16" s="4664" t="s">
        <v>1823</v>
      </c>
      <c r="D16" s="4665" t="s">
        <v>1824</v>
      </c>
      <c r="E16" s="4666"/>
      <c r="F16" s="4667"/>
      <c r="G16" s="4666"/>
      <c r="H16" s="4667"/>
      <c r="I16" s="4666"/>
      <c r="J16" s="4667"/>
      <c r="K16" s="4666"/>
      <c r="L16" s="4667"/>
      <c r="M16" s="4666"/>
      <c r="N16" s="4666"/>
      <c r="O16" s="5055"/>
      <c r="P16" s="4674"/>
      <c r="Q16" s="4648">
        <f t="shared" si="0"/>
        <v>0</v>
      </c>
      <c r="R16" s="4649">
        <f>IF(Q12=0,"",Q16/Q12-1)</f>
        <v>-1</v>
      </c>
    </row>
    <row r="17" spans="1:18" ht="31.2" hidden="1" thickBot="1">
      <c r="A17" s="4668" t="s">
        <v>1816</v>
      </c>
      <c r="B17" s="4668">
        <v>2022</v>
      </c>
      <c r="C17" s="4669" t="s">
        <v>1819</v>
      </c>
      <c r="D17" s="4670" t="s">
        <v>1820</v>
      </c>
      <c r="E17" s="4671"/>
      <c r="F17" s="4672"/>
      <c r="G17" s="4671"/>
      <c r="H17" s="4672"/>
      <c r="I17" s="4671"/>
      <c r="J17" s="4672"/>
      <c r="K17" s="4671"/>
      <c r="L17" s="4672"/>
      <c r="M17" s="4671"/>
      <c r="N17" s="4671"/>
      <c r="O17" s="5056"/>
      <c r="P17" s="4674"/>
      <c r="Q17" s="4655">
        <f t="shared" si="0"/>
        <v>0</v>
      </c>
      <c r="R17" s="4656">
        <f>IF(Q14=0,"",Q17/Q14-1)</f>
        <v>-1</v>
      </c>
    </row>
    <row r="18" spans="1:18">
      <c r="B18" s="4673"/>
      <c r="C18" s="4674"/>
      <c r="D18" s="4579"/>
      <c r="E18" s="4674"/>
      <c r="F18" s="4674"/>
      <c r="G18" s="4674"/>
      <c r="H18" s="4674"/>
      <c r="I18" s="4674"/>
      <c r="J18" s="4674"/>
      <c r="K18" s="4674"/>
      <c r="L18" s="4674"/>
      <c r="M18" s="4674"/>
      <c r="N18" s="4674"/>
      <c r="O18" s="5057"/>
      <c r="P18" s="4674"/>
      <c r="Q18" s="4675"/>
      <c r="R18" s="4674"/>
    </row>
    <row r="19" spans="1:18" ht="15" thickBot="1">
      <c r="B19" s="4673"/>
      <c r="C19" s="4674"/>
      <c r="D19" s="4579"/>
      <c r="E19" s="4674"/>
      <c r="F19" s="4674"/>
      <c r="G19" s="4674"/>
      <c r="H19" s="4674"/>
      <c r="I19" s="4674"/>
      <c r="J19" s="4674"/>
      <c r="K19" s="4674"/>
      <c r="L19" s="4674"/>
      <c r="M19" s="4674"/>
      <c r="N19" s="4674"/>
      <c r="O19" s="5057"/>
      <c r="P19" s="4674"/>
      <c r="Q19" s="4675"/>
      <c r="R19" s="4674"/>
    </row>
    <row r="20" spans="1:18">
      <c r="A20" s="4676"/>
      <c r="B20" s="4677">
        <v>2021</v>
      </c>
      <c r="C20" s="4678" t="s">
        <v>536</v>
      </c>
      <c r="D20" s="4679" t="s">
        <v>1826</v>
      </c>
      <c r="E20" s="4680">
        <v>0.3</v>
      </c>
      <c r="F20" s="4680">
        <v>0.13</v>
      </c>
      <c r="G20" s="4680">
        <v>7.0000000000000007E-2</v>
      </c>
      <c r="H20" s="4680">
        <v>0.13</v>
      </c>
      <c r="I20" s="4680">
        <v>0.27</v>
      </c>
      <c r="J20" s="4680">
        <v>0.2</v>
      </c>
      <c r="K20" s="4680">
        <v>0.32</v>
      </c>
      <c r="L20" s="4680">
        <v>0.33</v>
      </c>
      <c r="M20" s="4680">
        <v>0.31</v>
      </c>
      <c r="N20" s="4680">
        <v>0.26</v>
      </c>
      <c r="O20" s="5058">
        <f>AVERAGE(M20:N20)</f>
        <v>0.28500000000000003</v>
      </c>
      <c r="P20" s="4674"/>
      <c r="Q20" s="4680">
        <f>AVERAGE(E20:N20)</f>
        <v>0.23200000000000004</v>
      </c>
      <c r="R20" s="4681"/>
    </row>
    <row r="21" spans="1:18" ht="15" thickBot="1">
      <c r="A21" s="4682"/>
      <c r="B21" s="4683">
        <v>2021</v>
      </c>
      <c r="C21" s="4684" t="s">
        <v>536</v>
      </c>
      <c r="D21" s="4685" t="s">
        <v>1827</v>
      </c>
      <c r="E21" s="4686">
        <v>0.33</v>
      </c>
      <c r="F21" s="4686">
        <v>0.23</v>
      </c>
      <c r="G21" s="4686">
        <v>0.1</v>
      </c>
      <c r="H21" s="4686">
        <v>0.23</v>
      </c>
      <c r="I21" s="4686">
        <v>0.24</v>
      </c>
      <c r="J21" s="4686">
        <v>0.27</v>
      </c>
      <c r="K21" s="4686">
        <v>0.23</v>
      </c>
      <c r="L21" s="4686">
        <v>0.2</v>
      </c>
      <c r="M21" s="4686">
        <v>0.23</v>
      </c>
      <c r="N21" s="4686">
        <v>0.3</v>
      </c>
      <c r="O21" s="5059">
        <f t="shared" ref="O21:O37" si="2">AVERAGE(M21:N21)</f>
        <v>0.26500000000000001</v>
      </c>
      <c r="P21" s="4674"/>
      <c r="Q21" s="4686">
        <f>AVERAGE(E21:N21)</f>
        <v>0.23599999999999999</v>
      </c>
      <c r="R21" s="4687"/>
    </row>
    <row r="22" spans="1:18" ht="15" thickBot="1">
      <c r="B22" s="4673"/>
      <c r="C22" s="4674"/>
      <c r="D22" s="4579"/>
      <c r="E22" s="4674"/>
      <c r="F22" s="4674"/>
      <c r="G22" s="4674"/>
      <c r="H22" s="4674"/>
      <c r="I22" s="4674"/>
      <c r="J22" s="4674"/>
      <c r="K22" s="4674"/>
      <c r="L22" s="4674"/>
      <c r="M22" s="4674"/>
      <c r="N22" s="4674"/>
      <c r="O22" s="5057"/>
      <c r="P22" s="4674"/>
      <c r="Q22" s="4675"/>
      <c r="R22" s="4674"/>
    </row>
    <row r="23" spans="1:18" ht="24">
      <c r="A23" s="4676"/>
      <c r="B23" s="4677">
        <v>2021</v>
      </c>
      <c r="C23" s="4678" t="s">
        <v>1828</v>
      </c>
      <c r="D23" s="4679" t="s">
        <v>1829</v>
      </c>
      <c r="E23" s="4680">
        <v>0.56000000000000005</v>
      </c>
      <c r="F23" s="4680">
        <v>0.75</v>
      </c>
      <c r="G23" s="4680">
        <v>0.85</v>
      </c>
      <c r="H23" s="4680">
        <v>0.5</v>
      </c>
      <c r="I23" s="4680">
        <v>0.19</v>
      </c>
      <c r="J23" s="4680">
        <v>0.26</v>
      </c>
      <c r="K23" s="4680">
        <v>0.2</v>
      </c>
      <c r="L23" s="4680">
        <v>0.45</v>
      </c>
      <c r="M23" s="4680">
        <v>0.33</v>
      </c>
      <c r="N23" s="4680">
        <v>0.41</v>
      </c>
      <c r="O23" s="5058">
        <f t="shared" si="2"/>
        <v>0.37</v>
      </c>
      <c r="P23" s="4674"/>
      <c r="Q23" s="4680">
        <f>AVERAGE(E23:N23)</f>
        <v>0.45000000000000007</v>
      </c>
      <c r="R23" s="4688"/>
    </row>
    <row r="24" spans="1:18" ht="24">
      <c r="A24" s="4689"/>
      <c r="B24" s="4690">
        <v>2021</v>
      </c>
      <c r="C24" s="4691" t="s">
        <v>1828</v>
      </c>
      <c r="D24" s="4692" t="s">
        <v>1830</v>
      </c>
      <c r="E24" s="4693">
        <v>0.31</v>
      </c>
      <c r="F24" s="4693">
        <v>0.22</v>
      </c>
      <c r="G24" s="4693">
        <v>0.1</v>
      </c>
      <c r="H24" s="4693">
        <v>0.24</v>
      </c>
      <c r="I24" s="4693">
        <v>0.39</v>
      </c>
      <c r="J24" s="4693">
        <v>0.37</v>
      </c>
      <c r="K24" s="4693">
        <v>0.5</v>
      </c>
      <c r="L24" s="4693">
        <v>0.26</v>
      </c>
      <c r="M24" s="4693">
        <v>0.38</v>
      </c>
      <c r="N24" s="4693">
        <v>0.36</v>
      </c>
      <c r="O24" s="5060">
        <f t="shared" si="2"/>
        <v>0.37</v>
      </c>
      <c r="P24" s="4674"/>
      <c r="Q24" s="4693">
        <f>AVERAGE(E24:N24)</f>
        <v>0.31299999999999994</v>
      </c>
      <c r="R24" s="4694"/>
    </row>
    <row r="25" spans="1:18" ht="24.6" thickBot="1">
      <c r="A25" s="4682"/>
      <c r="B25" s="4683">
        <v>2021</v>
      </c>
      <c r="C25" s="4684" t="s">
        <v>1828</v>
      </c>
      <c r="D25" s="4685" t="s">
        <v>1831</v>
      </c>
      <c r="E25" s="4686">
        <v>0.13</v>
      </c>
      <c r="F25" s="4686">
        <v>0.03</v>
      </c>
      <c r="G25" s="4686">
        <v>0.05</v>
      </c>
      <c r="H25" s="4686">
        <v>0.26</v>
      </c>
      <c r="I25" s="4686">
        <v>0.42</v>
      </c>
      <c r="J25" s="4686">
        <v>0.37</v>
      </c>
      <c r="K25" s="4686">
        <v>0.3</v>
      </c>
      <c r="L25" s="4686">
        <v>0.28999999999999998</v>
      </c>
      <c r="M25" s="4686">
        <v>0.28999999999999998</v>
      </c>
      <c r="N25" s="4686">
        <v>0.23</v>
      </c>
      <c r="O25" s="5059">
        <f t="shared" si="2"/>
        <v>0.26</v>
      </c>
      <c r="P25" s="4674"/>
      <c r="Q25" s="4686">
        <f>AVERAGE(E25:N25)</f>
        <v>0.23700000000000002</v>
      </c>
      <c r="R25" s="4695"/>
    </row>
    <row r="26" spans="1:18" ht="15" thickBot="1">
      <c r="B26" s="4673"/>
      <c r="C26" s="4674"/>
      <c r="D26" s="4579"/>
      <c r="E26" s="4674"/>
      <c r="F26" s="4674"/>
      <c r="G26" s="4674"/>
      <c r="H26" s="4674"/>
      <c r="I26" s="4674"/>
      <c r="J26" s="4674"/>
      <c r="K26" s="4674"/>
      <c r="L26" s="4674"/>
      <c r="M26" s="4674"/>
      <c r="N26" s="4674"/>
      <c r="O26" s="5057"/>
      <c r="P26" s="4674"/>
      <c r="Q26" s="4675"/>
      <c r="R26" s="4674"/>
    </row>
    <row r="27" spans="1:18" ht="36">
      <c r="A27" s="4676"/>
      <c r="B27" s="4677">
        <v>2021</v>
      </c>
      <c r="C27" s="4678" t="s">
        <v>1832</v>
      </c>
      <c r="D27" s="4679" t="s">
        <v>1829</v>
      </c>
      <c r="E27" s="4680">
        <v>0.19</v>
      </c>
      <c r="F27" s="4680">
        <v>0.41</v>
      </c>
      <c r="G27" s="4680">
        <v>0</v>
      </c>
      <c r="H27" s="4680">
        <v>0.23</v>
      </c>
      <c r="I27" s="4680">
        <v>0.03</v>
      </c>
      <c r="J27" s="4680">
        <v>0.03</v>
      </c>
      <c r="K27" s="4680">
        <v>0.03</v>
      </c>
      <c r="L27" s="4680">
        <v>0.01</v>
      </c>
      <c r="M27" s="4680">
        <v>0.01</v>
      </c>
      <c r="N27" s="4680">
        <v>0.03</v>
      </c>
      <c r="O27" s="5058">
        <f t="shared" si="2"/>
        <v>0.02</v>
      </c>
      <c r="P27" s="4674"/>
      <c r="Q27" s="4680">
        <f>AVERAGE(E27:N27)</f>
        <v>9.7000000000000003E-2</v>
      </c>
      <c r="R27" s="4688"/>
    </row>
    <row r="28" spans="1:18" ht="36">
      <c r="A28" s="4689"/>
      <c r="B28" s="4690">
        <v>2021</v>
      </c>
      <c r="C28" s="4691" t="s">
        <v>1832</v>
      </c>
      <c r="D28" s="4692" t="s">
        <v>1830</v>
      </c>
      <c r="E28" s="4693">
        <v>0.43</v>
      </c>
      <c r="F28" s="4693">
        <v>0.24</v>
      </c>
      <c r="G28" s="4693">
        <v>0.24</v>
      </c>
      <c r="H28" s="4693">
        <v>0.4</v>
      </c>
      <c r="I28" s="4693">
        <v>0.43</v>
      </c>
      <c r="J28" s="4693">
        <v>0.22</v>
      </c>
      <c r="K28" s="4693">
        <v>0.16</v>
      </c>
      <c r="L28" s="4693">
        <v>0.16</v>
      </c>
      <c r="M28" s="4693">
        <v>0.12</v>
      </c>
      <c r="N28" s="4693">
        <v>0.44</v>
      </c>
      <c r="O28" s="5060">
        <f t="shared" si="2"/>
        <v>0.28000000000000003</v>
      </c>
      <c r="P28" s="4674"/>
      <c r="Q28" s="4693">
        <f>AVERAGE(E28:N28)</f>
        <v>0.28400000000000003</v>
      </c>
      <c r="R28" s="4694"/>
    </row>
    <row r="29" spans="1:18" ht="36.6" thickBot="1">
      <c r="A29" s="4682"/>
      <c r="B29" s="4683">
        <v>2021</v>
      </c>
      <c r="C29" s="4684" t="s">
        <v>1832</v>
      </c>
      <c r="D29" s="4685" t="s">
        <v>1831</v>
      </c>
      <c r="E29" s="4686">
        <v>0.38</v>
      </c>
      <c r="F29" s="4686">
        <v>0.35</v>
      </c>
      <c r="G29" s="4686">
        <v>0.76</v>
      </c>
      <c r="H29" s="4686">
        <v>0.37</v>
      </c>
      <c r="I29" s="4686">
        <v>0.54</v>
      </c>
      <c r="J29" s="4686">
        <v>0.75</v>
      </c>
      <c r="K29" s="4686">
        <v>0.81</v>
      </c>
      <c r="L29" s="4686">
        <v>0.83</v>
      </c>
      <c r="M29" s="4686">
        <v>0.87</v>
      </c>
      <c r="N29" s="4686">
        <v>0.53</v>
      </c>
      <c r="O29" s="5059">
        <f t="shared" si="2"/>
        <v>0.7</v>
      </c>
      <c r="P29" s="4674"/>
      <c r="Q29" s="4686">
        <f>AVERAGE(E29:N29)</f>
        <v>0.61899999999999999</v>
      </c>
      <c r="R29" s="4695"/>
    </row>
    <row r="30" spans="1:18" ht="15" thickBot="1">
      <c r="B30" s="4673"/>
      <c r="C30" s="4674"/>
      <c r="D30" s="4579"/>
      <c r="E30" s="4674"/>
      <c r="F30" s="4674"/>
      <c r="G30" s="4674"/>
      <c r="H30" s="4674"/>
      <c r="I30" s="4674"/>
      <c r="J30" s="4674"/>
      <c r="K30" s="4674"/>
      <c r="L30" s="4674"/>
      <c r="M30" s="4674"/>
      <c r="N30" s="4674"/>
      <c r="O30" s="5057"/>
      <c r="P30" s="4674"/>
      <c r="Q30" s="4675"/>
      <c r="R30" s="4674"/>
    </row>
    <row r="31" spans="1:18" ht="24">
      <c r="A31" s="4676"/>
      <c r="B31" s="4677">
        <v>2021</v>
      </c>
      <c r="C31" s="4678" t="s">
        <v>1833</v>
      </c>
      <c r="D31" s="4679" t="s">
        <v>1829</v>
      </c>
      <c r="E31" s="4680">
        <v>0.22</v>
      </c>
      <c r="F31" s="4680">
        <v>0.78</v>
      </c>
      <c r="G31" s="4680">
        <v>1</v>
      </c>
      <c r="H31" s="4680">
        <v>0</v>
      </c>
      <c r="I31" s="4680">
        <v>0.1</v>
      </c>
      <c r="J31" s="4680">
        <v>0</v>
      </c>
      <c r="K31" s="4680">
        <v>0</v>
      </c>
      <c r="L31" s="4680">
        <v>0</v>
      </c>
      <c r="M31" s="4680">
        <v>0.6</v>
      </c>
      <c r="N31" s="4680">
        <v>0.25</v>
      </c>
      <c r="O31" s="5058">
        <f t="shared" si="2"/>
        <v>0.42499999999999999</v>
      </c>
      <c r="P31" s="4674"/>
      <c r="Q31" s="4680">
        <f>AVERAGE(E31:N31)</f>
        <v>0.29500000000000004</v>
      </c>
      <c r="R31" s="4688"/>
    </row>
    <row r="32" spans="1:18" ht="24">
      <c r="A32" s="4689"/>
      <c r="B32" s="4690">
        <v>2021</v>
      </c>
      <c r="C32" s="4691" t="s">
        <v>1833</v>
      </c>
      <c r="D32" s="4692" t="s">
        <v>1830</v>
      </c>
      <c r="E32" s="4693">
        <v>0.14000000000000001</v>
      </c>
      <c r="F32" s="4693">
        <v>0</v>
      </c>
      <c r="G32" s="4693">
        <v>0</v>
      </c>
      <c r="H32" s="4693">
        <v>0.22</v>
      </c>
      <c r="I32" s="4693">
        <v>0.1</v>
      </c>
      <c r="J32" s="4693">
        <v>0.17</v>
      </c>
      <c r="K32" s="4693">
        <v>0.2</v>
      </c>
      <c r="L32" s="4693">
        <v>0.2</v>
      </c>
      <c r="M32" s="4693">
        <v>0</v>
      </c>
      <c r="N32" s="4693">
        <v>0.25</v>
      </c>
      <c r="O32" s="5060">
        <f t="shared" si="2"/>
        <v>0.125</v>
      </c>
      <c r="P32" s="4674"/>
      <c r="Q32" s="4693">
        <f>AVERAGE(E32:N32)</f>
        <v>0.128</v>
      </c>
      <c r="R32" s="4694"/>
    </row>
    <row r="33" spans="1:18" ht="24.6" thickBot="1">
      <c r="A33" s="4682"/>
      <c r="B33" s="4683">
        <v>2021</v>
      </c>
      <c r="C33" s="4684" t="s">
        <v>1833</v>
      </c>
      <c r="D33" s="4685" t="s">
        <v>1831</v>
      </c>
      <c r="E33" s="4686">
        <v>0.64</v>
      </c>
      <c r="F33" s="4686">
        <v>0.22</v>
      </c>
      <c r="G33" s="4686">
        <v>0</v>
      </c>
      <c r="H33" s="4686">
        <v>0.78</v>
      </c>
      <c r="I33" s="4686">
        <v>0.8</v>
      </c>
      <c r="J33" s="4686">
        <v>0.83</v>
      </c>
      <c r="K33" s="4686">
        <v>0.8</v>
      </c>
      <c r="L33" s="4686">
        <v>0.8</v>
      </c>
      <c r="M33" s="4686">
        <v>0.4</v>
      </c>
      <c r="N33" s="4686">
        <v>0.5</v>
      </c>
      <c r="O33" s="5059">
        <f t="shared" si="2"/>
        <v>0.45</v>
      </c>
      <c r="P33" s="4674"/>
      <c r="Q33" s="4686">
        <f>AVERAGE(E33:N33)</f>
        <v>0.57700000000000007</v>
      </c>
      <c r="R33" s="4695"/>
    </row>
    <row r="34" spans="1:18" ht="15" thickBot="1">
      <c r="B34" s="4673"/>
      <c r="C34" s="4674"/>
      <c r="D34" s="4579"/>
      <c r="E34" s="4674"/>
      <c r="F34" s="4674"/>
      <c r="G34" s="4674"/>
      <c r="H34" s="4674"/>
      <c r="I34" s="4674"/>
      <c r="J34" s="4674"/>
      <c r="K34" s="4674"/>
      <c r="L34" s="4674"/>
      <c r="M34" s="4674"/>
      <c r="N34" s="4674"/>
      <c r="O34" s="5057"/>
      <c r="P34" s="4674"/>
      <c r="Q34" s="4675"/>
      <c r="R34" s="4674"/>
    </row>
    <row r="35" spans="1:18" ht="24">
      <c r="A35" s="4676"/>
      <c r="B35" s="4677">
        <v>2021</v>
      </c>
      <c r="C35" s="4678" t="s">
        <v>1834</v>
      </c>
      <c r="D35" s="4679" t="s">
        <v>1829</v>
      </c>
      <c r="E35" s="4680">
        <v>0.31</v>
      </c>
      <c r="F35" s="4680">
        <v>0.69</v>
      </c>
      <c r="G35" s="4680"/>
      <c r="H35" s="4680">
        <v>1</v>
      </c>
      <c r="I35" s="4680">
        <v>0.18</v>
      </c>
      <c r="J35" s="4680">
        <v>0</v>
      </c>
      <c r="K35" s="4680">
        <v>0</v>
      </c>
      <c r="L35" s="4680">
        <v>0</v>
      </c>
      <c r="M35" s="4680">
        <v>0</v>
      </c>
      <c r="N35" s="4680">
        <v>0</v>
      </c>
      <c r="O35" s="5058">
        <f t="shared" si="2"/>
        <v>0</v>
      </c>
      <c r="P35" s="4674"/>
      <c r="Q35" s="4680">
        <f>AVERAGE(E35:N35)</f>
        <v>0.24222222222222223</v>
      </c>
      <c r="R35" s="4688"/>
    </row>
    <row r="36" spans="1:18" ht="24">
      <c r="A36" s="4689"/>
      <c r="B36" s="4690">
        <v>2021</v>
      </c>
      <c r="C36" s="4691" t="s">
        <v>1834</v>
      </c>
      <c r="D36" s="4692" t="s">
        <v>1830</v>
      </c>
      <c r="E36" s="4693">
        <v>0.15</v>
      </c>
      <c r="F36" s="4693">
        <v>0.23</v>
      </c>
      <c r="G36" s="4693"/>
      <c r="H36" s="4693">
        <v>0</v>
      </c>
      <c r="I36" s="4693">
        <v>0.18</v>
      </c>
      <c r="J36" s="4693">
        <v>0.18</v>
      </c>
      <c r="K36" s="4693">
        <v>0.1429</v>
      </c>
      <c r="L36" s="4693">
        <v>0.16669999999999999</v>
      </c>
      <c r="M36" s="4693">
        <v>0.8</v>
      </c>
      <c r="N36" s="4693">
        <v>0.71430000000000005</v>
      </c>
      <c r="O36" s="5060">
        <f t="shared" si="2"/>
        <v>0.75714999999999999</v>
      </c>
      <c r="P36" s="4674"/>
      <c r="Q36" s="4693">
        <f>AVERAGE(E36:N36)</f>
        <v>0.28487777777777779</v>
      </c>
      <c r="R36" s="4694"/>
    </row>
    <row r="37" spans="1:18" ht="24.6" thickBot="1">
      <c r="A37" s="4682"/>
      <c r="B37" s="4683">
        <v>2021</v>
      </c>
      <c r="C37" s="4684" t="s">
        <v>1834</v>
      </c>
      <c r="D37" s="4685" t="s">
        <v>1831</v>
      </c>
      <c r="E37" s="4686">
        <v>0.54</v>
      </c>
      <c r="F37" s="4686">
        <v>0.08</v>
      </c>
      <c r="G37" s="4686"/>
      <c r="H37" s="4686">
        <v>0</v>
      </c>
      <c r="I37" s="4686">
        <v>0.84</v>
      </c>
      <c r="J37" s="4686">
        <v>0.82</v>
      </c>
      <c r="K37" s="4686">
        <v>0.85709999999999997</v>
      </c>
      <c r="L37" s="4686">
        <v>0.83330000000000004</v>
      </c>
      <c r="M37" s="4686">
        <v>0.2</v>
      </c>
      <c r="N37" s="4686">
        <v>0.28570000000000001</v>
      </c>
      <c r="O37" s="5059">
        <f t="shared" si="2"/>
        <v>0.24285000000000001</v>
      </c>
      <c r="P37" s="4674"/>
      <c r="Q37" s="4686">
        <f>AVERAGE(E37:N37)</f>
        <v>0.49512222222222224</v>
      </c>
      <c r="R37" s="4695"/>
    </row>
    <row r="38" spans="1:18">
      <c r="B38" s="4673"/>
      <c r="C38" s="4674"/>
      <c r="D38" s="4579"/>
      <c r="E38" s="4674"/>
      <c r="F38" s="4674"/>
      <c r="G38" s="4674"/>
      <c r="H38" s="4674"/>
      <c r="I38" s="4674"/>
      <c r="J38" s="4674"/>
      <c r="K38" s="4674"/>
      <c r="L38" s="4674"/>
      <c r="M38" s="4674"/>
      <c r="N38" s="4674"/>
      <c r="O38" s="5057"/>
      <c r="P38" s="4674"/>
      <c r="Q38" s="4674"/>
      <c r="R38" s="4674"/>
    </row>
    <row r="39" spans="1:18" ht="15" thickBot="1">
      <c r="B39" s="4673"/>
      <c r="C39" s="4674"/>
      <c r="D39" s="4579"/>
      <c r="E39" s="4674"/>
      <c r="F39" s="4674"/>
      <c r="G39" s="4674"/>
      <c r="H39" s="4674"/>
      <c r="I39" s="4674"/>
      <c r="J39" s="4674"/>
      <c r="K39" s="4674"/>
      <c r="L39" s="4674"/>
      <c r="M39" s="4674"/>
      <c r="N39" s="4674"/>
      <c r="O39" s="5057"/>
      <c r="P39" s="4674"/>
      <c r="Q39" s="4674"/>
      <c r="R39" s="4674"/>
    </row>
    <row r="40" spans="1:18" ht="15" thickBot="1">
      <c r="B40" s="4673"/>
      <c r="C40" s="4674"/>
      <c r="D40" s="4579"/>
      <c r="E40" s="4674"/>
      <c r="F40" s="4674"/>
      <c r="G40" s="4674"/>
      <c r="H40" s="4674"/>
      <c r="I40" s="4674"/>
      <c r="J40" s="4674"/>
      <c r="K40" s="4674"/>
      <c r="L40" s="4674"/>
      <c r="M40" s="4674"/>
      <c r="N40" s="4674"/>
      <c r="O40" s="5057"/>
      <c r="P40" s="4696" t="s">
        <v>1835</v>
      </c>
      <c r="Q40" s="4697" t="s">
        <v>1836</v>
      </c>
      <c r="R40" s="4698" t="s">
        <v>822</v>
      </c>
    </row>
    <row r="41" spans="1:18">
      <c r="B41" s="4673"/>
      <c r="C41" s="4674"/>
      <c r="D41" s="4699" t="s">
        <v>2016</v>
      </c>
      <c r="E41" s="4700">
        <f>SUM(E4:E5)</f>
        <v>122523</v>
      </c>
      <c r="F41" s="4700">
        <f>SUM(F4:F5)</f>
        <v>98147</v>
      </c>
      <c r="G41" s="4700">
        <f>SUM(G4:G5)</f>
        <v>124767</v>
      </c>
      <c r="H41" s="4700">
        <f>SUM(H4:H5)</f>
        <v>96112</v>
      </c>
      <c r="I41" s="4700">
        <f>SUM(I4:I5)</f>
        <v>98788</v>
      </c>
      <c r="J41" s="4700"/>
      <c r="K41" s="4700">
        <f>SUM(K4:K5)</f>
        <v>88513</v>
      </c>
      <c r="L41" s="4700">
        <f>SUM(L4:L5)</f>
        <v>97095</v>
      </c>
      <c r="M41" s="4700"/>
      <c r="N41" s="4701"/>
      <c r="O41" s="5061">
        <f>SUM(M41:N41)</f>
        <v>0</v>
      </c>
      <c r="P41" s="4702">
        <f>AVERAGE(E41:N41)</f>
        <v>103706.42857142857</v>
      </c>
      <c r="Q41" s="4703">
        <f>SUM(E41:N41)</f>
        <v>725945</v>
      </c>
      <c r="R41" s="4704"/>
    </row>
    <row r="42" spans="1:18">
      <c r="B42" s="4673"/>
      <c r="C42" s="4674"/>
      <c r="D42" s="4705" t="s">
        <v>2017</v>
      </c>
      <c r="E42" s="4706">
        <f>SUM(E6:E7)</f>
        <v>126886</v>
      </c>
      <c r="F42" s="4706">
        <f>SUM(F6:F7)</f>
        <v>88950</v>
      </c>
      <c r="G42" s="4706">
        <f>SUM(G6:G7)</f>
        <v>93403.01</v>
      </c>
      <c r="H42" s="4706">
        <f>SUM(H6:H7)</f>
        <v>94097.44</v>
      </c>
      <c r="I42" s="4706">
        <f>SUM(I6:I7)</f>
        <v>104598.5</v>
      </c>
      <c r="J42" s="4706"/>
      <c r="K42" s="4706">
        <f>SUM(K6:K7)</f>
        <v>83420.820000000007</v>
      </c>
      <c r="L42" s="4706">
        <f>SUM(L6:L7)</f>
        <v>104756.7</v>
      </c>
      <c r="M42" s="4706"/>
      <c r="N42" s="4707"/>
      <c r="O42" s="5062">
        <f t="shared" ref="O42:O52" si="3">SUM(M42:N42)</f>
        <v>0</v>
      </c>
      <c r="P42" s="4708">
        <f>AVERAGE(E42:N42)</f>
        <v>99444.638571428572</v>
      </c>
      <c r="Q42" s="4709">
        <f>SUM(E42:N42)</f>
        <v>696112.47</v>
      </c>
      <c r="R42" s="4710">
        <f>Q42/Q41</f>
        <v>0.95890524764272767</v>
      </c>
    </row>
    <row r="43" spans="1:18">
      <c r="B43" s="4673"/>
      <c r="C43" s="4674"/>
      <c r="D43" s="4711" t="s">
        <v>2018</v>
      </c>
      <c r="E43" s="4712">
        <f t="shared" ref="E43:L43" si="4">SUM(E8:E11)</f>
        <v>166886</v>
      </c>
      <c r="F43" s="4712">
        <f t="shared" si="4"/>
        <v>0</v>
      </c>
      <c r="G43" s="4712">
        <f t="shared" si="4"/>
        <v>0</v>
      </c>
      <c r="H43" s="4712">
        <f t="shared" si="4"/>
        <v>0</v>
      </c>
      <c r="I43" s="4712">
        <f t="shared" si="4"/>
        <v>1634</v>
      </c>
      <c r="J43" s="4712">
        <f t="shared" si="4"/>
        <v>29214</v>
      </c>
      <c r="K43" s="4712">
        <f t="shared" si="4"/>
        <v>54832</v>
      </c>
      <c r="L43" s="4712">
        <f t="shared" si="4"/>
        <v>35155</v>
      </c>
      <c r="M43" s="4712"/>
      <c r="N43" s="4713"/>
      <c r="O43" s="5063">
        <f t="shared" si="3"/>
        <v>0</v>
      </c>
      <c r="P43" s="4708">
        <f>AVERAGE(E43:N43)</f>
        <v>35965.125</v>
      </c>
      <c r="Q43" s="4709">
        <f>SUM(E43:N43)</f>
        <v>287721</v>
      </c>
      <c r="R43" s="4710">
        <f>Q43/Q42</f>
        <v>0.41332545012446048</v>
      </c>
    </row>
    <row r="44" spans="1:18">
      <c r="B44" s="4673"/>
      <c r="C44" s="4674"/>
      <c r="D44" s="4692" t="s">
        <v>2019</v>
      </c>
      <c r="E44" s="4714">
        <f t="shared" ref="E44:N44" si="5">SUM(E12:E14)</f>
        <v>37083</v>
      </c>
      <c r="F44" s="4714">
        <f t="shared" si="5"/>
        <v>16671</v>
      </c>
      <c r="G44" s="4714">
        <f t="shared" si="5"/>
        <v>33631</v>
      </c>
      <c r="H44" s="4714">
        <f t="shared" si="5"/>
        <v>46692</v>
      </c>
      <c r="I44" s="4714">
        <f t="shared" si="5"/>
        <v>96357</v>
      </c>
      <c r="J44" s="4714">
        <f t="shared" si="5"/>
        <v>52996</v>
      </c>
      <c r="K44" s="4714">
        <f t="shared" si="5"/>
        <v>90956</v>
      </c>
      <c r="L44" s="4714">
        <f t="shared" si="5"/>
        <v>64599</v>
      </c>
      <c r="M44" s="4714">
        <f t="shared" si="5"/>
        <v>70507</v>
      </c>
      <c r="N44" s="4715">
        <f t="shared" si="5"/>
        <v>62692</v>
      </c>
      <c r="O44" s="5064">
        <f t="shared" si="3"/>
        <v>133199</v>
      </c>
      <c r="P44" s="4708">
        <f>AVERAGE(E44:N44)</f>
        <v>57218.400000000001</v>
      </c>
      <c r="Q44" s="4709">
        <f>SUM(E44:N44)</f>
        <v>572184</v>
      </c>
      <c r="R44" s="4710">
        <f>Q44/Q43</f>
        <v>1.9886765303888141</v>
      </c>
    </row>
    <row r="45" spans="1:18" ht="15" thickBot="1">
      <c r="B45" s="4673"/>
      <c r="C45" s="4674"/>
      <c r="D45" s="4716" t="s">
        <v>2020</v>
      </c>
      <c r="E45" s="4717">
        <f t="shared" ref="E45:N45" si="6">SUM(E15:E17)</f>
        <v>0</v>
      </c>
      <c r="F45" s="4717">
        <f t="shared" si="6"/>
        <v>0</v>
      </c>
      <c r="G45" s="4717">
        <f t="shared" si="6"/>
        <v>0</v>
      </c>
      <c r="H45" s="4717">
        <f t="shared" si="6"/>
        <v>0</v>
      </c>
      <c r="I45" s="4717">
        <f t="shared" si="6"/>
        <v>0</v>
      </c>
      <c r="J45" s="4717">
        <f t="shared" si="6"/>
        <v>0</v>
      </c>
      <c r="K45" s="4717">
        <f t="shared" si="6"/>
        <v>0</v>
      </c>
      <c r="L45" s="4717">
        <f t="shared" si="6"/>
        <v>0</v>
      </c>
      <c r="M45" s="4717">
        <f t="shared" si="6"/>
        <v>0</v>
      </c>
      <c r="N45" s="4718">
        <f t="shared" si="6"/>
        <v>0</v>
      </c>
      <c r="O45" s="5065">
        <f t="shared" si="3"/>
        <v>0</v>
      </c>
      <c r="P45" s="4719">
        <f>AVERAGE(E45:N45)</f>
        <v>0</v>
      </c>
      <c r="Q45" s="4720">
        <f>SUM(E45:N45)</f>
        <v>0</v>
      </c>
      <c r="R45" s="4721">
        <f>Q45/Q44</f>
        <v>0</v>
      </c>
    </row>
    <row r="46" spans="1:18" ht="15" thickBot="1">
      <c r="A46" s="2"/>
      <c r="B46" s="2"/>
      <c r="C46" s="2"/>
      <c r="D46" s="2"/>
      <c r="E46" s="2"/>
      <c r="F46" s="2"/>
      <c r="G46" s="2"/>
      <c r="H46" s="2"/>
      <c r="I46" s="2"/>
      <c r="J46" s="2"/>
      <c r="K46" s="2"/>
      <c r="L46" s="2"/>
      <c r="M46" s="2"/>
      <c r="N46" s="2"/>
      <c r="O46" s="5066"/>
      <c r="P46" s="2"/>
    </row>
    <row r="47" spans="1:18" ht="15" thickBot="1">
      <c r="A47" s="2"/>
      <c r="B47" s="2"/>
      <c r="C47" s="22" t="s">
        <v>1837</v>
      </c>
      <c r="D47" s="2"/>
      <c r="E47" s="2"/>
      <c r="F47" s="2"/>
      <c r="G47" s="2"/>
      <c r="H47" s="2"/>
      <c r="I47" s="2"/>
      <c r="J47" s="2"/>
      <c r="K47" s="2"/>
      <c r="L47" s="2"/>
      <c r="M47" s="2"/>
      <c r="N47" s="2"/>
      <c r="O47" s="5066"/>
      <c r="P47" s="4696" t="s">
        <v>1835</v>
      </c>
      <c r="Q47" s="4697" t="s">
        <v>1836</v>
      </c>
      <c r="R47" s="4698" t="s">
        <v>822</v>
      </c>
    </row>
    <row r="48" spans="1:18" ht="20.399999999999999">
      <c r="C48" s="4722">
        <v>100</v>
      </c>
      <c r="D48" s="4699" t="s">
        <v>2021</v>
      </c>
      <c r="E48" s="4700">
        <f t="shared" ref="E48:N48" si="7">E41*$C$48</f>
        <v>12252300</v>
      </c>
      <c r="F48" s="4700">
        <f t="shared" si="7"/>
        <v>9814700</v>
      </c>
      <c r="G48" s="4700">
        <f t="shared" si="7"/>
        <v>12476700</v>
      </c>
      <c r="H48" s="4700">
        <f t="shared" si="7"/>
        <v>9611200</v>
      </c>
      <c r="I48" s="4700">
        <f t="shared" si="7"/>
        <v>9878800</v>
      </c>
      <c r="J48" s="4700">
        <f t="shared" si="7"/>
        <v>0</v>
      </c>
      <c r="K48" s="4700">
        <f t="shared" si="7"/>
        <v>8851300</v>
      </c>
      <c r="L48" s="4700">
        <f t="shared" si="7"/>
        <v>9709500</v>
      </c>
      <c r="M48" s="4700">
        <f t="shared" si="7"/>
        <v>0</v>
      </c>
      <c r="N48" s="4700">
        <f t="shared" si="7"/>
        <v>0</v>
      </c>
      <c r="O48" s="5067">
        <f t="shared" si="3"/>
        <v>0</v>
      </c>
      <c r="P48" s="4702">
        <f>AVERAGE(E48:N48)</f>
        <v>7259450</v>
      </c>
      <c r="Q48" s="4703">
        <f>SUM(E48:N48)</f>
        <v>72594500</v>
      </c>
      <c r="R48" s="4704"/>
    </row>
    <row r="49" spans="2:18" ht="20.399999999999999">
      <c r="B49" s="4673"/>
      <c r="C49" s="4722">
        <v>100</v>
      </c>
      <c r="D49" s="4705" t="s">
        <v>2022</v>
      </c>
      <c r="E49" s="4706">
        <f t="shared" ref="E49:N49" si="8">E42*$C$49</f>
        <v>12688600</v>
      </c>
      <c r="F49" s="4706">
        <f t="shared" si="8"/>
        <v>8895000</v>
      </c>
      <c r="G49" s="4706">
        <f t="shared" si="8"/>
        <v>9340301</v>
      </c>
      <c r="H49" s="4706">
        <f t="shared" si="8"/>
        <v>9409744</v>
      </c>
      <c r="I49" s="4706">
        <f t="shared" si="8"/>
        <v>10459850</v>
      </c>
      <c r="J49" s="4706">
        <f t="shared" si="8"/>
        <v>0</v>
      </c>
      <c r="K49" s="4706">
        <f t="shared" si="8"/>
        <v>8342082.0000000009</v>
      </c>
      <c r="L49" s="4706">
        <f t="shared" si="8"/>
        <v>10475670</v>
      </c>
      <c r="M49" s="4706">
        <f t="shared" si="8"/>
        <v>0</v>
      </c>
      <c r="N49" s="4706">
        <f t="shared" si="8"/>
        <v>0</v>
      </c>
      <c r="O49" s="5068">
        <f t="shared" si="3"/>
        <v>0</v>
      </c>
      <c r="P49" s="4708">
        <f>AVERAGE(E49:N49)</f>
        <v>6961124.7000000002</v>
      </c>
      <c r="Q49" s="4709">
        <f>SUM(E49:N49)</f>
        <v>69611247</v>
      </c>
      <c r="R49" s="4710">
        <f>Q49/Q48</f>
        <v>0.95890524764272778</v>
      </c>
    </row>
    <row r="50" spans="2:18" ht="20.399999999999999">
      <c r="B50" s="4673"/>
      <c r="C50" s="4722">
        <v>100</v>
      </c>
      <c r="D50" s="4711" t="s">
        <v>2023</v>
      </c>
      <c r="E50" s="4712">
        <f t="shared" ref="E50:L50" si="9">E43*$C$50</f>
        <v>16688600</v>
      </c>
      <c r="F50" s="4712">
        <f t="shared" si="9"/>
        <v>0</v>
      </c>
      <c r="G50" s="4712">
        <f t="shared" si="9"/>
        <v>0</v>
      </c>
      <c r="H50" s="4712">
        <f t="shared" si="9"/>
        <v>0</v>
      </c>
      <c r="I50" s="4712">
        <f t="shared" si="9"/>
        <v>163400</v>
      </c>
      <c r="J50" s="4712">
        <f t="shared" si="9"/>
        <v>2921400</v>
      </c>
      <c r="K50" s="4712">
        <f t="shared" si="9"/>
        <v>5483200</v>
      </c>
      <c r="L50" s="4712">
        <f t="shared" si="9"/>
        <v>3515500</v>
      </c>
      <c r="M50" s="4712"/>
      <c r="N50" s="4712"/>
      <c r="O50" s="5069">
        <f t="shared" si="3"/>
        <v>0</v>
      </c>
      <c r="P50" s="4708">
        <f>AVERAGE(E50:N50)</f>
        <v>3596512.5</v>
      </c>
      <c r="Q50" s="4709">
        <f>SUM(E50:N50)</f>
        <v>28772100</v>
      </c>
      <c r="R50" s="4710">
        <f>Q50/Q49</f>
        <v>0.41332545012446048</v>
      </c>
    </row>
    <row r="51" spans="2:18" ht="20.399999999999999">
      <c r="B51" s="4673"/>
      <c r="C51" s="4722">
        <v>100</v>
      </c>
      <c r="D51" s="4692" t="s">
        <v>2024</v>
      </c>
      <c r="E51" s="4714">
        <f t="shared" ref="E51:N51" si="10">E44*$C$51</f>
        <v>3708300</v>
      </c>
      <c r="F51" s="4714">
        <f t="shared" si="10"/>
        <v>1667100</v>
      </c>
      <c r="G51" s="4714">
        <f t="shared" si="10"/>
        <v>3363100</v>
      </c>
      <c r="H51" s="4714">
        <f t="shared" si="10"/>
        <v>4669200</v>
      </c>
      <c r="I51" s="4714">
        <f t="shared" si="10"/>
        <v>9635700</v>
      </c>
      <c r="J51" s="4714">
        <f t="shared" si="10"/>
        <v>5299600</v>
      </c>
      <c r="K51" s="4714">
        <f t="shared" si="10"/>
        <v>9095600</v>
      </c>
      <c r="L51" s="4714">
        <f t="shared" si="10"/>
        <v>6459900</v>
      </c>
      <c r="M51" s="4714">
        <f t="shared" si="10"/>
        <v>7050700</v>
      </c>
      <c r="N51" s="4714">
        <f t="shared" si="10"/>
        <v>6269200</v>
      </c>
      <c r="O51" s="5070">
        <f t="shared" si="3"/>
        <v>13319900</v>
      </c>
      <c r="P51" s="4708">
        <f>AVERAGE(E51:N51)</f>
        <v>5721840</v>
      </c>
      <c r="Q51" s="4709">
        <f>SUM(E51:N51)</f>
        <v>57218400</v>
      </c>
      <c r="R51" s="4710">
        <f>Q51/Q50</f>
        <v>1.9886765303888141</v>
      </c>
    </row>
    <row r="52" spans="2:18" ht="21" thickBot="1">
      <c r="B52" s="4673"/>
      <c r="C52" s="4722">
        <v>100</v>
      </c>
      <c r="D52" s="4716" t="s">
        <v>2025</v>
      </c>
      <c r="E52" s="4717">
        <f t="shared" ref="E52:N52" si="11">E45*$C$52</f>
        <v>0</v>
      </c>
      <c r="F52" s="4717">
        <f t="shared" si="11"/>
        <v>0</v>
      </c>
      <c r="G52" s="4717">
        <f t="shared" si="11"/>
        <v>0</v>
      </c>
      <c r="H52" s="4717">
        <f t="shared" si="11"/>
        <v>0</v>
      </c>
      <c r="I52" s="4717">
        <f t="shared" si="11"/>
        <v>0</v>
      </c>
      <c r="J52" s="4717">
        <f t="shared" si="11"/>
        <v>0</v>
      </c>
      <c r="K52" s="4717">
        <f t="shared" si="11"/>
        <v>0</v>
      </c>
      <c r="L52" s="4717">
        <f t="shared" si="11"/>
        <v>0</v>
      </c>
      <c r="M52" s="4717">
        <f t="shared" si="11"/>
        <v>0</v>
      </c>
      <c r="N52" s="4717">
        <f t="shared" si="11"/>
        <v>0</v>
      </c>
      <c r="O52" s="5071">
        <f t="shared" si="3"/>
        <v>0</v>
      </c>
      <c r="P52" s="4719">
        <f>AVERAGE(E52:N52)</f>
        <v>0</v>
      </c>
      <c r="Q52" s="4720">
        <f>SUM(E52:N52)</f>
        <v>0</v>
      </c>
      <c r="R52" s="4721">
        <f>Q52/Q51</f>
        <v>0</v>
      </c>
    </row>
    <row r="53" spans="2:18">
      <c r="O53" s="5072"/>
    </row>
    <row r="54" spans="2:18">
      <c r="O54" s="5072"/>
      <c r="P54" s="22"/>
    </row>
    <row r="55" spans="2:18" ht="20.399999999999999">
      <c r="B55" s="4673"/>
      <c r="C55" s="4674"/>
      <c r="D55" s="4705" t="s">
        <v>1838</v>
      </c>
      <c r="E55" s="4723">
        <f>(SUM(E6:E7)/SUM(E4:E5))-1</f>
        <v>3.5609640638900375E-2</v>
      </c>
      <c r="F55" s="4723">
        <f>(SUM(F6:F7)/SUM(F4:F5))-1</f>
        <v>-9.3706379206700108E-2</v>
      </c>
      <c r="G55" s="4723">
        <f>(SUM(G6:G7)/SUM(G4:G5))-1</f>
        <v>-0.25138049323939826</v>
      </c>
      <c r="H55" s="4723">
        <f>(SUM(H6:H7)/SUM(H4:H5))-1</f>
        <v>-2.0960546029632043E-2</v>
      </c>
      <c r="I55" s="4723">
        <f>(SUM(I6:I7)/SUM(I4:I5))-1</f>
        <v>5.881787261610727E-2</v>
      </c>
      <c r="J55" s="4723"/>
      <c r="K55" s="4723">
        <f>(SUM(K6:K7)/SUM(K4:K5))-1</f>
        <v>-5.7530306282692845E-2</v>
      </c>
      <c r="L55" s="4723">
        <f>(SUM(L6:L7)/SUM(L4:L5))-1</f>
        <v>7.8909315618723941E-2</v>
      </c>
      <c r="M55" s="4723"/>
      <c r="N55" s="4723"/>
      <c r="O55" s="5057"/>
      <c r="P55" s="4674"/>
      <c r="Q55" s="4674"/>
      <c r="R55" s="4674"/>
    </row>
    <row r="56" spans="2:18" ht="20.399999999999999">
      <c r="B56" s="4673"/>
      <c r="C56" s="4674"/>
      <c r="D56" s="4711" t="s">
        <v>1839</v>
      </c>
      <c r="E56" s="4724">
        <f>IF(E8=0,"",(SUM(E8:E11)/SUM(E6:E7))-1)</f>
        <v>0.3152436044953737</v>
      </c>
      <c r="F56" s="4724" t="str">
        <f>IF(F8=0,"",(SUM(F8:F11)/SUM(F6:F7))-1)</f>
        <v/>
      </c>
      <c r="G56" s="4724" t="str">
        <f>IF(G8=0,"",(SUM(G8:G11)/SUM(G6:G7))-1)</f>
        <v/>
      </c>
      <c r="H56" s="4724" t="str">
        <f>IF(H8=0,"",(SUM(H8:H11)/SUM(H6:H7))-1)</f>
        <v/>
      </c>
      <c r="I56" s="4724">
        <f>IF(I8=0,"",(SUM(I8:I11)/SUM(I6:I7))-1)</f>
        <v>-0.98437836106636334</v>
      </c>
      <c r="J56" s="4724" t="str">
        <f>IF(J6=0,"",(SUM(J8:J11)/SUM(J6:J7))-1)</f>
        <v/>
      </c>
      <c r="K56" s="4724">
        <f>IF(K8=0,"",(SUM(K8:K11)/SUM(K6:K7))-1)</f>
        <v>-0.34270605347681793</v>
      </c>
      <c r="L56" s="4724">
        <f>IF(L8=0,"",(SUM(L8:L11)/SUM(L6:L7))-1)</f>
        <v>-0.66441287287591155</v>
      </c>
      <c r="M56" s="4724" t="str">
        <f>IF(M8=0,"",(SUM(M8:M11)/SUM(M6:M7))-1)</f>
        <v/>
      </c>
      <c r="N56" s="4724" t="str">
        <f>IF(N8=0,"",(SUM(N8:N11)/SUM(N6:N7))-1)</f>
        <v/>
      </c>
      <c r="O56" s="5057"/>
      <c r="P56" s="4674"/>
      <c r="Q56" s="4674"/>
      <c r="R56" s="4674"/>
    </row>
    <row r="57" spans="2:18" ht="20.399999999999999">
      <c r="B57" s="4673"/>
      <c r="C57" s="4674"/>
      <c r="D57" s="4692" t="s">
        <v>1840</v>
      </c>
      <c r="E57" s="4725">
        <f t="shared" ref="E57:N57" si="12">IF(E8=0,"",(SUM(E12:E14)/SUM(E8:E11))-1)</f>
        <v>-0.77779442253993747</v>
      </c>
      <c r="F57" s="4725" t="str">
        <f t="shared" si="12"/>
        <v/>
      </c>
      <c r="G57" s="4725" t="str">
        <f t="shared" si="12"/>
        <v/>
      </c>
      <c r="H57" s="4725" t="str">
        <f t="shared" si="12"/>
        <v/>
      </c>
      <c r="I57" s="4725">
        <f t="shared" si="12"/>
        <v>57.970012239902083</v>
      </c>
      <c r="J57" s="4725">
        <f t="shared" si="12"/>
        <v>0.81406175121517088</v>
      </c>
      <c r="K57" s="4725">
        <f t="shared" si="12"/>
        <v>0.65881237233732137</v>
      </c>
      <c r="L57" s="4725">
        <f t="shared" si="12"/>
        <v>0.83754800170672739</v>
      </c>
      <c r="M57" s="4725" t="str">
        <f t="shared" si="12"/>
        <v/>
      </c>
      <c r="N57" s="4725" t="str">
        <f t="shared" si="12"/>
        <v/>
      </c>
      <c r="O57" s="5057"/>
      <c r="P57" s="4674"/>
      <c r="Q57" s="4674"/>
      <c r="R57" s="4674"/>
    </row>
    <row r="58" spans="2:18" ht="20.399999999999999">
      <c r="B58" s="4673"/>
      <c r="C58" s="4674"/>
      <c r="D58" s="4716" t="s">
        <v>1841</v>
      </c>
      <c r="E58" s="4726"/>
      <c r="F58" s="4726"/>
      <c r="G58" s="4726"/>
      <c r="H58" s="4726"/>
      <c r="I58" s="4726"/>
      <c r="J58" s="4726"/>
      <c r="K58" s="4726"/>
      <c r="L58" s="4726"/>
      <c r="M58" s="4726"/>
      <c r="N58" s="4726"/>
      <c r="O58" s="5057"/>
      <c r="P58" s="4674"/>
      <c r="Q58" s="4674"/>
      <c r="R58" s="4674"/>
    </row>
  </sheetData>
  <mergeCells count="1">
    <mergeCell ref="B1:R1"/>
  </mergeCells>
  <phoneticPr fontId="11" type="noConversion"/>
  <conditionalFormatting sqref="E23:O23">
    <cfRule type="colorScale" priority="16">
      <colorScale>
        <cfvo type="min"/>
        <cfvo type="percentile" val="50"/>
        <cfvo type="max"/>
        <color rgb="FFF8696B"/>
        <color rgb="FFFFEB84"/>
        <color rgb="FF63BE7B"/>
      </colorScale>
    </cfRule>
  </conditionalFormatting>
  <conditionalFormatting sqref="E24:O24">
    <cfRule type="colorScale" priority="15">
      <colorScale>
        <cfvo type="min"/>
        <cfvo type="percentile" val="50"/>
        <cfvo type="max"/>
        <color rgb="FFF8696B"/>
        <color rgb="FFFFEB84"/>
        <color rgb="FF63BE7B"/>
      </colorScale>
    </cfRule>
  </conditionalFormatting>
  <conditionalFormatting sqref="E25:O25">
    <cfRule type="colorScale" priority="14">
      <colorScale>
        <cfvo type="min"/>
        <cfvo type="percentile" val="50"/>
        <cfvo type="max"/>
        <color rgb="FFF8696B"/>
        <color rgb="FFFFEB84"/>
        <color rgb="FF63BE7B"/>
      </colorScale>
    </cfRule>
  </conditionalFormatting>
  <conditionalFormatting sqref="E27:O27">
    <cfRule type="colorScale" priority="13">
      <colorScale>
        <cfvo type="min"/>
        <cfvo type="percentile" val="50"/>
        <cfvo type="max"/>
        <color rgb="FFF8696B"/>
        <color rgb="FFFFEB84"/>
        <color rgb="FF63BE7B"/>
      </colorScale>
    </cfRule>
  </conditionalFormatting>
  <conditionalFormatting sqref="E28:O28">
    <cfRule type="colorScale" priority="12">
      <colorScale>
        <cfvo type="min"/>
        <cfvo type="percentile" val="50"/>
        <cfvo type="max"/>
        <color rgb="FFF8696B"/>
        <color rgb="FFFFEB84"/>
        <color rgb="FF63BE7B"/>
      </colorScale>
    </cfRule>
  </conditionalFormatting>
  <conditionalFormatting sqref="E29:O29">
    <cfRule type="colorScale" priority="11">
      <colorScale>
        <cfvo type="min"/>
        <cfvo type="percentile" val="50"/>
        <cfvo type="max"/>
        <color rgb="FFF8696B"/>
        <color rgb="FFFFEB84"/>
        <color rgb="FF63BE7B"/>
      </colorScale>
    </cfRule>
  </conditionalFormatting>
  <conditionalFormatting sqref="E31:O31">
    <cfRule type="colorScale" priority="10">
      <colorScale>
        <cfvo type="min"/>
        <cfvo type="percentile" val="50"/>
        <cfvo type="max"/>
        <color rgb="FFF8696B"/>
        <color rgb="FFFFEB84"/>
        <color rgb="FF63BE7B"/>
      </colorScale>
    </cfRule>
  </conditionalFormatting>
  <conditionalFormatting sqref="E32:O32">
    <cfRule type="colorScale" priority="9">
      <colorScale>
        <cfvo type="min"/>
        <cfvo type="percentile" val="50"/>
        <cfvo type="max"/>
        <color rgb="FFF8696B"/>
        <color rgb="FFFFEB84"/>
        <color rgb="FF63BE7B"/>
      </colorScale>
    </cfRule>
  </conditionalFormatting>
  <conditionalFormatting sqref="E33:O33">
    <cfRule type="colorScale" priority="8">
      <colorScale>
        <cfvo type="min"/>
        <cfvo type="percentile" val="50"/>
        <cfvo type="max"/>
        <color rgb="FFF8696B"/>
        <color rgb="FFFFEB84"/>
        <color rgb="FF63BE7B"/>
      </colorScale>
    </cfRule>
  </conditionalFormatting>
  <conditionalFormatting sqref="E35:O35">
    <cfRule type="colorScale" priority="7">
      <colorScale>
        <cfvo type="min"/>
        <cfvo type="percentile" val="50"/>
        <cfvo type="max"/>
        <color rgb="FFF8696B"/>
        <color rgb="FFFFEB84"/>
        <color rgb="FF63BE7B"/>
      </colorScale>
    </cfRule>
  </conditionalFormatting>
  <conditionalFormatting sqref="E36:O36">
    <cfRule type="colorScale" priority="6">
      <colorScale>
        <cfvo type="min"/>
        <cfvo type="percentile" val="50"/>
        <cfvo type="max"/>
        <color rgb="FFF8696B"/>
        <color rgb="FFFFEB84"/>
        <color rgb="FF63BE7B"/>
      </colorScale>
    </cfRule>
  </conditionalFormatting>
  <conditionalFormatting sqref="E37:O37">
    <cfRule type="colorScale" priority="5">
      <colorScale>
        <cfvo type="min"/>
        <cfvo type="percentile" val="50"/>
        <cfvo type="max"/>
        <color rgb="FFF8696B"/>
        <color rgb="FFFFEB84"/>
        <color rgb="FF63BE7B"/>
      </colorScale>
    </cfRule>
  </conditionalFormatting>
  <conditionalFormatting sqref="Q23:Q25">
    <cfRule type="colorScale" priority="4">
      <colorScale>
        <cfvo type="min"/>
        <cfvo type="percentile" val="50"/>
        <cfvo type="max"/>
        <color rgb="FFF8696B"/>
        <color rgb="FFFFEB84"/>
        <color rgb="FF63BE7B"/>
      </colorScale>
    </cfRule>
  </conditionalFormatting>
  <conditionalFormatting sqref="Q27:Q29">
    <cfRule type="colorScale" priority="3">
      <colorScale>
        <cfvo type="min"/>
        <cfvo type="percentile" val="50"/>
        <cfvo type="max"/>
        <color rgb="FFF8696B"/>
        <color rgb="FFFFEB84"/>
        <color rgb="FF63BE7B"/>
      </colorScale>
    </cfRule>
  </conditionalFormatting>
  <conditionalFormatting sqref="Q31:Q33">
    <cfRule type="colorScale" priority="2">
      <colorScale>
        <cfvo type="min"/>
        <cfvo type="percentile" val="50"/>
        <cfvo type="max"/>
        <color rgb="FFF8696B"/>
        <color rgb="FFFFEB84"/>
        <color rgb="FF63BE7B"/>
      </colorScale>
    </cfRule>
  </conditionalFormatting>
  <conditionalFormatting sqref="Q35:Q37">
    <cfRule type="colorScale" priority="1">
      <colorScale>
        <cfvo type="min"/>
        <cfvo type="percentile" val="50"/>
        <cfvo type="max"/>
        <color rgb="FFF8696B"/>
        <color rgb="FFFFEB84"/>
        <color rgb="FF63BE7B"/>
      </colorScale>
    </cfRule>
  </conditionalFormatting>
  <pageMargins left="0.15748031496062992" right="0.15748031496062992" top="0.51181102362204722" bottom="0.43307086614173229" header="0.31496062992125984" footer="0.31496062992125984"/>
  <pageSetup paperSize="9" scale="71" fitToHeight="2" orientation="landscape" verticalDpi="597" r:id="rId1"/>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0AF5F-CCA3-4AF2-BF21-D15B59C8C14C}">
  <sheetPr>
    <tabColor rgb="FF7030A0"/>
    <pageSetUpPr fitToPage="1"/>
  </sheetPr>
  <dimension ref="A1:AD21"/>
  <sheetViews>
    <sheetView zoomScale="90" zoomScaleNormal="90" workbookViewId="0">
      <selection sqref="A1:XFD3"/>
    </sheetView>
  </sheetViews>
  <sheetFormatPr baseColWidth="10" defaultRowHeight="14.4"/>
  <cols>
    <col min="2" max="2" width="21.88671875" customWidth="1"/>
    <col min="3" max="3" width="2.6640625" customWidth="1"/>
    <col min="4" max="5" width="11.5546875" customWidth="1"/>
    <col min="6" max="9" width="12" customWidth="1"/>
    <col min="10" max="10" width="13" bestFit="1" customWidth="1"/>
    <col min="11" max="16" width="13" customWidth="1"/>
    <col min="17" max="17" width="6.5546875" customWidth="1"/>
    <col min="18" max="18" width="21" customWidth="1"/>
    <col min="19" max="19" width="2" bestFit="1" customWidth="1"/>
    <col min="20" max="20" width="11.5546875" customWidth="1"/>
    <col min="21" max="25" width="11.88671875" customWidth="1"/>
    <col min="26" max="28" width="19.88671875" customWidth="1"/>
    <col min="29" max="29" width="11.88671875" customWidth="1"/>
    <col min="30" max="30" width="13" customWidth="1"/>
  </cols>
  <sheetData>
    <row r="1" spans="1:30">
      <c r="B1" s="4727" t="s">
        <v>1842</v>
      </c>
      <c r="C1" s="4728"/>
      <c r="D1" s="4729"/>
      <c r="E1" s="4729"/>
      <c r="F1" s="4729"/>
      <c r="G1" s="4729"/>
      <c r="H1" s="4729"/>
      <c r="I1" s="4729"/>
      <c r="J1" s="4729"/>
      <c r="K1" s="4729"/>
      <c r="L1" s="4729"/>
      <c r="M1" s="4729"/>
      <c r="N1" s="4729"/>
      <c r="O1" s="4729"/>
      <c r="P1" s="4730"/>
      <c r="Q1" s="45"/>
      <c r="R1" s="4731" t="s">
        <v>1843</v>
      </c>
      <c r="S1" s="4732"/>
      <c r="T1" s="4733"/>
      <c r="U1" s="4733"/>
      <c r="V1" s="4733"/>
      <c r="W1" s="4729"/>
      <c r="X1" s="4729"/>
      <c r="Y1" s="4729"/>
      <c r="Z1" s="4729"/>
      <c r="AA1" s="4729"/>
      <c r="AB1" s="4729"/>
      <c r="AC1" s="4730"/>
      <c r="AD1" s="45"/>
    </row>
    <row r="2" spans="1:30">
      <c r="B2" s="4734"/>
      <c r="C2" s="4735"/>
      <c r="D2" s="45"/>
      <c r="E2" s="45"/>
      <c r="F2" s="45"/>
      <c r="G2" s="45"/>
      <c r="H2" s="45"/>
      <c r="I2" s="45"/>
      <c r="J2" s="45"/>
      <c r="K2" s="45"/>
      <c r="L2" s="45"/>
      <c r="M2" s="45"/>
      <c r="N2" s="45"/>
      <c r="O2" s="45"/>
      <c r="P2" s="4736"/>
      <c r="Q2" s="45"/>
      <c r="R2" s="4737"/>
      <c r="S2" s="4738"/>
      <c r="T2" s="4739"/>
      <c r="U2" s="4739"/>
      <c r="V2" s="4739"/>
      <c r="W2" s="45"/>
      <c r="X2" s="45"/>
      <c r="Y2" s="45"/>
      <c r="Z2" s="45"/>
      <c r="AA2" s="45"/>
      <c r="AB2" s="45"/>
      <c r="AC2" s="4736"/>
      <c r="AD2" s="45"/>
    </row>
    <row r="3" spans="1:30" ht="28.8">
      <c r="A3" s="21"/>
      <c r="B3" s="4740"/>
      <c r="C3" s="4741"/>
      <c r="D3" s="4742">
        <v>2014</v>
      </c>
      <c r="E3" s="4742">
        <v>2015</v>
      </c>
      <c r="F3" s="4742">
        <v>2016</v>
      </c>
      <c r="G3" s="4742">
        <v>2017</v>
      </c>
      <c r="H3" s="4742" t="s">
        <v>1844</v>
      </c>
      <c r="I3" s="4742">
        <v>2019</v>
      </c>
      <c r="J3" s="4742" t="s">
        <v>1845</v>
      </c>
      <c r="K3" s="5566" t="s">
        <v>1441</v>
      </c>
      <c r="L3" s="5566"/>
      <c r="M3" s="5567" t="s">
        <v>1625</v>
      </c>
      <c r="N3" s="5567"/>
      <c r="O3" s="4742"/>
      <c r="P3" s="4743"/>
      <c r="Q3" s="2219"/>
      <c r="R3" s="4744"/>
      <c r="S3" s="2219"/>
      <c r="T3" s="4742">
        <v>2015</v>
      </c>
      <c r="U3" s="4742">
        <v>2016</v>
      </c>
      <c r="V3" s="4742">
        <v>2017</v>
      </c>
      <c r="W3" s="4742">
        <v>2018</v>
      </c>
      <c r="X3" s="4742">
        <v>2019</v>
      </c>
      <c r="Y3" s="4742" t="s">
        <v>1845</v>
      </c>
      <c r="Z3" s="4745" t="s">
        <v>1441</v>
      </c>
      <c r="AA3" s="4746" t="s">
        <v>1625</v>
      </c>
      <c r="AB3" s="4742"/>
      <c r="AC3" s="4743"/>
      <c r="AD3" s="2219"/>
    </row>
    <row r="4" spans="1:30" ht="28.8">
      <c r="A4" s="2975"/>
      <c r="B4" s="4747"/>
      <c r="C4" s="2975"/>
      <c r="D4" s="2975"/>
      <c r="E4" s="4742" t="s">
        <v>1846</v>
      </c>
      <c r="F4" s="4742" t="s">
        <v>1847</v>
      </c>
      <c r="G4" s="4748" t="s">
        <v>1848</v>
      </c>
      <c r="H4" s="4748" t="s">
        <v>1849</v>
      </c>
      <c r="I4" s="4742" t="s">
        <v>1850</v>
      </c>
      <c r="J4" s="4742" t="s">
        <v>1851</v>
      </c>
      <c r="K4" s="5566" t="s">
        <v>1852</v>
      </c>
      <c r="L4" s="5566"/>
      <c r="M4" s="5568"/>
      <c r="N4" s="5568"/>
      <c r="O4" s="4742"/>
      <c r="P4" s="4743"/>
      <c r="Q4" s="2975"/>
      <c r="R4" s="4747" t="s">
        <v>1853</v>
      </c>
      <c r="S4" s="2213"/>
      <c r="T4" s="4742" t="s">
        <v>1846</v>
      </c>
      <c r="U4" s="4742" t="s">
        <v>1847</v>
      </c>
      <c r="V4" s="4742" t="s">
        <v>1854</v>
      </c>
      <c r="W4" s="4748" t="s">
        <v>1849</v>
      </c>
      <c r="X4" s="4742" t="s">
        <v>1850</v>
      </c>
      <c r="Y4" s="4742" t="s">
        <v>1851</v>
      </c>
      <c r="Z4" s="4745" t="s">
        <v>1852</v>
      </c>
      <c r="AA4" s="4749"/>
      <c r="AB4" s="4742"/>
      <c r="AC4" s="4743"/>
      <c r="AD4" s="2975"/>
    </row>
    <row r="5" spans="1:30">
      <c r="A5" s="2975"/>
      <c r="B5" s="4747"/>
      <c r="C5" s="2975"/>
      <c r="D5" s="2975"/>
      <c r="E5" s="4742"/>
      <c r="F5" s="4742"/>
      <c r="G5" s="4748"/>
      <c r="H5" s="4748"/>
      <c r="I5" s="4742"/>
      <c r="J5" s="4742"/>
      <c r="K5" s="4745" t="s">
        <v>1855</v>
      </c>
      <c r="L5" s="4745" t="s">
        <v>1856</v>
      </c>
      <c r="M5" s="4746" t="s">
        <v>1855</v>
      </c>
      <c r="N5" s="4746" t="s">
        <v>1856</v>
      </c>
      <c r="O5" s="4742"/>
      <c r="P5" s="4743"/>
      <c r="Q5" s="2975"/>
      <c r="R5" s="4747"/>
      <c r="S5" s="2213"/>
      <c r="T5" s="4742"/>
      <c r="U5" s="4742"/>
      <c r="V5" s="4742"/>
      <c r="W5" s="4748"/>
      <c r="X5" s="4742"/>
      <c r="Y5" s="4742"/>
      <c r="Z5" s="4745"/>
      <c r="AA5" s="4746"/>
      <c r="AB5" s="4742"/>
      <c r="AC5" s="4743"/>
      <c r="AD5" s="2975"/>
    </row>
    <row r="6" spans="1:30">
      <c r="B6" s="4750" t="s">
        <v>1857</v>
      </c>
      <c r="C6" s="4751"/>
      <c r="D6" s="4752"/>
      <c r="E6" s="4752"/>
      <c r="F6" s="4752">
        <v>6766</v>
      </c>
      <c r="G6" s="4752">
        <v>5443</v>
      </c>
      <c r="H6" s="4752">
        <v>7575</v>
      </c>
      <c r="I6" s="4752">
        <v>6964</v>
      </c>
      <c r="J6" s="4752">
        <f>I6*AG12+I6</f>
        <v>6964</v>
      </c>
      <c r="K6" s="4753">
        <f>719+411+557+1264</f>
        <v>2951</v>
      </c>
      <c r="L6" s="4753">
        <f>683+733+821+655</f>
        <v>2892</v>
      </c>
      <c r="M6" s="4754"/>
      <c r="N6" s="4754"/>
      <c r="O6" s="4755"/>
      <c r="P6" s="4756"/>
      <c r="R6" s="4750" t="s">
        <v>1858</v>
      </c>
      <c r="S6" s="4757"/>
      <c r="T6" s="4758">
        <f>22763+17017+15300+15232</f>
        <v>70312</v>
      </c>
      <c r="U6" s="4758">
        <f>24599+17221+15980+16218</f>
        <v>74018</v>
      </c>
      <c r="V6" s="4758">
        <f>23544+18054+16848+17424</f>
        <v>75870</v>
      </c>
      <c r="W6" s="4759">
        <f>24192+18018+17226+17532</f>
        <v>76968</v>
      </c>
      <c r="X6" s="4759">
        <f>21600+19700+17300+19162</f>
        <v>77762</v>
      </c>
      <c r="Y6" s="4759"/>
      <c r="Z6" s="4760">
        <f>5620+5350+5320+5260</f>
        <v>21550</v>
      </c>
      <c r="AA6" s="4761"/>
      <c r="AB6" s="4762"/>
      <c r="AC6" s="4763"/>
    </row>
    <row r="7" spans="1:30">
      <c r="B7" s="44"/>
      <c r="K7" s="4764"/>
      <c r="L7" s="4764"/>
      <c r="M7" s="4765"/>
      <c r="N7" s="4765"/>
      <c r="P7" s="4766"/>
      <c r="R7" s="4750" t="s">
        <v>1859</v>
      </c>
      <c r="S7" s="4757"/>
      <c r="T7" s="4758">
        <f>8800+7560+7480+7800</f>
        <v>31640</v>
      </c>
      <c r="U7" s="4758">
        <f>9580+8380+8280+8460</f>
        <v>34700</v>
      </c>
      <c r="V7" s="4758">
        <f>10760+8820+8360+9060</f>
        <v>37000</v>
      </c>
      <c r="W7" s="4759">
        <f>11240+8520+9280+8940</f>
        <v>37980</v>
      </c>
      <c r="X7" s="4759">
        <f>12400+10300+9800+9660</f>
        <v>42160</v>
      </c>
      <c r="Y7" s="4759"/>
      <c r="Z7" s="4760">
        <f>2510+2540+2580+2060</f>
        <v>9690</v>
      </c>
      <c r="AA7" s="4761"/>
      <c r="AB7" s="4762"/>
      <c r="AC7" s="4763"/>
    </row>
    <row r="8" spans="1:30">
      <c r="B8" s="44"/>
      <c r="D8" s="4755"/>
      <c r="E8" s="4755"/>
      <c r="F8" s="4755"/>
      <c r="K8" s="4764"/>
      <c r="L8" s="4764"/>
      <c r="M8" s="4765"/>
      <c r="N8" s="4765"/>
      <c r="P8" s="4766"/>
      <c r="R8" s="4767" t="s">
        <v>32</v>
      </c>
      <c r="S8" s="2977"/>
      <c r="T8" s="4768">
        <f>T6+T7</f>
        <v>101952</v>
      </c>
      <c r="U8" s="4768">
        <f>U6+U7</f>
        <v>108718</v>
      </c>
      <c r="V8" s="4768">
        <f>V6+V7</f>
        <v>112870</v>
      </c>
      <c r="W8" s="4768">
        <f>W6+W7</f>
        <v>114948</v>
      </c>
      <c r="X8" s="4768">
        <f>X6+X7</f>
        <v>119922</v>
      </c>
      <c r="Y8" s="4768">
        <f>X8*AG12+X8</f>
        <v>119922</v>
      </c>
      <c r="Z8" s="4769">
        <f>Z6+Z7</f>
        <v>31240</v>
      </c>
      <c r="AA8" s="4770">
        <f>AA6+AA7</f>
        <v>0</v>
      </c>
      <c r="AB8" s="4771"/>
      <c r="AC8" s="4772"/>
      <c r="AD8" s="4773"/>
    </row>
    <row r="9" spans="1:30">
      <c r="B9" s="4774"/>
      <c r="C9" s="4775"/>
      <c r="D9" s="4755"/>
      <c r="E9" s="4776" t="e">
        <f>E6/D6-1</f>
        <v>#DIV/0!</v>
      </c>
      <c r="F9" s="4776"/>
      <c r="G9" s="4776">
        <f>G6/F6-1</f>
        <v>-0.19553650605971029</v>
      </c>
      <c r="H9" s="4776">
        <f>H6/G6-1</f>
        <v>0.39169575601690254</v>
      </c>
      <c r="I9" s="4776">
        <f>I6/H6-1</f>
        <v>-8.0660066006600695E-2</v>
      </c>
      <c r="J9" s="4776">
        <f>J6/I6-1</f>
        <v>0</v>
      </c>
      <c r="K9" s="5569">
        <f>(K6+L6)/J6-1</f>
        <v>-0.1609707064905227</v>
      </c>
      <c r="L9" s="5569"/>
      <c r="M9" s="5570">
        <f>(M6+N6)/L6-1</f>
        <v>-1</v>
      </c>
      <c r="N9" s="5570"/>
      <c r="O9" s="4777"/>
      <c r="P9" s="303"/>
      <c r="R9" s="4767"/>
      <c r="S9" s="2977"/>
      <c r="T9" s="4768"/>
      <c r="U9" s="4778">
        <f t="shared" ref="U9:AA9" si="0">U8/T8-1</f>
        <v>6.6364563716258651E-2</v>
      </c>
      <c r="V9" s="4778">
        <f t="shared" si="0"/>
        <v>3.8190548023326443E-2</v>
      </c>
      <c r="W9" s="4778">
        <f t="shared" si="0"/>
        <v>1.8410560822184729E-2</v>
      </c>
      <c r="X9" s="4778">
        <f t="shared" si="0"/>
        <v>4.327174026516345E-2</v>
      </c>
      <c r="Y9" s="4778">
        <f t="shared" si="0"/>
        <v>0</v>
      </c>
      <c r="Z9" s="4779">
        <f t="shared" si="0"/>
        <v>-0.73949733993762612</v>
      </c>
      <c r="AA9" s="4780">
        <f t="shared" si="0"/>
        <v>-1</v>
      </c>
      <c r="AB9" s="4781"/>
      <c r="AC9" s="4782"/>
    </row>
    <row r="10" spans="1:30">
      <c r="B10" s="4783"/>
      <c r="C10" s="4784"/>
      <c r="D10" s="4785"/>
      <c r="E10" s="4786"/>
      <c r="F10" s="4786"/>
      <c r="G10" s="4787">
        <f>G6-F6</f>
        <v>-1323</v>
      </c>
      <c r="H10" s="4787">
        <f>H6-G6</f>
        <v>2132</v>
      </c>
      <c r="I10" s="4787">
        <f>I6-H6</f>
        <v>-611</v>
      </c>
      <c r="J10" s="4788">
        <f>J6-I6</f>
        <v>0</v>
      </c>
      <c r="K10" s="5571">
        <f>(K6+L6)-J6</f>
        <v>-1121</v>
      </c>
      <c r="L10" s="5571"/>
      <c r="M10" s="5572">
        <f>(M6+N6)-L6</f>
        <v>-2892</v>
      </c>
      <c r="N10" s="5572"/>
      <c r="O10" s="4789"/>
      <c r="P10" s="4790"/>
      <c r="Q10" s="4791"/>
      <c r="R10" s="4792"/>
      <c r="S10" s="4793"/>
      <c r="T10" s="4788"/>
      <c r="U10" s="4786"/>
      <c r="V10" s="4794">
        <f t="shared" ref="V10:AA10" si="1">V8-U8</f>
        <v>4152</v>
      </c>
      <c r="W10" s="4794">
        <f t="shared" si="1"/>
        <v>2078</v>
      </c>
      <c r="X10" s="4794">
        <f t="shared" si="1"/>
        <v>4974</v>
      </c>
      <c r="Y10" s="4794">
        <f t="shared" si="1"/>
        <v>0</v>
      </c>
      <c r="Z10" s="4795">
        <f t="shared" si="1"/>
        <v>-88682</v>
      </c>
      <c r="AA10" s="4796">
        <f t="shared" si="1"/>
        <v>-31240</v>
      </c>
      <c r="AB10" s="4797"/>
      <c r="AC10" s="4798"/>
      <c r="AD10" s="4791"/>
    </row>
    <row r="11" spans="1:30" ht="40.799999999999997" customHeight="1">
      <c r="B11" s="44"/>
      <c r="F11" s="4799" t="s">
        <v>1860</v>
      </c>
      <c r="G11" s="4799" t="s">
        <v>1861</v>
      </c>
      <c r="H11" s="4799" t="s">
        <v>1862</v>
      </c>
      <c r="I11" s="4799" t="s">
        <v>1863</v>
      </c>
      <c r="J11" s="4799" t="s">
        <v>873</v>
      </c>
      <c r="K11" s="5573" t="s">
        <v>1864</v>
      </c>
      <c r="L11" s="5573"/>
      <c r="M11" s="5574"/>
      <c r="N11" s="5574"/>
      <c r="O11" s="4800"/>
      <c r="P11" s="4801"/>
      <c r="R11" s="44"/>
      <c r="S11" s="2977"/>
      <c r="T11" s="5563" t="s">
        <v>1865</v>
      </c>
      <c r="U11" s="5563"/>
      <c r="V11" s="5563"/>
      <c r="W11" s="5563"/>
      <c r="X11" s="5563"/>
      <c r="Y11" s="1146" t="s">
        <v>873</v>
      </c>
      <c r="Z11" s="4802" t="s">
        <v>1866</v>
      </c>
      <c r="AA11" s="4803" t="s">
        <v>1866</v>
      </c>
      <c r="AB11" s="4804"/>
      <c r="AC11" s="4805"/>
      <c r="AD11" s="1146"/>
    </row>
    <row r="12" spans="1:30">
      <c r="B12" s="44"/>
      <c r="K12" s="4764"/>
      <c r="L12" s="4764"/>
      <c r="M12" s="4765"/>
      <c r="N12" s="4765"/>
      <c r="P12" s="4766"/>
      <c r="R12" s="44"/>
      <c r="S12" s="2977"/>
      <c r="Z12" s="4764"/>
      <c r="AA12" s="4765"/>
      <c r="AC12" s="4766"/>
    </row>
    <row r="13" spans="1:30">
      <c r="B13" s="4806" t="s">
        <v>1867</v>
      </c>
      <c r="C13" s="4807">
        <v>4</v>
      </c>
      <c r="D13" s="4755">
        <f t="shared" ref="D13:J13" si="2">D6/$C$13</f>
        <v>0</v>
      </c>
      <c r="E13" s="4755">
        <f t="shared" si="2"/>
        <v>0</v>
      </c>
      <c r="F13" s="4755">
        <f t="shared" si="2"/>
        <v>1691.5</v>
      </c>
      <c r="G13" s="4755">
        <f t="shared" si="2"/>
        <v>1360.75</v>
      </c>
      <c r="H13" s="4755">
        <f t="shared" si="2"/>
        <v>1893.75</v>
      </c>
      <c r="I13" s="4755">
        <f t="shared" si="2"/>
        <v>1741</v>
      </c>
      <c r="J13" s="4755">
        <f t="shared" si="2"/>
        <v>1741</v>
      </c>
      <c r="K13" s="5564">
        <f>(K6+L6)/$C$13</f>
        <v>1460.75</v>
      </c>
      <c r="L13" s="5564"/>
      <c r="M13" s="5565">
        <f>(M6+N6)/$C$13</f>
        <v>0</v>
      </c>
      <c r="N13" s="5565"/>
      <c r="O13" s="4808"/>
      <c r="P13" s="4809"/>
      <c r="R13" s="4806" t="s">
        <v>1867</v>
      </c>
      <c r="S13" s="4810">
        <v>4</v>
      </c>
      <c r="T13" s="4811">
        <f>(T6+T7)/S13</f>
        <v>25488</v>
      </c>
      <c r="U13" s="4811">
        <f t="shared" ref="U13:AA13" si="3">(U6+U7)/$S$13</f>
        <v>27179.5</v>
      </c>
      <c r="V13" s="4811">
        <f t="shared" si="3"/>
        <v>28217.5</v>
      </c>
      <c r="W13" s="4811">
        <f t="shared" si="3"/>
        <v>28737</v>
      </c>
      <c r="X13" s="4811">
        <f t="shared" si="3"/>
        <v>29980.5</v>
      </c>
      <c r="Y13" s="4811">
        <f t="shared" si="3"/>
        <v>0</v>
      </c>
      <c r="Z13" s="4811">
        <f t="shared" si="3"/>
        <v>7810</v>
      </c>
      <c r="AA13" s="4812">
        <f t="shared" si="3"/>
        <v>0</v>
      </c>
      <c r="AB13" s="4811"/>
      <c r="AC13" s="4813"/>
    </row>
    <row r="14" spans="1:30">
      <c r="B14" s="4774"/>
      <c r="C14" s="4775"/>
      <c r="D14" s="4755"/>
      <c r="E14" s="4755"/>
      <c r="F14" s="4755"/>
      <c r="G14" s="4755"/>
      <c r="H14" s="4755"/>
      <c r="I14" s="4755"/>
      <c r="J14" s="4755"/>
      <c r="K14" s="4755"/>
      <c r="L14" s="4755"/>
      <c r="M14" s="4755"/>
      <c r="N14" s="4755"/>
      <c r="O14" s="4755"/>
      <c r="P14" s="4809"/>
      <c r="R14" s="4774"/>
      <c r="S14" s="4814"/>
      <c r="T14" s="4815"/>
      <c r="U14" s="4815"/>
      <c r="V14" s="4815"/>
      <c r="W14" s="4815"/>
      <c r="X14" s="4815"/>
      <c r="Y14" s="4815"/>
      <c r="Z14" s="4811"/>
      <c r="AA14" s="4812"/>
      <c r="AB14" s="4811"/>
      <c r="AC14" s="4816"/>
    </row>
    <row r="15" spans="1:30">
      <c r="B15" s="4774"/>
      <c r="C15" s="4775"/>
      <c r="D15" s="4755"/>
      <c r="E15" s="4755"/>
      <c r="F15" s="4755"/>
      <c r="G15" s="4755"/>
      <c r="H15" s="4755"/>
      <c r="I15" s="4755"/>
      <c r="J15" s="4755"/>
      <c r="K15" s="4755"/>
      <c r="L15" s="4755"/>
      <c r="M15" s="4755"/>
      <c r="N15" s="4755"/>
      <c r="O15" s="4755"/>
      <c r="P15" s="4809"/>
      <c r="R15" s="4817" t="s">
        <v>1825</v>
      </c>
      <c r="S15" s="4818"/>
      <c r="T15" s="4812"/>
      <c r="U15" s="4812"/>
      <c r="V15" s="4812"/>
      <c r="W15" s="4812"/>
      <c r="X15" s="4812"/>
      <c r="Y15" s="4819">
        <v>40000</v>
      </c>
      <c r="Z15" s="4812"/>
      <c r="AA15" s="4812"/>
      <c r="AB15" s="4812"/>
      <c r="AC15" s="4820"/>
    </row>
    <row r="16" spans="1:30">
      <c r="B16" s="4774"/>
      <c r="C16" s="4775"/>
      <c r="D16" s="4755"/>
      <c r="E16" s="4755"/>
      <c r="F16" s="4755"/>
      <c r="G16" s="4755"/>
      <c r="H16" s="4755"/>
      <c r="I16" s="4755"/>
      <c r="J16" s="4755"/>
      <c r="K16" s="4755"/>
      <c r="L16" s="4755"/>
      <c r="M16" s="4755"/>
      <c r="N16" s="4755"/>
      <c r="O16" s="4755"/>
      <c r="P16" s="4809"/>
      <c r="R16" s="4821"/>
      <c r="S16" s="4818"/>
      <c r="T16" s="4812"/>
      <c r="U16" s="4812"/>
      <c r="V16" s="4812"/>
      <c r="W16" s="4812"/>
      <c r="X16" s="4812"/>
      <c r="Y16" s="4822" t="s">
        <v>1868</v>
      </c>
      <c r="Z16" s="4812"/>
      <c r="AA16" s="4812"/>
      <c r="AB16" s="4812"/>
      <c r="AC16" s="4820"/>
    </row>
    <row r="17" spans="2:30" ht="15" thickBot="1">
      <c r="B17" s="4823"/>
      <c r="C17" s="4824"/>
      <c r="D17" s="4824"/>
      <c r="E17" s="4824"/>
      <c r="F17" s="4824"/>
      <c r="G17" s="4824"/>
      <c r="H17" s="4824"/>
      <c r="I17" s="4824"/>
      <c r="J17" s="4824"/>
      <c r="K17" s="4824"/>
      <c r="L17" s="4824"/>
      <c r="M17" s="4824"/>
      <c r="N17" s="4824"/>
      <c r="O17" s="4824"/>
      <c r="P17" s="4825"/>
      <c r="R17" s="4823"/>
      <c r="S17" s="4826"/>
      <c r="T17" s="4824"/>
      <c r="U17" s="4824"/>
      <c r="V17" s="4824"/>
      <c r="W17" s="4824"/>
      <c r="X17" s="4824"/>
      <c r="Y17" s="2981"/>
      <c r="Z17" s="4824"/>
      <c r="AA17" s="4824"/>
      <c r="AB17" s="4824"/>
      <c r="AC17" s="4825"/>
    </row>
    <row r="18" spans="2:30">
      <c r="S18" s="2977"/>
    </row>
    <row r="19" spans="2:30">
      <c r="S19" s="2977"/>
    </row>
    <row r="20" spans="2:30">
      <c r="S20" s="2977"/>
      <c r="Z20" s="21"/>
      <c r="AA20" s="21"/>
      <c r="AB20" s="21"/>
      <c r="AC20" s="21"/>
      <c r="AD20" s="4827"/>
    </row>
    <row r="21" spans="2:30">
      <c r="S21" s="2977"/>
      <c r="AD21" s="229"/>
    </row>
  </sheetData>
  <mergeCells count="13">
    <mergeCell ref="T11:X11"/>
    <mergeCell ref="K13:L13"/>
    <mergeCell ref="M13:N13"/>
    <mergeCell ref="K3:L3"/>
    <mergeCell ref="M3:N3"/>
    <mergeCell ref="K4:L4"/>
    <mergeCell ref="M4:N4"/>
    <mergeCell ref="K9:L9"/>
    <mergeCell ref="M9:N9"/>
    <mergeCell ref="K10:L10"/>
    <mergeCell ref="M10:N10"/>
    <mergeCell ref="K11:L11"/>
    <mergeCell ref="M11:N11"/>
  </mergeCells>
  <pageMargins left="0.70866141732283472" right="0.70866141732283472" top="0.74803149606299213" bottom="0.74803149606299213" header="0.31496062992125984" footer="0.31496062992125984"/>
  <pageSetup paperSize="9" scale="59" orientation="landscape" verticalDpi="597" r:id="rId1"/>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EFE31D-2815-43A9-8A47-2C0C8D2A2137}">
  <sheetPr>
    <tabColor rgb="FF7030A0"/>
    <pageSetUpPr fitToPage="1"/>
  </sheetPr>
  <dimension ref="B1:AB16"/>
  <sheetViews>
    <sheetView workbookViewId="0">
      <selection sqref="A1:XFD3"/>
    </sheetView>
  </sheetViews>
  <sheetFormatPr baseColWidth="10" defaultRowHeight="14.4"/>
  <cols>
    <col min="2" max="2" width="18.44140625" customWidth="1"/>
    <col min="3" max="6" width="11.5546875" customWidth="1"/>
    <col min="7" max="7" width="11" customWidth="1"/>
    <col min="8" max="8" width="21.109375" customWidth="1"/>
    <col min="9" max="9" width="10.6640625" customWidth="1"/>
    <col min="10" max="15" width="9.77734375" customWidth="1"/>
    <col min="16" max="16" width="14.21875" customWidth="1"/>
    <col min="17" max="17" width="18.5546875" customWidth="1"/>
    <col min="18" max="18" width="3.33203125" customWidth="1"/>
    <col min="19" max="22" width="12.88671875" customWidth="1"/>
    <col min="23" max="23" width="21.88671875" customWidth="1"/>
    <col min="24" max="24" width="12.109375" bestFit="1" customWidth="1"/>
    <col min="25" max="26" width="11.44140625" customWidth="1"/>
    <col min="27" max="27" width="12.109375" bestFit="1" customWidth="1"/>
    <col min="28" max="28" width="11.44140625" customWidth="1"/>
  </cols>
  <sheetData>
    <row r="1" spans="2:28" s="45" customFormat="1">
      <c r="B1" s="4727" t="s">
        <v>1869</v>
      </c>
      <c r="C1" s="4729"/>
      <c r="D1" s="4729"/>
      <c r="E1" s="4729"/>
      <c r="F1" s="4729"/>
      <c r="G1" s="4729"/>
      <c r="H1" s="4729"/>
      <c r="I1" s="4729"/>
      <c r="J1" s="4729"/>
      <c r="K1" s="4729"/>
      <c r="L1" s="4729"/>
      <c r="M1" s="4729"/>
      <c r="N1" s="4729"/>
      <c r="O1" s="4730"/>
      <c r="Q1" s="4731" t="s">
        <v>1870</v>
      </c>
      <c r="R1" s="4733"/>
      <c r="S1" s="4733"/>
      <c r="T1" s="4733"/>
      <c r="U1" s="4733"/>
      <c r="V1" s="4729"/>
      <c r="W1" s="4729"/>
      <c r="X1" s="4729"/>
      <c r="Y1" s="4729"/>
      <c r="Z1" s="4729"/>
      <c r="AA1" s="4729"/>
      <c r="AB1" s="4730"/>
    </row>
    <row r="2" spans="2:28">
      <c r="B2" s="44"/>
      <c r="O2" s="4766"/>
      <c r="Q2" s="44"/>
      <c r="AB2" s="4766"/>
    </row>
    <row r="3" spans="2:28" s="2977" customFormat="1" ht="16.2">
      <c r="B3" s="4828"/>
      <c r="C3" s="4814">
        <v>2014</v>
      </c>
      <c r="D3" s="4814">
        <v>2015</v>
      </c>
      <c r="E3" s="4814">
        <v>2016</v>
      </c>
      <c r="F3" s="4814" t="s">
        <v>1871</v>
      </c>
      <c r="G3" s="4814">
        <v>2018</v>
      </c>
      <c r="H3" s="4814">
        <v>2019</v>
      </c>
      <c r="I3" s="4814">
        <v>2020</v>
      </c>
      <c r="J3" s="5581">
        <v>2021</v>
      </c>
      <c r="K3" s="5581"/>
      <c r="L3" s="5582">
        <v>2022</v>
      </c>
      <c r="M3" s="5582"/>
      <c r="N3" s="4814"/>
      <c r="O3" s="4829"/>
      <c r="Q3" s="315"/>
      <c r="S3" s="4814">
        <v>2015</v>
      </c>
      <c r="T3" s="4814">
        <v>2016</v>
      </c>
      <c r="U3" s="4814">
        <v>2017</v>
      </c>
      <c r="V3" s="4814">
        <v>2018</v>
      </c>
      <c r="W3" s="4814">
        <v>2019</v>
      </c>
      <c r="X3" s="4814">
        <v>2020</v>
      </c>
      <c r="Y3" s="4810">
        <v>2021</v>
      </c>
      <c r="Z3" s="4818">
        <v>2022</v>
      </c>
      <c r="AA3" s="4814"/>
      <c r="AB3" s="4829"/>
    </row>
    <row r="4" spans="2:28" s="4833" customFormat="1" ht="10.199999999999999">
      <c r="B4" s="4830"/>
      <c r="C4" s="4831"/>
      <c r="D4" s="4831"/>
      <c r="E4" s="4831"/>
      <c r="F4" s="4831"/>
      <c r="G4" s="4831" t="s">
        <v>1872</v>
      </c>
      <c r="H4" s="4831" t="s">
        <v>1873</v>
      </c>
      <c r="I4" s="4831" t="s">
        <v>1874</v>
      </c>
      <c r="J4" s="5583" t="s">
        <v>1875</v>
      </c>
      <c r="K4" s="5583"/>
      <c r="L4" s="5584"/>
      <c r="M4" s="5584"/>
      <c r="N4" s="4831"/>
      <c r="O4" s="4832"/>
      <c r="Q4" s="4834"/>
      <c r="S4" s="4831" t="s">
        <v>1876</v>
      </c>
      <c r="T4" s="4831" t="s">
        <v>1877</v>
      </c>
      <c r="U4" s="4831" t="s">
        <v>1878</v>
      </c>
      <c r="V4" s="4831" t="s">
        <v>1879</v>
      </c>
      <c r="W4" s="4831" t="s">
        <v>1880</v>
      </c>
      <c r="X4" s="4831" t="s">
        <v>1874</v>
      </c>
      <c r="Y4" s="4835" t="s">
        <v>1875</v>
      </c>
      <c r="Z4" s="4836"/>
      <c r="AA4" s="4831"/>
      <c r="AB4" s="4832"/>
    </row>
    <row r="5" spans="2:28" s="4833" customFormat="1" ht="10.199999999999999">
      <c r="B5" s="4830"/>
      <c r="C5" s="4831"/>
      <c r="D5" s="4831"/>
      <c r="E5" s="4831"/>
      <c r="F5" s="4831"/>
      <c r="G5" s="4831"/>
      <c r="H5" s="4831"/>
      <c r="I5" s="4831"/>
      <c r="J5" s="4837" t="s">
        <v>1881</v>
      </c>
      <c r="K5" s="4837" t="s">
        <v>1882</v>
      </c>
      <c r="L5" s="4838" t="s">
        <v>1881</v>
      </c>
      <c r="M5" s="4838" t="s">
        <v>1882</v>
      </c>
      <c r="N5" s="4831"/>
      <c r="O5" s="4832"/>
      <c r="Q5" s="4834"/>
      <c r="S5" s="4831"/>
      <c r="T5" s="4831"/>
      <c r="U5" s="4831"/>
      <c r="V5" s="4831"/>
      <c r="W5" s="4831"/>
      <c r="X5" s="4831"/>
      <c r="Y5" s="4835"/>
      <c r="Z5" s="4838"/>
      <c r="AA5" s="4831"/>
      <c r="AB5" s="4832"/>
    </row>
    <row r="6" spans="2:28" ht="30" customHeight="1">
      <c r="B6" s="4839" t="s">
        <v>1883</v>
      </c>
      <c r="C6" s="4840">
        <v>5125</v>
      </c>
      <c r="D6" s="4840">
        <v>5927</v>
      </c>
      <c r="E6" s="4840">
        <v>5260</v>
      </c>
      <c r="F6" s="4840">
        <v>5100</v>
      </c>
      <c r="G6" s="4840">
        <v>4967</v>
      </c>
      <c r="H6" s="4840">
        <v>5622</v>
      </c>
      <c r="I6" s="4840"/>
      <c r="J6" s="4841">
        <f>-431+431+728+395+394</f>
        <v>1517</v>
      </c>
      <c r="K6" s="4841">
        <f>-423+423+628+511+653</f>
        <v>1792</v>
      </c>
      <c r="L6" s="4842"/>
      <c r="M6" s="4842"/>
      <c r="N6" s="4840"/>
      <c r="O6" s="4843"/>
      <c r="Q6" s="4750" t="s">
        <v>1858</v>
      </c>
      <c r="R6" s="4751"/>
      <c r="S6" s="4758">
        <f>20300+17400+16100</f>
        <v>53800</v>
      </c>
      <c r="T6" s="4758">
        <f>21100+18300+17600</f>
        <v>57000</v>
      </c>
      <c r="U6" s="4758">
        <f>22500+19000+18900</f>
        <v>60400</v>
      </c>
      <c r="V6" s="4759">
        <f>22400+20400+19800</f>
        <v>62600</v>
      </c>
      <c r="W6" s="4759">
        <f>19504+16224+16400</f>
        <v>52128</v>
      </c>
      <c r="X6" s="4759"/>
      <c r="Y6" s="4760">
        <f>-3516+3516+3036+2778+2988</f>
        <v>8802</v>
      </c>
      <c r="Z6" s="4761"/>
      <c r="AA6" s="4759"/>
      <c r="AB6" s="4763"/>
    </row>
    <row r="7" spans="2:28" s="21" customFormat="1">
      <c r="B7" s="4844"/>
      <c r="I7" s="4799"/>
      <c r="J7" s="4845"/>
      <c r="K7" s="4845"/>
      <c r="L7" s="4846"/>
      <c r="M7" s="4846"/>
      <c r="N7" s="4799"/>
      <c r="O7" s="4801"/>
      <c r="Q7" s="4839" t="s">
        <v>1859</v>
      </c>
      <c r="R7" s="4847"/>
      <c r="S7" s="4848">
        <f>9920+8300+7900</f>
        <v>26120</v>
      </c>
      <c r="T7" s="4848">
        <f>10180+8440+8520</f>
        <v>27140</v>
      </c>
      <c r="U7" s="4848">
        <f>11240+8980+9180</f>
        <v>29400</v>
      </c>
      <c r="V7" s="4849">
        <f>11160+9960+9460</f>
        <v>30580</v>
      </c>
      <c r="W7" s="4849">
        <f>11860+9720+9620</f>
        <v>31200</v>
      </c>
      <c r="X7" s="4849"/>
      <c r="Y7" s="4850">
        <f>-1770+1770+1530+1440+1590</f>
        <v>4560</v>
      </c>
      <c r="Z7" s="4851"/>
      <c r="AA7" s="4849"/>
      <c r="AB7" s="4852"/>
    </row>
    <row r="8" spans="2:28" ht="20.399999999999999">
      <c r="B8" s="44"/>
      <c r="F8" s="5585" t="s">
        <v>1884</v>
      </c>
      <c r="G8" s="5585"/>
      <c r="H8" s="4799" t="s">
        <v>1885</v>
      </c>
      <c r="J8" s="4853"/>
      <c r="K8" s="4853"/>
      <c r="L8" s="4765"/>
      <c r="M8" s="4765"/>
      <c r="O8" s="4766"/>
      <c r="Q8" s="4767" t="s">
        <v>32</v>
      </c>
      <c r="R8" s="4854"/>
      <c r="S8" s="4768">
        <f>S6+S7</f>
        <v>79920</v>
      </c>
      <c r="T8" s="4768">
        <f>T6+T7</f>
        <v>84140</v>
      </c>
      <c r="U8" s="4768">
        <f>U6+U7</f>
        <v>89800</v>
      </c>
      <c r="V8" s="4768">
        <f>V6+V7</f>
        <v>93180</v>
      </c>
      <c r="W8" s="4768">
        <f>W6+W7</f>
        <v>83328</v>
      </c>
      <c r="X8" s="4768"/>
      <c r="Y8" s="4768">
        <f>Y6+Y7</f>
        <v>13362</v>
      </c>
      <c r="Z8" s="4770">
        <f>Z6+Z7</f>
        <v>0</v>
      </c>
      <c r="AA8" s="4768"/>
      <c r="AB8" s="4772"/>
    </row>
    <row r="9" spans="2:28">
      <c r="B9" s="44"/>
      <c r="D9" s="4776">
        <f>D6/C6-1</f>
        <v>0.1564878048780487</v>
      </c>
      <c r="E9" s="4776">
        <f>E6/D6-1</f>
        <v>-0.11253585287666612</v>
      </c>
      <c r="F9" s="4776">
        <f>F6/E6-1</f>
        <v>-3.041825095057038E-2</v>
      </c>
      <c r="G9" s="4776">
        <f>G6/F6-1</f>
        <v>-2.607843137254906E-2</v>
      </c>
      <c r="H9" s="4776">
        <f>H6/G6-1</f>
        <v>0.13187034427219646</v>
      </c>
      <c r="I9" s="4776"/>
      <c r="J9" s="4853"/>
      <c r="K9" s="4855"/>
      <c r="L9" s="4765"/>
      <c r="M9" s="4856"/>
      <c r="N9" s="4776"/>
      <c r="O9" s="303"/>
      <c r="Q9" s="4767"/>
      <c r="R9" s="4854"/>
      <c r="S9" s="4768"/>
      <c r="T9" s="4857">
        <f>T8/S8-1</f>
        <v>5.2802802802802695E-2</v>
      </c>
      <c r="U9" s="4857">
        <f>U8/T8-1</f>
        <v>6.7268837651533131E-2</v>
      </c>
      <c r="V9" s="4857">
        <f>V8/U8-1</f>
        <v>3.7639198218262893E-2</v>
      </c>
      <c r="W9" s="4857">
        <f>W8/V8-1</f>
        <v>-0.10573084352865425</v>
      </c>
      <c r="X9" s="4857"/>
      <c r="Y9" s="4857"/>
      <c r="Z9" s="4858"/>
      <c r="AA9" s="4857"/>
      <c r="AB9" s="4859"/>
    </row>
    <row r="10" spans="2:28" ht="42">
      <c r="B10" s="44"/>
      <c r="C10" s="4755"/>
      <c r="D10" s="4755"/>
      <c r="E10" s="4755"/>
      <c r="J10" s="5575" t="s">
        <v>1886</v>
      </c>
      <c r="K10" s="5575"/>
      <c r="L10" s="4765"/>
      <c r="M10" s="4765"/>
      <c r="O10" s="4766"/>
      <c r="Q10" s="44"/>
      <c r="S10" s="5576" t="s">
        <v>1887</v>
      </c>
      <c r="T10" s="5576"/>
      <c r="U10" s="5576"/>
      <c r="V10" s="5576"/>
      <c r="W10" s="4860" t="s">
        <v>1888</v>
      </c>
      <c r="X10" s="4860"/>
      <c r="Y10" s="4861"/>
      <c r="Z10" s="4862"/>
      <c r="AA10" s="4860"/>
      <c r="AB10" s="4863"/>
    </row>
    <row r="11" spans="2:28">
      <c r="B11" s="44"/>
      <c r="C11" s="4755"/>
      <c r="D11" s="4755"/>
      <c r="E11" s="4755"/>
      <c r="J11" s="4853"/>
      <c r="K11" s="4853"/>
      <c r="L11" s="4765"/>
      <c r="M11" s="4765"/>
      <c r="O11" s="4766"/>
      <c r="Q11" s="44"/>
      <c r="S11" s="4864"/>
      <c r="T11" s="4864"/>
      <c r="U11" s="4864"/>
      <c r="V11" s="4864"/>
      <c r="W11" s="4860"/>
      <c r="X11" s="4860"/>
      <c r="Y11" s="4861"/>
      <c r="Z11" s="4862"/>
      <c r="AA11" s="4860"/>
      <c r="AB11" s="4863"/>
    </row>
    <row r="12" spans="2:28">
      <c r="B12" s="44"/>
      <c r="C12" s="4755"/>
      <c r="D12" s="4755"/>
      <c r="E12" s="4755"/>
      <c r="J12" s="4853"/>
      <c r="K12" s="4853"/>
      <c r="L12" s="4765"/>
      <c r="M12" s="4765"/>
      <c r="O12" s="4766"/>
      <c r="Q12" s="4865" t="s">
        <v>1889</v>
      </c>
      <c r="S12" s="4864"/>
      <c r="T12" s="4864"/>
      <c r="U12" s="4864"/>
      <c r="V12" s="4864"/>
      <c r="W12" s="4849">
        <f>24372</f>
        <v>24372</v>
      </c>
      <c r="X12" s="4860"/>
      <c r="Y12" s="4860"/>
      <c r="Z12" s="4860"/>
      <c r="AA12" s="4860"/>
      <c r="AB12" s="4863"/>
    </row>
    <row r="13" spans="2:28">
      <c r="B13" s="4774"/>
      <c r="C13" s="4755"/>
      <c r="D13" s="4755"/>
      <c r="E13" s="4755"/>
      <c r="F13" s="4755"/>
      <c r="J13" s="4853"/>
      <c r="K13" s="4853"/>
      <c r="L13" s="4765"/>
      <c r="M13" s="4765"/>
      <c r="O13" s="4766"/>
      <c r="Q13" s="44"/>
      <c r="AB13" s="4766"/>
    </row>
    <row r="14" spans="2:28" ht="28.8">
      <c r="B14" s="4866" t="s">
        <v>1890</v>
      </c>
      <c r="C14" s="4811">
        <v>1708</v>
      </c>
      <c r="D14" s="4811">
        <v>1976</v>
      </c>
      <c r="E14" s="4811">
        <v>1753</v>
      </c>
      <c r="F14" s="4811">
        <v>1700</v>
      </c>
      <c r="G14" s="4811">
        <f>G6/3</f>
        <v>1655.6666666666667</v>
      </c>
      <c r="H14" s="4811">
        <f>H6/3</f>
        <v>1874</v>
      </c>
      <c r="I14" s="4811"/>
      <c r="J14" s="4867">
        <f>J6/3</f>
        <v>505.66666666666669</v>
      </c>
      <c r="K14" s="4867">
        <f>K6/3</f>
        <v>597.33333333333337</v>
      </c>
      <c r="L14" s="4812">
        <f>L6/3</f>
        <v>0</v>
      </c>
      <c r="M14" s="4812">
        <f>M6/3</f>
        <v>0</v>
      </c>
      <c r="N14" s="4811"/>
      <c r="O14" s="4813"/>
      <c r="Q14" s="4866" t="s">
        <v>1890</v>
      </c>
      <c r="R14" s="4807">
        <v>3</v>
      </c>
      <c r="S14" s="4811">
        <f>(S6+S7)/$R$14</f>
        <v>26640</v>
      </c>
      <c r="T14" s="4811">
        <f>(T6+T7)/$R$14</f>
        <v>28046.666666666668</v>
      </c>
      <c r="U14" s="4811">
        <f>(U6+U7)/$R$14</f>
        <v>29933.333333333332</v>
      </c>
      <c r="V14" s="4811">
        <f>(V6+V7)/$R$14</f>
        <v>31060</v>
      </c>
      <c r="W14" s="4811">
        <f>(W6+W7)/$R$14</f>
        <v>27776</v>
      </c>
      <c r="X14" s="4811"/>
      <c r="Y14" s="4811">
        <f>(Y6+Y7)/$R$14</f>
        <v>4454</v>
      </c>
      <c r="Z14" s="4812">
        <f>(Z6+Z7)/$R$14</f>
        <v>0</v>
      </c>
      <c r="AA14" s="4811"/>
      <c r="AB14" s="4813"/>
    </row>
    <row r="15" spans="2:28">
      <c r="B15" s="4866"/>
      <c r="C15" s="4811"/>
      <c r="D15" s="4811"/>
      <c r="E15" s="4811"/>
      <c r="F15" s="4811"/>
      <c r="G15" s="4811"/>
      <c r="H15" s="4811"/>
      <c r="I15" s="4811"/>
      <c r="J15" s="5577">
        <f>SUM(J14:K14)</f>
        <v>1103</v>
      </c>
      <c r="K15" s="5578"/>
      <c r="L15" s="5579">
        <f>SUM(L14:M14)</f>
        <v>0</v>
      </c>
      <c r="M15" s="5580"/>
      <c r="N15" s="4811"/>
      <c r="O15" s="4813"/>
      <c r="Q15" s="4806"/>
      <c r="R15" s="4807"/>
      <c r="S15" s="4811"/>
      <c r="T15" s="4811"/>
      <c r="U15" s="4811"/>
      <c r="V15" s="4811"/>
      <c r="W15" s="4811"/>
      <c r="X15" s="4811"/>
      <c r="Y15" s="4811"/>
      <c r="Z15" s="4812"/>
      <c r="AA15" s="4811"/>
      <c r="AB15" s="4813"/>
    </row>
    <row r="16" spans="2:28" ht="15" thickBot="1">
      <c r="B16" s="4823"/>
      <c r="C16" s="4824"/>
      <c r="D16" s="4824"/>
      <c r="E16" s="4824"/>
      <c r="F16" s="4824"/>
      <c r="G16" s="4824"/>
      <c r="H16" s="4824"/>
      <c r="I16" s="4824"/>
      <c r="J16" s="4824"/>
      <c r="K16" s="4824"/>
      <c r="L16" s="4824"/>
      <c r="M16" s="4824"/>
      <c r="N16" s="4824"/>
      <c r="O16" s="4825"/>
      <c r="Q16" s="4823"/>
      <c r="R16" s="4868"/>
      <c r="S16" s="4824"/>
      <c r="T16" s="4824"/>
      <c r="U16" s="4824"/>
      <c r="V16" s="4824"/>
      <c r="W16" s="4824"/>
      <c r="X16" s="4824"/>
      <c r="Y16" s="4824"/>
      <c r="Z16" s="4824"/>
      <c r="AA16" s="4824"/>
      <c r="AB16" s="4825"/>
    </row>
  </sheetData>
  <mergeCells count="9">
    <mergeCell ref="F8:G8"/>
    <mergeCell ref="J10:K10"/>
    <mergeCell ref="S10:V10"/>
    <mergeCell ref="J15:K15"/>
    <mergeCell ref="L15:M15"/>
    <mergeCell ref="J3:K3"/>
    <mergeCell ref="L3:M3"/>
    <mergeCell ref="J4:K4"/>
    <mergeCell ref="L4:M4"/>
  </mergeCells>
  <pageMargins left="0.70866141732283472" right="0.70866141732283472" top="0.74803149606299213" bottom="0.74803149606299213" header="0.31496062992125984" footer="0.31496062992125984"/>
  <pageSetup paperSize="9" scale="77" orientation="landscape" verticalDpi="597" r:id="rId1"/>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8E3D82-D0EA-47B3-BA5F-01EB8C198114}">
  <sheetPr>
    <tabColor rgb="FF7030A0"/>
    <pageSetUpPr fitToPage="1"/>
  </sheetPr>
  <dimension ref="B1:AC14"/>
  <sheetViews>
    <sheetView topLeftCell="I1" workbookViewId="0">
      <selection sqref="A1:XFD3"/>
    </sheetView>
  </sheetViews>
  <sheetFormatPr baseColWidth="10" defaultRowHeight="14.4"/>
  <cols>
    <col min="2" max="2" width="27.88671875" customWidth="1"/>
    <col min="3" max="3" width="3.44140625" customWidth="1"/>
    <col min="4" max="6" width="11.5546875" hidden="1" customWidth="1"/>
    <col min="7" max="8" width="14.109375" hidden="1" customWidth="1"/>
    <col min="9" max="9" width="14.109375" customWidth="1"/>
    <col min="10" max="10" width="6.44140625" bestFit="1" customWidth="1"/>
    <col min="11" max="12" width="9.6640625" customWidth="1"/>
    <col min="13" max="14" width="9.33203125" customWidth="1"/>
    <col min="15" max="15" width="6.44140625" customWidth="1"/>
    <col min="16" max="16" width="9.6640625" customWidth="1"/>
    <col min="17" max="17" width="5.6640625" customWidth="1"/>
    <col min="18" max="18" width="22.6640625" customWidth="1"/>
    <col min="19" max="19" width="2" bestFit="1" customWidth="1"/>
    <col min="20" max="23" width="14.5546875" hidden="1" customWidth="1"/>
    <col min="24" max="25" width="14.5546875" customWidth="1"/>
    <col min="26" max="26" width="16.88671875" customWidth="1"/>
    <col min="27" max="29" width="14.5546875" customWidth="1"/>
  </cols>
  <sheetData>
    <row r="1" spans="2:29" s="45" customFormat="1">
      <c r="B1" s="4727" t="s">
        <v>1891</v>
      </c>
      <c r="C1" s="4728"/>
      <c r="D1" s="4729"/>
      <c r="E1" s="4729"/>
      <c r="F1" s="4729"/>
      <c r="G1" s="4729"/>
      <c r="H1" s="4729"/>
      <c r="I1" s="4729"/>
      <c r="J1" s="4729"/>
      <c r="K1" s="4729"/>
      <c r="L1" s="4729"/>
      <c r="M1" s="4729"/>
      <c r="N1" s="4729"/>
      <c r="O1" s="4729"/>
      <c r="P1" s="4730"/>
      <c r="R1" s="4731" t="s">
        <v>1892</v>
      </c>
      <c r="S1" s="4733"/>
      <c r="T1" s="4729"/>
      <c r="U1" s="4729"/>
      <c r="V1" s="4729"/>
      <c r="W1" s="4729"/>
      <c r="X1" s="4729"/>
      <c r="Y1" s="4729"/>
      <c r="Z1" s="4729"/>
      <c r="AA1" s="4729"/>
      <c r="AB1" s="4729"/>
      <c r="AC1" s="4730"/>
    </row>
    <row r="2" spans="2:29">
      <c r="B2" s="44"/>
      <c r="P2" s="4766"/>
      <c r="R2" s="44"/>
      <c r="AC2" s="4766"/>
    </row>
    <row r="3" spans="2:29" s="2977" customFormat="1">
      <c r="B3" s="4828"/>
      <c r="C3" s="4869"/>
      <c r="D3" s="4814">
        <v>2014</v>
      </c>
      <c r="E3" s="4814">
        <v>2015</v>
      </c>
      <c r="F3" s="4814">
        <v>2016</v>
      </c>
      <c r="G3" s="4814">
        <v>2017</v>
      </c>
      <c r="H3" s="4814">
        <v>2018</v>
      </c>
      <c r="I3" s="4814" t="s">
        <v>875</v>
      </c>
      <c r="J3" s="4814">
        <v>2020</v>
      </c>
      <c r="K3" s="5587">
        <v>2021</v>
      </c>
      <c r="L3" s="5587"/>
      <c r="M3" s="5582">
        <v>2022</v>
      </c>
      <c r="N3" s="5582"/>
      <c r="O3" s="4814"/>
      <c r="P3" s="4829"/>
      <c r="R3" s="315"/>
      <c r="T3" s="4814">
        <v>2015</v>
      </c>
      <c r="U3" s="4814">
        <v>2016</v>
      </c>
      <c r="V3" s="4814">
        <v>2017</v>
      </c>
      <c r="W3" s="4814">
        <v>2018</v>
      </c>
      <c r="X3" s="4814">
        <v>2019</v>
      </c>
      <c r="Y3" s="4814">
        <v>2020</v>
      </c>
      <c r="Z3" s="4810">
        <v>2021</v>
      </c>
      <c r="AA3" s="4818">
        <v>2022</v>
      </c>
      <c r="AB3" s="4814"/>
      <c r="AC3" s="4829"/>
    </row>
    <row r="4" spans="2:29" s="4833" customFormat="1" ht="10.199999999999999">
      <c r="B4" s="4830"/>
      <c r="C4" s="4870"/>
      <c r="D4" s="4831"/>
      <c r="E4" s="4831"/>
      <c r="F4" s="4831" t="s">
        <v>1893</v>
      </c>
      <c r="G4" s="4831" t="s">
        <v>1894</v>
      </c>
      <c r="H4" s="4831" t="s">
        <v>1894</v>
      </c>
      <c r="I4" s="4831" t="s">
        <v>1895</v>
      </c>
      <c r="J4" s="4831" t="s">
        <v>1896</v>
      </c>
      <c r="K4" s="5588" t="s">
        <v>1897</v>
      </c>
      <c r="L4" s="5588"/>
      <c r="M4" s="5584"/>
      <c r="N4" s="5584"/>
      <c r="O4" s="4831"/>
      <c r="P4" s="4832"/>
      <c r="R4" s="4834"/>
      <c r="T4" s="4831" t="s">
        <v>1898</v>
      </c>
      <c r="U4" s="4831" t="s">
        <v>1893</v>
      </c>
      <c r="V4" s="4831" t="s">
        <v>1899</v>
      </c>
      <c r="W4" s="4831" t="s">
        <v>1900</v>
      </c>
      <c r="X4" s="4831" t="s">
        <v>1901</v>
      </c>
      <c r="Y4" s="4831" t="s">
        <v>1896</v>
      </c>
      <c r="Z4" s="4835" t="s">
        <v>1902</v>
      </c>
      <c r="AA4" s="4836"/>
      <c r="AB4" s="4831"/>
      <c r="AC4" s="4832"/>
    </row>
    <row r="5" spans="2:29" s="4833" customFormat="1" ht="10.199999999999999">
      <c r="B5" s="4830"/>
      <c r="C5" s="4870"/>
      <c r="D5" s="4831"/>
      <c r="E5" s="4831"/>
      <c r="F5" s="4831"/>
      <c r="G5" s="4831"/>
      <c r="H5" s="4831"/>
      <c r="I5" s="4831"/>
      <c r="J5" s="4831"/>
      <c r="K5" s="4835" t="s">
        <v>1882</v>
      </c>
      <c r="L5" s="4835" t="s">
        <v>1856</v>
      </c>
      <c r="M5" s="4838" t="s">
        <v>1882</v>
      </c>
      <c r="N5" s="4838" t="s">
        <v>1856</v>
      </c>
      <c r="O5" s="4831"/>
      <c r="P5" s="4832"/>
      <c r="R5" s="4834"/>
      <c r="T5" s="4831"/>
      <c r="U5" s="4831"/>
      <c r="V5" s="4831"/>
      <c r="W5" s="4831"/>
      <c r="X5" s="4831"/>
      <c r="Y5" s="4831"/>
      <c r="Z5" s="4835"/>
      <c r="AA5" s="4838"/>
      <c r="AB5" s="4831"/>
      <c r="AC5" s="4832"/>
    </row>
    <row r="6" spans="2:29">
      <c r="B6" s="4750" t="s">
        <v>1857</v>
      </c>
      <c r="C6" s="4751"/>
      <c r="D6" s="4752"/>
      <c r="E6" s="4752"/>
      <c r="F6" s="4759">
        <f>1584+1498</f>
        <v>3082</v>
      </c>
      <c r="G6" s="4759">
        <f>4754+1367</f>
        <v>6121</v>
      </c>
      <c r="H6" s="4759">
        <f>4576+1591</f>
        <v>6167</v>
      </c>
      <c r="I6" s="4759">
        <f>H6*1.03</f>
        <v>6352.01</v>
      </c>
      <c r="J6" s="4759"/>
      <c r="K6" s="4760">
        <f>1136+387+662</f>
        <v>2185</v>
      </c>
      <c r="L6" s="4760">
        <f>1075+1205+1166</f>
        <v>3446</v>
      </c>
      <c r="M6" s="4761"/>
      <c r="N6" s="4761"/>
      <c r="O6" s="4759"/>
      <c r="P6" s="4763"/>
      <c r="R6" s="4750" t="s">
        <v>1858</v>
      </c>
      <c r="S6" s="4751"/>
      <c r="T6" s="4759">
        <f>17400+16900</f>
        <v>34300</v>
      </c>
      <c r="U6" s="317">
        <f>18500+17600</f>
        <v>36100</v>
      </c>
      <c r="V6" s="317">
        <f>18560+17500+18200</f>
        <v>54260</v>
      </c>
      <c r="W6" s="317">
        <f>21200+19600+18300+19900</f>
        <v>79000</v>
      </c>
      <c r="X6" s="317">
        <f>11240+13089+10410+12672</f>
        <v>47411</v>
      </c>
      <c r="Y6" s="317"/>
      <c r="Z6" s="4871">
        <f>6550+5000</f>
        <v>11550</v>
      </c>
      <c r="AA6" s="4872"/>
      <c r="AB6" s="4873"/>
      <c r="AC6" s="4874"/>
    </row>
    <row r="7" spans="2:29">
      <c r="B7" s="44"/>
      <c r="F7" s="317"/>
      <c r="G7" s="317"/>
      <c r="H7" s="317"/>
      <c r="I7" s="317"/>
      <c r="J7" s="317"/>
      <c r="K7" s="4871"/>
      <c r="L7" s="4871"/>
      <c r="M7" s="4872"/>
      <c r="N7" s="4872"/>
      <c r="O7" s="317"/>
      <c r="P7" s="4874"/>
      <c r="R7" s="4750" t="s">
        <v>1859</v>
      </c>
      <c r="S7" s="4751"/>
      <c r="T7" s="4759">
        <f>7980+8220</f>
        <v>16200</v>
      </c>
      <c r="U7" s="317">
        <f>9120+8670</f>
        <v>17790</v>
      </c>
      <c r="V7" s="317">
        <f>9280+8720+9060</f>
        <v>27060</v>
      </c>
      <c r="W7" s="317">
        <f>10260+9680+9720+9940</f>
        <v>39600</v>
      </c>
      <c r="X7" s="317">
        <f>10680+9660+9600+9700</f>
        <v>39640</v>
      </c>
      <c r="Y7" s="317"/>
      <c r="Z7" s="4871">
        <f>10050+6400</f>
        <v>16450</v>
      </c>
      <c r="AA7" s="4872"/>
      <c r="AB7" s="4873"/>
      <c r="AC7" s="4874"/>
    </row>
    <row r="8" spans="2:29" ht="30.6">
      <c r="B8" s="44"/>
      <c r="F8" s="4875" t="s">
        <v>1903</v>
      </c>
      <c r="G8" s="4875" t="s">
        <v>1904</v>
      </c>
      <c r="H8" s="4875" t="s">
        <v>1905</v>
      </c>
      <c r="I8" s="4875"/>
      <c r="J8" s="4875"/>
      <c r="K8" s="4876"/>
      <c r="L8" s="4876"/>
      <c r="M8" s="4877"/>
      <c r="N8" s="4877"/>
      <c r="O8" s="4875"/>
      <c r="P8" s="4878"/>
      <c r="R8" s="4767"/>
      <c r="S8" s="4854"/>
      <c r="T8" s="4768">
        <f t="shared" ref="T8:AA8" si="0">SUM(T6:T7)</f>
        <v>50500</v>
      </c>
      <c r="U8" s="4768">
        <f t="shared" si="0"/>
        <v>53890</v>
      </c>
      <c r="V8" s="4768">
        <f t="shared" si="0"/>
        <v>81320</v>
      </c>
      <c r="W8" s="4768">
        <f t="shared" si="0"/>
        <v>118600</v>
      </c>
      <c r="X8" s="4768">
        <f t="shared" si="0"/>
        <v>87051</v>
      </c>
      <c r="Y8" s="4768">
        <f t="shared" si="0"/>
        <v>0</v>
      </c>
      <c r="Z8" s="4768">
        <f t="shared" si="0"/>
        <v>28000</v>
      </c>
      <c r="AA8" s="4770">
        <f t="shared" si="0"/>
        <v>0</v>
      </c>
      <c r="AB8" s="4771"/>
      <c r="AC8" s="4772"/>
    </row>
    <row r="9" spans="2:29" ht="51">
      <c r="B9" s="4774"/>
      <c r="C9" s="4775"/>
      <c r="D9" s="4755"/>
      <c r="E9" s="4755"/>
      <c r="F9" s="4879"/>
      <c r="G9" s="4879"/>
      <c r="H9" s="317"/>
      <c r="I9" s="317"/>
      <c r="J9" s="317"/>
      <c r="K9" s="5575" t="s">
        <v>1886</v>
      </c>
      <c r="L9" s="5575"/>
      <c r="M9" s="4872"/>
      <c r="N9" s="4872"/>
      <c r="O9" s="317"/>
      <c r="P9" s="4874"/>
      <c r="R9" s="44"/>
      <c r="T9" s="5586" t="s">
        <v>1906</v>
      </c>
      <c r="U9" s="5586"/>
      <c r="V9" s="5586"/>
      <c r="W9" s="5586"/>
      <c r="X9" s="4880" t="s">
        <v>1907</v>
      </c>
      <c r="Y9" s="4880"/>
      <c r="Z9" s="4881" t="s">
        <v>1908</v>
      </c>
      <c r="AA9" s="4882" t="s">
        <v>1908</v>
      </c>
      <c r="AB9" s="4883"/>
      <c r="AC9" s="4884"/>
    </row>
    <row r="10" spans="2:29">
      <c r="B10" s="4774"/>
      <c r="C10" s="4775"/>
      <c r="D10" s="4755"/>
      <c r="E10" s="4755"/>
      <c r="F10" s="4879"/>
      <c r="G10" s="4879"/>
      <c r="H10" s="317"/>
      <c r="I10" s="317"/>
      <c r="J10" s="317"/>
      <c r="K10" s="4871"/>
      <c r="L10" s="4871"/>
      <c r="M10" s="4872"/>
      <c r="N10" s="4872"/>
      <c r="O10" s="317"/>
      <c r="P10" s="4874"/>
      <c r="R10" s="44"/>
      <c r="T10" s="4885"/>
      <c r="U10" s="4885"/>
      <c r="V10" s="4885"/>
      <c r="W10" s="4885"/>
      <c r="X10" s="4885"/>
      <c r="Y10" s="4885"/>
      <c r="Z10" s="4886"/>
      <c r="AA10" s="4887"/>
      <c r="AB10" s="4888"/>
      <c r="AC10" s="4889"/>
    </row>
    <row r="11" spans="2:29">
      <c r="B11" s="4806" t="s">
        <v>1909</v>
      </c>
      <c r="C11" s="4807">
        <v>2</v>
      </c>
      <c r="D11" s="4755"/>
      <c r="E11" s="4755"/>
      <c r="F11" s="4879">
        <f>(F6/$C$11)</f>
        <v>1541</v>
      </c>
      <c r="G11" s="4879">
        <f>(G6/$C$11)</f>
        <v>3060.5</v>
      </c>
      <c r="H11" s="4879">
        <f>(H6/$C$11)</f>
        <v>3083.5</v>
      </c>
      <c r="I11" s="4879"/>
      <c r="J11" s="4879"/>
      <c r="K11" s="4760"/>
      <c r="L11" s="4760"/>
      <c r="M11" s="4761"/>
      <c r="N11" s="4761"/>
      <c r="O11" s="4879"/>
      <c r="P11" s="4890"/>
      <c r="R11" s="4806" t="s">
        <v>1909</v>
      </c>
      <c r="S11" s="4807">
        <v>2</v>
      </c>
      <c r="T11" s="4879">
        <f t="shared" ref="T11:AA11" si="1">(T6+T7)/$S$11</f>
        <v>25250</v>
      </c>
      <c r="U11" s="4879">
        <f t="shared" si="1"/>
        <v>26945</v>
      </c>
      <c r="V11" s="4879">
        <f t="shared" si="1"/>
        <v>40660</v>
      </c>
      <c r="W11" s="4879">
        <f t="shared" si="1"/>
        <v>59300</v>
      </c>
      <c r="X11" s="4879">
        <f t="shared" si="1"/>
        <v>43525.5</v>
      </c>
      <c r="Y11" s="4879">
        <f t="shared" si="1"/>
        <v>0</v>
      </c>
      <c r="Z11" s="4760">
        <f t="shared" si="1"/>
        <v>14000</v>
      </c>
      <c r="AA11" s="4761">
        <f t="shared" si="1"/>
        <v>0</v>
      </c>
      <c r="AB11" s="4762"/>
      <c r="AC11" s="4890"/>
    </row>
    <row r="12" spans="2:29">
      <c r="B12" s="4806" t="s">
        <v>1890</v>
      </c>
      <c r="C12" s="4807">
        <v>3</v>
      </c>
      <c r="F12" s="4879"/>
      <c r="G12" s="4879">
        <f t="shared" ref="G12:N12" si="2">(G6/$C$12)</f>
        <v>2040.3333333333333</v>
      </c>
      <c r="H12" s="4879">
        <f t="shared" si="2"/>
        <v>2055.6666666666665</v>
      </c>
      <c r="I12" s="4879">
        <f t="shared" si="2"/>
        <v>2117.3366666666666</v>
      </c>
      <c r="J12" s="4879">
        <f t="shared" si="2"/>
        <v>0</v>
      </c>
      <c r="K12" s="4760">
        <f t="shared" si="2"/>
        <v>728.33333333333337</v>
      </c>
      <c r="L12" s="4760">
        <f t="shared" si="2"/>
        <v>1148.6666666666667</v>
      </c>
      <c r="M12" s="4761">
        <f t="shared" si="2"/>
        <v>0</v>
      </c>
      <c r="N12" s="4761">
        <f t="shared" si="2"/>
        <v>0</v>
      </c>
      <c r="O12" s="4879"/>
      <c r="P12" s="4890"/>
      <c r="R12" s="4806" t="s">
        <v>1890</v>
      </c>
      <c r="S12" s="4807">
        <v>3</v>
      </c>
      <c r="T12" s="4891"/>
      <c r="U12" s="4891"/>
      <c r="V12" s="4879">
        <f t="shared" ref="V12:AA12" si="3">(V7+V8)/$S$12</f>
        <v>36126.666666666664</v>
      </c>
      <c r="W12" s="4879">
        <f t="shared" si="3"/>
        <v>52733.333333333336</v>
      </c>
      <c r="X12" s="4879">
        <f t="shared" si="3"/>
        <v>42230.333333333336</v>
      </c>
      <c r="Y12" s="4879">
        <f t="shared" si="3"/>
        <v>0</v>
      </c>
      <c r="Z12" s="4760">
        <f t="shared" si="3"/>
        <v>14816.666666666666</v>
      </c>
      <c r="AA12" s="4761">
        <f t="shared" si="3"/>
        <v>0</v>
      </c>
      <c r="AB12" s="4762"/>
      <c r="AC12" s="4890"/>
    </row>
    <row r="13" spans="2:29">
      <c r="B13" s="4806"/>
      <c r="C13" s="4807"/>
      <c r="D13" s="4755"/>
      <c r="E13" s="4755"/>
      <c r="F13" s="4879"/>
      <c r="G13" s="4879"/>
      <c r="H13" s="4879"/>
      <c r="I13" s="4879"/>
      <c r="J13" s="4879"/>
      <c r="K13" s="4760"/>
      <c r="L13" s="4760"/>
      <c r="M13" s="4761"/>
      <c r="N13" s="4761"/>
      <c r="O13" s="4879"/>
      <c r="P13" s="4890"/>
      <c r="R13" s="4806" t="s">
        <v>1867</v>
      </c>
      <c r="S13" s="4807">
        <v>4</v>
      </c>
      <c r="T13" s="4891"/>
      <c r="U13" s="4891"/>
      <c r="V13" s="4891"/>
      <c r="W13" s="4879">
        <f>(W6+W7)/$S$13</f>
        <v>29650</v>
      </c>
      <c r="X13" s="4879">
        <f>(X6+X7)/$S$13</f>
        <v>21762.75</v>
      </c>
      <c r="Y13" s="4879">
        <f>(Y6+Y7)/$S$13</f>
        <v>0</v>
      </c>
      <c r="Z13" s="4760">
        <f>(Z6+Z7)/$S$13</f>
        <v>7000</v>
      </c>
      <c r="AA13" s="4761">
        <f>(AA6+AA7)/$S$13</f>
        <v>0</v>
      </c>
      <c r="AB13" s="4762"/>
      <c r="AC13" s="4890"/>
    </row>
    <row r="14" spans="2:29" ht="15" thickBot="1">
      <c r="B14" s="4823"/>
      <c r="C14" s="4824"/>
      <c r="D14" s="4892"/>
      <c r="E14" s="4892"/>
      <c r="F14" s="4892"/>
      <c r="G14" s="4892"/>
      <c r="H14" s="4824"/>
      <c r="I14" s="4824"/>
      <c r="J14" s="4824"/>
      <c r="K14" s="4824"/>
      <c r="L14" s="4824"/>
      <c r="M14" s="4824"/>
      <c r="N14" s="4824"/>
      <c r="O14" s="4824"/>
      <c r="P14" s="4825"/>
      <c r="R14" s="4823"/>
      <c r="S14" s="4824"/>
      <c r="T14" s="4824"/>
      <c r="U14" s="4824"/>
      <c r="V14" s="4824"/>
      <c r="W14" s="4824"/>
      <c r="X14" s="4824"/>
      <c r="Y14" s="4824"/>
      <c r="Z14" s="4824"/>
      <c r="AA14" s="4824"/>
      <c r="AB14" s="4824"/>
      <c r="AC14" s="4825"/>
    </row>
  </sheetData>
  <mergeCells count="6">
    <mergeCell ref="T9:W9"/>
    <mergeCell ref="K3:L3"/>
    <mergeCell ref="M3:N3"/>
    <mergeCell ref="K4:L4"/>
    <mergeCell ref="M4:N4"/>
    <mergeCell ref="K9:L9"/>
  </mergeCells>
  <pageMargins left="0.70866141732283472" right="0.70866141732283472" top="0.74803149606299213" bottom="0.74803149606299213" header="0.31496062992125984" footer="0.31496062992125984"/>
  <pageSetup paperSize="9" scale="67" orientation="landscape" verticalDpi="597"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E7C23B-0FCE-4A6C-AA0C-5AF49CC0A2F4}">
  <sheetPr>
    <tabColor rgb="FF7030A0"/>
    <pageSetUpPr fitToPage="1"/>
  </sheetPr>
  <dimension ref="B1:AC14"/>
  <sheetViews>
    <sheetView workbookViewId="0">
      <selection sqref="A1:XFD3"/>
    </sheetView>
  </sheetViews>
  <sheetFormatPr baseColWidth="10" defaultRowHeight="14.4"/>
  <cols>
    <col min="2" max="2" width="21.88671875" customWidth="1"/>
    <col min="3" max="3" width="2" bestFit="1" customWidth="1"/>
    <col min="4" max="5" width="11.5546875" hidden="1" customWidth="1"/>
    <col min="6" max="8" width="0" hidden="1" customWidth="1"/>
    <col min="17" max="17" width="5.109375" customWidth="1"/>
    <col min="18" max="18" width="21.44140625" customWidth="1"/>
    <col min="19" max="19" width="2" bestFit="1" customWidth="1"/>
    <col min="20" max="23" width="14.5546875" hidden="1" customWidth="1"/>
    <col min="24" max="24" width="12.88671875" customWidth="1"/>
    <col min="25" max="25" width="11.21875" customWidth="1"/>
    <col min="26" max="26" width="15.77734375" customWidth="1"/>
    <col min="27" max="27" width="12.88671875" customWidth="1"/>
    <col min="28" max="29" width="11.21875" customWidth="1"/>
  </cols>
  <sheetData>
    <row r="1" spans="2:29" s="45" customFormat="1">
      <c r="B1" s="4727" t="s">
        <v>1910</v>
      </c>
      <c r="C1" s="4728"/>
      <c r="D1" s="4729"/>
      <c r="E1" s="4729"/>
      <c r="F1" s="4729"/>
      <c r="G1" s="4729"/>
      <c r="H1" s="4729"/>
      <c r="I1" s="4729"/>
      <c r="J1" s="4729"/>
      <c r="K1" s="4729"/>
      <c r="L1" s="4729"/>
      <c r="M1" s="4729"/>
      <c r="N1" s="4729"/>
      <c r="O1" s="4729"/>
      <c r="P1" s="4730"/>
      <c r="R1" s="4731" t="s">
        <v>1911</v>
      </c>
      <c r="S1" s="4733"/>
      <c r="T1" s="4729"/>
      <c r="U1" s="4729"/>
      <c r="V1" s="4729"/>
      <c r="W1" s="4729"/>
      <c r="X1" s="4729"/>
      <c r="Y1" s="4729"/>
      <c r="Z1" s="4729"/>
      <c r="AA1" s="4729"/>
      <c r="AB1" s="4729"/>
      <c r="AC1" s="4730"/>
    </row>
    <row r="2" spans="2:29">
      <c r="B2" s="44"/>
      <c r="P2" s="4766"/>
      <c r="R2" s="44"/>
      <c r="AC2" s="4766"/>
    </row>
    <row r="3" spans="2:29" s="2977" customFormat="1">
      <c r="B3" s="4828"/>
      <c r="C3" s="4869"/>
      <c r="D3" s="4814">
        <v>2014</v>
      </c>
      <c r="E3" s="4814">
        <v>2015</v>
      </c>
      <c r="F3" s="4814">
        <v>2016</v>
      </c>
      <c r="G3" s="4814">
        <v>2017</v>
      </c>
      <c r="H3" s="4814">
        <v>2018</v>
      </c>
      <c r="I3" s="4893" t="s">
        <v>875</v>
      </c>
      <c r="J3" s="4893">
        <v>2020</v>
      </c>
      <c r="K3" s="5590">
        <v>2021</v>
      </c>
      <c r="L3" s="5590"/>
      <c r="M3" s="5591">
        <v>2022</v>
      </c>
      <c r="N3" s="5591"/>
      <c r="O3" s="4893"/>
      <c r="P3" s="4894"/>
      <c r="R3" s="315"/>
      <c r="T3" s="4814">
        <v>2015</v>
      </c>
      <c r="U3" s="4814">
        <v>2016</v>
      </c>
      <c r="V3" s="4814">
        <v>2017</v>
      </c>
      <c r="W3" s="4814">
        <v>2018</v>
      </c>
      <c r="X3" s="4814">
        <v>2019</v>
      </c>
      <c r="Y3" s="4814">
        <v>2020</v>
      </c>
      <c r="Z3" s="4810">
        <v>2021</v>
      </c>
      <c r="AA3" s="4818">
        <v>2022</v>
      </c>
      <c r="AB3" s="4814"/>
      <c r="AC3" s="4829"/>
    </row>
    <row r="4" spans="2:29" s="4900" customFormat="1" ht="12">
      <c r="B4" s="4895"/>
      <c r="C4" s="4896"/>
      <c r="D4" s="4897"/>
      <c r="E4" s="4897"/>
      <c r="F4" s="4897" t="s">
        <v>1912</v>
      </c>
      <c r="G4" s="4897" t="s">
        <v>1913</v>
      </c>
      <c r="H4" s="4897" t="s">
        <v>1914</v>
      </c>
      <c r="I4" s="4898" t="s">
        <v>1915</v>
      </c>
      <c r="J4" s="4898"/>
      <c r="K4" s="5592" t="s">
        <v>1916</v>
      </c>
      <c r="L4" s="5592"/>
      <c r="M4" s="5593"/>
      <c r="N4" s="5593"/>
      <c r="O4" s="4898"/>
      <c r="P4" s="4899"/>
      <c r="R4" s="4901"/>
      <c r="T4" s="4897" t="s">
        <v>1917</v>
      </c>
      <c r="U4" s="4897" t="s">
        <v>1912</v>
      </c>
      <c r="V4" s="4897" t="s">
        <v>1913</v>
      </c>
      <c r="W4" s="4897" t="s">
        <v>1914</v>
      </c>
      <c r="X4" s="4898" t="s">
        <v>1918</v>
      </c>
      <c r="Y4" s="4898" t="s">
        <v>1919</v>
      </c>
      <c r="Z4" s="4902" t="s">
        <v>1916</v>
      </c>
      <c r="AA4" s="4903"/>
      <c r="AB4" s="4898"/>
      <c r="AC4" s="4899"/>
    </row>
    <row r="5" spans="2:29" s="4900" customFormat="1" ht="12">
      <c r="B5" s="4895"/>
      <c r="C5" s="4896"/>
      <c r="D5" s="4897"/>
      <c r="E5" s="4897"/>
      <c r="F5" s="4897"/>
      <c r="G5" s="4897"/>
      <c r="H5" s="4897"/>
      <c r="I5" s="4898"/>
      <c r="J5" s="4898"/>
      <c r="K5" s="4902" t="s">
        <v>1920</v>
      </c>
      <c r="L5" s="4902" t="s">
        <v>1921</v>
      </c>
      <c r="M5" s="4904" t="s">
        <v>1920</v>
      </c>
      <c r="N5" s="4904" t="s">
        <v>1921</v>
      </c>
      <c r="O5" s="4898"/>
      <c r="P5" s="4899"/>
      <c r="R5" s="4901"/>
      <c r="T5" s="4897"/>
      <c r="U5" s="4897"/>
      <c r="V5" s="4897"/>
      <c r="W5" s="4897"/>
      <c r="X5" s="4898"/>
      <c r="Y5" s="4898"/>
      <c r="Z5" s="4902"/>
      <c r="AA5" s="4904"/>
      <c r="AB5" s="4898"/>
      <c r="AC5" s="4899"/>
    </row>
    <row r="6" spans="2:29">
      <c r="B6" s="4750" t="s">
        <v>1857</v>
      </c>
      <c r="C6" s="4751"/>
      <c r="D6" s="4752"/>
      <c r="E6" s="4752"/>
      <c r="F6" s="4752">
        <v>5730</v>
      </c>
      <c r="G6" s="4752">
        <v>5239</v>
      </c>
      <c r="H6" s="4752">
        <v>5372</v>
      </c>
      <c r="I6" s="4752">
        <f>H6*1.02</f>
        <v>5479.4400000000005</v>
      </c>
      <c r="J6" s="4752"/>
      <c r="K6" s="4753">
        <f>1747+768+649+1110</f>
        <v>4274</v>
      </c>
      <c r="L6" s="4753">
        <f>2563+1732+1312+1971</f>
        <v>7578</v>
      </c>
      <c r="M6" s="4754"/>
      <c r="N6" s="4754"/>
      <c r="O6" s="4752"/>
      <c r="P6" s="4756"/>
      <c r="R6" s="4750" t="s">
        <v>1858</v>
      </c>
      <c r="S6" s="4751"/>
      <c r="T6" s="4759">
        <f>17500+17300+16100</f>
        <v>50900</v>
      </c>
      <c r="U6" s="317">
        <f>18200+17000+16700+17200</f>
        <v>69100</v>
      </c>
      <c r="V6" s="317">
        <f>18800+18500+18300</f>
        <v>55600</v>
      </c>
      <c r="W6" s="4759">
        <f>20100+20400+20000</f>
        <v>60500</v>
      </c>
      <c r="X6" s="4759">
        <f>10984+12582+12516+12156</f>
        <v>48238</v>
      </c>
      <c r="Y6" s="4759"/>
      <c r="Z6" s="4760">
        <f>7140+6900+6552+7008</f>
        <v>27600</v>
      </c>
      <c r="AA6" s="4761"/>
      <c r="AB6" s="4759"/>
      <c r="AC6" s="4763"/>
    </row>
    <row r="7" spans="2:29">
      <c r="B7" s="44"/>
      <c r="K7" s="4764"/>
      <c r="L7" s="4764"/>
      <c r="M7" s="4765"/>
      <c r="N7" s="4765"/>
      <c r="P7" s="4766"/>
      <c r="R7" s="4750" t="s">
        <v>1859</v>
      </c>
      <c r="S7" s="4751"/>
      <c r="T7" s="4759">
        <f>8760+8620+8040</f>
        <v>25420</v>
      </c>
      <c r="U7" s="317">
        <f>9050+8500+8140+8670</f>
        <v>34360</v>
      </c>
      <c r="V7" s="317">
        <f>9440+9080+9060</f>
        <v>27580</v>
      </c>
      <c r="W7" s="4759">
        <f>10040+10160+10040</f>
        <v>30240</v>
      </c>
      <c r="X7" s="4759">
        <f>11100+9600+9980+9700</f>
        <v>40380</v>
      </c>
      <c r="Y7" s="4759"/>
      <c r="Z7" s="4760">
        <f>2560+2120+1160+1400</f>
        <v>7240</v>
      </c>
      <c r="AA7" s="4761"/>
      <c r="AB7" s="4759"/>
      <c r="AC7" s="4763"/>
    </row>
    <row r="8" spans="2:29" ht="30.6">
      <c r="B8" s="44"/>
      <c r="D8" s="4755"/>
      <c r="E8" s="4755"/>
      <c r="F8" s="4875" t="s">
        <v>1922</v>
      </c>
      <c r="G8" s="4875" t="s">
        <v>1923</v>
      </c>
      <c r="H8" s="4875" t="s">
        <v>1924</v>
      </c>
      <c r="K8" s="5594"/>
      <c r="L8" s="5594"/>
      <c r="M8" s="5595"/>
      <c r="N8" s="5595"/>
      <c r="P8" s="4766"/>
      <c r="R8" s="4767"/>
      <c r="S8" s="4854"/>
      <c r="T8" s="4768">
        <f t="shared" ref="T8:AA8" si="0">SUM(T6:T7)</f>
        <v>76320</v>
      </c>
      <c r="U8" s="4768">
        <f t="shared" si="0"/>
        <v>103460</v>
      </c>
      <c r="V8" s="4768">
        <f t="shared" si="0"/>
        <v>83180</v>
      </c>
      <c r="W8" s="4768">
        <f t="shared" si="0"/>
        <v>90740</v>
      </c>
      <c r="X8" s="4905">
        <f t="shared" si="0"/>
        <v>88618</v>
      </c>
      <c r="Y8" s="4905">
        <f t="shared" si="0"/>
        <v>0</v>
      </c>
      <c r="Z8" s="4906">
        <f t="shared" si="0"/>
        <v>34840</v>
      </c>
      <c r="AA8" s="4907">
        <f t="shared" si="0"/>
        <v>0</v>
      </c>
      <c r="AB8" s="4768"/>
      <c r="AC8" s="4772"/>
    </row>
    <row r="9" spans="2:29" ht="71.400000000000006">
      <c r="B9" s="4774"/>
      <c r="C9" s="4775"/>
      <c r="D9" s="4755"/>
      <c r="E9" s="4755"/>
      <c r="F9" s="4755"/>
      <c r="G9" s="4755"/>
      <c r="K9" s="5575" t="s">
        <v>1886</v>
      </c>
      <c r="L9" s="5575"/>
      <c r="M9" s="4765"/>
      <c r="N9" s="4765"/>
      <c r="P9" s="4766"/>
      <c r="R9" s="44"/>
      <c r="T9" s="5589" t="s">
        <v>1925</v>
      </c>
      <c r="U9" s="5589"/>
      <c r="V9" s="5589"/>
      <c r="W9" s="5589"/>
      <c r="X9" s="4880" t="s">
        <v>1907</v>
      </c>
      <c r="Y9" s="4880"/>
      <c r="Z9" s="4881" t="s">
        <v>1908</v>
      </c>
      <c r="AA9" s="4882"/>
      <c r="AB9" s="4880"/>
      <c r="AC9" s="4884"/>
    </row>
    <row r="10" spans="2:29">
      <c r="B10" s="4774"/>
      <c r="C10" s="4775"/>
      <c r="D10" s="4755"/>
      <c r="E10" s="4755"/>
      <c r="F10" s="4755"/>
      <c r="G10" s="4755"/>
      <c r="K10" s="4764"/>
      <c r="L10" s="4764"/>
      <c r="M10" s="4765"/>
      <c r="N10" s="4765"/>
      <c r="P10" s="4766"/>
      <c r="R10" s="44"/>
      <c r="T10" s="4864"/>
      <c r="U10" s="4864"/>
      <c r="V10" s="4864"/>
      <c r="W10" s="4864"/>
      <c r="X10" s="4864"/>
      <c r="Y10" s="4864"/>
      <c r="Z10" s="4908"/>
      <c r="AA10" s="4909"/>
      <c r="AB10" s="4864"/>
      <c r="AC10" s="4910"/>
    </row>
    <row r="11" spans="2:29">
      <c r="B11" s="4806" t="s">
        <v>1890</v>
      </c>
      <c r="C11">
        <v>3</v>
      </c>
      <c r="D11" s="4755"/>
      <c r="E11" s="4755"/>
      <c r="F11" s="4755">
        <f t="shared" ref="F11:N11" si="1">F6/$C$11</f>
        <v>1910</v>
      </c>
      <c r="G11" s="4755">
        <f t="shared" si="1"/>
        <v>1746.3333333333333</v>
      </c>
      <c r="H11" s="4755">
        <f t="shared" si="1"/>
        <v>1790.6666666666667</v>
      </c>
      <c r="I11" s="4755">
        <f t="shared" si="1"/>
        <v>1826.4800000000002</v>
      </c>
      <c r="J11" s="4755">
        <f t="shared" si="1"/>
        <v>0</v>
      </c>
      <c r="K11" s="4753">
        <f t="shared" si="1"/>
        <v>1424.6666666666667</v>
      </c>
      <c r="L11" s="4753">
        <f t="shared" si="1"/>
        <v>2526</v>
      </c>
      <c r="M11" s="4754">
        <f t="shared" si="1"/>
        <v>0</v>
      </c>
      <c r="N11" s="4754">
        <f t="shared" si="1"/>
        <v>0</v>
      </c>
      <c r="O11" s="4755"/>
      <c r="P11" s="4809"/>
      <c r="R11" s="4806" t="s">
        <v>1890</v>
      </c>
      <c r="S11">
        <v>3</v>
      </c>
      <c r="T11" s="4879">
        <f t="shared" ref="T11:AA11" si="2">(T6+T7)/$S$11</f>
        <v>25440</v>
      </c>
      <c r="U11" s="4879">
        <f t="shared" si="2"/>
        <v>34486.666666666664</v>
      </c>
      <c r="V11" s="4879">
        <f t="shared" si="2"/>
        <v>27726.666666666668</v>
      </c>
      <c r="W11" s="4879">
        <f t="shared" si="2"/>
        <v>30246.666666666668</v>
      </c>
      <c r="X11" s="4879">
        <f t="shared" si="2"/>
        <v>29539.333333333332</v>
      </c>
      <c r="Y11" s="4879">
        <f t="shared" si="2"/>
        <v>0</v>
      </c>
      <c r="Z11" s="4760">
        <f t="shared" si="2"/>
        <v>11613.333333333334</v>
      </c>
      <c r="AA11" s="4761">
        <f t="shared" si="2"/>
        <v>0</v>
      </c>
      <c r="AB11" s="4879"/>
      <c r="AC11" s="4890"/>
    </row>
    <row r="12" spans="2:29">
      <c r="B12" s="4806" t="s">
        <v>1867</v>
      </c>
      <c r="C12" s="4807">
        <v>4</v>
      </c>
      <c r="F12" s="4755">
        <f>F6/$C$12</f>
        <v>1432.5</v>
      </c>
      <c r="K12" s="4753">
        <f>K6/$C$12</f>
        <v>1068.5</v>
      </c>
      <c r="L12" s="4753">
        <f>L6/$C$12</f>
        <v>1894.5</v>
      </c>
      <c r="M12" s="4754">
        <f>M6/$C$12</f>
        <v>0</v>
      </c>
      <c r="N12" s="4754">
        <f>N6/$C$12</f>
        <v>0</v>
      </c>
      <c r="P12" s="4766"/>
      <c r="R12" s="4806" t="s">
        <v>1867</v>
      </c>
      <c r="S12" s="4807">
        <v>4</v>
      </c>
      <c r="T12" s="4891"/>
      <c r="U12" s="4879">
        <f>(U6+U7)/$S$12</f>
        <v>25865</v>
      </c>
      <c r="V12" s="4891"/>
      <c r="W12" s="4891"/>
      <c r="X12" s="4891">
        <f>(X6+X7)/$S$12</f>
        <v>22154.5</v>
      </c>
      <c r="Y12" s="4891">
        <f>(Y6+Y7)/$S$12</f>
        <v>0</v>
      </c>
      <c r="Z12" s="4760">
        <f>(Z6+Z7)/$S$12</f>
        <v>8710</v>
      </c>
      <c r="AA12" s="4761">
        <f>(AA6+AA7)/$S$12</f>
        <v>0</v>
      </c>
      <c r="AB12" s="4891"/>
      <c r="AC12" s="4911"/>
    </row>
    <row r="13" spans="2:29">
      <c r="B13" s="44"/>
      <c r="P13" s="4766"/>
      <c r="R13" s="44"/>
      <c r="AC13" s="4766"/>
    </row>
    <row r="14" spans="2:29" ht="15" thickBot="1">
      <c r="B14" s="4823"/>
      <c r="C14" s="4824"/>
      <c r="D14" s="4824"/>
      <c r="E14" s="4824"/>
      <c r="F14" s="4824"/>
      <c r="G14" s="4824"/>
      <c r="H14" s="4824"/>
      <c r="I14" s="4824"/>
      <c r="J14" s="4824"/>
      <c r="K14" s="4824"/>
      <c r="L14" s="4824"/>
      <c r="M14" s="4824"/>
      <c r="N14" s="4824"/>
      <c r="O14" s="4824"/>
      <c r="P14" s="4825"/>
      <c r="R14" s="4823"/>
      <c r="S14" s="4824"/>
      <c r="T14" s="4824"/>
      <c r="U14" s="4824"/>
      <c r="V14" s="4824"/>
      <c r="W14" s="4824"/>
      <c r="X14" s="4824"/>
      <c r="Y14" s="4824"/>
      <c r="Z14" s="4824"/>
      <c r="AA14" s="4824"/>
      <c r="AB14" s="4824"/>
      <c r="AC14" s="4825"/>
    </row>
  </sheetData>
  <mergeCells count="8">
    <mergeCell ref="K9:L9"/>
    <mergeCell ref="T9:W9"/>
    <mergeCell ref="K3:L3"/>
    <mergeCell ref="M3:N3"/>
    <mergeCell ref="K4:L4"/>
    <mergeCell ref="M4:N4"/>
    <mergeCell ref="K8:L8"/>
    <mergeCell ref="M8:N8"/>
  </mergeCells>
  <pageMargins left="0.70866141732283472" right="0.70866141732283472" top="0.74803149606299213" bottom="0.74803149606299213" header="0.31496062992125984" footer="0.31496062992125984"/>
  <pageSetup paperSize="9" scale="74" orientation="landscape" verticalDpi="597" r:id="rId1"/>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F438D4-7BC8-4C95-B801-2D7EF675BBD6}">
  <sheetPr>
    <tabColor rgb="FF7030A0"/>
    <pageSetUpPr fitToPage="1"/>
  </sheetPr>
  <dimension ref="B1:AK42"/>
  <sheetViews>
    <sheetView workbookViewId="0">
      <selection sqref="A1:XFD3"/>
    </sheetView>
  </sheetViews>
  <sheetFormatPr baseColWidth="10" defaultRowHeight="14.4"/>
  <cols>
    <col min="1" max="1" width="4" customWidth="1"/>
    <col min="2" max="2" width="21.5546875" customWidth="1"/>
    <col min="3" max="4" width="11.5546875" hidden="1" customWidth="1"/>
    <col min="5" max="7" width="0" hidden="1" customWidth="1"/>
    <col min="17" max="17" width="4.21875" customWidth="1"/>
    <col min="19" max="19" width="21.21875" customWidth="1"/>
    <col min="20" max="20" width="11.5546875" hidden="1" customWidth="1"/>
    <col min="21" max="23" width="0" hidden="1" customWidth="1"/>
    <col min="37" max="37" width="22.33203125" customWidth="1"/>
  </cols>
  <sheetData>
    <row r="1" spans="2:37" s="45" customFormat="1">
      <c r="B1" s="4727" t="s">
        <v>1926</v>
      </c>
      <c r="C1" s="4729"/>
      <c r="D1" s="4729"/>
      <c r="E1" s="4729"/>
      <c r="F1" s="4729"/>
      <c r="G1" s="4729"/>
      <c r="H1" s="4729"/>
      <c r="I1" s="4729"/>
      <c r="J1" s="4729"/>
      <c r="K1" s="4729"/>
      <c r="L1" s="4729"/>
      <c r="M1" s="4729"/>
      <c r="N1" s="4729"/>
      <c r="O1" s="4729"/>
      <c r="P1" s="4730"/>
      <c r="S1" s="4731" t="s">
        <v>1927</v>
      </c>
      <c r="T1" s="4729"/>
      <c r="U1" s="4729"/>
      <c r="V1" s="4729"/>
      <c r="W1" s="4729"/>
      <c r="X1" s="4729"/>
      <c r="Y1" s="4729"/>
      <c r="Z1" s="4729"/>
      <c r="AA1" s="4729"/>
      <c r="AB1" s="4729"/>
      <c r="AC1" s="4729"/>
      <c r="AD1" s="4729"/>
      <c r="AE1" s="4729"/>
      <c r="AF1" s="4729"/>
      <c r="AG1" s="4729"/>
      <c r="AH1" s="4729"/>
      <c r="AI1" s="4729"/>
      <c r="AJ1" s="4730"/>
    </row>
    <row r="2" spans="2:37">
      <c r="B2" s="44"/>
      <c r="P2" s="4766"/>
      <c r="S2" s="44"/>
      <c r="AJ2" s="4766"/>
    </row>
    <row r="3" spans="2:37" s="2977" customFormat="1">
      <c r="B3" s="4828"/>
      <c r="C3" s="4814">
        <v>2014</v>
      </c>
      <c r="D3" s="4814">
        <v>2015</v>
      </c>
      <c r="E3" s="4814">
        <v>2016</v>
      </c>
      <c r="F3" s="4814">
        <v>2017</v>
      </c>
      <c r="G3" s="4814">
        <v>2018</v>
      </c>
      <c r="H3" s="4814" t="s">
        <v>875</v>
      </c>
      <c r="I3" s="5611" t="s">
        <v>1404</v>
      </c>
      <c r="J3" s="5611"/>
      <c r="K3" s="5587">
        <v>2021</v>
      </c>
      <c r="L3" s="5587"/>
      <c r="M3" s="5582">
        <v>2022</v>
      </c>
      <c r="N3" s="5582"/>
      <c r="O3" s="4814"/>
      <c r="P3" s="4829"/>
      <c r="S3" s="315"/>
      <c r="T3" s="4814">
        <v>2015</v>
      </c>
      <c r="U3" s="4814">
        <v>2016</v>
      </c>
      <c r="V3" s="4814">
        <v>2017</v>
      </c>
      <c r="W3" s="4814">
        <v>2018</v>
      </c>
      <c r="X3" s="4814">
        <v>2019</v>
      </c>
      <c r="Y3" s="5611" t="s">
        <v>1404</v>
      </c>
      <c r="Z3" s="5611"/>
      <c r="AA3" s="5611"/>
      <c r="AB3" s="5587">
        <v>2021</v>
      </c>
      <c r="AC3" s="5587"/>
      <c r="AD3" s="5587"/>
      <c r="AE3" s="5582">
        <v>2021</v>
      </c>
      <c r="AF3" s="5582"/>
      <c r="AG3" s="5582"/>
      <c r="AH3" s="4814"/>
      <c r="AI3" s="4814"/>
      <c r="AJ3" s="4829"/>
    </row>
    <row r="4" spans="2:37" s="4900" customFormat="1" ht="12">
      <c r="B4" s="4895"/>
      <c r="C4" s="4897"/>
      <c r="D4" s="4897"/>
      <c r="E4" s="4897" t="s">
        <v>1928</v>
      </c>
      <c r="F4" s="4897" t="s">
        <v>1929</v>
      </c>
      <c r="G4" s="4897" t="s">
        <v>1930</v>
      </c>
      <c r="H4" s="4897" t="s">
        <v>1931</v>
      </c>
      <c r="I4" s="5598" t="s">
        <v>1932</v>
      </c>
      <c r="J4" s="5598"/>
      <c r="K4" s="5599" t="s">
        <v>1933</v>
      </c>
      <c r="L4" s="5599"/>
      <c r="M4" s="5610"/>
      <c r="N4" s="5610"/>
      <c r="O4" s="4897"/>
      <c r="P4" s="4912"/>
      <c r="S4" s="4901"/>
      <c r="T4" s="4897"/>
      <c r="U4" s="4897" t="s">
        <v>1928</v>
      </c>
      <c r="V4" s="4897" t="s">
        <v>1934</v>
      </c>
      <c r="W4" s="4897" t="s">
        <v>1935</v>
      </c>
      <c r="X4" s="4897" t="s">
        <v>1931</v>
      </c>
      <c r="Y4" s="5598" t="s">
        <v>1932</v>
      </c>
      <c r="Z4" s="5598"/>
      <c r="AA4" s="5598"/>
      <c r="AB4" s="5599" t="s">
        <v>1933</v>
      </c>
      <c r="AC4" s="5599"/>
      <c r="AD4" s="5599"/>
      <c r="AE4" s="5610"/>
      <c r="AF4" s="5610"/>
      <c r="AG4" s="5610"/>
      <c r="AH4" s="4897"/>
      <c r="AI4" s="4897"/>
      <c r="AJ4" s="4912"/>
    </row>
    <row r="5" spans="2:37" s="4900" customFormat="1" ht="12">
      <c r="B5" s="4895"/>
      <c r="C5" s="4897"/>
      <c r="D5" s="4897"/>
      <c r="E5" s="4897"/>
      <c r="F5" s="4897"/>
      <c r="G5" s="4897"/>
      <c r="H5" s="4897"/>
      <c r="I5" s="4897" t="s">
        <v>1882</v>
      </c>
      <c r="J5" s="4897" t="s">
        <v>1856</v>
      </c>
      <c r="K5" s="4913" t="s">
        <v>1882</v>
      </c>
      <c r="L5" s="4913" t="s">
        <v>1856</v>
      </c>
      <c r="M5" s="4914" t="s">
        <v>1882</v>
      </c>
      <c r="N5" s="4914" t="s">
        <v>1856</v>
      </c>
      <c r="O5" s="4897"/>
      <c r="P5" s="4912"/>
      <c r="S5" s="4901"/>
      <c r="T5" s="4897"/>
      <c r="U5" s="4897"/>
      <c r="V5" s="4897"/>
      <c r="W5" s="4897"/>
      <c r="X5" s="4897"/>
      <c r="Y5" s="5598"/>
      <c r="Z5" s="5598"/>
      <c r="AA5" s="5598"/>
      <c r="AB5" s="5599"/>
      <c r="AC5" s="5599"/>
      <c r="AD5" s="5599"/>
      <c r="AE5" s="5609"/>
      <c r="AF5" s="5609"/>
      <c r="AG5" s="5609"/>
      <c r="AH5" s="4897"/>
      <c r="AI5" s="4897"/>
      <c r="AJ5" s="4912"/>
    </row>
    <row r="6" spans="2:37">
      <c r="B6" s="4750" t="s">
        <v>1857</v>
      </c>
      <c r="C6" s="4752"/>
      <c r="D6" s="4752"/>
      <c r="E6" s="4752">
        <v>6312</v>
      </c>
      <c r="F6" s="4752">
        <v>7025</v>
      </c>
      <c r="G6" s="4752">
        <v>7175</v>
      </c>
      <c r="H6" s="4752">
        <f>G6*1.02</f>
        <v>7318.5</v>
      </c>
      <c r="I6" s="4752">
        <v>730</v>
      </c>
      <c r="J6" s="4752">
        <v>904</v>
      </c>
      <c r="K6" s="4753">
        <f>2721+1367+1466+1818</f>
        <v>7372</v>
      </c>
      <c r="L6" s="4753">
        <f>2902+2542+2953+2788</f>
        <v>11185</v>
      </c>
      <c r="M6" s="4754"/>
      <c r="N6" s="4754"/>
      <c r="O6" s="4755"/>
      <c r="P6" s="4809"/>
      <c r="S6" s="4750" t="s">
        <v>1858</v>
      </c>
      <c r="T6" s="4752">
        <v>59301</v>
      </c>
      <c r="U6">
        <v>60187</v>
      </c>
      <c r="V6">
        <v>59894</v>
      </c>
      <c r="W6" s="4752">
        <v>61508</v>
      </c>
      <c r="X6" s="4752">
        <f>23040+22120+20940</f>
        <v>66100</v>
      </c>
      <c r="Y6" s="5601">
        <v>0</v>
      </c>
      <c r="Z6" s="5601"/>
      <c r="AA6" s="5601"/>
      <c r="AB6" s="5564">
        <f>16700+14400+9750+8950</f>
        <v>49800</v>
      </c>
      <c r="AC6" s="5564"/>
      <c r="AD6" s="5564"/>
      <c r="AE6" s="5565"/>
      <c r="AF6" s="5565"/>
      <c r="AG6" s="5565"/>
      <c r="AH6" s="4808"/>
      <c r="AI6" s="4808"/>
      <c r="AJ6" s="4809"/>
    </row>
    <row r="7" spans="2:37">
      <c r="B7" s="44"/>
      <c r="I7" s="5605">
        <f>SUM(I6:J6)</f>
        <v>1634</v>
      </c>
      <c r="J7" s="5606"/>
      <c r="K7" s="5607">
        <f>SUM(K6:L6)</f>
        <v>18557</v>
      </c>
      <c r="L7" s="5607"/>
      <c r="M7" s="5608">
        <f>SUM(M6:N6)</f>
        <v>0</v>
      </c>
      <c r="N7" s="5608"/>
      <c r="O7" s="115"/>
      <c r="P7" s="4766"/>
      <c r="S7" s="4750" t="s">
        <v>1859</v>
      </c>
      <c r="T7" s="4752">
        <v>25230</v>
      </c>
      <c r="U7">
        <v>28200</v>
      </c>
      <c r="V7">
        <v>29160</v>
      </c>
      <c r="W7" s="4752">
        <v>30105</v>
      </c>
      <c r="X7" s="4752">
        <f>11260+10320+9600</f>
        <v>31180</v>
      </c>
      <c r="Y7" s="5601">
        <v>0</v>
      </c>
      <c r="Z7" s="5601"/>
      <c r="AA7" s="5601"/>
      <c r="AB7" s="5564">
        <f>10500+8300+4400+4800</f>
        <v>28000</v>
      </c>
      <c r="AC7" s="5564"/>
      <c r="AD7" s="5564"/>
      <c r="AE7" s="5565"/>
      <c r="AF7" s="5565"/>
      <c r="AG7" s="5565"/>
      <c r="AH7" s="4808"/>
      <c r="AI7" s="4808"/>
      <c r="AJ7" s="4809"/>
    </row>
    <row r="8" spans="2:37">
      <c r="B8" s="44"/>
      <c r="K8" s="4764"/>
      <c r="L8" s="4764"/>
      <c r="M8" s="4765"/>
      <c r="N8" s="4765"/>
      <c r="P8" s="4766"/>
      <c r="S8" s="4750"/>
      <c r="T8" s="4752"/>
      <c r="W8" s="4752"/>
      <c r="X8" s="4752"/>
      <c r="Y8" s="5601"/>
      <c r="Z8" s="5601"/>
      <c r="AA8" s="5601"/>
      <c r="AB8" s="5564"/>
      <c r="AC8" s="5564"/>
      <c r="AD8" s="5564"/>
      <c r="AE8" s="5565"/>
      <c r="AF8" s="5565"/>
      <c r="AG8" s="5565"/>
      <c r="AH8" s="4808"/>
      <c r="AI8" s="4808"/>
      <c r="AJ8" s="4809"/>
      <c r="AK8" s="4915"/>
    </row>
    <row r="9" spans="2:37">
      <c r="B9" s="44"/>
      <c r="K9" s="4764"/>
      <c r="L9" s="4764"/>
      <c r="M9" s="4765"/>
      <c r="N9" s="4765"/>
      <c r="P9" s="4766"/>
      <c r="S9" s="4750"/>
      <c r="T9" s="4916">
        <f>SUM(T3:T7)</f>
        <v>86546</v>
      </c>
      <c r="U9" s="4916">
        <f>SUM(U6:U7)</f>
        <v>88387</v>
      </c>
      <c r="V9" s="4916">
        <f>SUM(V6:V7)</f>
        <v>89054</v>
      </c>
      <c r="W9" s="4916">
        <f>SUM(W6:W7)</f>
        <v>91613</v>
      </c>
      <c r="X9" s="4916">
        <f>SUM(X6:X7)</f>
        <v>97280</v>
      </c>
      <c r="Y9" s="5602">
        <f>SUM(Y6:Y8)</f>
        <v>0</v>
      </c>
      <c r="Z9" s="5602"/>
      <c r="AA9" s="5602"/>
      <c r="AB9" s="5603">
        <f>SUM(AB6:AB8)</f>
        <v>77800</v>
      </c>
      <c r="AC9" s="5603"/>
      <c r="AD9" s="5603"/>
      <c r="AE9" s="5604">
        <f>SUM(AE6:AE8)</f>
        <v>0</v>
      </c>
      <c r="AF9" s="5604"/>
      <c r="AG9" s="5604"/>
      <c r="AH9" s="4917"/>
      <c r="AI9" s="4917"/>
      <c r="AJ9" s="4918"/>
      <c r="AK9" s="4875"/>
    </row>
    <row r="10" spans="2:37">
      <c r="B10" s="44"/>
      <c r="K10" s="4764"/>
      <c r="L10" s="4764"/>
      <c r="M10" s="4765"/>
      <c r="N10" s="4765"/>
      <c r="P10" s="4766"/>
      <c r="S10" s="4767"/>
      <c r="U10" s="4776">
        <f>U9/T9-1</f>
        <v>2.127192475677675E-2</v>
      </c>
      <c r="V10" s="4776">
        <f>V9/U9-1</f>
        <v>7.5463586274000516E-3</v>
      </c>
      <c r="W10" s="4776">
        <f>W9/V9-1</f>
        <v>2.8735374042715645E-2</v>
      </c>
      <c r="X10" s="4776">
        <f>X9/W9-1</f>
        <v>6.1858033248556321E-2</v>
      </c>
      <c r="Y10" s="5600">
        <f>Y9/X9-1</f>
        <v>-1</v>
      </c>
      <c r="Z10" s="5600"/>
      <c r="AA10" s="5600"/>
      <c r="AB10" s="5569" t="e">
        <f>AB9/Y9-1</f>
        <v>#DIV/0!</v>
      </c>
      <c r="AC10" s="5569"/>
      <c r="AD10" s="5569"/>
      <c r="AE10" s="5570">
        <f>AE9/AB9-1</f>
        <v>-1</v>
      </c>
      <c r="AF10" s="5570"/>
      <c r="AG10" s="5570"/>
      <c r="AH10" s="4777"/>
      <c r="AI10" s="4777"/>
      <c r="AJ10" s="4919"/>
    </row>
    <row r="11" spans="2:37">
      <c r="B11" s="44"/>
      <c r="E11" s="4776"/>
      <c r="F11" s="4776">
        <f>F6/E6-1</f>
        <v>0.1129594423320659</v>
      </c>
      <c r="G11" s="4776">
        <f>G6/F6-1</f>
        <v>2.1352313167259718E-2</v>
      </c>
      <c r="H11" s="4776">
        <f>H6/G6-1</f>
        <v>2.0000000000000018E-2</v>
      </c>
      <c r="J11" s="4776">
        <f>J6/H6-1</f>
        <v>-0.87647742023638719</v>
      </c>
      <c r="K11" s="4920">
        <f>K6/I6-1</f>
        <v>9.0986301369863014</v>
      </c>
      <c r="L11" s="4920">
        <f>L6/J6-1</f>
        <v>11.372787610619469</v>
      </c>
      <c r="M11" s="4856">
        <f>M6/K6-1</f>
        <v>-1</v>
      </c>
      <c r="N11" s="4856">
        <f>N6/L6-1</f>
        <v>-1</v>
      </c>
      <c r="O11" s="4921"/>
      <c r="P11" s="4919"/>
      <c r="S11" s="44"/>
      <c r="AB11" s="4764"/>
      <c r="AC11" s="4764"/>
      <c r="AD11" s="4764"/>
      <c r="AE11" s="4765"/>
      <c r="AF11" s="4765"/>
      <c r="AG11" s="4765"/>
      <c r="AJ11" s="4766"/>
    </row>
    <row r="12" spans="2:37" ht="40.799999999999997">
      <c r="B12" s="44"/>
      <c r="E12" s="4875" t="s">
        <v>1936</v>
      </c>
      <c r="F12" s="4875" t="s">
        <v>1937</v>
      </c>
      <c r="G12" s="4875" t="s">
        <v>1938</v>
      </c>
      <c r="H12" s="4875"/>
      <c r="I12" s="5575" t="s">
        <v>1939</v>
      </c>
      <c r="J12" s="5575"/>
      <c r="K12" s="5573" t="s">
        <v>1864</v>
      </c>
      <c r="L12" s="5573"/>
      <c r="M12" s="4877"/>
      <c r="N12" s="4877"/>
      <c r="O12" s="4922"/>
      <c r="P12" s="4923"/>
      <c r="S12" s="44"/>
      <c r="T12" s="5589" t="s">
        <v>1940</v>
      </c>
      <c r="U12" s="5589"/>
      <c r="V12" s="5589"/>
      <c r="W12" s="5589"/>
      <c r="X12" s="4915" t="s">
        <v>1941</v>
      </c>
      <c r="Y12" s="4915" t="s">
        <v>1942</v>
      </c>
      <c r="Z12" s="4915"/>
      <c r="AA12" s="4915"/>
      <c r="AB12" s="4924"/>
      <c r="AC12" s="4915" t="s">
        <v>1943</v>
      </c>
      <c r="AD12" s="4924"/>
      <c r="AE12" s="4925"/>
      <c r="AF12" s="4925"/>
      <c r="AG12" s="4925"/>
      <c r="AH12" s="4915"/>
      <c r="AI12" s="4915"/>
      <c r="AJ12" s="4926"/>
    </row>
    <row r="13" spans="2:37">
      <c r="B13" s="44"/>
      <c r="K13" s="4764"/>
      <c r="L13" s="4764"/>
      <c r="M13" s="4765"/>
      <c r="N13" s="4765"/>
      <c r="P13" s="4766"/>
      <c r="S13" s="44"/>
      <c r="AB13" s="4764"/>
      <c r="AC13" s="4764"/>
      <c r="AD13" s="4764"/>
      <c r="AE13" s="4765"/>
      <c r="AF13" s="4765"/>
      <c r="AG13" s="4765"/>
      <c r="AJ13" s="4766"/>
    </row>
    <row r="14" spans="2:37">
      <c r="B14" s="4806" t="s">
        <v>1867</v>
      </c>
      <c r="C14" s="4755"/>
      <c r="D14" s="4755"/>
      <c r="E14" s="4755">
        <f t="shared" ref="E14:N14" si="0">E6/4</f>
        <v>1578</v>
      </c>
      <c r="F14" s="4755">
        <f t="shared" si="0"/>
        <v>1756.25</v>
      </c>
      <c r="G14" s="4755">
        <f t="shared" si="0"/>
        <v>1793.75</v>
      </c>
      <c r="H14" s="4755">
        <f t="shared" si="0"/>
        <v>1829.625</v>
      </c>
      <c r="I14" s="4755">
        <f t="shared" si="0"/>
        <v>182.5</v>
      </c>
      <c r="J14" s="4755">
        <f t="shared" si="0"/>
        <v>226</v>
      </c>
      <c r="K14" s="4753">
        <f t="shared" si="0"/>
        <v>1843</v>
      </c>
      <c r="L14" s="4753">
        <f t="shared" si="0"/>
        <v>2796.25</v>
      </c>
      <c r="M14" s="4754">
        <f t="shared" si="0"/>
        <v>0</v>
      </c>
      <c r="N14" s="4754">
        <f t="shared" si="0"/>
        <v>0</v>
      </c>
      <c r="O14" s="4755"/>
      <c r="P14" s="4809"/>
      <c r="S14" s="4806" t="s">
        <v>1867</v>
      </c>
      <c r="T14" s="4755">
        <f t="shared" ref="T14:Y14" si="1">(T9)/4</f>
        <v>21636.5</v>
      </c>
      <c r="U14" s="4755">
        <f t="shared" si="1"/>
        <v>22096.75</v>
      </c>
      <c r="V14" s="4755">
        <f t="shared" si="1"/>
        <v>22263.5</v>
      </c>
      <c r="W14" s="4755">
        <f t="shared" si="1"/>
        <v>22903.25</v>
      </c>
      <c r="X14" s="4755">
        <f t="shared" si="1"/>
        <v>24320</v>
      </c>
      <c r="Y14" s="4755">
        <f t="shared" si="1"/>
        <v>0</v>
      </c>
      <c r="Z14" s="4755"/>
      <c r="AA14" s="4755"/>
      <c r="AB14" s="5564">
        <f>(AB9)/4</f>
        <v>19450</v>
      </c>
      <c r="AC14" s="5564"/>
      <c r="AD14" s="5564"/>
      <c r="AE14" s="5565">
        <f>(AE9)/4</f>
        <v>0</v>
      </c>
      <c r="AF14" s="5565"/>
      <c r="AG14" s="5565"/>
      <c r="AH14" s="4808"/>
      <c r="AI14" s="4808"/>
      <c r="AJ14" s="4809"/>
    </row>
    <row r="15" spans="2:37" ht="15" thickBot="1">
      <c r="B15" s="4927" t="s">
        <v>1856</v>
      </c>
      <c r="C15" s="4892"/>
      <c r="D15" s="4892"/>
      <c r="E15" s="4892"/>
      <c r="F15" s="4824"/>
      <c r="G15" s="4824"/>
      <c r="H15" s="4824"/>
      <c r="I15" s="4824"/>
      <c r="J15" s="4824"/>
      <c r="K15" s="4824"/>
      <c r="L15" s="4824"/>
      <c r="M15" s="4824"/>
      <c r="N15" s="4824"/>
      <c r="O15" s="4824"/>
      <c r="P15" s="4825"/>
      <c r="S15" s="4823"/>
      <c r="T15" s="4824"/>
      <c r="U15" s="4824"/>
      <c r="V15" s="4824"/>
      <c r="W15" s="4824"/>
      <c r="X15" s="4824"/>
      <c r="Y15" s="4824"/>
      <c r="Z15" s="4824"/>
      <c r="AA15" s="4824"/>
      <c r="AB15" s="4824"/>
      <c r="AC15" s="4824"/>
      <c r="AD15" s="4824"/>
      <c r="AE15" s="4824"/>
      <c r="AF15" s="4824"/>
      <c r="AG15" s="4824"/>
      <c r="AH15" s="4824"/>
      <c r="AI15" s="4824"/>
      <c r="AJ15" s="4825"/>
    </row>
    <row r="16" spans="2:37">
      <c r="B16" s="4775"/>
      <c r="C16" s="4755"/>
      <c r="D16" s="4755"/>
      <c r="E16" s="4755"/>
      <c r="F16" s="4755"/>
    </row>
    <row r="17" spans="19:36" ht="15" thickBot="1"/>
    <row r="18" spans="19:36" s="4932" customFormat="1">
      <c r="S18" s="4928"/>
      <c r="T18" s="4929"/>
      <c r="U18" s="4929"/>
      <c r="V18" s="4929"/>
      <c r="W18" s="4930"/>
      <c r="X18" s="4930"/>
      <c r="Y18" s="5596" t="s">
        <v>1404</v>
      </c>
      <c r="Z18" s="5596"/>
      <c r="AA18" s="5596"/>
      <c r="AB18" s="5597">
        <v>2021</v>
      </c>
      <c r="AC18" s="5597"/>
      <c r="AD18" s="5597"/>
      <c r="AE18" s="4930"/>
      <c r="AF18" s="4930"/>
      <c r="AG18" s="4930"/>
      <c r="AH18" s="4930"/>
      <c r="AI18" s="4930"/>
      <c r="AJ18" s="4931"/>
    </row>
    <row r="19" spans="19:36" s="4932" customFormat="1">
      <c r="S19" s="4933"/>
      <c r="W19" s="4934"/>
      <c r="X19" s="4934"/>
      <c r="Y19" s="5598" t="s">
        <v>1932</v>
      </c>
      <c r="Z19" s="5598"/>
      <c r="AA19" s="5598"/>
      <c r="AB19" s="5599"/>
      <c r="AC19" s="5599"/>
      <c r="AD19" s="5599"/>
      <c r="AE19" s="4934"/>
      <c r="AF19" s="4934"/>
      <c r="AG19" s="4934"/>
      <c r="AH19" s="4934"/>
      <c r="AI19" s="4934"/>
      <c r="AJ19" s="4935"/>
    </row>
    <row r="20" spans="19:36" s="4932" customFormat="1" ht="36">
      <c r="S20" s="4933" t="s">
        <v>1944</v>
      </c>
      <c r="Y20" s="4934" t="s">
        <v>1945</v>
      </c>
      <c r="Z20" s="4934" t="s">
        <v>1946</v>
      </c>
      <c r="AA20" s="4934" t="s">
        <v>1947</v>
      </c>
      <c r="AB20" s="4936" t="s">
        <v>1948</v>
      </c>
      <c r="AC20" s="4936" t="s">
        <v>1949</v>
      </c>
      <c r="AD20" s="4936" t="s">
        <v>1947</v>
      </c>
      <c r="AJ20" s="4935"/>
    </row>
    <row r="21" spans="19:36">
      <c r="S21" s="44"/>
      <c r="Y21" s="40" t="s">
        <v>1950</v>
      </c>
      <c r="Z21" s="40" t="s">
        <v>1950</v>
      </c>
      <c r="AA21" s="40"/>
      <c r="AB21" s="4937"/>
      <c r="AC21" s="4937"/>
      <c r="AD21" s="4937"/>
      <c r="AJ21" s="4938"/>
    </row>
    <row r="22" spans="19:36">
      <c r="S22" s="44" t="s">
        <v>1951</v>
      </c>
      <c r="Y22" s="317">
        <f>3235+11779+18359+21031-21031</f>
        <v>33373</v>
      </c>
      <c r="Z22" s="317">
        <f>4503+15132+19224+16441-16441</f>
        <v>38859</v>
      </c>
      <c r="AA22" s="317">
        <f>Y22-Z22</f>
        <v>-5486</v>
      </c>
      <c r="AB22" s="4871"/>
      <c r="AC22" s="4871"/>
      <c r="AD22" s="4871"/>
      <c r="AJ22" s="4874"/>
    </row>
    <row r="23" spans="19:36">
      <c r="S23" s="44" t="s">
        <v>1952</v>
      </c>
      <c r="Y23" s="317">
        <f>179+13428+16176+7399-7399</f>
        <v>29783</v>
      </c>
      <c r="Z23" s="317">
        <f>106+11259+10648+7528-7528</f>
        <v>22013</v>
      </c>
      <c r="AA23" s="317">
        <f>Y23-Z23</f>
        <v>7770</v>
      </c>
      <c r="AB23" s="4871"/>
      <c r="AC23" s="4871"/>
      <c r="AD23" s="4871"/>
      <c r="AJ23" s="4874"/>
    </row>
    <row r="24" spans="19:36">
      <c r="S24" s="44" t="s">
        <v>1953</v>
      </c>
      <c r="Y24" s="317">
        <f>1898+10289+9840+5650-5650</f>
        <v>22027</v>
      </c>
      <c r="Z24" s="317">
        <f>2293+9794+5132+4493-4493</f>
        <v>17219</v>
      </c>
      <c r="AA24" s="317">
        <f>Y24-Z24</f>
        <v>4808</v>
      </c>
      <c r="AB24" s="4871"/>
      <c r="AC24" s="4871"/>
      <c r="AD24" s="4871"/>
      <c r="AJ24" s="4874"/>
    </row>
    <row r="25" spans="19:36" ht="15" thickBot="1">
      <c r="S25" s="44" t="s">
        <v>1954</v>
      </c>
      <c r="Y25" s="4939">
        <f>6460+11036+9057+11311-11311</f>
        <v>26553</v>
      </c>
      <c r="Z25" s="4939">
        <f>6009+12935+13512+10832-10832</f>
        <v>32456</v>
      </c>
      <c r="AA25" s="4939">
        <f>Y25-Z25</f>
        <v>-5903</v>
      </c>
      <c r="AB25" s="4940"/>
      <c r="AC25" s="4940"/>
      <c r="AD25" s="4940"/>
      <c r="AE25" s="4939"/>
      <c r="AF25" s="4939"/>
      <c r="AG25" s="4939"/>
      <c r="AH25" s="4939"/>
      <c r="AI25" s="4939"/>
      <c r="AJ25" s="4941"/>
    </row>
    <row r="26" spans="19:36" ht="15" thickTop="1">
      <c r="S26" s="44"/>
      <c r="Y26" s="4942">
        <f>SUM(Y22:Y25)</f>
        <v>111736</v>
      </c>
      <c r="Z26" s="4942">
        <f>SUM(Z22:Z25)</f>
        <v>110547</v>
      </c>
      <c r="AA26" s="4942">
        <f>Y26-Z26</f>
        <v>1189</v>
      </c>
      <c r="AB26" s="4943">
        <f>SUM(AB22:AB25)</f>
        <v>0</v>
      </c>
      <c r="AC26" s="4943">
        <f>SUM(AC22:AC25)</f>
        <v>0</v>
      </c>
      <c r="AD26" s="4943">
        <f>AB26-AC26</f>
        <v>0</v>
      </c>
      <c r="AJ26" s="4944"/>
    </row>
    <row r="27" spans="19:36" ht="15" thickBot="1">
      <c r="S27" s="4823"/>
      <c r="T27" s="4824"/>
      <c r="U27" s="4824"/>
      <c r="V27" s="4824"/>
      <c r="W27" s="4945"/>
      <c r="X27" s="4945"/>
      <c r="Y27" s="4946" t="s">
        <v>1942</v>
      </c>
      <c r="Z27" s="4946"/>
      <c r="AA27" s="4946"/>
      <c r="AB27" s="4947"/>
      <c r="AC27" s="4947"/>
      <c r="AD27" s="4947"/>
      <c r="AE27" s="4945"/>
      <c r="AF27" s="4945"/>
      <c r="AG27" s="4945"/>
      <c r="AH27" s="4945"/>
      <c r="AI27" s="4945"/>
      <c r="AJ27" s="4948"/>
    </row>
    <row r="28" spans="19:36">
      <c r="W28" s="4942"/>
      <c r="X28" s="4942"/>
      <c r="Y28" s="4942"/>
      <c r="Z28" s="4942"/>
      <c r="AA28" s="4942"/>
      <c r="AB28" s="4942"/>
      <c r="AC28" s="4942"/>
      <c r="AD28" s="4942"/>
      <c r="AE28" s="4942"/>
      <c r="AF28" s="4942"/>
      <c r="AG28" s="4942"/>
      <c r="AH28" s="4942"/>
      <c r="AI28" s="4942"/>
      <c r="AJ28" s="4942"/>
    </row>
    <row r="30" spans="19:36" ht="14.4" customHeight="1"/>
    <row r="42" spans="9:15">
      <c r="I42" s="43"/>
      <c r="J42" s="43"/>
      <c r="K42" s="43"/>
      <c r="L42" s="43"/>
      <c r="M42" s="43"/>
      <c r="N42" s="43"/>
      <c r="O42" s="43"/>
    </row>
  </sheetData>
  <mergeCells count="42">
    <mergeCell ref="AE4:AG4"/>
    <mergeCell ref="I3:J3"/>
    <mergeCell ref="K3:L3"/>
    <mergeCell ref="M3:N3"/>
    <mergeCell ref="Y3:AA3"/>
    <mergeCell ref="AB3:AD3"/>
    <mergeCell ref="AE3:AG3"/>
    <mergeCell ref="I4:J4"/>
    <mergeCell ref="K4:L4"/>
    <mergeCell ref="M4:N4"/>
    <mergeCell ref="Y4:AA4"/>
    <mergeCell ref="AB4:AD4"/>
    <mergeCell ref="AE7:AG7"/>
    <mergeCell ref="Y5:AA5"/>
    <mergeCell ref="AB5:AD5"/>
    <mergeCell ref="AE5:AG5"/>
    <mergeCell ref="Y6:AA6"/>
    <mergeCell ref="AB6:AD6"/>
    <mergeCell ref="AE6:AG6"/>
    <mergeCell ref="I7:J7"/>
    <mergeCell ref="K7:L7"/>
    <mergeCell ref="M7:N7"/>
    <mergeCell ref="Y7:AA7"/>
    <mergeCell ref="AB7:AD7"/>
    <mergeCell ref="Y8:AA8"/>
    <mergeCell ref="AB8:AD8"/>
    <mergeCell ref="AE8:AG8"/>
    <mergeCell ref="Y9:AA9"/>
    <mergeCell ref="AB9:AD9"/>
    <mergeCell ref="AE9:AG9"/>
    <mergeCell ref="Y10:AA10"/>
    <mergeCell ref="AB10:AD10"/>
    <mergeCell ref="AE10:AG10"/>
    <mergeCell ref="I12:J12"/>
    <mergeCell ref="K12:L12"/>
    <mergeCell ref="T12:W12"/>
    <mergeCell ref="AB14:AD14"/>
    <mergeCell ref="AE14:AG14"/>
    <mergeCell ref="Y18:AA18"/>
    <mergeCell ref="AB18:AD18"/>
    <mergeCell ref="Y19:AA19"/>
    <mergeCell ref="AB19:AD19"/>
  </mergeCells>
  <pageMargins left="0.70866141732283472" right="0.70866141732283472" top="0.74803149606299213" bottom="0.74803149606299213" header="0.31496062992125984" footer="0.31496062992125984"/>
  <pageSetup paperSize="9" scale="77" orientation="landscape" verticalDpi="597" r:id="rId1"/>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355660-02D4-4B3C-9762-028E1A87C921}">
  <sheetPr>
    <tabColor rgb="FF7030A0"/>
    <pageSetUpPr fitToPage="1"/>
  </sheetPr>
  <dimension ref="B1:U18"/>
  <sheetViews>
    <sheetView workbookViewId="0">
      <selection sqref="A1:XFD3"/>
    </sheetView>
  </sheetViews>
  <sheetFormatPr baseColWidth="10" defaultRowHeight="14.4"/>
  <cols>
    <col min="1" max="1" width="2.33203125" customWidth="1"/>
    <col min="2" max="2" width="27.88671875" customWidth="1"/>
    <col min="3" max="3" width="9.88671875" bestFit="1" customWidth="1"/>
    <col min="4" max="4" width="12.109375" bestFit="1" customWidth="1"/>
    <col min="5" max="5" width="9.88671875" bestFit="1" customWidth="1"/>
    <col min="6" max="6" width="12.109375" bestFit="1" customWidth="1"/>
    <col min="7" max="8" width="12.88671875" customWidth="1"/>
    <col min="9" max="11" width="7.6640625" customWidth="1"/>
    <col min="12" max="12" width="8.109375" customWidth="1"/>
    <col min="13" max="13" width="22.6640625" customWidth="1"/>
    <col min="14" max="20" width="11.109375" customWidth="1"/>
    <col min="21" max="21" width="14.6640625" customWidth="1"/>
  </cols>
  <sheetData>
    <row r="1" spans="2:21" s="45" customFormat="1">
      <c r="B1" s="4727" t="s">
        <v>1955</v>
      </c>
      <c r="C1" s="4728"/>
      <c r="D1" s="4728"/>
      <c r="E1" s="4729"/>
      <c r="F1" s="4729"/>
      <c r="G1" s="4729"/>
      <c r="H1" s="4729"/>
      <c r="I1" s="4729"/>
      <c r="J1" s="4729"/>
      <c r="K1" s="4730"/>
      <c r="M1" s="4731" t="s">
        <v>1956</v>
      </c>
      <c r="N1" s="4733"/>
      <c r="O1" s="4733"/>
      <c r="P1" s="4733"/>
      <c r="Q1" s="4733"/>
      <c r="R1" s="4733"/>
      <c r="S1" s="4733"/>
      <c r="T1" s="4733"/>
      <c r="U1" s="4730"/>
    </row>
    <row r="2" spans="2:21" s="45" customFormat="1">
      <c r="B2" s="4734"/>
      <c r="C2" s="4735"/>
      <c r="D2" s="4735"/>
      <c r="K2" s="4736"/>
      <c r="M2" s="4737"/>
      <c r="N2" s="4739"/>
      <c r="O2" s="4739"/>
      <c r="P2" s="4739"/>
      <c r="Q2" s="4739"/>
      <c r="R2" s="4739"/>
      <c r="S2" s="4739"/>
      <c r="T2" s="4739"/>
      <c r="U2" s="4736"/>
    </row>
    <row r="3" spans="2:21">
      <c r="B3" s="44"/>
      <c r="C3" s="5615">
        <v>2020</v>
      </c>
      <c r="D3" s="5615"/>
      <c r="E3" s="5616">
        <v>2021</v>
      </c>
      <c r="F3" s="5616"/>
      <c r="G3" s="5617">
        <v>2022</v>
      </c>
      <c r="H3" s="5617"/>
      <c r="K3" s="4766"/>
      <c r="M3" s="44"/>
      <c r="N3" s="5615">
        <v>2020</v>
      </c>
      <c r="O3" s="5615"/>
      <c r="P3" s="5616">
        <v>2021</v>
      </c>
      <c r="Q3" s="5616"/>
      <c r="R3" s="5617">
        <v>2022</v>
      </c>
      <c r="S3" s="5617"/>
      <c r="T3" s="4576"/>
      <c r="U3" s="4766"/>
    </row>
    <row r="4" spans="2:21" s="2977" customFormat="1">
      <c r="B4" s="4828"/>
      <c r="C4" s="5615" t="s">
        <v>1957</v>
      </c>
      <c r="D4" s="5615"/>
      <c r="E4" s="5616" t="s">
        <v>1958</v>
      </c>
      <c r="F4" s="5616"/>
      <c r="G4" s="5614"/>
      <c r="H4" s="5614"/>
      <c r="K4" s="4766"/>
      <c r="M4" s="315"/>
      <c r="N4" s="5615" t="s">
        <v>1957</v>
      </c>
      <c r="O4" s="5615"/>
      <c r="P4" s="5616" t="s">
        <v>1959</v>
      </c>
      <c r="Q4" s="5616"/>
      <c r="R4" s="5614"/>
      <c r="S4" s="5614"/>
      <c r="T4" s="4576"/>
      <c r="U4" s="4829"/>
    </row>
    <row r="5" spans="2:21" s="2977" customFormat="1" ht="48">
      <c r="B5" s="4828"/>
      <c r="C5" s="4814" t="s">
        <v>1882</v>
      </c>
      <c r="D5" s="4814" t="s">
        <v>1856</v>
      </c>
      <c r="E5" s="4745" t="s">
        <v>1882</v>
      </c>
      <c r="F5" s="4745" t="s">
        <v>1856</v>
      </c>
      <c r="G5" s="4746" t="s">
        <v>1882</v>
      </c>
      <c r="H5" s="4746" t="s">
        <v>1856</v>
      </c>
      <c r="K5" s="4766"/>
      <c r="M5" s="315"/>
      <c r="N5" s="42" t="s">
        <v>1960</v>
      </c>
      <c r="O5" s="42" t="s">
        <v>1961</v>
      </c>
      <c r="P5" s="4949" t="s">
        <v>1962</v>
      </c>
      <c r="Q5" s="4949" t="s">
        <v>1963</v>
      </c>
      <c r="R5" s="4950" t="s">
        <v>1964</v>
      </c>
      <c r="S5" s="4951" t="s">
        <v>1965</v>
      </c>
      <c r="U5" s="316"/>
    </row>
    <row r="6" spans="2:21">
      <c r="B6" s="4750" t="s">
        <v>1857</v>
      </c>
      <c r="C6" s="4752">
        <f>132+1037+387+864</f>
        <v>2420</v>
      </c>
      <c r="D6" s="4752">
        <f>282+580+538+753</f>
        <v>2153</v>
      </c>
      <c r="E6" s="4760">
        <v>2200</v>
      </c>
      <c r="F6" s="4760">
        <v>3000</v>
      </c>
      <c r="G6" s="4761"/>
      <c r="H6" s="4761"/>
      <c r="K6" s="4766"/>
      <c r="M6" s="4750" t="s">
        <v>1858</v>
      </c>
      <c r="N6" s="4952">
        <f>8400+8750+5400+3800</f>
        <v>26350</v>
      </c>
      <c r="O6" s="4758">
        <f>4293+4419+4167+3482</f>
        <v>16361</v>
      </c>
      <c r="P6" s="4953">
        <f>11700+14800+15350+10150</f>
        <v>52000</v>
      </c>
      <c r="Q6" s="4954">
        <f>8148+8424+8052+7932</f>
        <v>32556</v>
      </c>
      <c r="R6" s="4955"/>
      <c r="S6" s="4956"/>
      <c r="T6" s="4758"/>
      <c r="U6" s="4874"/>
    </row>
    <row r="7" spans="2:21">
      <c r="B7" s="44" t="s">
        <v>1966</v>
      </c>
      <c r="C7" s="5605">
        <f>SUM(C6:D6)</f>
        <v>4573</v>
      </c>
      <c r="D7" s="5605"/>
      <c r="E7" s="5607">
        <f>SUM(E6:F6)</f>
        <v>5200</v>
      </c>
      <c r="F7" s="5607"/>
      <c r="G7" s="5608">
        <f>SUM(G6:H6)</f>
        <v>0</v>
      </c>
      <c r="H7" s="5608"/>
      <c r="K7" s="4766"/>
      <c r="M7" s="4750" t="s">
        <v>1859</v>
      </c>
      <c r="N7" s="4952">
        <f>4000+3700+3700+2400</f>
        <v>13800</v>
      </c>
      <c r="O7" s="4758">
        <f>2313+2250+2169+1548</f>
        <v>8280</v>
      </c>
      <c r="P7" s="4953">
        <f>7400+9000+6900+6000</f>
        <v>29300</v>
      </c>
      <c r="Q7" s="4954">
        <f>4152+3876+3588+3624</f>
        <v>15240</v>
      </c>
      <c r="R7" s="4955"/>
      <c r="S7" s="4956"/>
      <c r="T7" s="4758"/>
      <c r="U7" s="4874"/>
    </row>
    <row r="8" spans="2:21">
      <c r="B8" s="44"/>
      <c r="E8" s="4764"/>
      <c r="F8" s="4764"/>
      <c r="G8" s="4765"/>
      <c r="H8" s="4765"/>
      <c r="K8" s="4766"/>
      <c r="M8" s="4767" t="s">
        <v>32</v>
      </c>
      <c r="N8" s="4957">
        <f>SUM(N6:N7)</f>
        <v>40150</v>
      </c>
      <c r="O8" s="4916">
        <f>O6+O7</f>
        <v>24641</v>
      </c>
      <c r="P8" s="4958">
        <f>SUM(P6:P7)</f>
        <v>81300</v>
      </c>
      <c r="Q8" s="4959">
        <f>Q6+Q7</f>
        <v>47796</v>
      </c>
      <c r="R8" s="4960">
        <f>SUM(R6:R7)</f>
        <v>0</v>
      </c>
      <c r="S8" s="4961">
        <f>S6+S7</f>
        <v>0</v>
      </c>
      <c r="T8" s="4916"/>
      <c r="U8" s="4918"/>
    </row>
    <row r="9" spans="2:21">
      <c r="B9" s="44"/>
      <c r="E9" s="4764"/>
      <c r="F9" s="4764"/>
      <c r="G9" s="4765"/>
      <c r="H9" s="4765"/>
      <c r="K9" s="4766"/>
      <c r="M9" s="4767"/>
      <c r="N9" s="4962" t="s">
        <v>1967</v>
      </c>
      <c r="O9" s="4963">
        <f>N8-O8</f>
        <v>15509</v>
      </c>
      <c r="P9" s="4964" t="s">
        <v>1967</v>
      </c>
      <c r="Q9" s="4965">
        <f>P8-Q8</f>
        <v>33504</v>
      </c>
      <c r="R9" s="4966" t="s">
        <v>1967</v>
      </c>
      <c r="S9" s="4967">
        <f>R8-S8</f>
        <v>0</v>
      </c>
      <c r="T9" s="4916"/>
      <c r="U9" s="4918"/>
    </row>
    <row r="10" spans="2:21" s="1019" customFormat="1" ht="10.199999999999999">
      <c r="B10" s="4968"/>
      <c r="C10" s="4969"/>
      <c r="D10" s="4969"/>
      <c r="E10" s="4970"/>
      <c r="F10" s="4970"/>
      <c r="G10" s="4971"/>
      <c r="H10" s="4971"/>
      <c r="K10" s="4972"/>
      <c r="M10" s="4973" t="s">
        <v>1968</v>
      </c>
      <c r="O10" s="4974">
        <f>O8/N8</f>
        <v>0.61372353673723534</v>
      </c>
      <c r="P10" s="4975"/>
      <c r="Q10" s="4976">
        <f>Q8/P8</f>
        <v>0.58789667896678965</v>
      </c>
      <c r="R10" s="4977"/>
      <c r="S10" s="4978" t="e">
        <f>S8/R8</f>
        <v>#DIV/0!</v>
      </c>
      <c r="T10" s="4979"/>
      <c r="U10" s="4972"/>
    </row>
    <row r="11" spans="2:21" ht="30.6" customHeight="1">
      <c r="B11" s="4774"/>
      <c r="C11" s="5585" t="s">
        <v>1969</v>
      </c>
      <c r="D11" s="5585"/>
      <c r="E11" s="5573" t="s">
        <v>873</v>
      </c>
      <c r="F11" s="5573"/>
      <c r="G11" s="5574"/>
      <c r="H11" s="5574"/>
      <c r="K11" s="4766"/>
      <c r="M11" s="44"/>
      <c r="N11" s="5576" t="s">
        <v>1970</v>
      </c>
      <c r="O11" s="5576"/>
      <c r="P11" s="5612" t="s">
        <v>1971</v>
      </c>
      <c r="Q11" s="5612"/>
      <c r="R11" s="5613"/>
      <c r="S11" s="5613"/>
      <c r="T11" s="4864"/>
      <c r="U11" s="4980"/>
    </row>
    <row r="12" spans="2:21">
      <c r="B12" s="4774"/>
      <c r="C12" s="4981"/>
      <c r="D12" s="4981"/>
      <c r="E12" s="4982"/>
      <c r="F12" s="4982"/>
      <c r="G12" s="4983"/>
      <c r="H12" s="4983"/>
      <c r="K12" s="4766"/>
      <c r="M12" s="44"/>
      <c r="N12" s="4962"/>
      <c r="O12" s="4962"/>
      <c r="P12" s="4964"/>
      <c r="Q12" s="4964"/>
      <c r="R12" s="4966"/>
      <c r="S12" s="4966"/>
      <c r="T12" s="4962"/>
      <c r="U12" s="4766"/>
    </row>
    <row r="13" spans="2:21">
      <c r="B13" s="4774"/>
      <c r="C13" s="4981"/>
      <c r="D13" s="4981"/>
      <c r="E13" s="4982"/>
      <c r="F13" s="4982"/>
      <c r="G13" s="4983"/>
      <c r="H13" s="4983"/>
      <c r="K13" s="4766"/>
      <c r="M13" s="44"/>
      <c r="N13" s="4962"/>
      <c r="O13" s="4962"/>
      <c r="P13" s="4964"/>
      <c r="Q13" s="4964"/>
      <c r="R13" s="4966"/>
      <c r="S13" s="4966"/>
      <c r="T13" s="4962"/>
      <c r="U13" s="4766"/>
    </row>
    <row r="14" spans="2:21">
      <c r="B14" s="4806" t="s">
        <v>1867</v>
      </c>
      <c r="C14" s="4755">
        <f t="shared" ref="C14:H14" si="0">C6/4</f>
        <v>605</v>
      </c>
      <c r="D14" s="4755">
        <f t="shared" si="0"/>
        <v>538.25</v>
      </c>
      <c r="E14" s="4753">
        <f t="shared" si="0"/>
        <v>550</v>
      </c>
      <c r="F14" s="4753">
        <f t="shared" si="0"/>
        <v>750</v>
      </c>
      <c r="G14" s="4754">
        <f t="shared" si="0"/>
        <v>0</v>
      </c>
      <c r="H14" s="4754">
        <f t="shared" si="0"/>
        <v>0</v>
      </c>
      <c r="K14" s="4766"/>
      <c r="M14" s="4806" t="s">
        <v>1867</v>
      </c>
      <c r="N14" s="4755"/>
      <c r="O14" s="4755">
        <f>(O6+O7)/4</f>
        <v>6160.25</v>
      </c>
      <c r="P14" s="4753"/>
      <c r="Q14" s="4753">
        <f>(Q6+Q7)/4</f>
        <v>11949</v>
      </c>
      <c r="R14" s="4754"/>
      <c r="S14" s="4754">
        <f>(S6+S7)/4</f>
        <v>0</v>
      </c>
      <c r="T14" s="4755"/>
      <c r="U14" s="4874"/>
    </row>
    <row r="15" spans="2:21">
      <c r="B15" s="4984" t="s">
        <v>1972</v>
      </c>
      <c r="C15" s="4985"/>
      <c r="D15" s="4985"/>
      <c r="E15" s="4986"/>
      <c r="F15" s="4986"/>
      <c r="G15" s="4987"/>
      <c r="H15" s="4987"/>
      <c r="K15" s="4766"/>
      <c r="M15" s="4984" t="s">
        <v>1972</v>
      </c>
      <c r="N15" s="4985"/>
      <c r="O15" s="4985"/>
      <c r="P15" s="4988"/>
      <c r="Q15" s="4986">
        <f>Q14/O14</f>
        <v>1.9396940059250842</v>
      </c>
      <c r="R15" s="4989"/>
      <c r="S15" s="4987">
        <f>S14/Q14</f>
        <v>0</v>
      </c>
      <c r="T15" s="4755"/>
      <c r="U15" s="4874"/>
    </row>
    <row r="16" spans="2:21">
      <c r="B16" s="4806"/>
      <c r="C16" s="4755"/>
      <c r="D16" s="4755"/>
      <c r="E16" s="4753"/>
      <c r="F16" s="4753"/>
      <c r="G16" s="4754"/>
      <c r="H16" s="4754"/>
      <c r="K16" s="4766"/>
      <c r="M16" s="4806"/>
      <c r="N16" s="4755"/>
      <c r="O16" s="4755"/>
      <c r="P16" s="4753"/>
      <c r="Q16" s="4753"/>
      <c r="R16" s="4754"/>
      <c r="S16" s="4754"/>
      <c r="T16" s="4755"/>
      <c r="U16" s="4874"/>
    </row>
    <row r="17" spans="2:21" s="229" customFormat="1" ht="10.199999999999999">
      <c r="B17" s="4984"/>
      <c r="C17" s="4985"/>
      <c r="D17" s="4985"/>
      <c r="E17" s="4986"/>
      <c r="F17" s="4986"/>
      <c r="G17" s="4987"/>
      <c r="H17" s="4987"/>
      <c r="K17" s="4990"/>
      <c r="M17" s="4984"/>
      <c r="N17" s="4985"/>
      <c r="O17" s="4985"/>
      <c r="P17" s="4988"/>
      <c r="Q17" s="4986"/>
      <c r="R17" s="4989"/>
      <c r="S17" s="4987"/>
      <c r="T17" s="4985"/>
      <c r="U17" s="4991"/>
    </row>
    <row r="18" spans="2:21" s="1019" customFormat="1" ht="10.8" thickBot="1">
      <c r="B18" s="4992"/>
      <c r="C18" s="4993"/>
      <c r="D18" s="4993"/>
      <c r="E18" s="4993"/>
      <c r="F18" s="4993"/>
      <c r="G18" s="4993"/>
      <c r="H18" s="4993"/>
      <c r="I18" s="4993"/>
      <c r="J18" s="4993"/>
      <c r="K18" s="4994"/>
      <c r="M18" s="4995"/>
      <c r="N18" s="4993"/>
      <c r="O18" s="4996"/>
      <c r="P18" s="4993"/>
      <c r="Q18" s="4996"/>
      <c r="R18" s="4993"/>
      <c r="S18" s="4993"/>
      <c r="T18" s="4993"/>
      <c r="U18" s="4994"/>
    </row>
  </sheetData>
  <mergeCells count="21">
    <mergeCell ref="R4:S4"/>
    <mergeCell ref="C3:D3"/>
    <mergeCell ref="E3:F3"/>
    <mergeCell ref="G3:H3"/>
    <mergeCell ref="N3:O3"/>
    <mergeCell ref="P3:Q3"/>
    <mergeCell ref="R3:S3"/>
    <mergeCell ref="C4:D4"/>
    <mergeCell ref="E4:F4"/>
    <mergeCell ref="G4:H4"/>
    <mergeCell ref="N4:O4"/>
    <mergeCell ref="P4:Q4"/>
    <mergeCell ref="N11:O11"/>
    <mergeCell ref="P11:Q11"/>
    <mergeCell ref="R11:S11"/>
    <mergeCell ref="C7:D7"/>
    <mergeCell ref="E7:F7"/>
    <mergeCell ref="G7:H7"/>
    <mergeCell ref="C11:D11"/>
    <mergeCell ref="E11:F11"/>
    <mergeCell ref="G11:H11"/>
  </mergeCells>
  <pageMargins left="0.70866141732283472" right="0.70866141732283472" top="0.74803149606299213" bottom="0.74803149606299213" header="0.31496062992125984" footer="0.31496062992125984"/>
  <pageSetup paperSize="9" scale="56" orientation="landscape" verticalDpi="597"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E096D6-03F8-4660-8B48-073234B13493}">
  <sheetPr>
    <tabColor rgb="FF7030A0"/>
    <pageSetUpPr fitToPage="1"/>
  </sheetPr>
  <dimension ref="B1:AC16"/>
  <sheetViews>
    <sheetView zoomScale="90" zoomScaleNormal="90" workbookViewId="0">
      <selection sqref="A1:XFD3"/>
    </sheetView>
  </sheetViews>
  <sheetFormatPr baseColWidth="10" defaultRowHeight="14.4"/>
  <cols>
    <col min="1" max="1" width="2.33203125" customWidth="1"/>
    <col min="2" max="2" width="34.5546875" customWidth="1"/>
    <col min="3" max="3" width="2.21875" bestFit="1" customWidth="1"/>
    <col min="4" max="4" width="11.5546875" hidden="1" customWidth="1"/>
    <col min="5" max="7" width="11.5546875" customWidth="1"/>
    <col min="13" max="14" width="12.109375" customWidth="1"/>
    <col min="15" max="17" width="9" customWidth="1"/>
    <col min="18" max="18" width="8.109375" customWidth="1"/>
    <col min="19" max="19" width="22.6640625" customWidth="1"/>
    <col min="20" max="23" width="11.109375" hidden="1" customWidth="1"/>
    <col min="24" max="25" width="14.6640625" customWidth="1"/>
    <col min="26" max="26" width="18.33203125" bestFit="1" customWidth="1"/>
    <col min="27" max="29" width="23.109375" customWidth="1"/>
  </cols>
  <sheetData>
    <row r="1" spans="2:29" s="45" customFormat="1">
      <c r="B1" s="4727" t="s">
        <v>1973</v>
      </c>
      <c r="C1" s="4729"/>
      <c r="D1" s="4729"/>
      <c r="E1" s="4729"/>
      <c r="F1" s="4729"/>
      <c r="G1" s="4729"/>
      <c r="H1" s="4729"/>
      <c r="I1" s="4729"/>
      <c r="J1" s="4729"/>
      <c r="K1" s="4729"/>
      <c r="L1" s="4729"/>
      <c r="M1" s="4729"/>
      <c r="N1" s="4729"/>
      <c r="O1" s="4729"/>
      <c r="P1" s="4729"/>
      <c r="Q1" s="4730"/>
      <c r="S1" s="4731" t="s">
        <v>1974</v>
      </c>
      <c r="T1" s="4733"/>
      <c r="U1" s="4733"/>
      <c r="V1" s="4733"/>
      <c r="W1" s="4729"/>
      <c r="X1" s="4729"/>
      <c r="Y1" s="4729"/>
      <c r="Z1" s="4729"/>
      <c r="AA1" s="4729"/>
      <c r="AB1" s="4729"/>
      <c r="AC1" s="4730"/>
    </row>
    <row r="2" spans="2:29">
      <c r="B2" s="44"/>
      <c r="Q2" s="4766"/>
      <c r="S2" s="44"/>
      <c r="AC2" s="4766"/>
    </row>
    <row r="3" spans="2:29" s="2977" customFormat="1">
      <c r="B3" s="4828"/>
      <c r="C3" s="4814"/>
      <c r="D3" s="4814"/>
      <c r="E3" s="4814">
        <v>2016</v>
      </c>
      <c r="F3" s="4814">
        <v>2017</v>
      </c>
      <c r="G3" s="4814" t="s">
        <v>820</v>
      </c>
      <c r="H3" s="4814" t="s">
        <v>875</v>
      </c>
      <c r="I3" s="5622">
        <v>2020</v>
      </c>
      <c r="J3" s="5622"/>
      <c r="K3" s="5616">
        <v>2021</v>
      </c>
      <c r="L3" s="5616"/>
      <c r="M3" s="5617">
        <v>2022</v>
      </c>
      <c r="N3" s="5617"/>
      <c r="O3" s="4576"/>
      <c r="P3" s="4576"/>
      <c r="Q3" s="316"/>
      <c r="S3" s="315"/>
      <c r="T3" s="4576">
        <v>2015</v>
      </c>
      <c r="U3" s="4576">
        <v>2016</v>
      </c>
      <c r="V3" s="4576">
        <v>2017</v>
      </c>
      <c r="W3" s="4814">
        <v>2018</v>
      </c>
      <c r="X3" s="4814">
        <v>2019</v>
      </c>
      <c r="Y3" s="4814">
        <v>2020</v>
      </c>
      <c r="Z3" s="4810">
        <v>2021</v>
      </c>
      <c r="AA3" s="4818">
        <v>2022</v>
      </c>
      <c r="AB3" s="4814"/>
      <c r="AC3" s="4829"/>
    </row>
    <row r="4" spans="2:29" s="2977" customFormat="1">
      <c r="B4" s="4828"/>
      <c r="C4" s="4814"/>
      <c r="D4" s="4814"/>
      <c r="E4" s="4814" t="s">
        <v>1975</v>
      </c>
      <c r="F4" s="4814" t="s">
        <v>1975</v>
      </c>
      <c r="G4" s="4814" t="s">
        <v>1976</v>
      </c>
      <c r="H4" s="4814" t="s">
        <v>1976</v>
      </c>
      <c r="I4" s="5622" t="s">
        <v>1977</v>
      </c>
      <c r="J4" s="5622"/>
      <c r="K4" s="5616" t="s">
        <v>1978</v>
      </c>
      <c r="L4" s="5616"/>
      <c r="M4" s="5614"/>
      <c r="N4" s="5614"/>
      <c r="O4" s="4576"/>
      <c r="P4" s="4576"/>
      <c r="Q4" s="316"/>
      <c r="S4" s="315"/>
      <c r="T4" s="4576" t="s">
        <v>1976</v>
      </c>
      <c r="U4" s="4576" t="s">
        <v>1976</v>
      </c>
      <c r="V4" s="4576" t="s">
        <v>1979</v>
      </c>
      <c r="W4" s="4814" t="s">
        <v>1976</v>
      </c>
      <c r="X4" s="4814" t="s">
        <v>1980</v>
      </c>
      <c r="Y4" s="4814" t="s">
        <v>1977</v>
      </c>
      <c r="Z4" s="4810" t="s">
        <v>1981</v>
      </c>
      <c r="AA4" s="4997"/>
      <c r="AB4" s="4814"/>
      <c r="AC4" s="4829"/>
    </row>
    <row r="5" spans="2:29" s="2977" customFormat="1">
      <c r="B5" s="4828"/>
      <c r="C5" s="4814"/>
      <c r="D5" s="4814"/>
      <c r="E5" s="4998" t="s">
        <v>1856</v>
      </c>
      <c r="F5" s="4998" t="s">
        <v>1856</v>
      </c>
      <c r="G5" s="4998" t="s">
        <v>1856</v>
      </c>
      <c r="H5" s="4998" t="s">
        <v>1856</v>
      </c>
      <c r="I5" s="4999" t="s">
        <v>1882</v>
      </c>
      <c r="J5" s="4998" t="s">
        <v>1856</v>
      </c>
      <c r="K5" s="5000" t="s">
        <v>1882</v>
      </c>
      <c r="L5" s="5001" t="s">
        <v>1856</v>
      </c>
      <c r="M5" s="5002" t="s">
        <v>1882</v>
      </c>
      <c r="N5" s="5003" t="s">
        <v>1856</v>
      </c>
      <c r="O5" s="4576"/>
      <c r="P5" s="4576"/>
      <c r="Q5" s="5004"/>
      <c r="S5" s="315"/>
      <c r="T5" s="4576"/>
      <c r="U5" s="4576"/>
      <c r="V5" s="4576"/>
      <c r="W5" s="4814"/>
      <c r="X5" s="4814"/>
      <c r="Y5" s="4814"/>
      <c r="Z5" s="4810"/>
      <c r="AA5" s="4818"/>
      <c r="AB5" s="4814"/>
      <c r="AC5" s="4829"/>
    </row>
    <row r="6" spans="2:29">
      <c r="B6" s="4750" t="s">
        <v>1857</v>
      </c>
      <c r="C6" s="4752"/>
      <c r="D6" s="4752"/>
      <c r="E6" s="4752">
        <v>5981</v>
      </c>
      <c r="F6" s="4752">
        <v>6110</v>
      </c>
      <c r="G6" s="4752">
        <v>6891</v>
      </c>
      <c r="H6" s="4752">
        <f>G6*1.02</f>
        <v>7028.82</v>
      </c>
      <c r="I6" s="5005">
        <f>724+389+587+921</f>
        <v>2621</v>
      </c>
      <c r="J6" s="5005">
        <f>554+683+727+921</f>
        <v>2885</v>
      </c>
      <c r="K6" s="4871">
        <f>2104+1469+1677+2003+2439</f>
        <v>9692</v>
      </c>
      <c r="L6" s="4871">
        <f>1903+1898+2272+2307+2900</f>
        <v>11280</v>
      </c>
      <c r="M6" s="4872"/>
      <c r="N6" s="4872"/>
      <c r="O6" s="4873"/>
      <c r="P6" s="4873"/>
      <c r="Q6" s="5006"/>
      <c r="S6" s="4750" t="s">
        <v>1858</v>
      </c>
      <c r="T6" s="4758">
        <f>11549+7843+8176+15477</f>
        <v>43045</v>
      </c>
      <c r="U6" s="4758">
        <f>12117+8269+8850+16668</f>
        <v>45904</v>
      </c>
      <c r="V6" s="4758">
        <f>12685+8695+9524+17859</f>
        <v>48763</v>
      </c>
      <c r="W6" s="4759">
        <f>13253+9121+10198+19050</f>
        <v>51622</v>
      </c>
      <c r="X6" s="317">
        <f>14448+12600+12012+12696</f>
        <v>51756</v>
      </c>
      <c r="Y6" s="317">
        <f>10527+9108+9097+10076</f>
        <v>38808</v>
      </c>
      <c r="Z6" s="4871">
        <f>9012+9216+7848+7896+7956+8076</f>
        <v>50004</v>
      </c>
      <c r="AA6" s="4872"/>
      <c r="AB6" s="317"/>
      <c r="AC6" s="4874"/>
    </row>
    <row r="7" spans="2:29">
      <c r="B7" s="44"/>
      <c r="I7" s="5618">
        <f>SUM(I6:J6)</f>
        <v>5506</v>
      </c>
      <c r="J7" s="5618"/>
      <c r="K7" s="5619">
        <f>SUM(K6:L6)</f>
        <v>20972</v>
      </c>
      <c r="L7" s="5619"/>
      <c r="M7" s="5620">
        <f>SUM(M6:N6)</f>
        <v>0</v>
      </c>
      <c r="N7" s="5620"/>
      <c r="O7" s="5007"/>
      <c r="P7" s="5007"/>
      <c r="Q7" s="4766"/>
      <c r="S7" s="4750" t="s">
        <v>1859</v>
      </c>
      <c r="T7" s="4758">
        <f>6270+6195+6480+6075</f>
        <v>25020</v>
      </c>
      <c r="U7" s="4758">
        <f>8475+8160+6780+6645</f>
        <v>30060</v>
      </c>
      <c r="V7" s="4758">
        <f>8565+8085+6780+7095</f>
        <v>30525</v>
      </c>
      <c r="W7" s="4759">
        <f>8595+7155+7215+7035</f>
        <v>30000</v>
      </c>
      <c r="X7" s="317">
        <f>6780+5940+5880+6036</f>
        <v>24636</v>
      </c>
      <c r="Y7" s="317">
        <f>2658+2466+2544+2850</f>
        <v>10518</v>
      </c>
      <c r="Z7" s="4871">
        <f>3870+3930+3160+2970+2920+3130</f>
        <v>19980</v>
      </c>
      <c r="AA7" s="4872"/>
      <c r="AB7" s="317"/>
      <c r="AC7" s="4874"/>
    </row>
    <row r="8" spans="2:29">
      <c r="B8" s="44"/>
      <c r="C8" s="4755"/>
      <c r="D8" s="4755"/>
      <c r="I8" s="5008"/>
      <c r="J8" s="5008"/>
      <c r="K8" s="4764"/>
      <c r="L8" s="4764"/>
      <c r="M8" s="4765"/>
      <c r="N8" s="4765"/>
      <c r="Q8" s="4766"/>
      <c r="S8" s="4767" t="s">
        <v>32</v>
      </c>
      <c r="T8" s="4916">
        <f>T6+T7</f>
        <v>68065</v>
      </c>
      <c r="U8" s="4916">
        <f>U6+U7</f>
        <v>75964</v>
      </c>
      <c r="V8" s="4916">
        <f>V6+V7</f>
        <v>79288</v>
      </c>
      <c r="W8" s="4916">
        <f>W6+W7</f>
        <v>81622</v>
      </c>
      <c r="X8" s="4916">
        <f>X6+X7</f>
        <v>76392</v>
      </c>
      <c r="Y8" s="4916">
        <f>SUM(Y6:Y7)</f>
        <v>49326</v>
      </c>
      <c r="Z8" s="4959">
        <f>SUM(Z6:Z7)</f>
        <v>69984</v>
      </c>
      <c r="AA8" s="4961">
        <f>SUM(AA6:AA7)</f>
        <v>0</v>
      </c>
      <c r="AB8" s="4916"/>
      <c r="AC8" s="4918"/>
    </row>
    <row r="9" spans="2:29">
      <c r="B9" s="4774"/>
      <c r="C9" s="4755"/>
      <c r="D9" s="4755"/>
      <c r="F9" s="4981">
        <f>F6/E6-1</f>
        <v>2.1568299615448927E-2</v>
      </c>
      <c r="G9" s="4981">
        <f>G6/F6-1</f>
        <v>0.12782324058919814</v>
      </c>
      <c r="H9" s="4981">
        <f>H6/G6-1</f>
        <v>2.0000000000000018E-2</v>
      </c>
      <c r="I9" s="5008"/>
      <c r="J9" s="5009">
        <f>J6/H6-1</f>
        <v>-0.58954703634464956</v>
      </c>
      <c r="K9" s="4764"/>
      <c r="L9" s="4920">
        <f>L6/J6-1</f>
        <v>2.9098786828422876</v>
      </c>
      <c r="M9" s="4765"/>
      <c r="N9" s="4856">
        <f>N6/L6-1</f>
        <v>-1</v>
      </c>
      <c r="O9" s="4921"/>
      <c r="P9" s="4921"/>
      <c r="Q9" s="4919"/>
      <c r="S9" s="44"/>
      <c r="U9" s="4776">
        <f t="shared" ref="U9:AA9" si="0">U8/T8-1</f>
        <v>0.11605083376184533</v>
      </c>
      <c r="V9" s="4776">
        <f t="shared" si="0"/>
        <v>4.3757569374966998E-2</v>
      </c>
      <c r="W9" s="4776">
        <f t="shared" si="0"/>
        <v>2.9436989203914798E-2</v>
      </c>
      <c r="X9" s="4776">
        <f t="shared" si="0"/>
        <v>-6.4075861899977937E-2</v>
      </c>
      <c r="Y9" s="4776">
        <f t="shared" si="0"/>
        <v>-0.35430411561420039</v>
      </c>
      <c r="Z9" s="4920">
        <f t="shared" si="0"/>
        <v>0.41880549811458456</v>
      </c>
      <c r="AA9" s="4856">
        <f t="shared" si="0"/>
        <v>-1</v>
      </c>
      <c r="AB9" s="4776"/>
      <c r="AC9" s="303"/>
    </row>
    <row r="10" spans="2:29" ht="71.400000000000006">
      <c r="B10" s="4774"/>
      <c r="C10" s="4755"/>
      <c r="D10" s="4755"/>
      <c r="E10" s="5621" t="s">
        <v>1884</v>
      </c>
      <c r="F10" s="5621"/>
      <c r="G10" s="5621"/>
      <c r="H10" s="4800" t="s">
        <v>1982</v>
      </c>
      <c r="I10" s="5585" t="s">
        <v>1969</v>
      </c>
      <c r="J10" s="5585"/>
      <c r="K10" s="5573" t="s">
        <v>1864</v>
      </c>
      <c r="L10" s="5573"/>
      <c r="M10" s="5574"/>
      <c r="N10" s="5574"/>
      <c r="O10" s="4800"/>
      <c r="P10" s="4800"/>
      <c r="Q10" s="4766"/>
      <c r="S10" s="44"/>
      <c r="T10" s="5576" t="s">
        <v>1983</v>
      </c>
      <c r="U10" s="5576"/>
      <c r="V10" s="5576"/>
      <c r="W10" s="5576"/>
      <c r="X10" s="5010" t="s">
        <v>1984</v>
      </c>
      <c r="Y10" s="5010" t="s">
        <v>1985</v>
      </c>
      <c r="Z10" s="4915" t="s">
        <v>1943</v>
      </c>
      <c r="AA10" s="5011"/>
      <c r="AB10" s="5010"/>
      <c r="AC10" s="4980"/>
    </row>
    <row r="11" spans="2:29">
      <c r="B11" s="4774"/>
      <c r="C11" s="4755"/>
      <c r="D11" s="4755"/>
      <c r="E11" s="5012"/>
      <c r="F11" s="4981"/>
      <c r="G11" s="4981"/>
      <c r="H11" s="4981"/>
      <c r="K11" s="4764"/>
      <c r="L11" s="4764"/>
      <c r="M11" s="4765"/>
      <c r="N11" s="4765"/>
      <c r="Q11" s="4766"/>
      <c r="S11" s="44"/>
      <c r="T11" s="4962"/>
      <c r="U11" s="4962"/>
      <c r="V11" s="4962"/>
      <c r="W11" s="4962"/>
      <c r="Z11" s="4764"/>
      <c r="AA11" s="4765"/>
      <c r="AC11" s="4766"/>
    </row>
    <row r="12" spans="2:29">
      <c r="B12" s="4774"/>
      <c r="C12" s="4755"/>
      <c r="D12" s="4755"/>
      <c r="E12" s="5012"/>
      <c r="F12" s="4981"/>
      <c r="G12" s="4981"/>
      <c r="H12" s="4981"/>
      <c r="K12" s="4764"/>
      <c r="L12" s="4764"/>
      <c r="M12" s="4765"/>
      <c r="N12" s="4765"/>
      <c r="Q12" s="4766"/>
      <c r="S12" s="44"/>
      <c r="T12" s="4962"/>
      <c r="U12" s="4962"/>
      <c r="V12" s="4962"/>
      <c r="W12" s="4962"/>
      <c r="Z12" s="4764"/>
      <c r="AA12" s="4765"/>
      <c r="AC12" s="4766"/>
    </row>
    <row r="13" spans="2:29">
      <c r="B13" s="5013" t="s">
        <v>1986</v>
      </c>
      <c r="C13" s="5014">
        <v>4</v>
      </c>
      <c r="D13" s="5015"/>
      <c r="E13" s="5015">
        <f>E6/$C$13</f>
        <v>1495.25</v>
      </c>
      <c r="F13" s="5015">
        <f>F6/$C$13</f>
        <v>1527.5</v>
      </c>
      <c r="G13" s="5015">
        <f>G6/$C$13</f>
        <v>1722.75</v>
      </c>
      <c r="H13" s="5015">
        <f>H6/$C$13</f>
        <v>1757.2049999999999</v>
      </c>
      <c r="I13" s="5015"/>
      <c r="J13" s="5015">
        <f>J6/$C$13</f>
        <v>721.25</v>
      </c>
      <c r="K13" s="5015"/>
      <c r="L13" s="5015">
        <f>L6/$C$13</f>
        <v>2820</v>
      </c>
      <c r="M13" s="5015"/>
      <c r="N13" s="5015">
        <f>N6/$C$13</f>
        <v>0</v>
      </c>
      <c r="O13" s="5016"/>
      <c r="P13" s="5016"/>
      <c r="Q13" s="5017"/>
      <c r="S13" s="4806" t="s">
        <v>1867</v>
      </c>
      <c r="T13" s="4755">
        <f t="shared" ref="T13:AA13" si="1">(T6+T7)/4</f>
        <v>17016.25</v>
      </c>
      <c r="U13" s="4755">
        <f t="shared" si="1"/>
        <v>18991</v>
      </c>
      <c r="V13" s="4755">
        <f t="shared" si="1"/>
        <v>19822</v>
      </c>
      <c r="W13" s="4755">
        <f t="shared" si="1"/>
        <v>20405.5</v>
      </c>
      <c r="X13" s="317">
        <f t="shared" si="1"/>
        <v>19098</v>
      </c>
      <c r="Y13" s="317">
        <f t="shared" si="1"/>
        <v>12331.5</v>
      </c>
      <c r="Z13" s="4871">
        <f t="shared" si="1"/>
        <v>17496</v>
      </c>
      <c r="AA13" s="4872">
        <f t="shared" si="1"/>
        <v>0</v>
      </c>
      <c r="AB13" s="317"/>
      <c r="AC13" s="4874"/>
    </row>
    <row r="14" spans="2:29">
      <c r="B14" s="5018" t="s">
        <v>1987</v>
      </c>
      <c r="C14" s="5019">
        <v>4</v>
      </c>
      <c r="D14" s="5020"/>
      <c r="E14" s="5020"/>
      <c r="F14" s="5020"/>
      <c r="G14" s="5020"/>
      <c r="H14" s="5020"/>
      <c r="I14" s="5021">
        <f>I6/$C$14</f>
        <v>655.25</v>
      </c>
      <c r="J14" s="5021"/>
      <c r="K14" s="5021">
        <f>K6/$C$14</f>
        <v>2423</v>
      </c>
      <c r="L14" s="5021"/>
      <c r="M14" s="5021">
        <f>M6/$C$14</f>
        <v>0</v>
      </c>
      <c r="N14" s="5021"/>
      <c r="O14" s="5022"/>
      <c r="P14" s="5022"/>
      <c r="Q14" s="5023"/>
      <c r="S14" s="4806"/>
      <c r="T14" s="4755"/>
      <c r="U14" s="4755"/>
      <c r="V14" s="4755"/>
      <c r="W14" s="4755"/>
      <c r="X14" s="317"/>
      <c r="Y14" s="317"/>
      <c r="Z14" s="317"/>
      <c r="AA14" s="317"/>
      <c r="AB14" s="317"/>
      <c r="AC14" s="4874"/>
    </row>
    <row r="15" spans="2:29">
      <c r="B15" s="44"/>
      <c r="K15" s="5024" t="s">
        <v>1988</v>
      </c>
      <c r="Q15" s="4766"/>
      <c r="S15" s="44"/>
      <c r="T15" s="5025"/>
      <c r="U15" s="5025"/>
      <c r="V15" s="5025"/>
      <c r="AC15" s="4766"/>
    </row>
    <row r="16" spans="2:29" ht="15" thickBot="1">
      <c r="B16" s="4823"/>
      <c r="C16" s="4824"/>
      <c r="D16" s="4824"/>
      <c r="E16" s="4824"/>
      <c r="F16" s="4824"/>
      <c r="G16" s="4824"/>
      <c r="H16" s="4824"/>
      <c r="I16" s="4824"/>
      <c r="J16" s="4824"/>
      <c r="K16" s="4824"/>
      <c r="L16" s="4824"/>
      <c r="M16" s="4824"/>
      <c r="N16" s="4824"/>
      <c r="O16" s="4824"/>
      <c r="P16" s="4824"/>
      <c r="Q16" s="4825"/>
      <c r="S16" s="4823"/>
      <c r="T16" s="4824"/>
      <c r="U16" s="4824"/>
      <c r="V16" s="4824"/>
      <c r="W16" s="4824"/>
      <c r="X16" s="4824"/>
      <c r="Y16" s="4824"/>
      <c r="Z16" s="4824"/>
      <c r="AA16" s="4824"/>
      <c r="AB16" s="4824"/>
      <c r="AC16" s="4825"/>
    </row>
  </sheetData>
  <mergeCells count="14">
    <mergeCell ref="I3:J3"/>
    <mergeCell ref="K3:L3"/>
    <mergeCell ref="M3:N3"/>
    <mergeCell ref="I4:J4"/>
    <mergeCell ref="K4:L4"/>
    <mergeCell ref="M4:N4"/>
    <mergeCell ref="T10:W10"/>
    <mergeCell ref="I7:J7"/>
    <mergeCell ref="K7:L7"/>
    <mergeCell ref="M7:N7"/>
    <mergeCell ref="E10:G10"/>
    <mergeCell ref="I10:J10"/>
    <mergeCell ref="K10:L10"/>
    <mergeCell ref="M10:N10"/>
  </mergeCells>
  <pageMargins left="0.70866141732283472" right="0.70866141732283472" top="0.74803149606299213" bottom="0.74803149606299213" header="0.31496062992125984" footer="0.31496062992125984"/>
  <pageSetup paperSize="9" scale="56" orientation="landscape" verticalDpi="597" r:id="rId1"/>
  <drawing r:id="rId2"/>
  <legacy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EBEBF1-DF19-4F49-8D89-EB56A4802682}">
  <sheetPr>
    <tabColor rgb="FF7030A0"/>
    <pageSetUpPr fitToPage="1"/>
  </sheetPr>
  <dimension ref="B1:AE28"/>
  <sheetViews>
    <sheetView workbookViewId="0">
      <selection sqref="A1:XFD3"/>
    </sheetView>
  </sheetViews>
  <sheetFormatPr baseColWidth="10" defaultRowHeight="14.4"/>
  <cols>
    <col min="1" max="1" width="2.5546875" customWidth="1"/>
    <col min="2" max="2" width="22.77734375" customWidth="1"/>
    <col min="3" max="3" width="2" bestFit="1" customWidth="1"/>
    <col min="4" max="4" width="5" bestFit="1" customWidth="1"/>
    <col min="5" max="5" width="25.88671875" bestFit="1" customWidth="1"/>
    <col min="6" max="6" width="8" bestFit="1" customWidth="1"/>
    <col min="7" max="7" width="11.5546875" customWidth="1"/>
    <col min="8" max="8" width="12.77734375" bestFit="1" customWidth="1"/>
    <col min="9" max="15" width="12.109375" customWidth="1"/>
    <col min="19" max="19" width="4.77734375" customWidth="1"/>
    <col min="20" max="20" width="21.88671875" customWidth="1"/>
    <col min="21" max="21" width="2" bestFit="1" customWidth="1"/>
    <col min="22" max="22" width="11.21875" hidden="1" customWidth="1"/>
    <col min="23" max="24" width="12.33203125" hidden="1" customWidth="1"/>
    <col min="25" max="25" width="10.21875" bestFit="1" customWidth="1"/>
    <col min="26" max="28" width="11.21875" customWidth="1"/>
    <col min="29" max="29" width="13.109375" customWidth="1"/>
    <col min="30" max="33" width="11.21875" customWidth="1"/>
  </cols>
  <sheetData>
    <row r="1" spans="2:31" s="45" customFormat="1">
      <c r="B1" s="4727" t="s">
        <v>1989</v>
      </c>
      <c r="C1" s="4729"/>
      <c r="D1" s="4729"/>
      <c r="E1" s="4729"/>
      <c r="F1" s="4729"/>
      <c r="G1" s="4729"/>
      <c r="H1" s="4729"/>
      <c r="I1" s="4729"/>
      <c r="J1" s="4729"/>
      <c r="K1" s="4729"/>
      <c r="L1" s="4729"/>
      <c r="M1" s="4729"/>
      <c r="N1" s="4729"/>
      <c r="O1" s="4729"/>
      <c r="P1" s="4730"/>
      <c r="T1" s="4731" t="s">
        <v>1990</v>
      </c>
      <c r="U1" s="4733"/>
      <c r="V1" s="4733"/>
      <c r="W1" s="4733"/>
      <c r="X1" s="4733"/>
      <c r="Y1" s="4729"/>
      <c r="Z1" s="4729"/>
      <c r="AA1" s="4729"/>
      <c r="AB1" s="4729"/>
      <c r="AC1" s="4729"/>
      <c r="AD1" s="4729"/>
      <c r="AE1" s="4730"/>
    </row>
    <row r="2" spans="2:31">
      <c r="B2" s="44"/>
      <c r="P2" s="4766"/>
      <c r="T2" s="44"/>
      <c r="AE2" s="4766"/>
    </row>
    <row r="3" spans="2:31" s="2977" customFormat="1">
      <c r="B3" s="4828"/>
      <c r="C3" s="4814"/>
      <c r="D3" s="4814">
        <v>2015</v>
      </c>
      <c r="E3" s="4814">
        <v>2016</v>
      </c>
      <c r="F3" s="4814">
        <v>2017</v>
      </c>
      <c r="G3" s="4814">
        <v>2018</v>
      </c>
      <c r="H3" s="2977">
        <v>2019</v>
      </c>
      <c r="I3" s="5611">
        <v>2020</v>
      </c>
      <c r="J3" s="5611"/>
      <c r="K3" s="5587">
        <v>2021</v>
      </c>
      <c r="L3" s="5587"/>
      <c r="M3" s="5582">
        <v>2022</v>
      </c>
      <c r="N3" s="5582"/>
      <c r="O3" s="4814"/>
      <c r="P3" s="316"/>
      <c r="T3" s="315"/>
      <c r="V3" s="4576">
        <v>2015</v>
      </c>
      <c r="W3" s="4576">
        <v>2016</v>
      </c>
      <c r="X3" s="4576">
        <v>2017</v>
      </c>
      <c r="Y3" s="4814">
        <v>2018</v>
      </c>
      <c r="Z3" s="2977">
        <v>2019</v>
      </c>
      <c r="AA3" s="4814">
        <v>2020</v>
      </c>
      <c r="AB3" s="4810" t="s">
        <v>1441</v>
      </c>
      <c r="AC3" s="4818">
        <v>2022</v>
      </c>
      <c r="AD3"/>
      <c r="AE3" s="316"/>
    </row>
    <row r="4" spans="2:31" s="2977" customFormat="1">
      <c r="B4" s="4828"/>
      <c r="C4" s="4814"/>
      <c r="D4" s="4814"/>
      <c r="E4" s="4814"/>
      <c r="F4" s="4814"/>
      <c r="G4" s="4814"/>
      <c r="I4" s="4999" t="s">
        <v>1882</v>
      </c>
      <c r="J4" s="5026" t="s">
        <v>1856</v>
      </c>
      <c r="K4" s="4810" t="s">
        <v>1882</v>
      </c>
      <c r="L4" s="4853" t="s">
        <v>1856</v>
      </c>
      <c r="M4" s="4818" t="s">
        <v>1882</v>
      </c>
      <c r="N4" s="4765" t="s">
        <v>1856</v>
      </c>
      <c r="O4"/>
      <c r="P4" s="316"/>
      <c r="T4" s="315"/>
      <c r="V4" s="4576"/>
      <c r="W4" s="4576"/>
      <c r="X4" s="4576"/>
      <c r="Y4" s="4814"/>
      <c r="AA4" s="4814"/>
      <c r="AB4" s="4810"/>
      <c r="AC4" s="4818"/>
      <c r="AD4"/>
      <c r="AE4" s="316"/>
    </row>
    <row r="5" spans="2:31" s="2977" customFormat="1">
      <c r="B5" s="4828"/>
      <c r="C5" s="4814"/>
      <c r="D5" s="4814"/>
      <c r="E5" s="4814" t="s">
        <v>1991</v>
      </c>
      <c r="F5" s="4814" t="s">
        <v>1992</v>
      </c>
      <c r="G5" s="4814" t="s">
        <v>1993</v>
      </c>
      <c r="H5" s="2977" t="s">
        <v>1994</v>
      </c>
      <c r="I5" s="5611" t="s">
        <v>1995</v>
      </c>
      <c r="J5" s="5611"/>
      <c r="K5" s="5587" t="s">
        <v>1996</v>
      </c>
      <c r="L5" s="5587"/>
      <c r="M5" s="5623"/>
      <c r="N5" s="5623"/>
      <c r="O5" s="4814"/>
      <c r="P5" s="316"/>
      <c r="T5" s="315"/>
      <c r="V5" s="4576" t="s">
        <v>1997</v>
      </c>
      <c r="W5" s="4576" t="s">
        <v>1998</v>
      </c>
      <c r="X5" s="4576" t="s">
        <v>1999</v>
      </c>
      <c r="Y5" s="4814" t="s">
        <v>2000</v>
      </c>
      <c r="Z5" s="2977" t="s">
        <v>2001</v>
      </c>
      <c r="AA5" s="4814" t="s">
        <v>1995</v>
      </c>
      <c r="AB5" s="4810" t="s">
        <v>2002</v>
      </c>
      <c r="AC5" s="4997"/>
      <c r="AD5"/>
      <c r="AE5" s="316"/>
    </row>
    <row r="6" spans="2:31">
      <c r="B6" s="4750" t="s">
        <v>1857</v>
      </c>
      <c r="C6" s="4752"/>
      <c r="D6" s="4752"/>
      <c r="E6" s="4752">
        <v>9283</v>
      </c>
      <c r="F6" s="4752">
        <v>10817</v>
      </c>
      <c r="G6" s="4755">
        <v>10735</v>
      </c>
      <c r="H6" s="317">
        <f>G6*1.02</f>
        <v>10949.7</v>
      </c>
      <c r="I6" s="4752">
        <f>1423+429+944+1070</f>
        <v>3866</v>
      </c>
      <c r="J6" s="5027">
        <f>1175+903+1451+1488</f>
        <v>5017</v>
      </c>
      <c r="K6" s="4753">
        <f>2579+3045+2012+1958+2890</f>
        <v>12484</v>
      </c>
      <c r="L6" s="4753">
        <f>2434+2568+2532+2163+3010</f>
        <v>12707</v>
      </c>
      <c r="M6" s="4754"/>
      <c r="N6" s="4754"/>
      <c r="O6" s="4755"/>
      <c r="P6" s="4766"/>
      <c r="T6" s="4839" t="s">
        <v>1858</v>
      </c>
      <c r="U6" s="4751"/>
      <c r="V6" s="4758">
        <f>18100+16900+16300</f>
        <v>51300</v>
      </c>
      <c r="W6" s="4758">
        <f>18300+18000+17500+17300</f>
        <v>71100</v>
      </c>
      <c r="X6" s="4758">
        <f>19700+19500+18600</f>
        <v>57800</v>
      </c>
      <c r="Y6" s="4759">
        <f>19300+19000+19200</f>
        <v>57500</v>
      </c>
      <c r="Z6" s="317">
        <f>21609+21456+21882</f>
        <v>64947</v>
      </c>
      <c r="AA6" s="317">
        <f>4560+4424+4256+4328</f>
        <v>17568</v>
      </c>
      <c r="AB6" s="4871">
        <f>AA6*1.5</f>
        <v>26352</v>
      </c>
      <c r="AC6" s="4872"/>
      <c r="AE6" s="4766"/>
    </row>
    <row r="7" spans="2:31">
      <c r="B7" s="44"/>
      <c r="H7" s="1"/>
      <c r="J7" s="1">
        <f>SUM(I6:J6)</f>
        <v>8883</v>
      </c>
      <c r="K7" s="4764"/>
      <c r="L7" s="5028">
        <f>SUM(K6:L6)</f>
        <v>25191</v>
      </c>
      <c r="M7" s="4765"/>
      <c r="N7" s="5029">
        <f>SUM(M6:N6)</f>
        <v>0</v>
      </c>
      <c r="O7" s="1"/>
      <c r="P7" s="4766"/>
      <c r="T7" s="4839" t="s">
        <v>1859</v>
      </c>
      <c r="U7" s="4751"/>
      <c r="V7" s="4758">
        <f>8900+8340+8400</f>
        <v>25640</v>
      </c>
      <c r="W7" s="4758">
        <f>9080+8720+8580+8580</f>
        <v>34960</v>
      </c>
      <c r="X7" s="4758">
        <f>9780+9720+9280</f>
        <v>28780</v>
      </c>
      <c r="Y7" s="4759">
        <f>9640+9640+9580</f>
        <v>28860</v>
      </c>
      <c r="Z7" s="317">
        <f>9980+9720+9160</f>
        <v>28860</v>
      </c>
      <c r="AA7" s="317">
        <f>2384+2112+2080+2128</f>
        <v>8704</v>
      </c>
      <c r="AB7" s="4871">
        <f>AA7*1.5</f>
        <v>13056</v>
      </c>
      <c r="AC7" s="4872"/>
      <c r="AE7" s="4766"/>
    </row>
    <row r="8" spans="2:31">
      <c r="B8" s="44"/>
      <c r="C8" s="4755"/>
      <c r="D8" s="4755"/>
      <c r="F8" s="4755"/>
      <c r="G8" s="4755"/>
      <c r="I8" s="4755"/>
      <c r="J8" s="4755"/>
      <c r="K8" s="4753"/>
      <c r="L8" s="4764"/>
      <c r="M8" s="4754"/>
      <c r="N8" s="4765"/>
      <c r="P8" s="4766"/>
      <c r="T8" s="4767" t="s">
        <v>32</v>
      </c>
      <c r="U8" s="4854"/>
      <c r="V8" s="4768">
        <f t="shared" ref="V8:AC8" si="0">V6+V7</f>
        <v>76940</v>
      </c>
      <c r="W8" s="4768">
        <f t="shared" si="0"/>
        <v>106060</v>
      </c>
      <c r="X8" s="4768">
        <f t="shared" si="0"/>
        <v>86580</v>
      </c>
      <c r="Y8" s="4768">
        <f t="shared" si="0"/>
        <v>86360</v>
      </c>
      <c r="Z8" s="4768">
        <f t="shared" si="0"/>
        <v>93807</v>
      </c>
      <c r="AA8" s="4768">
        <f t="shared" si="0"/>
        <v>26272</v>
      </c>
      <c r="AB8" s="4769">
        <f t="shared" si="0"/>
        <v>39408</v>
      </c>
      <c r="AC8" s="4770">
        <f t="shared" si="0"/>
        <v>0</v>
      </c>
      <c r="AE8" s="4766"/>
    </row>
    <row r="9" spans="2:31">
      <c r="B9" s="44"/>
      <c r="C9" s="4755"/>
      <c r="D9" s="4755"/>
      <c r="F9" s="4981">
        <f>F6/E6-1</f>
        <v>0.16524830335021012</v>
      </c>
      <c r="G9" s="4981">
        <f>G6/F6-1</f>
        <v>-7.5806600721086692E-3</v>
      </c>
      <c r="H9" s="4776">
        <f>H6/G6-1</f>
        <v>2.0000000000000018E-2</v>
      </c>
      <c r="J9" s="4981">
        <f>J6/H6-1</f>
        <v>-0.54181393097527786</v>
      </c>
      <c r="K9" s="4982"/>
      <c r="L9" s="4982">
        <f>L6/J6-1</f>
        <v>1.5327885190352801</v>
      </c>
      <c r="M9" s="4983"/>
      <c r="N9" s="4983">
        <f>N6/L6-1</f>
        <v>-1</v>
      </c>
      <c r="O9" s="5030"/>
      <c r="P9" s="303"/>
      <c r="Q9" s="4776"/>
      <c r="R9" s="4776"/>
      <c r="T9" s="4767"/>
      <c r="U9" s="4854"/>
      <c r="V9" s="4768"/>
      <c r="W9" s="4857">
        <f t="shared" ref="W9:AC9" si="1">W8/V8-1</f>
        <v>0.37847673511827407</v>
      </c>
      <c r="X9" s="4857">
        <f t="shared" si="1"/>
        <v>-0.18366962096926265</v>
      </c>
      <c r="Y9" s="4857">
        <f t="shared" si="1"/>
        <v>-2.541002541002535E-3</v>
      </c>
      <c r="Z9" s="4857">
        <f t="shared" si="1"/>
        <v>8.6232051875868354E-2</v>
      </c>
      <c r="AA9" s="4857">
        <f t="shared" si="1"/>
        <v>-0.71993561248094484</v>
      </c>
      <c r="AB9" s="5031">
        <f t="shared" si="1"/>
        <v>0.5</v>
      </c>
      <c r="AC9" s="4858">
        <f t="shared" si="1"/>
        <v>-1</v>
      </c>
      <c r="AE9" s="4766"/>
    </row>
    <row r="10" spans="2:31" ht="46.8" customHeight="1">
      <c r="B10" s="4774"/>
      <c r="C10" s="4755"/>
      <c r="D10" s="4755"/>
      <c r="E10" s="5012" t="s">
        <v>1884</v>
      </c>
      <c r="K10" s="5573" t="s">
        <v>1864</v>
      </c>
      <c r="L10" s="5573"/>
      <c r="M10" s="4765"/>
      <c r="N10" s="4765"/>
      <c r="P10" s="4766"/>
      <c r="T10" s="44"/>
      <c r="V10" s="5586" t="s">
        <v>1925</v>
      </c>
      <c r="W10" s="5586"/>
      <c r="X10" s="5586"/>
      <c r="Y10" s="5586"/>
      <c r="Z10" s="5032"/>
      <c r="AA10" s="5032"/>
      <c r="AB10" s="4915" t="s">
        <v>1943</v>
      </c>
      <c r="AC10" s="5033"/>
      <c r="AE10" s="4766"/>
    </row>
    <row r="11" spans="2:31">
      <c r="B11" s="4774"/>
      <c r="C11" s="4755"/>
      <c r="D11" s="4755"/>
      <c r="E11" s="4755"/>
      <c r="K11" s="4764"/>
      <c r="L11" s="4764"/>
      <c r="M11" s="4765"/>
      <c r="N11" s="4765"/>
      <c r="P11" s="4766"/>
      <c r="T11" s="44"/>
      <c r="V11" s="317"/>
      <c r="W11" s="317"/>
      <c r="X11" s="317"/>
      <c r="Y11" s="317"/>
      <c r="Z11" s="317"/>
      <c r="AA11" s="317"/>
      <c r="AB11" s="4871"/>
      <c r="AC11" s="4872"/>
      <c r="AE11" s="4766"/>
    </row>
    <row r="12" spans="2:31">
      <c r="B12" s="4774"/>
      <c r="C12" s="4755"/>
      <c r="D12" s="4755"/>
      <c r="E12" s="4755"/>
      <c r="F12" s="4755"/>
      <c r="G12" s="4755"/>
      <c r="I12" s="4755"/>
      <c r="J12" s="4755"/>
      <c r="K12" s="4753"/>
      <c r="L12" s="4764"/>
      <c r="M12" s="4754"/>
      <c r="N12" s="4765"/>
      <c r="P12" s="4766"/>
      <c r="T12" s="4866" t="s">
        <v>1890</v>
      </c>
      <c r="U12" s="4807">
        <v>3</v>
      </c>
      <c r="V12" s="4879">
        <f t="shared" ref="V12:AC12" si="2">(V6+V7)/$U$12</f>
        <v>25646.666666666668</v>
      </c>
      <c r="W12" s="4879">
        <f t="shared" si="2"/>
        <v>35353.333333333336</v>
      </c>
      <c r="X12" s="4879">
        <f t="shared" si="2"/>
        <v>28860</v>
      </c>
      <c r="Y12" s="4879">
        <f t="shared" si="2"/>
        <v>28786.666666666668</v>
      </c>
      <c r="Z12" s="4879">
        <f t="shared" si="2"/>
        <v>31269</v>
      </c>
      <c r="AA12" s="4879">
        <f t="shared" si="2"/>
        <v>8757.3333333333339</v>
      </c>
      <c r="AB12" s="4760">
        <f t="shared" si="2"/>
        <v>13136</v>
      </c>
      <c r="AC12" s="4761">
        <f t="shared" si="2"/>
        <v>0</v>
      </c>
      <c r="AE12" s="4766"/>
    </row>
    <row r="13" spans="2:31">
      <c r="B13" s="4866" t="s">
        <v>1867</v>
      </c>
      <c r="C13" s="5034">
        <v>4</v>
      </c>
      <c r="D13" s="4755"/>
      <c r="E13" s="4755">
        <f t="shared" ref="E13:N13" si="3">E6/$C$13</f>
        <v>2320.75</v>
      </c>
      <c r="F13" s="4755">
        <f t="shared" si="3"/>
        <v>2704.25</v>
      </c>
      <c r="G13" s="4755">
        <f t="shared" si="3"/>
        <v>2683.75</v>
      </c>
      <c r="H13" s="4755">
        <f t="shared" si="3"/>
        <v>2737.4250000000002</v>
      </c>
      <c r="I13" s="4755">
        <f t="shared" si="3"/>
        <v>966.5</v>
      </c>
      <c r="J13" s="4755">
        <f t="shared" si="3"/>
        <v>1254.25</v>
      </c>
      <c r="K13" s="4760">
        <f t="shared" si="3"/>
        <v>3121</v>
      </c>
      <c r="L13" s="4760">
        <f t="shared" si="3"/>
        <v>3176.75</v>
      </c>
      <c r="M13" s="4761">
        <f t="shared" si="3"/>
        <v>0</v>
      </c>
      <c r="N13" s="4761">
        <f t="shared" si="3"/>
        <v>0</v>
      </c>
      <c r="O13" s="4762"/>
      <c r="P13" s="4874"/>
      <c r="T13" s="4866" t="s">
        <v>1867</v>
      </c>
      <c r="U13" s="4807">
        <v>4</v>
      </c>
      <c r="V13" s="4891"/>
      <c r="W13" s="4879">
        <f>(W6+W7)/$U$13</f>
        <v>26515</v>
      </c>
      <c r="X13" s="4891"/>
      <c r="Y13" s="4891"/>
      <c r="Z13" s="4891"/>
      <c r="AA13" s="4891"/>
      <c r="AB13" s="4760"/>
      <c r="AC13" s="4761"/>
      <c r="AE13" s="4766"/>
    </row>
    <row r="14" spans="2:31">
      <c r="B14" s="4866" t="s">
        <v>2003</v>
      </c>
      <c r="C14" s="5034">
        <v>5</v>
      </c>
      <c r="D14" s="4755"/>
      <c r="E14" s="4755">
        <f>E6/$C$14</f>
        <v>1856.6</v>
      </c>
      <c r="F14" s="4755">
        <f>F6/$C$14</f>
        <v>2163.4</v>
      </c>
      <c r="G14" s="4755">
        <f>G6/$C$14</f>
        <v>2147</v>
      </c>
      <c r="H14" s="4755"/>
      <c r="I14" s="4755"/>
      <c r="J14" s="4755"/>
      <c r="K14" s="4760">
        <f>K6/$C$14</f>
        <v>2496.8000000000002</v>
      </c>
      <c r="L14" s="4760">
        <f>L6/$C$14</f>
        <v>2541.4</v>
      </c>
      <c r="M14" s="4761">
        <f>M6/$C$14</f>
        <v>0</v>
      </c>
      <c r="N14" s="4761">
        <f>N6/$C$14</f>
        <v>0</v>
      </c>
      <c r="O14" s="4762"/>
      <c r="P14" s="4874"/>
      <c r="T14" s="4866"/>
      <c r="U14" s="4807"/>
      <c r="V14" s="4891"/>
      <c r="W14" s="4879"/>
      <c r="X14" s="4891"/>
      <c r="Y14" s="4891"/>
      <c r="Z14" s="4891"/>
      <c r="AA14" s="4891"/>
      <c r="AB14" s="4760"/>
      <c r="AC14" s="4761"/>
      <c r="AE14" s="4766"/>
    </row>
    <row r="15" spans="2:31">
      <c r="B15" s="4866" t="s">
        <v>2004</v>
      </c>
      <c r="C15" s="5034">
        <v>6</v>
      </c>
      <c r="D15" s="4755"/>
      <c r="E15" s="4755">
        <f>E6/$C$15</f>
        <v>1547.1666666666667</v>
      </c>
      <c r="F15" s="4755">
        <f>F6/$C$15</f>
        <v>1802.8333333333333</v>
      </c>
      <c r="G15" s="4879">
        <f>G6/$C$15</f>
        <v>1789.1666666666667</v>
      </c>
      <c r="H15" s="317"/>
      <c r="I15" s="4879"/>
      <c r="J15" s="4879"/>
      <c r="K15" s="4760"/>
      <c r="L15" s="4764"/>
      <c r="M15" s="4761">
        <f>M6/$C$15</f>
        <v>0</v>
      </c>
      <c r="N15" s="4765">
        <f>N6/$C$15</f>
        <v>0</v>
      </c>
      <c r="P15" s="4874"/>
      <c r="Q15" s="317"/>
      <c r="R15" s="317"/>
      <c r="T15" s="44"/>
      <c r="AB15" s="4764"/>
      <c r="AC15" s="4765"/>
      <c r="AE15" s="4766"/>
    </row>
    <row r="16" spans="2:31" ht="19.8">
      <c r="B16" s="44"/>
      <c r="K16" s="4764"/>
      <c r="L16" s="4764"/>
      <c r="M16" s="4765"/>
      <c r="N16" s="4765"/>
      <c r="P16" s="4766"/>
      <c r="T16" s="44"/>
      <c r="AA16" s="5035" t="s">
        <v>2005</v>
      </c>
      <c r="AB16" s="5036" t="s">
        <v>873</v>
      </c>
      <c r="AC16" s="5037"/>
      <c r="AE16" s="4766"/>
    </row>
    <row r="17" spans="2:31">
      <c r="B17" s="44"/>
      <c r="I17" s="5024" t="s">
        <v>2005</v>
      </c>
      <c r="K17" s="5024" t="s">
        <v>1988</v>
      </c>
      <c r="P17" s="4766"/>
      <c r="T17" s="44"/>
      <c r="AB17" s="4764"/>
      <c r="AC17" s="4765"/>
      <c r="AE17" s="4766"/>
    </row>
    <row r="18" spans="2:31" ht="15" thickBot="1">
      <c r="B18" s="4823"/>
      <c r="C18" s="4824"/>
      <c r="D18" s="4824"/>
      <c r="E18" s="4824"/>
      <c r="F18" s="4824"/>
      <c r="G18" s="4824"/>
      <c r="H18" s="4824"/>
      <c r="I18" s="4824"/>
      <c r="J18" s="4824"/>
      <c r="K18" s="4824"/>
      <c r="L18" s="4824"/>
      <c r="M18" s="4824"/>
      <c r="N18" s="4824"/>
      <c r="O18" s="4824"/>
      <c r="P18" s="4825"/>
      <c r="T18" s="4823"/>
      <c r="U18" s="4824"/>
      <c r="V18" s="4824"/>
      <c r="W18" s="4824"/>
      <c r="X18" s="4824"/>
      <c r="Y18" s="4824"/>
      <c r="Z18" s="4824"/>
      <c r="AA18" s="4824"/>
      <c r="AB18" s="4824"/>
      <c r="AC18" s="4824"/>
      <c r="AD18" s="4824"/>
      <c r="AE18" s="4825"/>
    </row>
    <row r="20" spans="2:31">
      <c r="G20">
        <v>2018</v>
      </c>
      <c r="H20">
        <v>2019</v>
      </c>
      <c r="I20">
        <v>2020</v>
      </c>
      <c r="K20">
        <v>2021</v>
      </c>
      <c r="Y20">
        <v>2018</v>
      </c>
      <c r="Z20">
        <v>2019</v>
      </c>
      <c r="AA20">
        <v>2020</v>
      </c>
      <c r="AB20">
        <v>2021</v>
      </c>
    </row>
    <row r="21" spans="2:31" s="22" customFormat="1" ht="12">
      <c r="G21" s="22" t="s">
        <v>2006</v>
      </c>
      <c r="Y21" s="22" t="s">
        <v>2007</v>
      </c>
    </row>
    <row r="22" spans="2:31" s="22" customFormat="1" ht="12">
      <c r="G22" s="22">
        <v>100</v>
      </c>
      <c r="H22" s="22">
        <v>100</v>
      </c>
      <c r="I22" s="22">
        <v>100</v>
      </c>
      <c r="K22" s="22">
        <v>100</v>
      </c>
      <c r="Y22" s="22">
        <v>60</v>
      </c>
      <c r="Z22" s="22">
        <v>60</v>
      </c>
      <c r="AA22" s="22">
        <v>60</v>
      </c>
      <c r="AB22" s="5038"/>
      <c r="AC22" s="5038"/>
      <c r="AD22" s="5038"/>
    </row>
    <row r="23" spans="2:31" s="22" customFormat="1" ht="12">
      <c r="G23" s="5038">
        <f>G6*G22</f>
        <v>1073500</v>
      </c>
      <c r="H23" s="5038">
        <f>H6*H22</f>
        <v>1094970</v>
      </c>
      <c r="I23" s="5038">
        <f>(J6)*I22</f>
        <v>501700</v>
      </c>
      <c r="J23" s="5038"/>
      <c r="K23" s="5038">
        <f>(L6)*K22</f>
        <v>1270700</v>
      </c>
      <c r="L23" s="5038"/>
      <c r="M23" s="5038"/>
      <c r="N23" s="5038"/>
      <c r="O23" s="5038"/>
      <c r="Y23" s="5038">
        <f>Y8*Y22</f>
        <v>5181600</v>
      </c>
      <c r="Z23" s="5038">
        <f>Z8*Z22</f>
        <v>5628420</v>
      </c>
      <c r="AA23" s="5038">
        <f>AA8*AA22</f>
        <v>1576320</v>
      </c>
    </row>
    <row r="25" spans="2:31" s="22" customFormat="1" ht="12"/>
    <row r="26" spans="2:31" s="22" customFormat="1" ht="12">
      <c r="G26" s="22" t="s">
        <v>2008</v>
      </c>
    </row>
    <row r="27" spans="2:31" s="22" customFormat="1" ht="12">
      <c r="G27" s="5039">
        <f>G23+Y23</f>
        <v>6255100</v>
      </c>
      <c r="H27" s="5039">
        <f>H23+Z23</f>
        <v>6723390</v>
      </c>
      <c r="I27" s="5039">
        <f>I23+AA23</f>
        <v>2078020</v>
      </c>
      <c r="J27" s="5039"/>
      <c r="K27" s="5039">
        <f>K23+AB23</f>
        <v>1270700</v>
      </c>
      <c r="L27" s="5039"/>
      <c r="M27" s="5039"/>
      <c r="N27" s="5039"/>
      <c r="O27" s="5039"/>
    </row>
    <row r="28" spans="2:31" s="22" customFormat="1" ht="12"/>
  </sheetData>
  <mergeCells count="8">
    <mergeCell ref="K10:L10"/>
    <mergeCell ref="V10:Y10"/>
    <mergeCell ref="I3:J3"/>
    <mergeCell ref="K3:L3"/>
    <mergeCell ref="M3:N3"/>
    <mergeCell ref="I5:J5"/>
    <mergeCell ref="K5:L5"/>
    <mergeCell ref="M5:N5"/>
  </mergeCells>
  <pageMargins left="0.70866141732283472" right="0.70866141732283472" top="0.74803149606299213" bottom="0.74803149606299213" header="0.31496062992125984" footer="0.31496062992125984"/>
  <pageSetup paperSize="9" scale="76" orientation="landscape" verticalDpi="597"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D10988-0E16-4B15-AD08-CE6D43A5A469}">
  <sheetPr>
    <tabColor rgb="FF7030A0"/>
  </sheetPr>
  <dimension ref="B1:V14"/>
  <sheetViews>
    <sheetView workbookViewId="0">
      <selection sqref="A1:XFD3"/>
    </sheetView>
  </sheetViews>
  <sheetFormatPr baseColWidth="10" defaultRowHeight="14.4"/>
  <cols>
    <col min="1" max="1" width="2.5546875" customWidth="1"/>
    <col min="2" max="2" width="21.33203125" customWidth="1"/>
    <col min="3" max="3" width="2" bestFit="1" customWidth="1"/>
    <col min="7" max="7" width="12.109375" bestFit="1" customWidth="1"/>
    <col min="8" max="9" width="12.109375" customWidth="1"/>
    <col min="13" max="13" width="4.77734375" customWidth="1"/>
    <col min="14" max="14" width="21.88671875" customWidth="1"/>
    <col min="15" max="15" width="2" bestFit="1" customWidth="1"/>
    <col min="16" max="18" width="12.33203125" customWidth="1"/>
    <col min="19" max="24" width="11.21875" customWidth="1"/>
  </cols>
  <sheetData>
    <row r="1" spans="2:22" s="45" customFormat="1">
      <c r="B1" s="4727" t="s">
        <v>2009</v>
      </c>
      <c r="C1" s="4729"/>
      <c r="D1" s="4729"/>
      <c r="E1" s="4729"/>
      <c r="F1" s="4729"/>
      <c r="G1" s="4729"/>
      <c r="H1" s="4729"/>
      <c r="I1" s="4729"/>
      <c r="J1" s="4730"/>
      <c r="N1" s="4731" t="s">
        <v>2010</v>
      </c>
      <c r="O1" s="4733"/>
      <c r="P1" s="4733"/>
      <c r="Q1" s="4733"/>
      <c r="R1" s="4729"/>
      <c r="S1" s="4729"/>
      <c r="T1" s="4729"/>
      <c r="U1" s="4729"/>
      <c r="V1" s="4730"/>
    </row>
    <row r="2" spans="2:22">
      <c r="B2" s="44"/>
      <c r="J2" s="4766"/>
      <c r="N2" s="44"/>
      <c r="V2" s="4766"/>
    </row>
    <row r="3" spans="2:22" s="2977" customFormat="1">
      <c r="B3" s="4828"/>
      <c r="C3" s="4814"/>
      <c r="D3" s="5611">
        <v>2021</v>
      </c>
      <c r="E3" s="5611"/>
      <c r="F3" s="5582">
        <v>2022</v>
      </c>
      <c r="G3" s="5582"/>
      <c r="J3" s="316"/>
      <c r="N3" s="315"/>
      <c r="P3" s="4814">
        <v>2021</v>
      </c>
      <c r="Q3" s="4818">
        <v>2022</v>
      </c>
      <c r="R3" s="4814"/>
      <c r="V3" s="316"/>
    </row>
    <row r="4" spans="2:22" s="2977" customFormat="1">
      <c r="B4" s="4828"/>
      <c r="C4" s="4814"/>
      <c r="D4" s="4999" t="s">
        <v>1882</v>
      </c>
      <c r="E4" s="5026" t="s">
        <v>1856</v>
      </c>
      <c r="F4" s="5002" t="s">
        <v>1882</v>
      </c>
      <c r="G4" s="5003" t="s">
        <v>1856</v>
      </c>
      <c r="J4" s="316"/>
      <c r="N4" s="315"/>
      <c r="P4" s="4814" t="s">
        <v>2011</v>
      </c>
      <c r="Q4" s="4997"/>
      <c r="R4" s="4814"/>
      <c r="V4" s="316"/>
    </row>
    <row r="5" spans="2:22">
      <c r="B5" s="4828"/>
      <c r="C5" s="4752"/>
      <c r="D5" s="5611" t="s">
        <v>2011</v>
      </c>
      <c r="E5" s="5611"/>
      <c r="F5" s="5623"/>
      <c r="G5" s="5623"/>
      <c r="I5" s="317"/>
      <c r="J5" s="4766"/>
      <c r="N5" s="4839" t="s">
        <v>1858</v>
      </c>
      <c r="O5" s="4751"/>
      <c r="P5" s="4758">
        <f>8604+9024+8796+8700</f>
        <v>35124</v>
      </c>
      <c r="Q5" s="4956"/>
      <c r="R5" s="4759"/>
      <c r="S5" s="317"/>
      <c r="T5" s="317"/>
      <c r="U5" s="317"/>
      <c r="V5" s="4766"/>
    </row>
    <row r="6" spans="2:22">
      <c r="B6" s="4750" t="s">
        <v>1857</v>
      </c>
      <c r="D6" s="4752">
        <f>3105+1605+1096+1926</f>
        <v>7732</v>
      </c>
      <c r="E6" s="5027">
        <f>2782+2580+1975+1994</f>
        <v>9331</v>
      </c>
      <c r="F6" s="4754"/>
      <c r="G6" s="4754"/>
      <c r="J6" s="4766"/>
      <c r="N6" s="4839" t="s">
        <v>1859</v>
      </c>
      <c r="O6" s="4751"/>
      <c r="P6" s="4758">
        <f>4780+4620+4510+4410</f>
        <v>18320</v>
      </c>
      <c r="Q6" s="4956"/>
      <c r="R6" s="4759"/>
      <c r="S6" s="317"/>
      <c r="T6" s="317"/>
      <c r="U6" s="317"/>
      <c r="V6" s="4766"/>
    </row>
    <row r="7" spans="2:22">
      <c r="B7" s="44"/>
      <c r="C7" s="4755"/>
      <c r="D7" s="4755"/>
      <c r="E7" s="4755">
        <f>SUM(D6:E6)</f>
        <v>17063</v>
      </c>
      <c r="F7" s="4754"/>
      <c r="G7" s="4754">
        <f>SUM(F6:G6)</f>
        <v>0</v>
      </c>
      <c r="J7" s="4766"/>
      <c r="N7" s="4767" t="s">
        <v>32</v>
      </c>
      <c r="O7" s="4854"/>
      <c r="P7" s="4768">
        <f>SUM(P5:P6)</f>
        <v>53444</v>
      </c>
      <c r="Q7" s="4770">
        <f>SUM(Q5:Q6)</f>
        <v>0</v>
      </c>
      <c r="R7" s="4768"/>
      <c r="S7" s="4768"/>
      <c r="T7" s="4768"/>
      <c r="U7" s="4768"/>
      <c r="V7" s="4766"/>
    </row>
    <row r="8" spans="2:22">
      <c r="B8" s="44"/>
      <c r="C8" s="4755"/>
      <c r="D8" s="4981"/>
      <c r="E8" s="5030"/>
      <c r="F8" s="4983"/>
      <c r="G8" s="4983"/>
      <c r="I8" s="4776"/>
      <c r="J8" s="303"/>
      <c r="K8" s="4776"/>
      <c r="L8" s="4776"/>
      <c r="N8" s="4767"/>
      <c r="O8" s="4854"/>
      <c r="P8" s="4857"/>
      <c r="Q8" s="4858"/>
      <c r="R8" s="4857"/>
      <c r="S8" s="4857"/>
      <c r="T8" s="4857"/>
      <c r="U8" s="4857"/>
      <c r="V8" s="4766"/>
    </row>
    <row r="9" spans="2:22" ht="46.8" customHeight="1">
      <c r="B9" s="4774"/>
      <c r="C9" s="4755"/>
      <c r="D9" s="5573" t="s">
        <v>1864</v>
      </c>
      <c r="E9" s="5573"/>
      <c r="F9" s="4765"/>
      <c r="G9" s="4765"/>
      <c r="J9" s="4766"/>
      <c r="N9" s="44"/>
      <c r="P9" s="4915" t="s">
        <v>1943</v>
      </c>
      <c r="Q9" s="5033"/>
      <c r="R9" s="5032"/>
      <c r="S9" s="5032"/>
      <c r="T9" s="5032"/>
      <c r="U9" s="5032"/>
      <c r="V9" s="4766"/>
    </row>
    <row r="10" spans="2:22">
      <c r="B10" s="44"/>
      <c r="F10" s="4765"/>
      <c r="G10" s="4765"/>
      <c r="J10" s="4766"/>
      <c r="N10" s="44"/>
      <c r="P10" s="317"/>
      <c r="Q10" s="4872"/>
      <c r="R10" s="317"/>
      <c r="S10" s="317"/>
      <c r="T10" s="317"/>
      <c r="U10" s="317"/>
      <c r="V10" s="4766"/>
    </row>
    <row r="11" spans="2:22">
      <c r="B11" s="4866" t="s">
        <v>2012</v>
      </c>
      <c r="C11" s="4807">
        <v>3</v>
      </c>
      <c r="D11" s="4879">
        <f>D6/C11</f>
        <v>2577.3333333333335</v>
      </c>
      <c r="E11" s="4762">
        <f>E6/C11</f>
        <v>3110.3333333333335</v>
      </c>
      <c r="F11" s="4761">
        <f>F6/E11</f>
        <v>0</v>
      </c>
      <c r="G11" s="4761">
        <f>G6/E11</f>
        <v>0</v>
      </c>
      <c r="I11" s="317"/>
      <c r="J11" s="4874"/>
      <c r="N11" s="4866" t="s">
        <v>2012</v>
      </c>
      <c r="O11" s="4807">
        <v>3</v>
      </c>
      <c r="P11" s="4879">
        <f>P7/O11</f>
        <v>17814.666666666668</v>
      </c>
      <c r="Q11" s="4761">
        <f>Q7/P11</f>
        <v>0</v>
      </c>
      <c r="R11" s="4879"/>
      <c r="S11" s="4879"/>
      <c r="T11" s="4879"/>
      <c r="U11" s="4879"/>
      <c r="V11" s="4766"/>
    </row>
    <row r="12" spans="2:22">
      <c r="B12" s="44"/>
      <c r="E12" s="4942">
        <f>D11+E11</f>
        <v>5687.666666666667</v>
      </c>
      <c r="F12" s="4765"/>
      <c r="G12" s="5040">
        <f>F11+G11</f>
        <v>0</v>
      </c>
      <c r="J12" s="4766"/>
      <c r="N12" s="4866" t="s">
        <v>2012</v>
      </c>
      <c r="O12" s="4807">
        <v>4</v>
      </c>
      <c r="P12" s="4879">
        <f>P7/O12</f>
        <v>13361</v>
      </c>
      <c r="Q12" s="4761">
        <f>Q7/P12</f>
        <v>0</v>
      </c>
      <c r="R12" s="4891"/>
      <c r="S12" s="4891"/>
      <c r="T12" s="4891"/>
      <c r="U12" s="4891"/>
      <c r="V12" s="4766"/>
    </row>
    <row r="13" spans="2:22">
      <c r="B13" s="44"/>
      <c r="D13" s="5024" t="s">
        <v>1988</v>
      </c>
      <c r="J13" s="4766"/>
      <c r="K13" s="317"/>
      <c r="L13" s="317"/>
      <c r="N13" s="44"/>
      <c r="P13" s="5035" t="s">
        <v>2005</v>
      </c>
      <c r="V13" s="4766"/>
    </row>
    <row r="14" spans="2:22" ht="15" thickBot="1">
      <c r="B14" s="4823"/>
      <c r="C14" s="4824"/>
      <c r="D14" s="4824"/>
      <c r="E14" s="4824"/>
      <c r="F14" s="4824"/>
      <c r="G14" s="4824"/>
      <c r="H14" s="4824"/>
      <c r="I14" s="4824"/>
      <c r="J14" s="4825"/>
      <c r="N14" s="4823"/>
      <c r="O14" s="4824"/>
      <c r="P14" s="4824"/>
      <c r="Q14" s="4824"/>
      <c r="R14" s="4824"/>
      <c r="S14" s="4824"/>
      <c r="T14" s="4824"/>
      <c r="U14" s="4824"/>
      <c r="V14" s="4825"/>
    </row>
  </sheetData>
  <mergeCells count="5">
    <mergeCell ref="D3:E3"/>
    <mergeCell ref="F3:G3"/>
    <mergeCell ref="D5:E5"/>
    <mergeCell ref="F5:G5"/>
    <mergeCell ref="D9:E9"/>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F26C4A-92A7-464F-8B79-91ADBC331D94}">
  <sheetPr>
    <tabColor rgb="FF7030A0"/>
  </sheetPr>
  <dimension ref="B1:V15"/>
  <sheetViews>
    <sheetView workbookViewId="0">
      <selection activeCell="E6" sqref="E6"/>
    </sheetView>
  </sheetViews>
  <sheetFormatPr baseColWidth="10" defaultRowHeight="14.4"/>
  <cols>
    <col min="1" max="1" width="2.5546875" customWidth="1"/>
    <col min="2" max="2" width="21.33203125" customWidth="1"/>
    <col min="3" max="3" width="2" bestFit="1" customWidth="1"/>
    <col min="7" max="7" width="12.109375" bestFit="1" customWidth="1"/>
    <col min="8" max="9" width="12.109375" customWidth="1"/>
    <col min="13" max="13" width="4.77734375" customWidth="1"/>
    <col min="14" max="14" width="21.88671875" customWidth="1"/>
    <col min="15" max="15" width="2" bestFit="1" customWidth="1"/>
    <col min="16" max="18" width="12.33203125" customWidth="1"/>
    <col min="19" max="24" width="11.21875" customWidth="1"/>
  </cols>
  <sheetData>
    <row r="1" spans="2:22" s="45" customFormat="1">
      <c r="B1" s="4727" t="s">
        <v>2013</v>
      </c>
      <c r="C1" s="4729"/>
      <c r="D1" s="4729"/>
      <c r="E1" s="4729"/>
      <c r="F1" s="4729"/>
      <c r="G1" s="4729"/>
      <c r="H1" s="4729"/>
      <c r="I1" s="4729"/>
      <c r="J1" s="4730"/>
      <c r="N1" s="4731" t="s">
        <v>2014</v>
      </c>
      <c r="O1" s="4733"/>
      <c r="P1" s="4733"/>
      <c r="Q1" s="4733"/>
      <c r="R1" s="4729"/>
      <c r="S1" s="4729"/>
      <c r="T1" s="4729"/>
      <c r="U1" s="4729"/>
      <c r="V1" s="4730"/>
    </row>
    <row r="2" spans="2:22">
      <c r="B2" s="44"/>
      <c r="J2" s="4766"/>
      <c r="N2" s="44"/>
      <c r="V2" s="4766"/>
    </row>
    <row r="3" spans="2:22" s="2977" customFormat="1">
      <c r="B3" s="4828"/>
      <c r="C3" s="4814"/>
      <c r="D3" s="5611">
        <v>2021</v>
      </c>
      <c r="E3" s="5611"/>
      <c r="F3" s="5582">
        <v>2022</v>
      </c>
      <c r="G3" s="5582"/>
      <c r="J3" s="316"/>
      <c r="N3" s="315"/>
      <c r="P3" s="4814">
        <v>2021</v>
      </c>
      <c r="Q3" s="4818">
        <v>2022</v>
      </c>
      <c r="R3" s="4814"/>
      <c r="V3" s="316"/>
    </row>
    <row r="4" spans="2:22" s="2977" customFormat="1">
      <c r="B4" s="4828"/>
      <c r="C4" s="4814"/>
      <c r="D4" s="4999" t="s">
        <v>1882</v>
      </c>
      <c r="E4" s="5026" t="s">
        <v>1856</v>
      </c>
      <c r="F4" s="5002" t="s">
        <v>1882</v>
      </c>
      <c r="G4" s="5003" t="s">
        <v>1856</v>
      </c>
      <c r="J4" s="316"/>
      <c r="N4" s="315"/>
      <c r="P4" s="4814" t="s">
        <v>2015</v>
      </c>
      <c r="Q4" s="4997"/>
      <c r="R4" s="4814"/>
      <c r="V4" s="316"/>
    </row>
    <row r="5" spans="2:22" s="2977" customFormat="1">
      <c r="B5" s="4828"/>
      <c r="C5" s="4814"/>
      <c r="D5" s="5611" t="s">
        <v>2015</v>
      </c>
      <c r="E5" s="5611"/>
      <c r="F5" s="5623"/>
      <c r="G5" s="5623"/>
      <c r="J5" s="316"/>
      <c r="N5" s="315"/>
      <c r="P5" s="4814"/>
      <c r="Q5" s="4818"/>
      <c r="R5" s="4814"/>
      <c r="V5" s="316"/>
    </row>
    <row r="6" spans="2:22">
      <c r="B6" s="4750" t="s">
        <v>1857</v>
      </c>
      <c r="C6" s="4752"/>
      <c r="D6" s="4755">
        <f>2536+1359+1932+2622</f>
        <v>8449</v>
      </c>
      <c r="E6" s="4755">
        <f>2285+2156+1967+2373</f>
        <v>8781</v>
      </c>
      <c r="F6" s="4754"/>
      <c r="G6" s="4754"/>
      <c r="I6" s="317"/>
      <c r="J6" s="4766"/>
      <c r="N6" s="4839" t="s">
        <v>1858</v>
      </c>
      <c r="O6" s="4751"/>
      <c r="P6" s="4758">
        <f>10296+7668+4368+8820</f>
        <v>31152</v>
      </c>
      <c r="Q6" s="4956"/>
      <c r="R6" s="4762"/>
      <c r="S6" s="4873"/>
      <c r="T6" s="4873"/>
      <c r="U6" s="317"/>
      <c r="V6" s="4766"/>
    </row>
    <row r="7" spans="2:22">
      <c r="B7" s="44"/>
      <c r="E7" s="1">
        <f>SUM(D6:E6)</f>
        <v>17230</v>
      </c>
      <c r="F7" s="4765"/>
      <c r="G7" s="5029">
        <f>SUM(F6:G6)</f>
        <v>0</v>
      </c>
      <c r="J7" s="4766"/>
      <c r="N7" s="4839" t="s">
        <v>1859</v>
      </c>
      <c r="O7" s="4751"/>
      <c r="P7" s="4758">
        <f>5000+3490+1810+4010</f>
        <v>14310</v>
      </c>
      <c r="Q7" s="4956"/>
      <c r="R7" s="4762"/>
      <c r="S7" s="4873"/>
      <c r="T7" s="4873"/>
      <c r="U7" s="317"/>
      <c r="V7" s="4766"/>
    </row>
    <row r="8" spans="2:22">
      <c r="B8" s="44"/>
      <c r="C8" s="4755"/>
      <c r="D8" s="4755"/>
      <c r="E8" s="4755"/>
      <c r="F8" s="4754"/>
      <c r="G8" s="4765"/>
      <c r="J8" s="4766"/>
      <c r="N8" s="4767" t="s">
        <v>32</v>
      </c>
      <c r="O8" s="4854"/>
      <c r="P8" s="4768">
        <f>SUM(P6:P7)</f>
        <v>45462</v>
      </c>
      <c r="Q8" s="4770">
        <f>SUM(Q6:Q7)</f>
        <v>0</v>
      </c>
      <c r="R8" s="4771"/>
      <c r="S8" s="4771"/>
      <c r="T8" s="4771"/>
      <c r="U8" s="4768"/>
      <c r="V8" s="4766"/>
    </row>
    <row r="9" spans="2:22">
      <c r="B9" s="44"/>
      <c r="C9" s="4755"/>
      <c r="D9" s="5030"/>
      <c r="E9" s="5030"/>
      <c r="F9" s="4983"/>
      <c r="G9" s="4856"/>
      <c r="I9" s="4776"/>
      <c r="J9" s="303"/>
      <c r="K9" s="4776"/>
      <c r="L9" s="4776"/>
      <c r="N9" s="4767"/>
      <c r="O9" s="4854"/>
      <c r="P9" s="4857"/>
      <c r="Q9" s="4858"/>
      <c r="R9" s="5041"/>
      <c r="S9" s="5041"/>
      <c r="T9" s="5041"/>
      <c r="U9" s="4857"/>
      <c r="V9" s="4766"/>
    </row>
    <row r="10" spans="2:22" ht="46.8" customHeight="1">
      <c r="B10" s="4774"/>
      <c r="C10" s="4755"/>
      <c r="D10" s="5573" t="s">
        <v>579</v>
      </c>
      <c r="E10" s="5573"/>
      <c r="F10" s="4765"/>
      <c r="G10" s="4765"/>
      <c r="J10" s="4766"/>
      <c r="N10" s="44"/>
      <c r="P10" s="4915" t="s">
        <v>1943</v>
      </c>
      <c r="Q10" s="5033"/>
      <c r="R10" s="5042"/>
      <c r="S10" s="5042"/>
      <c r="T10" s="5042"/>
      <c r="U10" s="5032"/>
      <c r="V10" s="4766"/>
    </row>
    <row r="11" spans="2:22">
      <c r="B11" s="44"/>
      <c r="F11" s="4765"/>
      <c r="G11" s="4765"/>
      <c r="J11" s="4766"/>
      <c r="N11" s="44"/>
      <c r="P11" s="317"/>
      <c r="Q11" s="4872"/>
      <c r="R11" s="317"/>
      <c r="S11" s="317"/>
      <c r="T11" s="317"/>
      <c r="U11" s="317"/>
      <c r="V11" s="4766"/>
    </row>
    <row r="12" spans="2:22">
      <c r="B12" s="4866" t="s">
        <v>2012</v>
      </c>
      <c r="C12" s="4807">
        <v>3</v>
      </c>
      <c r="D12" s="4762">
        <f>D6/C12</f>
        <v>2816.3333333333335</v>
      </c>
      <c r="E12" s="4762">
        <f>E6/$C$12</f>
        <v>2927</v>
      </c>
      <c r="F12" s="4761">
        <f>F6/$C$12</f>
        <v>0</v>
      </c>
      <c r="G12" s="4872">
        <f>G6/$C$12</f>
        <v>0</v>
      </c>
      <c r="I12" s="317"/>
      <c r="J12" s="4874"/>
      <c r="N12" s="4866" t="s">
        <v>2012</v>
      </c>
      <c r="O12" s="4807">
        <v>3</v>
      </c>
      <c r="P12" s="4879">
        <f>P8/O12</f>
        <v>15154</v>
      </c>
      <c r="Q12" s="4761">
        <f>Q8/P12</f>
        <v>0</v>
      </c>
      <c r="R12" s="4879"/>
      <c r="S12" s="4879"/>
      <c r="T12" s="4879"/>
      <c r="U12" s="4879"/>
      <c r="V12" s="4766"/>
    </row>
    <row r="13" spans="2:22">
      <c r="B13" s="4866" t="s">
        <v>2012</v>
      </c>
      <c r="C13" s="4807">
        <v>4</v>
      </c>
      <c r="D13" s="4762">
        <f>D6/$C$13</f>
        <v>2112.25</v>
      </c>
      <c r="E13" s="4762">
        <f>E6/$C$13</f>
        <v>2195.25</v>
      </c>
      <c r="F13" s="4761">
        <f>F6/$C$13</f>
        <v>0</v>
      </c>
      <c r="G13" s="4872">
        <f>G6/$C$13</f>
        <v>0</v>
      </c>
      <c r="J13" s="4766"/>
      <c r="N13" s="4866" t="s">
        <v>2012</v>
      </c>
      <c r="O13" s="4807">
        <v>4</v>
      </c>
      <c r="P13" s="4879">
        <f>P8/O13</f>
        <v>11365.5</v>
      </c>
      <c r="Q13" s="4761">
        <f>Q8/P13</f>
        <v>0</v>
      </c>
      <c r="R13" s="4891"/>
      <c r="S13" s="4891"/>
      <c r="T13" s="4891"/>
      <c r="U13" s="4891"/>
      <c r="V13" s="4766"/>
    </row>
    <row r="14" spans="2:22">
      <c r="B14" s="44"/>
      <c r="D14" s="5024"/>
      <c r="J14" s="4766"/>
      <c r="K14" s="317"/>
      <c r="L14" s="317"/>
      <c r="N14" s="44"/>
      <c r="P14" s="5035"/>
      <c r="V14" s="4766"/>
    </row>
    <row r="15" spans="2:22" ht="15" thickBot="1">
      <c r="B15" s="4823"/>
      <c r="C15" s="4824"/>
      <c r="D15" s="4824"/>
      <c r="E15" s="4824"/>
      <c r="F15" s="4824"/>
      <c r="G15" s="4824"/>
      <c r="H15" s="4824"/>
      <c r="I15" s="4824"/>
      <c r="J15" s="4825"/>
      <c r="N15" s="4823"/>
      <c r="O15" s="4824"/>
      <c r="P15" s="4824"/>
      <c r="Q15" s="4824"/>
      <c r="R15" s="4824"/>
      <c r="S15" s="4824"/>
      <c r="T15" s="4824"/>
      <c r="U15" s="4824"/>
      <c r="V15" s="4825"/>
    </row>
  </sheetData>
  <mergeCells count="5">
    <mergeCell ref="D3:E3"/>
    <mergeCell ref="F3:G3"/>
    <mergeCell ref="D5:E5"/>
    <mergeCell ref="F5:G5"/>
    <mergeCell ref="D10:E10"/>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00B050"/>
  </sheetPr>
  <dimension ref="A1:G15"/>
  <sheetViews>
    <sheetView zoomScaleNormal="100" workbookViewId="0">
      <selection activeCell="AE38" sqref="AE38"/>
    </sheetView>
  </sheetViews>
  <sheetFormatPr baseColWidth="10" defaultRowHeight="14.4"/>
  <cols>
    <col min="1" max="1" width="11.5546875" style="2213"/>
    <col min="2" max="2" width="6.44140625" style="2213" bestFit="1" customWidth="1"/>
    <col min="3" max="3" width="9.21875" style="2213" bestFit="1" customWidth="1"/>
    <col min="4" max="7" width="14.6640625" style="2213" customWidth="1"/>
    <col min="8" max="16384" width="11.5546875" style="2213"/>
  </cols>
  <sheetData>
    <row r="1" spans="1:7" ht="21">
      <c r="A1" s="5625" t="s">
        <v>1493</v>
      </c>
      <c r="B1" s="5625"/>
      <c r="C1" s="5625"/>
      <c r="D1" s="5625"/>
      <c r="E1" s="5625"/>
      <c r="F1" s="5625"/>
      <c r="G1" s="5625"/>
    </row>
    <row r="2" spans="1:7">
      <c r="A2" s="2536"/>
    </row>
    <row r="3" spans="1:7" ht="43.2">
      <c r="B3" s="2324">
        <v>44166</v>
      </c>
      <c r="C3" s="2325" t="s">
        <v>148</v>
      </c>
      <c r="D3" s="2325" t="s">
        <v>1419</v>
      </c>
      <c r="E3" s="2325" t="s">
        <v>1420</v>
      </c>
      <c r="F3" s="2325" t="s">
        <v>1421</v>
      </c>
      <c r="G3" s="2325" t="s">
        <v>1422</v>
      </c>
    </row>
    <row r="4" spans="1:7">
      <c r="C4" s="2326" t="s">
        <v>1423</v>
      </c>
      <c r="D4" s="1902">
        <v>5.6627822248382857E-2</v>
      </c>
      <c r="E4" s="2327">
        <v>1.9664514596148519</v>
      </c>
      <c r="F4" s="2631">
        <v>1122.1818181818182</v>
      </c>
      <c r="G4" s="2328">
        <v>61.556100612895641</v>
      </c>
    </row>
    <row r="5" spans="1:7">
      <c r="C5" s="2326" t="s">
        <v>1424</v>
      </c>
      <c r="D5" s="1902">
        <v>6.6292175840633058E-2</v>
      </c>
      <c r="E5" s="2327">
        <v>1.118300316198936</v>
      </c>
      <c r="F5" s="2631">
        <v>2404.5454545454545</v>
      </c>
      <c r="G5" s="2328">
        <v>64.479819496284776</v>
      </c>
    </row>
    <row r="6" spans="1:7" ht="15" thickBot="1">
      <c r="C6" s="2329" t="s">
        <v>1425</v>
      </c>
      <c r="D6" s="2330">
        <v>0.16435429618687211</v>
      </c>
      <c r="E6" s="2331">
        <v>2.6617689535755589</v>
      </c>
      <c r="F6" s="2632">
        <v>2341.181818181818</v>
      </c>
      <c r="G6" s="2332">
        <v>92.414279097732944</v>
      </c>
    </row>
    <row r="7" spans="1:7" ht="15" thickTop="1">
      <c r="C7" s="2333" t="s">
        <v>32</v>
      </c>
      <c r="D7" s="2334">
        <v>9.8141725302122965E-2</v>
      </c>
      <c r="E7" s="2335">
        <v>1.7651140582247904</v>
      </c>
      <c r="F7" s="2633">
        <v>2927.8805704099823</v>
      </c>
      <c r="G7" s="2336">
        <v>71.861750720768512</v>
      </c>
    </row>
    <row r="8" spans="1:7">
      <c r="D8" s="5624" t="s">
        <v>1491</v>
      </c>
      <c r="E8" s="5624"/>
      <c r="F8" s="5624"/>
      <c r="G8" s="5624"/>
    </row>
    <row r="10" spans="1:7" ht="43.2">
      <c r="B10" s="2634">
        <v>44197</v>
      </c>
      <c r="C10" s="2635" t="s">
        <v>148</v>
      </c>
      <c r="D10" s="2635" t="s">
        <v>1419</v>
      </c>
      <c r="E10" s="2635" t="s">
        <v>1420</v>
      </c>
      <c r="F10" s="2635" t="s">
        <v>1421</v>
      </c>
      <c r="G10" s="2635" t="s">
        <v>1422</v>
      </c>
    </row>
    <row r="11" spans="1:7">
      <c r="C11" s="2326" t="s">
        <v>1423</v>
      </c>
      <c r="D11" s="1902">
        <v>4.2801962626579003E-2</v>
      </c>
      <c r="E11" s="2327">
        <v>1.2117117117117118</v>
      </c>
      <c r="F11" s="2631">
        <v>538</v>
      </c>
      <c r="G11" s="2328">
        <v>64.317560975609751</v>
      </c>
    </row>
    <row r="12" spans="1:7">
      <c r="C12" s="2326" t="s">
        <v>1424</v>
      </c>
      <c r="D12" s="1902">
        <v>9.6155333797478204E-2</v>
      </c>
      <c r="E12" s="2327">
        <v>1.112939416604338</v>
      </c>
      <c r="F12" s="2631">
        <v>1488</v>
      </c>
      <c r="G12" s="2328">
        <v>67.852775543041034</v>
      </c>
    </row>
    <row r="13" spans="1:7" ht="15" thickBot="1">
      <c r="C13" s="2329" t="s">
        <v>1425</v>
      </c>
      <c r="D13" s="2330">
        <v>0.21170077465602999</v>
      </c>
      <c r="E13" s="2331">
        <v>1.13734335839599</v>
      </c>
      <c r="F13" s="2632">
        <v>2269</v>
      </c>
      <c r="G13" s="2332">
        <v>104.18241398143091</v>
      </c>
    </row>
    <row r="14" spans="1:7" ht="15" thickTop="1">
      <c r="C14" s="2333" t="s">
        <v>32</v>
      </c>
      <c r="D14" s="2334">
        <v>0.11182795698924732</v>
      </c>
      <c r="E14" s="2335">
        <v>1.1374470338983051</v>
      </c>
      <c r="F14" s="2633">
        <v>4295</v>
      </c>
      <c r="G14" s="2336">
        <v>86.529621125143521</v>
      </c>
    </row>
    <row r="15" spans="1:7">
      <c r="D15" s="5624" t="s">
        <v>1492</v>
      </c>
      <c r="E15" s="5624"/>
      <c r="F15" s="5624"/>
      <c r="G15" s="5624"/>
    </row>
  </sheetData>
  <mergeCells count="3">
    <mergeCell ref="D8:G8"/>
    <mergeCell ref="D15:G15"/>
    <mergeCell ref="A1:G1"/>
  </mergeCells>
  <pageMargins left="0.7" right="0.7" top="0.75" bottom="0.75" header="0.3" footer="0.3"/>
  <pageSetup paperSize="9" orientation="portrait" verticalDpi="597" r:id="rId1"/>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92D050"/>
    <pageSetUpPr fitToPage="1"/>
  </sheetPr>
  <dimension ref="A1:CL186"/>
  <sheetViews>
    <sheetView showGridLines="0" topLeftCell="M1" zoomScale="70" zoomScaleNormal="70" workbookViewId="0">
      <selection activeCell="AF4" sqref="AF4:AG4"/>
    </sheetView>
  </sheetViews>
  <sheetFormatPr baseColWidth="10" defaultColWidth="11.44140625" defaultRowHeight="14.4"/>
  <cols>
    <col min="1" max="1" width="21.33203125" style="158" customWidth="1"/>
    <col min="2" max="4" width="15.5546875" style="158" customWidth="1"/>
    <col min="5" max="13" width="11.5546875" style="158" customWidth="1"/>
    <col min="14" max="14" width="11.5546875" style="703" hidden="1" customWidth="1"/>
    <col min="15" max="19" width="11.5546875" style="703" customWidth="1"/>
    <col min="20" max="20" width="5.5546875" style="158" customWidth="1"/>
    <col min="21" max="21" width="31.88671875" style="703" bestFit="1" customWidth="1"/>
    <col min="22" max="22" width="11.44140625" style="703"/>
    <col min="23" max="23" width="14.88671875" style="703" customWidth="1"/>
    <col min="24" max="24" width="11.44140625" style="703" customWidth="1"/>
    <col min="25" max="32" width="11.44140625" style="703"/>
    <col min="33" max="33" width="29" style="703" customWidth="1"/>
    <col min="34" max="34" width="13" style="158" bestFit="1" customWidth="1"/>
    <col min="35" max="35" width="3.5546875" style="158" customWidth="1"/>
    <col min="36" max="36" width="26.5546875" style="158" customWidth="1"/>
    <col min="37" max="46" width="11.33203125" style="158" customWidth="1"/>
    <col min="47" max="48" width="16.44140625" style="158" customWidth="1"/>
    <col min="49" max="54" width="16.44140625" style="703" customWidth="1"/>
    <col min="55" max="58" width="11.44140625" style="158"/>
    <col min="59" max="59" width="4.5546875" style="158" bestFit="1" customWidth="1"/>
    <col min="60" max="60" width="8.88671875" style="158" bestFit="1" customWidth="1"/>
    <col min="61" max="61" width="16.88671875" style="158" bestFit="1" customWidth="1"/>
    <col min="62" max="76" width="11.44140625" style="158"/>
    <col min="77" max="77" width="26.77734375" style="158" bestFit="1" customWidth="1"/>
    <col min="78" max="16384" width="11.44140625" style="158"/>
  </cols>
  <sheetData>
    <row r="1" spans="1:90" ht="15" thickBot="1">
      <c r="A1" s="167" t="s">
        <v>596</v>
      </c>
      <c r="B1" s="167"/>
      <c r="C1" s="167"/>
      <c r="D1" s="167"/>
      <c r="E1" s="167"/>
      <c r="F1" s="167"/>
      <c r="G1" s="167"/>
      <c r="H1" s="167"/>
      <c r="I1" s="168"/>
      <c r="J1" s="168"/>
      <c r="K1" s="168"/>
      <c r="L1" s="168"/>
      <c r="M1" s="168"/>
      <c r="N1" s="168"/>
      <c r="O1" s="168"/>
      <c r="P1" s="168"/>
      <c r="Q1" s="168"/>
      <c r="R1" s="168"/>
      <c r="S1" s="168"/>
      <c r="T1" s="703"/>
      <c r="U1" s="561"/>
      <c r="V1" s="554" t="s">
        <v>1785</v>
      </c>
      <c r="W1" s="555"/>
      <c r="X1" s="555" t="s">
        <v>33</v>
      </c>
      <c r="Y1" s="555"/>
      <c r="Z1" s="555"/>
      <c r="AA1" s="555"/>
      <c r="AB1" s="555"/>
      <c r="AC1" s="555"/>
      <c r="AD1" s="555"/>
      <c r="AE1" s="555"/>
      <c r="AF1" s="555"/>
      <c r="AG1" s="558"/>
      <c r="AH1" s="703"/>
      <c r="AJ1" s="167" t="s">
        <v>142</v>
      </c>
      <c r="AO1" s="158" t="s">
        <v>147</v>
      </c>
      <c r="BY1" s="349"/>
      <c r="BZ1" s="1373" t="s">
        <v>1372</v>
      </c>
      <c r="CA1" s="1353"/>
      <c r="CB1" s="1353" t="s">
        <v>33</v>
      </c>
      <c r="CC1" s="1353"/>
      <c r="CD1" s="1353"/>
      <c r="CE1" s="1353"/>
      <c r="CF1" s="1353"/>
      <c r="CG1" s="1353"/>
      <c r="CH1" s="1353"/>
      <c r="CI1" s="1353"/>
      <c r="CJ1" s="1353"/>
      <c r="CK1" s="1354"/>
    </row>
    <row r="2" spans="1:90" s="1105" customFormat="1" ht="43.8" thickBot="1">
      <c r="A2" s="1107" t="s">
        <v>143</v>
      </c>
      <c r="B2" s="5629" t="s">
        <v>506</v>
      </c>
      <c r="C2" s="5630"/>
      <c r="D2" s="5630"/>
      <c r="E2" s="5630"/>
      <c r="F2" s="5630"/>
      <c r="G2" s="5630"/>
      <c r="H2" s="5630"/>
      <c r="I2" s="5630"/>
      <c r="J2" s="5630"/>
      <c r="K2" s="5630"/>
      <c r="L2" s="5630"/>
      <c r="M2" s="5631"/>
      <c r="N2" s="1175" t="s">
        <v>1019</v>
      </c>
      <c r="O2" s="1174" t="s">
        <v>1020</v>
      </c>
      <c r="P2" s="1174" t="s">
        <v>1020</v>
      </c>
      <c r="Q2" s="1174" t="s">
        <v>1020</v>
      </c>
      <c r="R2" s="1174" t="s">
        <v>1020</v>
      </c>
      <c r="S2" s="2280"/>
      <c r="T2" s="703"/>
      <c r="U2" s="471"/>
      <c r="V2" s="556" t="s">
        <v>36</v>
      </c>
      <c r="W2" s="557" t="s">
        <v>187</v>
      </c>
      <c r="X2" s="557" t="s">
        <v>546</v>
      </c>
      <c r="Y2" s="557" t="s">
        <v>188</v>
      </c>
      <c r="Z2" s="557" t="s">
        <v>189</v>
      </c>
      <c r="AA2" s="557" t="s">
        <v>180</v>
      </c>
      <c r="AB2" s="557" t="s">
        <v>42</v>
      </c>
      <c r="AC2" s="557" t="s">
        <v>43</v>
      </c>
      <c r="AD2" s="557" t="s">
        <v>44</v>
      </c>
      <c r="AE2" s="557" t="s">
        <v>45</v>
      </c>
      <c r="AF2" s="557" t="s">
        <v>1788</v>
      </c>
      <c r="AG2" s="559" t="s">
        <v>1789</v>
      </c>
      <c r="AJ2" s="1107" t="s">
        <v>143</v>
      </c>
      <c r="AK2" s="1109" t="s">
        <v>149</v>
      </c>
      <c r="AL2" s="1106" t="s">
        <v>48</v>
      </c>
      <c r="AM2" s="1106" t="s">
        <v>48</v>
      </c>
      <c r="AN2" s="1106" t="s">
        <v>150</v>
      </c>
      <c r="AO2" s="1106" t="s">
        <v>150</v>
      </c>
      <c r="AP2" s="1106" t="s">
        <v>48</v>
      </c>
      <c r="AQ2" s="1106" t="s">
        <v>48</v>
      </c>
      <c r="AR2" s="1106" t="s">
        <v>48</v>
      </c>
      <c r="AS2" s="1106" t="s">
        <v>48</v>
      </c>
      <c r="AT2" s="1106" t="s">
        <v>48</v>
      </c>
      <c r="AU2" s="1106" t="s">
        <v>48</v>
      </c>
      <c r="AV2" s="1104" t="s">
        <v>909</v>
      </c>
      <c r="AW2" s="1183" t="s">
        <v>910</v>
      </c>
      <c r="AX2" s="1106" t="s">
        <v>48</v>
      </c>
      <c r="AY2" s="1106" t="s">
        <v>48</v>
      </c>
      <c r="AZ2" s="1106" t="s">
        <v>48</v>
      </c>
      <c r="BA2" s="3910" t="s">
        <v>1021</v>
      </c>
      <c r="BG2" s="1105" t="s">
        <v>533</v>
      </c>
      <c r="BI2" s="1105" t="s">
        <v>534</v>
      </c>
      <c r="BJ2" s="1105" t="s">
        <v>542</v>
      </c>
      <c r="BK2" s="1105" t="s">
        <v>543</v>
      </c>
      <c r="BY2" s="566"/>
      <c r="BZ2" s="1374" t="s">
        <v>36</v>
      </c>
      <c r="CA2" s="1355" t="s">
        <v>187</v>
      </c>
      <c r="CB2" s="1355" t="s">
        <v>546</v>
      </c>
      <c r="CC2" s="1355" t="s">
        <v>188</v>
      </c>
      <c r="CD2" s="1355" t="s">
        <v>189</v>
      </c>
      <c r="CE2" s="1355" t="s">
        <v>180</v>
      </c>
      <c r="CF2" s="1355" t="s">
        <v>42</v>
      </c>
      <c r="CG2" s="1355" t="s">
        <v>43</v>
      </c>
      <c r="CH2" s="1355" t="s">
        <v>44</v>
      </c>
      <c r="CI2" s="1355" t="s">
        <v>45</v>
      </c>
      <c r="CJ2" s="1355" t="s">
        <v>46</v>
      </c>
      <c r="CK2" s="1356" t="s">
        <v>47</v>
      </c>
    </row>
    <row r="3" spans="1:90" s="343" customFormat="1" ht="16.2" thickBot="1">
      <c r="A3" s="340" t="s">
        <v>148</v>
      </c>
      <c r="B3" s="576">
        <v>2006</v>
      </c>
      <c r="C3" s="576">
        <v>2007</v>
      </c>
      <c r="D3" s="576">
        <v>2008</v>
      </c>
      <c r="E3" s="576">
        <v>2009</v>
      </c>
      <c r="F3" s="576">
        <v>2010</v>
      </c>
      <c r="G3" s="576">
        <v>2011</v>
      </c>
      <c r="H3" s="576">
        <v>2012</v>
      </c>
      <c r="I3" s="576">
        <v>2013</v>
      </c>
      <c r="J3" s="576">
        <v>2014</v>
      </c>
      <c r="K3" s="576">
        <v>2015</v>
      </c>
      <c r="L3" s="576">
        <f>AU3</f>
        <v>2016</v>
      </c>
      <c r="M3" s="576" t="s">
        <v>581</v>
      </c>
      <c r="N3" s="1176" t="s">
        <v>820</v>
      </c>
      <c r="O3" s="608" t="s">
        <v>820</v>
      </c>
      <c r="P3" s="576">
        <v>2019</v>
      </c>
      <c r="Q3" s="576">
        <v>2020</v>
      </c>
      <c r="R3" s="1377" t="s">
        <v>1441</v>
      </c>
      <c r="S3" s="2281"/>
      <c r="T3" s="703"/>
      <c r="U3" s="4402"/>
      <c r="V3" s="4405"/>
      <c r="W3" s="4405"/>
      <c r="X3" s="4405"/>
      <c r="Y3" s="4405"/>
      <c r="Z3" s="4405"/>
      <c r="AA3" s="4405"/>
      <c r="AB3" s="4405"/>
      <c r="AC3" s="4405"/>
      <c r="AD3" s="4405"/>
      <c r="AE3" s="5628"/>
      <c r="AF3" s="5628"/>
      <c r="AG3" s="5628"/>
      <c r="AH3" s="703"/>
      <c r="AJ3" s="340" t="s">
        <v>148</v>
      </c>
      <c r="AK3" s="548">
        <v>2006</v>
      </c>
      <c r="AL3" s="549">
        <v>2007</v>
      </c>
      <c r="AM3" s="549">
        <v>2008</v>
      </c>
      <c r="AN3" s="549">
        <v>2009</v>
      </c>
      <c r="AO3" s="549">
        <v>2010</v>
      </c>
      <c r="AP3" s="549">
        <v>2011</v>
      </c>
      <c r="AQ3" s="549">
        <v>2012</v>
      </c>
      <c r="AR3" s="549">
        <v>2013</v>
      </c>
      <c r="AS3" s="549">
        <v>2014</v>
      </c>
      <c r="AT3" s="549">
        <v>2015</v>
      </c>
      <c r="AU3" s="549">
        <v>2016</v>
      </c>
      <c r="AV3" s="549">
        <v>2017</v>
      </c>
      <c r="AW3" s="1180" t="s">
        <v>1070</v>
      </c>
      <c r="AX3" s="549">
        <v>2018</v>
      </c>
      <c r="AY3" s="1252">
        <v>2019</v>
      </c>
      <c r="AZ3" s="549">
        <v>2020</v>
      </c>
      <c r="BA3" s="3911" t="s">
        <v>1441</v>
      </c>
      <c r="BB3" s="706"/>
      <c r="BF3" s="158"/>
      <c r="BG3" s="158" t="s">
        <v>533</v>
      </c>
      <c r="BH3" s="158" t="s">
        <v>535</v>
      </c>
      <c r="BI3" s="158" t="s">
        <v>536</v>
      </c>
      <c r="BJ3" s="158"/>
      <c r="BK3" s="158"/>
      <c r="BL3" s="158"/>
      <c r="BM3" s="158"/>
      <c r="BX3" s="2120">
        <v>2019</v>
      </c>
      <c r="BY3" s="2121" t="s">
        <v>1074</v>
      </c>
      <c r="BZ3" s="2122">
        <v>51.67</v>
      </c>
      <c r="CA3" s="2122">
        <v>59.05</v>
      </c>
      <c r="CB3" s="2122">
        <v>60.04</v>
      </c>
      <c r="CC3" s="2122">
        <v>63.14</v>
      </c>
      <c r="CD3" s="2122">
        <v>57.94</v>
      </c>
      <c r="CE3" s="2122">
        <v>61.51</v>
      </c>
      <c r="CF3" s="2122">
        <v>60.91</v>
      </c>
      <c r="CG3" s="2122">
        <v>55.6</v>
      </c>
      <c r="CH3" s="2122">
        <v>61.97</v>
      </c>
      <c r="CI3" s="2123">
        <f t="shared" ref="CI3:CK3" si="0">CI18*1.03</f>
        <v>0</v>
      </c>
      <c r="CJ3" s="2123">
        <f t="shared" si="0"/>
        <v>0</v>
      </c>
      <c r="CK3" s="2124">
        <f t="shared" si="0"/>
        <v>0</v>
      </c>
    </row>
    <row r="4" spans="1:90" s="343" customFormat="1" ht="54.6" customHeight="1" thickBot="1">
      <c r="A4" s="340"/>
      <c r="B4" s="576"/>
      <c r="C4" s="576"/>
      <c r="D4" s="576"/>
      <c r="E4" s="576"/>
      <c r="F4" s="576"/>
      <c r="G4" s="576"/>
      <c r="H4" s="576"/>
      <c r="I4" s="576"/>
      <c r="J4" s="576"/>
      <c r="K4" s="576"/>
      <c r="L4" s="576"/>
      <c r="M4" s="576" t="s">
        <v>733</v>
      </c>
      <c r="N4" s="1176" t="s">
        <v>873</v>
      </c>
      <c r="O4" s="873" t="s">
        <v>873</v>
      </c>
      <c r="P4" s="576" t="s">
        <v>1797</v>
      </c>
      <c r="Q4" s="576" t="s">
        <v>1797</v>
      </c>
      <c r="R4" s="873" t="s">
        <v>2028</v>
      </c>
      <c r="S4" s="2282"/>
      <c r="T4" s="703"/>
      <c r="U4" s="560" t="s">
        <v>151</v>
      </c>
      <c r="V4" s="878">
        <v>11</v>
      </c>
      <c r="W4" s="878">
        <v>16</v>
      </c>
      <c r="X4" s="878">
        <v>15</v>
      </c>
      <c r="Y4" s="879">
        <v>13</v>
      </c>
      <c r="Z4" s="879">
        <v>14</v>
      </c>
      <c r="AA4" s="878">
        <v>23</v>
      </c>
      <c r="AB4" s="878">
        <v>23</v>
      </c>
      <c r="AC4" s="878">
        <v>28</v>
      </c>
      <c r="AD4" s="878">
        <v>28</v>
      </c>
      <c r="AE4" s="880">
        <v>30.5</v>
      </c>
      <c r="AF4" s="5084">
        <v>30.5</v>
      </c>
      <c r="AG4" s="5084">
        <v>30.5</v>
      </c>
      <c r="AH4" s="174"/>
      <c r="AJ4" s="550"/>
      <c r="AK4" s="551"/>
      <c r="AL4" s="551"/>
      <c r="AM4" s="551"/>
      <c r="AN4" s="551"/>
      <c r="AO4" s="551"/>
      <c r="AP4" s="551"/>
      <c r="AQ4" s="551"/>
      <c r="AR4" s="551"/>
      <c r="AS4" s="551"/>
      <c r="AT4" s="551"/>
      <c r="AU4" s="551"/>
      <c r="AV4" s="552"/>
      <c r="AW4" s="1181"/>
      <c r="AX4" s="552"/>
      <c r="AY4" s="576" t="s">
        <v>1598</v>
      </c>
      <c r="AZ4" s="576" t="s">
        <v>1598</v>
      </c>
      <c r="BA4" s="873" t="s">
        <v>1598</v>
      </c>
      <c r="BB4" s="706"/>
      <c r="BF4" s="158"/>
      <c r="BG4" s="384">
        <f>SUM(BG5:BG20)</f>
        <v>105</v>
      </c>
      <c r="BH4" s="384">
        <f>SUM(BH5:BH20)</f>
        <v>28175</v>
      </c>
      <c r="BI4" s="615">
        <f>SUM(BI5:BI20)</f>
        <v>713.9428678641026</v>
      </c>
      <c r="BJ4" s="384">
        <f>SUM(BJ5:BJ20)</f>
        <v>1015</v>
      </c>
      <c r="BK4" s="384">
        <f>SUM(BK5:BK20)</f>
        <v>5220.6051926601949</v>
      </c>
      <c r="BL4" s="158"/>
      <c r="BM4" s="158"/>
      <c r="BX4" s="2125">
        <v>2018</v>
      </c>
      <c r="BY4" s="2126" t="s">
        <v>916</v>
      </c>
      <c r="BZ4" s="2127">
        <v>49.23</v>
      </c>
      <c r="CA4" s="2127">
        <v>59.49</v>
      </c>
      <c r="CB4" s="2127">
        <v>58.37</v>
      </c>
      <c r="CC4" s="2127">
        <v>64.19</v>
      </c>
      <c r="CD4" s="2127">
        <v>58.05</v>
      </c>
      <c r="CE4" s="2127">
        <v>61.5</v>
      </c>
      <c r="CF4" s="2127">
        <v>57.76</v>
      </c>
      <c r="CG4" s="2127">
        <v>53.26</v>
      </c>
      <c r="CH4" s="2127">
        <v>65.02</v>
      </c>
      <c r="CI4" s="2127">
        <v>64.39</v>
      </c>
      <c r="CJ4" s="2127">
        <v>66.569999999999993</v>
      </c>
      <c r="CK4" s="2128">
        <v>45.35</v>
      </c>
      <c r="CL4" s="158"/>
    </row>
    <row r="5" spans="1:90" ht="16.2" customHeight="1" thickBot="1">
      <c r="A5" s="173" t="s">
        <v>318</v>
      </c>
      <c r="B5" s="577">
        <v>48.375059198551497</v>
      </c>
      <c r="C5" s="577">
        <v>51.967628115580197</v>
      </c>
      <c r="D5" s="577">
        <v>53.89808563246357</v>
      </c>
      <c r="E5" s="577">
        <v>49.915766115218879</v>
      </c>
      <c r="F5" s="577">
        <v>52.30718839571739</v>
      </c>
      <c r="G5" s="577">
        <v>53.751290875611595</v>
      </c>
      <c r="H5" s="577">
        <v>57.762568107254687</v>
      </c>
      <c r="I5" s="577">
        <v>58.003843053502898</v>
      </c>
      <c r="J5" s="577">
        <f t="shared" ref="J5:O5" si="1">AS5</f>
        <v>56.91449749144774</v>
      </c>
      <c r="K5" s="577">
        <f t="shared" si="1"/>
        <v>52.646506184060037</v>
      </c>
      <c r="L5" s="577">
        <f t="shared" si="1"/>
        <v>46.512730614023319</v>
      </c>
      <c r="M5" s="577">
        <f t="shared" si="1"/>
        <v>46.020581605453351</v>
      </c>
      <c r="N5" s="1177">
        <f t="shared" si="1"/>
        <v>46.433055555555562</v>
      </c>
      <c r="O5" s="609">
        <f t="shared" si="1"/>
        <v>50.197122475217498</v>
      </c>
      <c r="P5" s="577">
        <v>35.67</v>
      </c>
      <c r="Q5" s="577">
        <v>9.39</v>
      </c>
      <c r="R5" s="1378">
        <v>20.21</v>
      </c>
      <c r="S5" s="2283"/>
      <c r="T5" s="703"/>
      <c r="U5" s="562" t="s">
        <v>1413</v>
      </c>
      <c r="V5" s="882">
        <v>21</v>
      </c>
      <c r="W5" s="882">
        <v>25</v>
      </c>
      <c r="X5" s="882">
        <v>24</v>
      </c>
      <c r="Y5" s="882">
        <v>28</v>
      </c>
      <c r="Z5" s="882">
        <v>19</v>
      </c>
      <c r="AA5" s="882">
        <v>33</v>
      </c>
      <c r="AB5" s="882">
        <v>33</v>
      </c>
      <c r="AC5" s="882">
        <v>31</v>
      </c>
      <c r="AD5" s="882">
        <v>44.08</v>
      </c>
      <c r="AE5" s="882">
        <v>45.56</v>
      </c>
      <c r="AF5" s="882">
        <v>45.56</v>
      </c>
      <c r="AG5" s="882">
        <v>45.56</v>
      </c>
      <c r="AH5" s="174"/>
      <c r="AJ5" s="173" t="s">
        <v>151</v>
      </c>
      <c r="AK5" s="617">
        <v>48.375059198551497</v>
      </c>
      <c r="AL5" s="175">
        <v>51.967628115580197</v>
      </c>
      <c r="AM5" s="175">
        <v>53.89808563246357</v>
      </c>
      <c r="AN5" s="617">
        <v>49.915766115218879</v>
      </c>
      <c r="AO5" s="175">
        <v>52.30718839571739</v>
      </c>
      <c r="AP5" s="175">
        <v>53.751290875611595</v>
      </c>
      <c r="AQ5" s="175">
        <v>57.762568107254687</v>
      </c>
      <c r="AR5" s="175">
        <v>58.003843053502898</v>
      </c>
      <c r="AS5" s="175">
        <v>56.91449749144774</v>
      </c>
      <c r="AT5" s="739">
        <v>52.646506184060037</v>
      </c>
      <c r="AU5" s="740">
        <v>46.512730614023319</v>
      </c>
      <c r="AV5" s="741">
        <f>AVERAGE(V55:AG55)</f>
        <v>46.020581605453351</v>
      </c>
      <c r="AW5" s="1184">
        <f>AVERAGE(V40:AG40)</f>
        <v>46.433055555555562</v>
      </c>
      <c r="AX5" s="741">
        <f>AVERAGE(V39:AG39)</f>
        <v>50.197122475217498</v>
      </c>
      <c r="AY5" s="3912">
        <f>P5</f>
        <v>35.67</v>
      </c>
      <c r="AZ5" s="740">
        <f t="shared" ref="AZ5:BA5" si="2">Q5</f>
        <v>9.39</v>
      </c>
      <c r="BA5" s="3913">
        <f t="shared" si="2"/>
        <v>20.21</v>
      </c>
      <c r="BB5" s="738"/>
      <c r="BC5" s="738"/>
      <c r="BD5" s="470"/>
      <c r="BG5" s="158">
        <v>1</v>
      </c>
      <c r="BH5" s="158">
        <v>2006</v>
      </c>
      <c r="BI5" s="1663">
        <f>AK5</f>
        <v>48.375059198551497</v>
      </c>
      <c r="BJ5" s="158">
        <f>BG5^2</f>
        <v>1</v>
      </c>
      <c r="BK5" s="158">
        <f>BG5*BI5</f>
        <v>48.375059198551497</v>
      </c>
      <c r="BZ5" s="1375"/>
      <c r="CA5" s="1126"/>
      <c r="CB5" s="1126"/>
      <c r="CC5" s="1126"/>
      <c r="CD5" s="1126"/>
      <c r="CE5" s="1126"/>
      <c r="CF5" s="1126"/>
      <c r="CG5" s="1126"/>
      <c r="CH5" s="1126"/>
      <c r="CI5" s="1126" t="s">
        <v>579</v>
      </c>
      <c r="CJ5" s="1126" t="s">
        <v>579</v>
      </c>
      <c r="CK5" s="1376" t="s">
        <v>579</v>
      </c>
    </row>
    <row r="6" spans="1:90" ht="16.2" thickBot="1">
      <c r="A6" s="176" t="str">
        <f>AJ6</f>
        <v>5 estrellas - Lujo</v>
      </c>
      <c r="B6" s="578">
        <v>67.85119661120612</v>
      </c>
      <c r="C6" s="578">
        <v>71.102153932831911</v>
      </c>
      <c r="D6" s="578">
        <v>71.50575775394951</v>
      </c>
      <c r="E6" s="578">
        <v>62.861776384029497</v>
      </c>
      <c r="F6" s="578">
        <v>66.861811372641952</v>
      </c>
      <c r="G6" s="578">
        <v>69.368258591218705</v>
      </c>
      <c r="H6" s="578">
        <v>74.754902797291749</v>
      </c>
      <c r="I6" s="578">
        <v>72.996543651867498</v>
      </c>
      <c r="J6" s="578">
        <f t="shared" ref="J6:K8" si="3">AS6</f>
        <v>71.928309465167587</v>
      </c>
      <c r="K6" s="578">
        <f t="shared" si="3"/>
        <v>64.822142260364402</v>
      </c>
      <c r="L6" s="578">
        <f t="shared" ref="L6:N8" si="4">AU6</f>
        <v>56.255716656902933</v>
      </c>
      <c r="M6" s="578">
        <f t="shared" si="4"/>
        <v>55.680000000000007</v>
      </c>
      <c r="N6" s="1178">
        <f t="shared" si="4"/>
        <v>58.598333333333329</v>
      </c>
      <c r="O6" s="610">
        <f>AX6</f>
        <v>58.598333333333329</v>
      </c>
      <c r="P6" s="578">
        <v>49.59</v>
      </c>
      <c r="Q6" s="578">
        <v>17.36</v>
      </c>
      <c r="R6" s="1379">
        <v>31.02</v>
      </c>
      <c r="S6" s="2283"/>
      <c r="T6" s="703"/>
      <c r="U6" s="562" t="s">
        <v>1414</v>
      </c>
      <c r="V6" s="882">
        <v>10</v>
      </c>
      <c r="W6" s="882">
        <v>17</v>
      </c>
      <c r="X6" s="882">
        <v>16</v>
      </c>
      <c r="Y6" s="882">
        <v>15</v>
      </c>
      <c r="Z6" s="882">
        <v>13</v>
      </c>
      <c r="AA6" s="882">
        <v>22</v>
      </c>
      <c r="AB6" s="882">
        <v>26</v>
      </c>
      <c r="AC6" s="882">
        <v>32</v>
      </c>
      <c r="AD6" s="882">
        <v>27.91</v>
      </c>
      <c r="AE6" s="882">
        <v>31.28</v>
      </c>
      <c r="AF6" s="882">
        <v>31.28</v>
      </c>
      <c r="AG6" s="882">
        <v>31.28</v>
      </c>
      <c r="AH6" s="174"/>
      <c r="AJ6" s="176" t="s">
        <v>912</v>
      </c>
      <c r="AK6" s="177">
        <v>67.85119661120612</v>
      </c>
      <c r="AL6" s="177">
        <v>71.102153932831911</v>
      </c>
      <c r="AM6" s="177">
        <v>71.50575775394951</v>
      </c>
      <c r="AN6" s="177">
        <v>62.861776384029497</v>
      </c>
      <c r="AO6" s="177">
        <v>66.861811372641952</v>
      </c>
      <c r="AP6" s="177">
        <v>69.368258591218705</v>
      </c>
      <c r="AQ6" s="177">
        <v>74.754902797291749</v>
      </c>
      <c r="AR6" s="177">
        <v>72.996543651867498</v>
      </c>
      <c r="AS6" s="177">
        <v>71.928309465167587</v>
      </c>
      <c r="AT6" s="177">
        <v>64.822142260364402</v>
      </c>
      <c r="AU6" s="655">
        <v>56.255716656902933</v>
      </c>
      <c r="AV6" s="1101">
        <f>AVERAGE(V58:AG58)</f>
        <v>55.680000000000007</v>
      </c>
      <c r="AW6" s="1185">
        <f>AVERAGE(V43:AG43)</f>
        <v>58.598333333333329</v>
      </c>
      <c r="AX6" s="1101">
        <f>AVERAGE(V43:AG43)</f>
        <v>58.598333333333329</v>
      </c>
      <c r="AY6" s="3914">
        <f t="shared" ref="AY6:AY8" si="5">P6</f>
        <v>49.59</v>
      </c>
      <c r="AZ6" s="655">
        <f t="shared" ref="AZ6:AZ8" si="6">Q6</f>
        <v>17.36</v>
      </c>
      <c r="BA6" s="3915">
        <f t="shared" ref="BA6:BA8" si="7">R6</f>
        <v>31.02</v>
      </c>
      <c r="BG6" s="158">
        <v>2</v>
      </c>
      <c r="BH6" s="158">
        <v>2007</v>
      </c>
      <c r="BI6" s="1663">
        <f>AL5</f>
        <v>51.967628115580197</v>
      </c>
      <c r="BJ6" s="158">
        <f t="shared" ref="BJ6:BJ18" si="8">BG6^2</f>
        <v>4</v>
      </c>
      <c r="BK6" s="158">
        <f t="shared" ref="BK6:BK18" si="9">BG6*BI6</f>
        <v>103.93525623116039</v>
      </c>
    </row>
    <row r="7" spans="1:90" ht="16.2" thickBot="1">
      <c r="A7" s="176" t="str">
        <f>AJ7</f>
        <v>4 Estrellas - Primera</v>
      </c>
      <c r="B7" s="578">
        <v>45.725166885376801</v>
      </c>
      <c r="C7" s="578">
        <v>49.828368996479348</v>
      </c>
      <c r="D7" s="578">
        <v>52.801422006218871</v>
      </c>
      <c r="E7" s="578">
        <v>49.163328262440885</v>
      </c>
      <c r="F7" s="578">
        <v>53.046269359602803</v>
      </c>
      <c r="G7" s="578">
        <v>55.398690212968717</v>
      </c>
      <c r="H7" s="578">
        <v>58.917943104015279</v>
      </c>
      <c r="I7" s="578">
        <v>61.425279513620964</v>
      </c>
      <c r="J7" s="578">
        <f t="shared" si="3"/>
        <v>61.063023474311244</v>
      </c>
      <c r="K7" s="578">
        <f t="shared" si="3"/>
        <v>55.378711204374724</v>
      </c>
      <c r="L7" s="578">
        <f t="shared" si="4"/>
        <v>48.255950576103231</v>
      </c>
      <c r="M7" s="578">
        <f t="shared" si="4"/>
        <v>50.666666666666664</v>
      </c>
      <c r="N7" s="1178">
        <f t="shared" si="4"/>
        <v>55</v>
      </c>
      <c r="O7" s="610">
        <f>AX7</f>
        <v>55</v>
      </c>
      <c r="P7" s="578">
        <v>38.630000000000003</v>
      </c>
      <c r="Q7" s="578">
        <v>6.73</v>
      </c>
      <c r="R7" s="1379">
        <v>22.01</v>
      </c>
      <c r="S7" s="2283"/>
      <c r="T7" s="703"/>
      <c r="U7" s="563" t="s">
        <v>1415</v>
      </c>
      <c r="V7" s="884">
        <v>4</v>
      </c>
      <c r="W7" s="884">
        <v>7</v>
      </c>
      <c r="X7" s="884">
        <v>5</v>
      </c>
      <c r="Y7" s="884">
        <v>8</v>
      </c>
      <c r="Z7" s="884">
        <v>14</v>
      </c>
      <c r="AA7" s="884">
        <v>21</v>
      </c>
      <c r="AB7" s="884">
        <v>16</v>
      </c>
      <c r="AC7" s="884">
        <v>13</v>
      </c>
      <c r="AD7" s="884">
        <v>13.28</v>
      </c>
      <c r="AE7" s="884">
        <v>20.3</v>
      </c>
      <c r="AF7" s="884">
        <v>20.3</v>
      </c>
      <c r="AG7" s="884">
        <v>20.3</v>
      </c>
      <c r="AH7" s="668"/>
      <c r="AJ7" s="176" t="s">
        <v>913</v>
      </c>
      <c r="AK7" s="177">
        <v>45.725166885376801</v>
      </c>
      <c r="AL7" s="177">
        <v>49.828368996479348</v>
      </c>
      <c r="AM7" s="177">
        <v>52.801422006218871</v>
      </c>
      <c r="AN7" s="177">
        <v>49.163328262440885</v>
      </c>
      <c r="AO7" s="177">
        <v>53.046269359602803</v>
      </c>
      <c r="AP7" s="177">
        <v>55.398690212968717</v>
      </c>
      <c r="AQ7" s="177">
        <v>58.917943104015279</v>
      </c>
      <c r="AR7" s="177">
        <v>61.425279513620964</v>
      </c>
      <c r="AS7" s="177">
        <v>61.063023474311244</v>
      </c>
      <c r="AT7" s="177">
        <v>55.378711204374724</v>
      </c>
      <c r="AU7" s="655">
        <v>48.255950576103231</v>
      </c>
      <c r="AV7" s="605">
        <f>AVERAGE(V59:AG59)</f>
        <v>50.666666666666664</v>
      </c>
      <c r="AW7" s="1185">
        <f>AVERAGE(V45:AG45)</f>
        <v>55</v>
      </c>
      <c r="AX7" s="605">
        <f>AVERAGE(V45:AG45)</f>
        <v>55</v>
      </c>
      <c r="AY7" s="3914">
        <f t="shared" si="5"/>
        <v>38.630000000000003</v>
      </c>
      <c r="AZ7" s="655">
        <f t="shared" si="6"/>
        <v>6.73</v>
      </c>
      <c r="BA7" s="3915">
        <f t="shared" si="7"/>
        <v>22.01</v>
      </c>
      <c r="BG7" s="158">
        <v>3</v>
      </c>
      <c r="BH7" s="158">
        <v>2008</v>
      </c>
      <c r="BI7" s="1663">
        <f>AM5</f>
        <v>53.89808563246357</v>
      </c>
      <c r="BJ7" s="158">
        <f t="shared" si="8"/>
        <v>9</v>
      </c>
      <c r="BK7" s="158">
        <f t="shared" si="9"/>
        <v>161.69425689739072</v>
      </c>
      <c r="BY7" s="2135" t="s">
        <v>1371</v>
      </c>
      <c r="BZ7" s="2136">
        <v>2018</v>
      </c>
      <c r="CA7" s="2136">
        <v>2019</v>
      </c>
      <c r="CB7" s="2137" t="s">
        <v>478</v>
      </c>
    </row>
    <row r="8" spans="1:90" ht="16.2" thickBot="1">
      <c r="A8" s="178" t="str">
        <f>AJ8</f>
        <v>3 Estrellas - Segunda</v>
      </c>
      <c r="B8" s="579">
        <v>33.695896638353872</v>
      </c>
      <c r="C8" s="579">
        <v>37.241662894922221</v>
      </c>
      <c r="D8" s="579">
        <v>39.832995607695793</v>
      </c>
      <c r="E8" s="579">
        <v>39.618641966407949</v>
      </c>
      <c r="F8" s="579">
        <v>40.020842075944657</v>
      </c>
      <c r="G8" s="579">
        <v>39.850230173474912</v>
      </c>
      <c r="H8" s="579">
        <v>42.948439320799231</v>
      </c>
      <c r="I8" s="579">
        <v>42.685597701509735</v>
      </c>
      <c r="J8" s="579">
        <f t="shared" si="3"/>
        <v>40.793439968219424</v>
      </c>
      <c r="K8" s="579">
        <f t="shared" si="3"/>
        <v>40.019455322143479</v>
      </c>
      <c r="L8" s="579">
        <f t="shared" si="4"/>
        <v>36.569361252115065</v>
      </c>
      <c r="M8" s="579">
        <f t="shared" si="4"/>
        <v>27.666666666666668</v>
      </c>
      <c r="N8" s="1179">
        <f t="shared" si="4"/>
        <v>25.833333333333332</v>
      </c>
      <c r="O8" s="611">
        <f>AX8</f>
        <v>43.385741017973068</v>
      </c>
      <c r="P8" s="579">
        <v>22.35</v>
      </c>
      <c r="Q8" s="579">
        <v>6.46</v>
      </c>
      <c r="R8" s="1380">
        <v>13.15</v>
      </c>
      <c r="S8" s="2283"/>
      <c r="T8" s="703"/>
      <c r="U8" s="886"/>
      <c r="V8" s="887">
        <f>V4/V13-1</f>
        <v>-0.56000000000000005</v>
      </c>
      <c r="W8" s="888">
        <f>W4/W13-1</f>
        <v>0.33333333333333326</v>
      </c>
      <c r="X8" s="888">
        <f>X4/X13-1</f>
        <v>14</v>
      </c>
      <c r="Y8" s="888">
        <v>12</v>
      </c>
      <c r="Z8" s="888">
        <f t="shared" ref="Z8:AG8" si="10">Z4/Z13-1</f>
        <v>0.39999999999999991</v>
      </c>
      <c r="AA8" s="888">
        <f t="shared" si="10"/>
        <v>3.5999999999999996</v>
      </c>
      <c r="AB8" s="888">
        <f t="shared" si="10"/>
        <v>10.5</v>
      </c>
      <c r="AC8" s="888">
        <f t="shared" si="10"/>
        <v>3</v>
      </c>
      <c r="AD8" s="888">
        <f t="shared" si="10"/>
        <v>2.5</v>
      </c>
      <c r="AE8" s="888">
        <f t="shared" si="10"/>
        <v>1.3461538461538463</v>
      </c>
      <c r="AF8" s="888">
        <f t="shared" si="10"/>
        <v>1.3461538461538463</v>
      </c>
      <c r="AG8" s="888">
        <f t="shared" si="10"/>
        <v>0.79411764705882359</v>
      </c>
      <c r="AH8" s="668"/>
      <c r="AJ8" s="178" t="s">
        <v>914</v>
      </c>
      <c r="AK8" s="179">
        <v>33.695896638353872</v>
      </c>
      <c r="AL8" s="179">
        <v>37.241662894922221</v>
      </c>
      <c r="AM8" s="179">
        <v>39.832995607695793</v>
      </c>
      <c r="AN8" s="179">
        <v>39.618641966407949</v>
      </c>
      <c r="AO8" s="179">
        <v>40.020842075944657</v>
      </c>
      <c r="AP8" s="179">
        <v>39.850230173474912</v>
      </c>
      <c r="AQ8" s="179">
        <v>42.948439320799231</v>
      </c>
      <c r="AR8" s="179">
        <v>42.685597701509735</v>
      </c>
      <c r="AS8" s="179">
        <v>40.793439968219424</v>
      </c>
      <c r="AT8" s="179">
        <v>40.019455322143479</v>
      </c>
      <c r="AU8" s="656">
        <v>36.569361252115065</v>
      </c>
      <c r="AV8" s="606">
        <f>AVERAGE(V61:AG61)</f>
        <v>27.666666666666668</v>
      </c>
      <c r="AW8" s="1186">
        <f>AVERAGE(V47:AG47)</f>
        <v>25.833333333333332</v>
      </c>
      <c r="AX8" s="606">
        <f>AVERAGE(V48:AG48)</f>
        <v>43.385741017973068</v>
      </c>
      <c r="AY8" s="3916">
        <f t="shared" si="5"/>
        <v>22.35</v>
      </c>
      <c r="AZ8" s="656">
        <f t="shared" si="6"/>
        <v>6.46</v>
      </c>
      <c r="BA8" s="3917">
        <f t="shared" si="7"/>
        <v>13.15</v>
      </c>
      <c r="BG8" s="158">
        <v>4</v>
      </c>
      <c r="BH8" s="158">
        <v>2009</v>
      </c>
      <c r="BI8" s="1663">
        <f>AN5</f>
        <v>49.915766115218879</v>
      </c>
      <c r="BJ8" s="158">
        <f t="shared" si="8"/>
        <v>16</v>
      </c>
      <c r="BK8" s="158">
        <f t="shared" si="9"/>
        <v>199.66306446087552</v>
      </c>
      <c r="BX8" s="348"/>
      <c r="BY8" s="2131" t="s">
        <v>36</v>
      </c>
      <c r="BZ8" s="1114">
        <v>49.23</v>
      </c>
      <c r="CA8" s="1114">
        <v>51.67</v>
      </c>
      <c r="CB8" s="2132">
        <f>CA8/BZ8-1</f>
        <v>4.9563274426162929E-2</v>
      </c>
      <c r="CL8" s="348"/>
    </row>
    <row r="9" spans="1:90" s="348" customFormat="1" ht="28.2" thickBot="1">
      <c r="A9" s="692" t="s">
        <v>761</v>
      </c>
      <c r="B9" s="344"/>
      <c r="C9" s="569">
        <f t="shared" ref="C9:J9" si="11">C5-B5</f>
        <v>3.5925689170287001</v>
      </c>
      <c r="D9" s="569">
        <f t="shared" si="11"/>
        <v>1.9304575168833722</v>
      </c>
      <c r="E9" s="569">
        <f t="shared" si="11"/>
        <v>-3.9823195172446901</v>
      </c>
      <c r="F9" s="569">
        <f t="shared" si="11"/>
        <v>2.3914222804985101</v>
      </c>
      <c r="G9" s="569">
        <f t="shared" si="11"/>
        <v>1.4441024798942053</v>
      </c>
      <c r="H9" s="569">
        <f t="shared" si="11"/>
        <v>4.011277231643092</v>
      </c>
      <c r="I9" s="569">
        <f t="shared" si="11"/>
        <v>0.24127494624821111</v>
      </c>
      <c r="J9" s="569">
        <f t="shared" si="11"/>
        <v>-1.0893455620551578</v>
      </c>
      <c r="K9" s="569">
        <f>K5-J5</f>
        <v>-4.2679913073877032</v>
      </c>
      <c r="L9" s="569">
        <f>L5-K5</f>
        <v>-6.1337755700367182</v>
      </c>
      <c r="M9" s="569">
        <f>M5-L5</f>
        <v>-0.49214900856996735</v>
      </c>
      <c r="N9" s="569"/>
      <c r="O9" s="569">
        <f>O5-M5</f>
        <v>4.1765408697641462</v>
      </c>
      <c r="P9" s="569">
        <f>P5-O5</f>
        <v>-14.527122475217496</v>
      </c>
      <c r="Q9" s="569">
        <f t="shared" ref="Q9:R9" si="12">Q5-P5</f>
        <v>-26.28</v>
      </c>
      <c r="R9" s="3909">
        <f t="shared" si="12"/>
        <v>10.82</v>
      </c>
      <c r="S9" s="569"/>
      <c r="T9" s="703"/>
      <c r="U9" s="886"/>
      <c r="V9" s="5626" t="s">
        <v>1790</v>
      </c>
      <c r="W9" s="5627"/>
      <c r="X9" s="5627"/>
      <c r="Y9" s="5627"/>
      <c r="Z9" s="5627"/>
      <c r="AA9" s="5627"/>
      <c r="AB9" s="5627"/>
      <c r="AC9" s="5627"/>
      <c r="AD9" s="5627"/>
      <c r="AE9" s="5083" t="s">
        <v>2028</v>
      </c>
      <c r="AF9" s="5082"/>
      <c r="AG9" s="5082"/>
      <c r="AH9" s="668"/>
      <c r="AJ9" s="172"/>
      <c r="AK9" s="172"/>
      <c r="AL9" s="172"/>
      <c r="AM9" s="172"/>
      <c r="AN9" s="172"/>
      <c r="AO9" s="172"/>
      <c r="AP9" s="172"/>
      <c r="AQ9" s="172"/>
      <c r="AR9" s="172"/>
      <c r="AS9" s="172"/>
      <c r="AT9" s="568" t="s">
        <v>509</v>
      </c>
      <c r="AU9" s="568" t="s">
        <v>582</v>
      </c>
      <c r="AV9" s="607" t="s">
        <v>733</v>
      </c>
      <c r="AW9" s="1187"/>
      <c r="AX9" s="1187"/>
      <c r="AY9" s="1187"/>
      <c r="AZ9" s="1187"/>
      <c r="BA9" s="872" t="s">
        <v>855</v>
      </c>
      <c r="BF9" s="158"/>
      <c r="BG9" s="158">
        <v>5</v>
      </c>
      <c r="BH9" s="158">
        <v>2010</v>
      </c>
      <c r="BI9" s="1663">
        <f>AO5</f>
        <v>52.30718839571739</v>
      </c>
      <c r="BJ9" s="158">
        <f t="shared" si="8"/>
        <v>25</v>
      </c>
      <c r="BK9" s="158">
        <f t="shared" si="9"/>
        <v>261.53594197858695</v>
      </c>
      <c r="BL9" s="158"/>
      <c r="BM9" s="158"/>
      <c r="BY9" s="2131" t="s">
        <v>187</v>
      </c>
      <c r="BZ9" s="1114">
        <v>59.49</v>
      </c>
      <c r="CA9" s="1114">
        <v>59.05</v>
      </c>
      <c r="CB9" s="2132">
        <f t="shared" ref="CB9:CB16" si="13">CA9/BZ9-1</f>
        <v>-7.3962010421920743E-3</v>
      </c>
      <c r="CC9" s="158"/>
      <c r="CD9" s="158"/>
      <c r="CE9" s="158"/>
      <c r="CF9" s="158"/>
      <c r="CG9" s="158"/>
      <c r="CH9" s="158"/>
      <c r="CI9" s="158"/>
      <c r="CJ9" s="158"/>
      <c r="CK9" s="158"/>
    </row>
    <row r="10" spans="1:90" s="348" customFormat="1" ht="16.2" thickBot="1">
      <c r="A10" s="692"/>
      <c r="B10" s="344"/>
      <c r="C10" s="569"/>
      <c r="D10" s="569"/>
      <c r="E10" s="569"/>
      <c r="F10" s="569"/>
      <c r="G10" s="569"/>
      <c r="H10" s="569"/>
      <c r="I10" s="569"/>
      <c r="J10" s="569"/>
      <c r="K10" s="569"/>
      <c r="L10" s="569"/>
      <c r="M10" s="569"/>
      <c r="N10" s="569"/>
      <c r="O10" s="569"/>
      <c r="P10" s="569"/>
      <c r="Q10" s="569"/>
      <c r="R10" s="569"/>
      <c r="S10" s="569"/>
      <c r="T10" s="703"/>
      <c r="U10" s="4402"/>
      <c r="V10" s="4405"/>
      <c r="W10" s="4405"/>
      <c r="X10" s="4405"/>
      <c r="Y10" s="4405"/>
      <c r="Z10" s="4405"/>
      <c r="AA10" s="4405"/>
      <c r="AB10" s="4405"/>
      <c r="AC10" s="4405"/>
      <c r="AD10" s="4405"/>
      <c r="AE10" s="5628"/>
      <c r="AF10" s="5628"/>
      <c r="AG10" s="5628"/>
      <c r="AH10" s="668"/>
      <c r="AJ10" s="704"/>
      <c r="AK10" s="704"/>
      <c r="AL10" s="704"/>
      <c r="AM10" s="704"/>
      <c r="AN10" s="704"/>
      <c r="AO10" s="704"/>
      <c r="AP10" s="704"/>
      <c r="AQ10" s="704"/>
      <c r="AR10" s="704"/>
      <c r="AS10" s="704"/>
      <c r="AT10" s="568"/>
      <c r="AU10" s="568"/>
      <c r="AV10" s="607"/>
      <c r="AW10" s="1187"/>
      <c r="AX10" s="1187"/>
      <c r="AY10" s="1187"/>
      <c r="AZ10" s="1187"/>
      <c r="BA10" s="872"/>
      <c r="BF10" s="703"/>
      <c r="BG10" s="703"/>
      <c r="BH10" s="703"/>
      <c r="BI10" s="1663"/>
      <c r="BJ10" s="703"/>
      <c r="BK10" s="703"/>
      <c r="BL10" s="703"/>
      <c r="BM10" s="703"/>
      <c r="BX10" s="158"/>
      <c r="BY10" s="2131" t="s">
        <v>546</v>
      </c>
      <c r="BZ10" s="1114">
        <v>58.37</v>
      </c>
      <c r="CA10" s="1114">
        <v>60.04</v>
      </c>
      <c r="CB10" s="2132">
        <f t="shared" si="13"/>
        <v>2.8610587630632178E-2</v>
      </c>
      <c r="CC10" s="158"/>
      <c r="CD10" s="158"/>
      <c r="CE10" s="158"/>
      <c r="CF10" s="158"/>
      <c r="CG10" s="158"/>
      <c r="CH10" s="158"/>
      <c r="CI10" s="158"/>
      <c r="CJ10" s="158"/>
      <c r="CK10" s="158"/>
      <c r="CL10" s="158"/>
    </row>
    <row r="11" spans="1:90" ht="15.6">
      <c r="A11" s="344"/>
      <c r="B11" s="344"/>
      <c r="C11" s="344"/>
      <c r="D11" s="344"/>
      <c r="E11" s="345"/>
      <c r="F11" s="345"/>
      <c r="G11" s="345"/>
      <c r="H11" s="345"/>
      <c r="I11" s="345"/>
      <c r="J11" s="345"/>
      <c r="K11" s="569"/>
      <c r="L11" s="570"/>
      <c r="M11" s="570"/>
      <c r="N11" s="570"/>
      <c r="O11" s="570"/>
      <c r="P11" s="570"/>
      <c r="Q11" s="570"/>
      <c r="R11" s="570"/>
      <c r="S11" s="570"/>
      <c r="T11" s="703"/>
      <c r="V11" s="169" t="s">
        <v>1786</v>
      </c>
      <c r="W11" s="170"/>
      <c r="X11" s="170" t="s">
        <v>33</v>
      </c>
      <c r="Y11" s="170"/>
      <c r="Z11" s="170"/>
      <c r="AA11" s="170"/>
      <c r="AB11" s="170"/>
      <c r="AC11" s="170"/>
      <c r="AD11" s="170"/>
      <c r="AE11" s="170"/>
      <c r="AF11" s="170"/>
      <c r="AG11" s="171"/>
      <c r="AH11" s="172"/>
      <c r="AK11" s="616"/>
      <c r="AL11" s="618">
        <f t="shared" ref="AL11:AT11" si="14">AL5-AK5</f>
        <v>3.5925689170287001</v>
      </c>
      <c r="AM11" s="618">
        <f t="shared" si="14"/>
        <v>1.9304575168833722</v>
      </c>
      <c r="AN11" s="619">
        <f t="shared" si="14"/>
        <v>-3.9823195172446901</v>
      </c>
      <c r="AO11" s="618">
        <f t="shared" si="14"/>
        <v>2.3914222804985101</v>
      </c>
      <c r="AP11" s="618">
        <f t="shared" si="14"/>
        <v>1.4441024798942053</v>
      </c>
      <c r="AQ11" s="618">
        <f t="shared" si="14"/>
        <v>4.011277231643092</v>
      </c>
      <c r="AR11" s="618">
        <f t="shared" si="14"/>
        <v>0.24127494624821111</v>
      </c>
      <c r="AS11" s="618">
        <f t="shared" si="14"/>
        <v>-1.0893455620551578</v>
      </c>
      <c r="AT11" s="619">
        <f t="shared" si="14"/>
        <v>-4.2679913073877032</v>
      </c>
      <c r="AU11" s="619">
        <f>AU5-AT5</f>
        <v>-6.1337755700367182</v>
      </c>
      <c r="AV11" s="619">
        <f>AV5-AU5</f>
        <v>-0.49214900856996735</v>
      </c>
      <c r="AW11" s="1182">
        <f>AW5-AV5</f>
        <v>0.41247395010221055</v>
      </c>
      <c r="AX11" s="619">
        <f>AX5-AV5</f>
        <v>4.1765408697641462</v>
      </c>
      <c r="AY11" s="1182">
        <f>AY5-AX5</f>
        <v>-14.527122475217496</v>
      </c>
      <c r="AZ11" s="1182">
        <f t="shared" ref="AZ11:BA11" si="15">AZ5-AY5</f>
        <v>-26.28</v>
      </c>
      <c r="BA11" s="619">
        <f t="shared" si="15"/>
        <v>10.82</v>
      </c>
      <c r="BG11" s="158">
        <v>6</v>
      </c>
      <c r="BH11" s="158">
        <v>2011</v>
      </c>
      <c r="BI11" s="1663">
        <f>AP5</f>
        <v>53.751290875611595</v>
      </c>
      <c r="BJ11" s="158">
        <f t="shared" si="8"/>
        <v>36</v>
      </c>
      <c r="BK11" s="158">
        <f t="shared" si="9"/>
        <v>322.50774525366955</v>
      </c>
      <c r="BY11" s="2131" t="s">
        <v>188</v>
      </c>
      <c r="BZ11" s="1114">
        <v>64.19</v>
      </c>
      <c r="CA11" s="1114">
        <v>63.14</v>
      </c>
      <c r="CB11" s="2132">
        <f t="shared" si="13"/>
        <v>-1.6357688113413316E-2</v>
      </c>
      <c r="CC11" s="703"/>
      <c r="CD11" s="703"/>
      <c r="CE11" s="703"/>
      <c r="CF11" s="703"/>
      <c r="CG11" s="703"/>
      <c r="CH11" s="703"/>
      <c r="CI11" s="703"/>
      <c r="CJ11" s="703"/>
      <c r="CK11" s="703"/>
    </row>
    <row r="12" spans="1:90" ht="16.2" thickBot="1">
      <c r="A12" s="344"/>
      <c r="B12" s="553" t="s">
        <v>911</v>
      </c>
      <c r="C12" s="344"/>
      <c r="D12" s="344"/>
      <c r="E12" s="345"/>
      <c r="F12" s="345"/>
      <c r="G12" s="345"/>
      <c r="H12" s="345"/>
      <c r="I12" s="345"/>
      <c r="J12" s="345"/>
      <c r="K12" s="346"/>
      <c r="L12" s="346"/>
      <c r="M12" s="346"/>
      <c r="N12" s="346"/>
      <c r="O12" s="346"/>
      <c r="P12" s="346"/>
      <c r="Q12" s="346"/>
      <c r="R12" s="346"/>
      <c r="S12" s="346"/>
      <c r="T12" s="703"/>
      <c r="V12" s="473" t="s">
        <v>36</v>
      </c>
      <c r="W12" s="474" t="s">
        <v>37</v>
      </c>
      <c r="X12" s="474" t="s">
        <v>38</v>
      </c>
      <c r="Y12" s="474" t="s">
        <v>39</v>
      </c>
      <c r="Z12" s="474" t="s">
        <v>40</v>
      </c>
      <c r="AA12" s="474" t="s">
        <v>41</v>
      </c>
      <c r="AB12" s="474" t="s">
        <v>42</v>
      </c>
      <c r="AC12" s="474" t="s">
        <v>43</v>
      </c>
      <c r="AD12" s="474" t="s">
        <v>44</v>
      </c>
      <c r="AE12" s="474" t="s">
        <v>45</v>
      </c>
      <c r="AF12" s="474" t="s">
        <v>46</v>
      </c>
      <c r="AG12" s="474" t="s">
        <v>47</v>
      </c>
      <c r="BG12" s="158">
        <v>7</v>
      </c>
      <c r="BH12" s="158">
        <v>2012</v>
      </c>
      <c r="BI12" s="1663">
        <f>AQ5</f>
        <v>57.762568107254687</v>
      </c>
      <c r="BJ12" s="158">
        <f t="shared" si="8"/>
        <v>49</v>
      </c>
      <c r="BK12" s="158">
        <f t="shared" si="9"/>
        <v>404.33797675078279</v>
      </c>
      <c r="BY12" s="2131" t="s">
        <v>189</v>
      </c>
      <c r="BZ12" s="1114">
        <v>58.05</v>
      </c>
      <c r="CA12" s="1114">
        <v>57.94</v>
      </c>
      <c r="CB12" s="2132">
        <f t="shared" si="13"/>
        <v>-1.8949181739879029E-3</v>
      </c>
      <c r="CC12" s="703"/>
      <c r="CD12" s="703"/>
      <c r="CE12" s="703"/>
      <c r="CF12" s="703"/>
      <c r="CG12" s="703"/>
      <c r="CH12" s="703"/>
      <c r="CI12" s="703"/>
      <c r="CJ12" s="703"/>
      <c r="CK12" s="703"/>
    </row>
    <row r="13" spans="1:90" ht="16.2" thickBot="1">
      <c r="A13" s="344"/>
      <c r="B13" s="1407" t="s">
        <v>863</v>
      </c>
      <c r="C13" s="1009" t="s">
        <v>864</v>
      </c>
      <c r="D13" s="1010"/>
      <c r="E13" s="1011"/>
      <c r="F13" s="1011"/>
      <c r="G13" s="1011"/>
      <c r="H13" s="1011"/>
      <c r="I13" s="1011"/>
      <c r="J13" s="345"/>
      <c r="K13" s="346"/>
      <c r="L13" s="346"/>
      <c r="M13" s="346"/>
      <c r="N13" s="346"/>
      <c r="O13" s="346"/>
      <c r="P13" s="346"/>
      <c r="Q13" s="346"/>
      <c r="R13" s="346"/>
      <c r="S13" s="346"/>
      <c r="T13" s="703"/>
      <c r="U13" s="338" t="s">
        <v>151</v>
      </c>
      <c r="V13" s="4409">
        <v>25</v>
      </c>
      <c r="W13" s="4410">
        <v>12</v>
      </c>
      <c r="X13" s="4411">
        <v>1</v>
      </c>
      <c r="Y13" s="4411">
        <v>0</v>
      </c>
      <c r="Z13" s="4411">
        <v>10</v>
      </c>
      <c r="AA13" s="4410">
        <v>5</v>
      </c>
      <c r="AB13" s="4411">
        <v>2</v>
      </c>
      <c r="AC13" s="4412">
        <v>7</v>
      </c>
      <c r="AD13" s="4412">
        <v>8</v>
      </c>
      <c r="AE13" s="4411">
        <v>13</v>
      </c>
      <c r="AF13" s="4411">
        <v>13</v>
      </c>
      <c r="AG13" s="4411">
        <v>17</v>
      </c>
      <c r="AH13" s="172"/>
      <c r="BG13" s="158">
        <v>8</v>
      </c>
      <c r="BH13" s="158">
        <v>2013</v>
      </c>
      <c r="BI13" s="1663">
        <f>AR5</f>
        <v>58.003843053502898</v>
      </c>
      <c r="BJ13" s="158">
        <f t="shared" si="8"/>
        <v>64</v>
      </c>
      <c r="BK13" s="158">
        <f t="shared" si="9"/>
        <v>464.03074442802318</v>
      </c>
      <c r="BY13" s="2131" t="s">
        <v>180</v>
      </c>
      <c r="BZ13" s="1114">
        <v>61.5</v>
      </c>
      <c r="CA13" s="1114">
        <v>61.51</v>
      </c>
      <c r="CB13" s="2132">
        <f t="shared" si="13"/>
        <v>1.6260162601633432E-4</v>
      </c>
    </row>
    <row r="14" spans="1:90" ht="15.6">
      <c r="A14" s="344"/>
      <c r="B14" s="344"/>
      <c r="C14" s="344"/>
      <c r="D14" s="344"/>
      <c r="E14" s="345"/>
      <c r="F14" s="345"/>
      <c r="G14" s="345"/>
      <c r="H14" s="345"/>
      <c r="I14" s="345"/>
      <c r="J14" s="345"/>
      <c r="K14" s="346"/>
      <c r="L14" s="346"/>
      <c r="M14" s="346"/>
      <c r="N14" s="346"/>
      <c r="O14" s="346"/>
      <c r="P14" s="346"/>
      <c r="Q14" s="346"/>
      <c r="R14" s="346"/>
      <c r="S14" s="346"/>
      <c r="T14" s="703"/>
      <c r="U14" s="339" t="s">
        <v>1413</v>
      </c>
      <c r="V14" s="4406">
        <v>63</v>
      </c>
      <c r="W14" s="4407">
        <v>1</v>
      </c>
      <c r="X14" s="4408">
        <v>0</v>
      </c>
      <c r="Y14" s="4408">
        <v>0</v>
      </c>
      <c r="Z14" s="4408">
        <v>8</v>
      </c>
      <c r="AA14" s="4407">
        <v>10</v>
      </c>
      <c r="AB14" s="4408">
        <v>4</v>
      </c>
      <c r="AC14" s="4408">
        <v>18</v>
      </c>
      <c r="AD14" s="4408">
        <v>17</v>
      </c>
      <c r="AE14" s="4408">
        <v>20</v>
      </c>
      <c r="AF14" s="4408">
        <v>23</v>
      </c>
      <c r="AG14" s="4408">
        <v>27</v>
      </c>
      <c r="BG14" s="158">
        <v>9</v>
      </c>
      <c r="BH14" s="158">
        <v>2014</v>
      </c>
      <c r="BI14" s="1663">
        <f>AS5</f>
        <v>56.91449749144774</v>
      </c>
      <c r="BJ14" s="158">
        <f t="shared" si="8"/>
        <v>81</v>
      </c>
      <c r="BK14" s="158">
        <f t="shared" si="9"/>
        <v>512.2304774230297</v>
      </c>
      <c r="BY14" s="2131" t="s">
        <v>42</v>
      </c>
      <c r="BZ14" s="1114">
        <v>57.76</v>
      </c>
      <c r="CA14" s="1114">
        <v>60.91</v>
      </c>
      <c r="CB14" s="2132">
        <f t="shared" si="13"/>
        <v>5.4536011080332347E-2</v>
      </c>
    </row>
    <row r="15" spans="1:90" ht="15.6">
      <c r="A15" s="182"/>
      <c r="B15" s="182"/>
      <c r="C15" s="182"/>
      <c r="D15" s="182"/>
      <c r="E15" s="258" t="s">
        <v>519</v>
      </c>
      <c r="F15" s="259"/>
      <c r="G15" s="260"/>
      <c r="H15" s="260"/>
      <c r="I15" s="260"/>
      <c r="J15" s="260"/>
      <c r="K15" s="260"/>
      <c r="L15" s="260"/>
      <c r="M15" s="260"/>
      <c r="N15" s="260"/>
      <c r="O15" s="260"/>
      <c r="P15" s="260"/>
      <c r="Q15" s="260"/>
      <c r="R15" s="260"/>
      <c r="S15" s="260"/>
      <c r="T15" s="703"/>
      <c r="U15" s="339" t="s">
        <v>1414</v>
      </c>
      <c r="V15" s="893">
        <v>15</v>
      </c>
      <c r="W15" s="894">
        <v>17</v>
      </c>
      <c r="X15" s="895">
        <v>1</v>
      </c>
      <c r="Y15" s="895">
        <v>0</v>
      </c>
      <c r="Z15" s="895">
        <v>11</v>
      </c>
      <c r="AA15" s="894">
        <v>3</v>
      </c>
      <c r="AB15" s="896">
        <v>1</v>
      </c>
      <c r="AC15" s="896">
        <v>0</v>
      </c>
      <c r="AD15" s="896">
        <v>5</v>
      </c>
      <c r="AE15" s="896">
        <v>12</v>
      </c>
      <c r="AF15" s="896">
        <v>7</v>
      </c>
      <c r="AG15" s="896">
        <v>8</v>
      </c>
      <c r="AH15" s="174"/>
      <c r="BG15" s="158">
        <v>10</v>
      </c>
      <c r="BH15" s="158">
        <v>2015</v>
      </c>
      <c r="BI15" s="1663">
        <f>AT5</f>
        <v>52.646506184060037</v>
      </c>
      <c r="BJ15" s="158">
        <f t="shared" si="8"/>
        <v>100</v>
      </c>
      <c r="BK15" s="158">
        <f t="shared" si="9"/>
        <v>526.46506184060036</v>
      </c>
      <c r="BY15" s="2131" t="s">
        <v>43</v>
      </c>
      <c r="BZ15" s="1114">
        <v>53.26</v>
      </c>
      <c r="CA15" s="1114">
        <v>55.6</v>
      </c>
      <c r="CB15" s="2132">
        <f t="shared" si="13"/>
        <v>4.3935411190386908E-2</v>
      </c>
    </row>
    <row r="16" spans="1:90" ht="27" customHeight="1" thickBot="1">
      <c r="A16" s="182"/>
      <c r="B16" s="182"/>
      <c r="C16" s="182"/>
      <c r="D16" s="182"/>
      <c r="E16" s="5633" t="s">
        <v>549</v>
      </c>
      <c r="F16" s="5633"/>
      <c r="G16" s="5633"/>
      <c r="H16" s="5633"/>
      <c r="I16" s="5633"/>
      <c r="J16" s="5633"/>
      <c r="K16" s="5633"/>
      <c r="L16" s="5633"/>
      <c r="M16" s="5633"/>
      <c r="N16" s="869"/>
      <c r="O16" s="1155"/>
      <c r="P16" s="1343"/>
      <c r="Q16" s="3899"/>
      <c r="R16" s="3899"/>
      <c r="S16" s="2276"/>
      <c r="T16" s="703"/>
      <c r="U16" s="475" t="s">
        <v>1415</v>
      </c>
      <c r="V16" s="897">
        <v>8</v>
      </c>
      <c r="W16" s="898">
        <v>2</v>
      </c>
      <c r="X16" s="899">
        <v>1</v>
      </c>
      <c r="Y16" s="899">
        <v>1</v>
      </c>
      <c r="Z16" s="899">
        <v>11</v>
      </c>
      <c r="AA16" s="898">
        <v>5</v>
      </c>
      <c r="AB16" s="900">
        <v>2</v>
      </c>
      <c r="AC16" s="900">
        <v>5</v>
      </c>
      <c r="AD16" s="900">
        <v>5</v>
      </c>
      <c r="AE16" s="900">
        <v>12</v>
      </c>
      <c r="AF16" s="900">
        <v>11</v>
      </c>
      <c r="AG16" s="900">
        <v>15</v>
      </c>
      <c r="AH16" s="1100"/>
      <c r="BG16" s="158">
        <v>11</v>
      </c>
      <c r="BH16" s="158">
        <v>2016</v>
      </c>
      <c r="BI16" s="1663">
        <f>AU5</f>
        <v>46.512730614023319</v>
      </c>
      <c r="BJ16" s="158">
        <f t="shared" si="8"/>
        <v>121</v>
      </c>
      <c r="BK16" s="158">
        <f t="shared" si="9"/>
        <v>511.64003675425653</v>
      </c>
      <c r="BX16" s="703"/>
      <c r="BY16" s="2133" t="s">
        <v>44</v>
      </c>
      <c r="BZ16" s="2127">
        <v>65.02</v>
      </c>
      <c r="CA16" s="2127">
        <v>61.97</v>
      </c>
      <c r="CB16" s="2134">
        <f t="shared" si="13"/>
        <v>-4.6908643494309454E-2</v>
      </c>
      <c r="CL16" s="703"/>
    </row>
    <row r="17" spans="1:90" s="703" customFormat="1" ht="16.2" thickBot="1">
      <c r="A17" s="182"/>
      <c r="B17" s="182"/>
      <c r="C17" s="182"/>
      <c r="D17" s="182"/>
      <c r="E17" s="5633" t="s">
        <v>507</v>
      </c>
      <c r="F17" s="5633"/>
      <c r="G17" s="5633"/>
      <c r="H17" s="5633"/>
      <c r="I17" s="5633"/>
      <c r="J17" s="5633"/>
      <c r="K17" s="5633"/>
      <c r="L17" s="5633"/>
      <c r="M17" s="5633"/>
      <c r="N17" s="1092"/>
      <c r="O17" s="1155"/>
      <c r="P17" s="1343"/>
      <c r="Q17" s="3899"/>
      <c r="R17" s="3899"/>
      <c r="S17" s="2276"/>
      <c r="U17" s="901"/>
      <c r="V17" s="887">
        <f t="shared" ref="V17:AG17" si="16">V13/V23-1</f>
        <v>-0.48905954365378712</v>
      </c>
      <c r="W17" s="888">
        <f t="shared" si="16"/>
        <v>-0.76439492898191208</v>
      </c>
      <c r="X17" s="888">
        <f t="shared" si="16"/>
        <v>-0.98123520604798209</v>
      </c>
      <c r="Y17" s="888">
        <f t="shared" si="16"/>
        <v>-1</v>
      </c>
      <c r="Z17" s="888">
        <f t="shared" si="16"/>
        <v>-0.78304424124554317</v>
      </c>
      <c r="AA17" s="888">
        <f t="shared" si="16"/>
        <v>-0.9015111632792584</v>
      </c>
      <c r="AB17" s="888">
        <f t="shared" si="16"/>
        <v>-0.96281237827588761</v>
      </c>
      <c r="AC17" s="888">
        <f t="shared" si="16"/>
        <v>-0.8599251976053599</v>
      </c>
      <c r="AD17" s="888">
        <f t="shared" si="16"/>
        <v>-0.83450238801625654</v>
      </c>
      <c r="AE17" s="888">
        <f t="shared" si="16"/>
        <v>-0.79849681827268004</v>
      </c>
      <c r="AF17" s="888">
        <f t="shared" si="16"/>
        <v>-0.75435070420828731</v>
      </c>
      <c r="AG17" s="888">
        <f t="shared" si="16"/>
        <v>-0.52380952380952384</v>
      </c>
      <c r="AH17" s="1100"/>
      <c r="BI17" s="1663"/>
      <c r="BX17" s="158"/>
      <c r="BY17" s="1355" t="s">
        <v>45</v>
      </c>
      <c r="BZ17" s="2129">
        <v>64.39</v>
      </c>
      <c r="CA17" s="2130">
        <f>CP17*1.03</f>
        <v>0</v>
      </c>
      <c r="CB17" s="158"/>
      <c r="CC17" s="158"/>
      <c r="CD17" s="158"/>
      <c r="CE17" s="158"/>
      <c r="CF17" s="158"/>
      <c r="CG17" s="158"/>
      <c r="CH17" s="158"/>
      <c r="CI17" s="158"/>
      <c r="CJ17" s="158"/>
      <c r="CK17" s="158"/>
    </row>
    <row r="18" spans="1:90" s="703" customFormat="1" ht="27" customHeight="1" thickBot="1">
      <c r="A18" s="182"/>
      <c r="B18" s="182"/>
      <c r="C18" s="182"/>
      <c r="D18" s="182"/>
      <c r="E18" s="5633" t="s">
        <v>511</v>
      </c>
      <c r="F18" s="5633"/>
      <c r="G18" s="5633"/>
      <c r="H18" s="5633"/>
      <c r="I18" s="5633"/>
      <c r="J18" s="5633"/>
      <c r="K18" s="5633"/>
      <c r="L18" s="5633"/>
      <c r="M18" s="5633"/>
      <c r="N18" s="1092"/>
      <c r="O18" s="1155"/>
      <c r="P18" s="1343"/>
      <c r="Q18" s="3899"/>
      <c r="R18" s="3899"/>
      <c r="S18" s="2276"/>
      <c r="V18" s="5626" t="s">
        <v>1790</v>
      </c>
      <c r="W18" s="5627"/>
      <c r="X18" s="5627"/>
      <c r="Y18" s="5627"/>
      <c r="Z18" s="5627"/>
      <c r="AA18" s="5627"/>
      <c r="AB18" s="5627"/>
      <c r="AC18" s="5627"/>
      <c r="AD18" s="5627"/>
      <c r="AE18" s="5627"/>
      <c r="AF18" s="5627"/>
      <c r="AG18" s="5627"/>
      <c r="AH18" s="1100"/>
      <c r="BG18" s="703">
        <v>12</v>
      </c>
      <c r="BH18" s="703">
        <v>2017</v>
      </c>
      <c r="BI18" s="1663">
        <f>AV5</f>
        <v>46.020581605453351</v>
      </c>
      <c r="BJ18" s="703">
        <f t="shared" si="8"/>
        <v>144</v>
      </c>
      <c r="BK18" s="703">
        <f t="shared" si="9"/>
        <v>552.24697926544025</v>
      </c>
      <c r="BM18" s="158"/>
      <c r="BQ18" s="158"/>
      <c r="BR18" s="158"/>
      <c r="BS18" s="158"/>
      <c r="BT18" s="158"/>
      <c r="BU18" s="158"/>
      <c r="BV18" s="158"/>
      <c r="BW18" s="158"/>
      <c r="BX18" s="158"/>
      <c r="BY18" s="1355" t="s">
        <v>46</v>
      </c>
      <c r="BZ18" s="2127">
        <v>66.569999999999993</v>
      </c>
      <c r="CA18" s="2123">
        <f>CP18*1.03</f>
        <v>0</v>
      </c>
      <c r="CB18" s="158"/>
      <c r="CC18" s="158"/>
      <c r="CD18" s="158"/>
      <c r="CE18" s="158"/>
      <c r="CF18" s="158"/>
      <c r="CG18" s="158"/>
      <c r="CH18" s="158"/>
      <c r="CI18" s="158"/>
      <c r="CJ18" s="158"/>
      <c r="CK18" s="158"/>
      <c r="CL18" s="158"/>
    </row>
    <row r="19" spans="1:90" ht="27" customHeight="1" thickBot="1">
      <c r="A19" s="182"/>
      <c r="B19" s="182"/>
      <c r="C19" s="182"/>
      <c r="D19" s="182"/>
      <c r="E19" s="5633" t="s">
        <v>518</v>
      </c>
      <c r="F19" s="5633"/>
      <c r="G19" s="5633"/>
      <c r="H19" s="5633"/>
      <c r="I19" s="5633"/>
      <c r="J19" s="5633"/>
      <c r="K19" s="5633"/>
      <c r="L19" s="5633"/>
      <c r="M19" s="5633"/>
      <c r="N19" s="869"/>
      <c r="O19" s="1155"/>
      <c r="P19" s="1343"/>
      <c r="Q19" s="3899"/>
      <c r="R19" s="3899"/>
      <c r="S19" s="2276"/>
      <c r="T19" s="703"/>
      <c r="U19" s="4402"/>
      <c r="V19" s="4405"/>
      <c r="W19" s="4405"/>
      <c r="X19" s="4405"/>
      <c r="Y19" s="4405"/>
      <c r="Z19" s="4405"/>
      <c r="AA19" s="4405"/>
      <c r="AB19" s="4405"/>
      <c r="AC19" s="4405"/>
      <c r="AD19" s="4405"/>
      <c r="AE19" s="5628"/>
      <c r="AF19" s="5628"/>
      <c r="AG19" s="5628"/>
      <c r="AH19" s="1100"/>
      <c r="BG19" s="703">
        <v>13</v>
      </c>
      <c r="BH19" s="703">
        <v>2018</v>
      </c>
      <c r="BI19" s="1663">
        <f>AX5</f>
        <v>50.197122475217498</v>
      </c>
      <c r="BJ19" s="703">
        <f>BG19^2</f>
        <v>169</v>
      </c>
      <c r="BK19" s="703">
        <f>BG19*BI19</f>
        <v>652.56259217782747</v>
      </c>
      <c r="BL19" s="703"/>
      <c r="BT19" s="158" t="s">
        <v>541</v>
      </c>
      <c r="BY19" s="1356" t="s">
        <v>47</v>
      </c>
      <c r="BZ19" s="2128">
        <v>45.35</v>
      </c>
      <c r="CA19" s="2124">
        <f>CP19*1.03</f>
        <v>0</v>
      </c>
    </row>
    <row r="20" spans="1:90" ht="27" customHeight="1">
      <c r="A20" s="182"/>
      <c r="B20" s="182"/>
      <c r="C20" s="182"/>
      <c r="D20" s="182"/>
      <c r="E20" s="5633" t="s">
        <v>517</v>
      </c>
      <c r="F20" s="5633"/>
      <c r="G20" s="5633"/>
      <c r="H20" s="5633"/>
      <c r="I20" s="5633"/>
      <c r="J20" s="5633"/>
      <c r="K20" s="5633"/>
      <c r="L20" s="5633"/>
      <c r="M20" s="5633"/>
      <c r="N20" s="869"/>
      <c r="O20" s="1155"/>
      <c r="P20" s="1343"/>
      <c r="Q20" s="3899"/>
      <c r="R20" s="3899"/>
      <c r="S20" s="2276"/>
      <c r="T20" s="703"/>
      <c r="U20" s="349"/>
      <c r="V20" s="1373" t="s">
        <v>1072</v>
      </c>
      <c r="W20" s="1353"/>
      <c r="X20" s="1353" t="s">
        <v>33</v>
      </c>
      <c r="Y20" s="1353"/>
      <c r="Z20" s="1353"/>
      <c r="AA20" s="1353"/>
      <c r="AB20" s="1353"/>
      <c r="AC20" s="1353"/>
      <c r="AD20" s="1353"/>
      <c r="AE20" s="1353"/>
      <c r="AF20" s="1353"/>
      <c r="AG20" s="1354"/>
      <c r="AH20" s="1100"/>
      <c r="BG20" s="1661">
        <v>14</v>
      </c>
      <c r="BH20" s="1661">
        <v>2019</v>
      </c>
      <c r="BI20" s="1664">
        <f>AY5</f>
        <v>35.67</v>
      </c>
      <c r="BJ20" s="1661">
        <f>BG20^2</f>
        <v>196</v>
      </c>
      <c r="BK20" s="1661">
        <f>BG20*BI20</f>
        <v>499.38</v>
      </c>
      <c r="BL20" s="1662" t="s">
        <v>579</v>
      </c>
    </row>
    <row r="21" spans="1:90">
      <c r="A21" s="182"/>
      <c r="B21" s="182"/>
      <c r="C21" s="182"/>
      <c r="D21" s="182"/>
      <c r="E21" s="5633"/>
      <c r="F21" s="5633"/>
      <c r="G21" s="5633"/>
      <c r="H21" s="5633"/>
      <c r="I21" s="5633"/>
      <c r="J21" s="5633"/>
      <c r="K21" s="5633"/>
      <c r="L21" s="5633"/>
      <c r="M21" s="5633"/>
      <c r="N21" s="869"/>
      <c r="O21" s="1155"/>
      <c r="P21" s="1343"/>
      <c r="Q21" s="3899"/>
      <c r="R21" s="3899"/>
      <c r="S21" s="2276"/>
      <c r="T21" s="703"/>
      <c r="U21" s="566"/>
      <c r="V21" s="1374" t="s">
        <v>36</v>
      </c>
      <c r="W21" s="1355" t="s">
        <v>187</v>
      </c>
      <c r="X21" s="1355" t="s">
        <v>546</v>
      </c>
      <c r="Y21" s="1355" t="s">
        <v>188</v>
      </c>
      <c r="Z21" s="1355" t="s">
        <v>189</v>
      </c>
      <c r="AA21" s="1355" t="s">
        <v>180</v>
      </c>
      <c r="AB21" s="1355" t="s">
        <v>42</v>
      </c>
      <c r="AC21" s="1355" t="s">
        <v>43</v>
      </c>
      <c r="AD21" s="1355" t="s">
        <v>44</v>
      </c>
      <c r="AE21" s="1355" t="s">
        <v>45</v>
      </c>
      <c r="AF21" s="1355" t="s">
        <v>46</v>
      </c>
      <c r="AG21" s="1356" t="s">
        <v>47</v>
      </c>
      <c r="AH21" s="1100"/>
      <c r="BG21" s="386">
        <v>15</v>
      </c>
      <c r="BH21" s="386">
        <v>2020</v>
      </c>
      <c r="BI21" s="1665">
        <f t="shared" ref="BI21:BI30" si="17">($BO$25*BG21)+$BO$22</f>
        <v>46.579447166537832</v>
      </c>
    </row>
    <row r="22" spans="1:90" ht="15" thickBot="1">
      <c r="A22" s="182"/>
      <c r="B22" s="182"/>
      <c r="C22" s="182"/>
      <c r="D22" s="182"/>
      <c r="E22" s="5632" t="s">
        <v>516</v>
      </c>
      <c r="F22" s="5632"/>
      <c r="G22" s="5632"/>
      <c r="H22" s="5632"/>
      <c r="I22" s="5632"/>
      <c r="J22" s="5632"/>
      <c r="K22" s="5632"/>
      <c r="L22" s="5632"/>
      <c r="M22" s="257"/>
      <c r="N22" s="869"/>
      <c r="O22" s="1155"/>
      <c r="P22" s="1343"/>
      <c r="Q22" s="3899"/>
      <c r="R22" s="3899"/>
      <c r="S22" s="2276"/>
      <c r="T22" s="703"/>
      <c r="U22" s="566"/>
      <c r="V22" s="1375" t="s">
        <v>579</v>
      </c>
      <c r="W22" s="1126" t="s">
        <v>579</v>
      </c>
      <c r="X22" s="1126" t="s">
        <v>579</v>
      </c>
      <c r="Y22" s="1126" t="s">
        <v>579</v>
      </c>
      <c r="Z22" s="1126" t="s">
        <v>579</v>
      </c>
      <c r="AA22" s="1126" t="s">
        <v>579</v>
      </c>
      <c r="AB22" s="1126" t="s">
        <v>579</v>
      </c>
      <c r="AC22" s="1126" t="s">
        <v>579</v>
      </c>
      <c r="AD22" s="1126" t="s">
        <v>579</v>
      </c>
      <c r="AE22" s="1126" t="s">
        <v>579</v>
      </c>
      <c r="AF22" s="1126" t="s">
        <v>579</v>
      </c>
      <c r="AG22" s="2233"/>
      <c r="AH22" s="174"/>
      <c r="BG22" s="386">
        <v>16</v>
      </c>
      <c r="BH22" s="386">
        <v>2021</v>
      </c>
      <c r="BI22" s="1665">
        <f t="shared" si="17"/>
        <v>45.990584237656186</v>
      </c>
      <c r="BM22" s="385" t="s">
        <v>544</v>
      </c>
      <c r="BN22" s="614">
        <f>(BI4*BJ4)-(BG4*BK4)</f>
        <v>176488.4656527437</v>
      </c>
      <c r="BO22" s="45">
        <f>BN22/BN23</f>
        <v>55.412391099762544</v>
      </c>
      <c r="BR22" s="158" t="s">
        <v>537</v>
      </c>
      <c r="BS22" s="158">
        <f>_xlfn.COVARIANCE.P(BH5:BH18,BI5:BI18)</f>
        <v>-1.1524787121155136</v>
      </c>
    </row>
    <row r="23" spans="1:90" ht="16.2" thickBot="1">
      <c r="A23" s="182"/>
      <c r="B23" s="182"/>
      <c r="C23" s="182"/>
      <c r="D23" s="182"/>
      <c r="N23" s="869"/>
      <c r="P23" s="1343"/>
      <c r="Q23" s="3899"/>
      <c r="R23" s="3899"/>
      <c r="S23" s="2276"/>
      <c r="T23" s="703"/>
      <c r="U23" s="1360" t="s">
        <v>1017</v>
      </c>
      <c r="V23" s="1364">
        <f>V39+V39*V29</f>
        <v>48.929380497245297</v>
      </c>
      <c r="W23" s="1128">
        <f t="shared" ref="W23:AF23" si="18">W39+W39*W29</f>
        <v>50.932689810733024</v>
      </c>
      <c r="X23" s="1128">
        <f t="shared" si="18"/>
        <v>53.291285934555418</v>
      </c>
      <c r="Y23" s="1128">
        <f t="shared" si="18"/>
        <v>48.732591057797165</v>
      </c>
      <c r="Z23" s="1128">
        <f t="shared" si="18"/>
        <v>46.092346464597227</v>
      </c>
      <c r="AA23" s="1128">
        <f t="shared" si="18"/>
        <v>50.767174905082484</v>
      </c>
      <c r="AB23" s="1128">
        <f t="shared" si="18"/>
        <v>53.78133656509695</v>
      </c>
      <c r="AC23" s="1128">
        <f t="shared" si="18"/>
        <v>49.973299125409667</v>
      </c>
      <c r="AD23" s="1128">
        <f t="shared" si="18"/>
        <v>48.339066069338976</v>
      </c>
      <c r="AE23" s="1128">
        <f t="shared" si="18"/>
        <v>64.515110325116282</v>
      </c>
      <c r="AF23" s="1128">
        <f t="shared" si="18"/>
        <v>52.920974017457659</v>
      </c>
      <c r="AG23" s="2234">
        <v>35.700000000000003</v>
      </c>
      <c r="AH23" s="174"/>
      <c r="AJ23" s="182"/>
      <c r="AK23" s="187"/>
      <c r="AL23" s="187"/>
      <c r="AM23" s="187"/>
      <c r="AN23" s="187"/>
      <c r="AO23" s="187"/>
      <c r="AP23" s="187"/>
      <c r="AQ23" s="187"/>
      <c r="AR23" s="188"/>
      <c r="AS23" s="189"/>
      <c r="AT23" s="189"/>
      <c r="AU23" s="187"/>
      <c r="AV23" s="187"/>
      <c r="AW23" s="187"/>
      <c r="AX23" s="187"/>
      <c r="AY23" s="187"/>
      <c r="AZ23" s="187"/>
      <c r="BA23" s="187"/>
      <c r="BB23" s="187"/>
      <c r="BG23" s="386">
        <v>17</v>
      </c>
      <c r="BH23" s="386">
        <v>2022</v>
      </c>
      <c r="BI23" s="1665">
        <f t="shared" si="17"/>
        <v>45.40172130877454</v>
      </c>
      <c r="BM23" s="385"/>
      <c r="BN23" s="158">
        <f>(BG20*BJ4)-(BG4*BG4)</f>
        <v>3185</v>
      </c>
      <c r="BR23" s="158" t="s">
        <v>538</v>
      </c>
      <c r="BS23" s="158">
        <f>_xlfn.STDEV.P(BH5:BH18)</f>
        <v>3.4520525295346629</v>
      </c>
    </row>
    <row r="24" spans="1:90" ht="16.2" thickBot="1">
      <c r="A24" s="182"/>
      <c r="B24" s="182"/>
      <c r="C24" s="182"/>
      <c r="D24" s="182"/>
      <c r="N24" s="257"/>
      <c r="O24" s="257"/>
      <c r="P24" s="257"/>
      <c r="Q24" s="257"/>
      <c r="R24" s="257"/>
      <c r="S24" s="257"/>
      <c r="T24" s="703"/>
      <c r="U24" s="1361" t="s">
        <v>865</v>
      </c>
      <c r="V24" s="1365">
        <f t="shared" ref="V24:AF24" si="19">AVERAGE(V25,V30,V32)</f>
        <v>40.56843422032636</v>
      </c>
      <c r="W24" s="1169">
        <f t="shared" si="19"/>
        <v>47.14196923852748</v>
      </c>
      <c r="X24" s="1169">
        <f t="shared" si="19"/>
        <v>50.87452115812917</v>
      </c>
      <c r="Y24" s="1169">
        <f t="shared" si="19"/>
        <v>49.570770628862228</v>
      </c>
      <c r="Z24" s="1169">
        <f t="shared" si="19"/>
        <v>44.441995406258968</v>
      </c>
      <c r="AA24" s="1169">
        <f t="shared" si="19"/>
        <v>50.756653116531169</v>
      </c>
      <c r="AB24" s="1169">
        <f t="shared" si="19"/>
        <v>48.845341643582636</v>
      </c>
      <c r="AC24" s="1169">
        <f t="shared" si="19"/>
        <v>45.090299161346856</v>
      </c>
      <c r="AD24" s="1169">
        <f t="shared" si="19"/>
        <v>45.92640572131652</v>
      </c>
      <c r="AE24" s="1169">
        <f t="shared" si="19"/>
        <v>53.836950000000002</v>
      </c>
      <c r="AF24" s="1169">
        <f t="shared" si="19"/>
        <v>50.774516666666671</v>
      </c>
      <c r="AG24" s="2235">
        <v>35.67</v>
      </c>
      <c r="AH24" s="174"/>
      <c r="AJ24" s="182"/>
      <c r="AK24" s="187"/>
      <c r="AL24" s="187"/>
      <c r="AM24" s="187"/>
      <c r="AN24" s="187"/>
      <c r="AO24" s="187"/>
      <c r="AP24" s="187"/>
      <c r="AQ24" s="187"/>
      <c r="AR24" s="188"/>
      <c r="AS24" s="189"/>
      <c r="AT24" s="189"/>
      <c r="AU24" s="187"/>
      <c r="AV24" s="187"/>
      <c r="AW24" s="187"/>
      <c r="AX24" s="187"/>
      <c r="AY24" s="187"/>
      <c r="AZ24" s="187"/>
      <c r="BA24" s="187"/>
      <c r="BB24" s="187"/>
      <c r="BG24" s="386">
        <v>18</v>
      </c>
      <c r="BH24" s="386">
        <v>2023</v>
      </c>
      <c r="BI24" s="1665">
        <f t="shared" si="17"/>
        <v>44.812858379892887</v>
      </c>
      <c r="BR24" s="158" t="s">
        <v>539</v>
      </c>
      <c r="BS24" s="158">
        <f>_xlfn.STDEV.P(BI5:BI18)</f>
        <v>3.900344299639078</v>
      </c>
    </row>
    <row r="25" spans="1:90">
      <c r="A25" s="182"/>
      <c r="B25" s="182"/>
      <c r="C25" s="182"/>
      <c r="D25" s="182"/>
      <c r="E25" s="250"/>
      <c r="F25" s="250"/>
      <c r="G25" s="180"/>
      <c r="H25" s="180"/>
      <c r="I25" s="180"/>
      <c r="J25" s="183"/>
      <c r="K25" s="180"/>
      <c r="L25" s="180"/>
      <c r="M25" s="180"/>
      <c r="N25" s="180"/>
      <c r="O25" s="180"/>
      <c r="P25" s="180"/>
      <c r="Q25" s="180"/>
      <c r="R25" s="180"/>
      <c r="S25" s="180"/>
      <c r="T25" s="703"/>
      <c r="U25" s="1158" t="s">
        <v>921</v>
      </c>
      <c r="V25" s="1366">
        <f>AVERAGE(V26:V27)</f>
        <v>50.335000000000001</v>
      </c>
      <c r="W25" s="1358">
        <f>AVERAGE(W26:W27)</f>
        <v>61.024999999999999</v>
      </c>
      <c r="X25" s="1358">
        <f>AVERAGE(X26:X27)</f>
        <v>59.019999999999996</v>
      </c>
      <c r="Y25" s="1358">
        <f>AVERAGE(Y26:Y27)</f>
        <v>67.069999999999993</v>
      </c>
      <c r="Z25" s="1358">
        <f>AVERAGE(Z26:Z27)</f>
        <v>57.47</v>
      </c>
      <c r="AA25" s="1358">
        <f t="shared" ref="AA25:AF25" si="20">AVERAGE(AA26:AA27)</f>
        <v>60.254999999999995</v>
      </c>
      <c r="AB25" s="1358">
        <f t="shared" si="20"/>
        <v>57.954999999999998</v>
      </c>
      <c r="AC25" s="1358">
        <f t="shared" si="20"/>
        <v>52.8</v>
      </c>
      <c r="AD25" s="1358">
        <f t="shared" si="20"/>
        <v>62.484999999999999</v>
      </c>
      <c r="AE25" s="1358">
        <f t="shared" si="20"/>
        <v>63.660850000000003</v>
      </c>
      <c r="AF25" s="1358">
        <f t="shared" si="20"/>
        <v>66.833550000000002</v>
      </c>
      <c r="AG25" s="2243">
        <v>49.6</v>
      </c>
      <c r="AH25" s="174"/>
      <c r="AJ25" s="182"/>
      <c r="AK25" s="187"/>
      <c r="AL25" s="187"/>
      <c r="AM25" s="187"/>
      <c r="AN25" s="187"/>
      <c r="AO25" s="187"/>
      <c r="AP25" s="187"/>
      <c r="AQ25" s="187"/>
      <c r="AR25" s="188"/>
      <c r="AS25" s="189"/>
      <c r="AT25" s="189"/>
      <c r="AU25" s="156"/>
      <c r="AV25" s="187"/>
      <c r="AW25" s="187"/>
      <c r="AX25" s="187"/>
      <c r="AY25" s="187"/>
      <c r="AZ25" s="187"/>
      <c r="BA25" s="187"/>
      <c r="BB25" s="187"/>
      <c r="BG25" s="386">
        <v>19</v>
      </c>
      <c r="BH25" s="386">
        <v>2024</v>
      </c>
      <c r="BI25" s="1665">
        <f t="shared" si="17"/>
        <v>44.223995451011241</v>
      </c>
      <c r="BM25" s="385" t="s">
        <v>545</v>
      </c>
      <c r="BN25" s="614">
        <f>(BG20*BK4)-(BG4*BI4)</f>
        <v>-1875.5284284880472</v>
      </c>
      <c r="BO25" s="45">
        <f>BN25/BN23</f>
        <v>-0.58886292888164748</v>
      </c>
      <c r="BR25" s="158" t="s">
        <v>540</v>
      </c>
      <c r="BS25" s="158">
        <f>CORREL(BH5:BH18,BI5:BI18)</f>
        <v>-8.5595822742268499E-2</v>
      </c>
      <c r="BT25" s="158">
        <f>BS25^2</f>
        <v>7.326644870925849E-3</v>
      </c>
    </row>
    <row r="26" spans="1:90" ht="15.6">
      <c r="A26" s="182"/>
      <c r="B26" s="182"/>
      <c r="C26" s="182"/>
      <c r="D26" s="182"/>
      <c r="F26" s="250"/>
      <c r="G26" s="180"/>
      <c r="H26" s="180"/>
      <c r="I26" s="180"/>
      <c r="J26" s="183"/>
      <c r="K26" s="180"/>
      <c r="L26" s="180"/>
      <c r="M26" s="180"/>
      <c r="N26" s="180"/>
      <c r="P26" s="180"/>
      <c r="Q26" s="180"/>
      <c r="R26" s="180"/>
      <c r="S26" s="180"/>
      <c r="T26" s="703"/>
      <c r="U26" s="1111" t="s">
        <v>915</v>
      </c>
      <c r="V26" s="1367">
        <v>49</v>
      </c>
      <c r="W26" s="1127">
        <v>63</v>
      </c>
      <c r="X26" s="1127">
        <v>58</v>
      </c>
      <c r="Y26" s="1127">
        <v>71</v>
      </c>
      <c r="Z26" s="1127">
        <v>57</v>
      </c>
      <c r="AA26" s="1127">
        <v>59</v>
      </c>
      <c r="AB26" s="1127">
        <v>55</v>
      </c>
      <c r="AC26" s="1127">
        <v>50</v>
      </c>
      <c r="AD26" s="1127">
        <v>63</v>
      </c>
      <c r="AE26" s="1127">
        <v>61</v>
      </c>
      <c r="AF26" s="1127">
        <f>AF42*1.05</f>
        <v>65.100000000000009</v>
      </c>
      <c r="AG26" s="2236"/>
      <c r="AH26" s="174"/>
      <c r="BG26" s="386">
        <v>20</v>
      </c>
      <c r="BH26" s="386">
        <v>2025</v>
      </c>
      <c r="BI26" s="1665">
        <f t="shared" si="17"/>
        <v>43.635132522129595</v>
      </c>
      <c r="BN26" s="158">
        <f>(11*BJ4)-(BG4*BG4)</f>
        <v>140</v>
      </c>
    </row>
    <row r="27" spans="1:90" ht="15.6">
      <c r="A27" s="182"/>
      <c r="B27" s="182"/>
      <c r="C27" s="182"/>
      <c r="D27" s="182"/>
      <c r="N27" s="180"/>
      <c r="O27" s="180"/>
      <c r="P27" s="180"/>
      <c r="Q27" s="180"/>
      <c r="R27" s="180"/>
      <c r="S27" s="180"/>
      <c r="T27" s="703"/>
      <c r="U27" s="5636" t="s">
        <v>1074</v>
      </c>
      <c r="V27" s="1368">
        <v>51.67</v>
      </c>
      <c r="W27" s="1113">
        <v>59.05</v>
      </c>
      <c r="X27" s="1113">
        <v>60.04</v>
      </c>
      <c r="Y27" s="1113">
        <v>63.14</v>
      </c>
      <c r="Z27" s="1113">
        <v>57.94</v>
      </c>
      <c r="AA27" s="1113">
        <v>61.51</v>
      </c>
      <c r="AB27" s="1113">
        <v>60.91</v>
      </c>
      <c r="AC27" s="1113">
        <v>55.6</v>
      </c>
      <c r="AD27" s="1113">
        <v>61.97</v>
      </c>
      <c r="AE27" s="1357">
        <f t="shared" ref="AE27:AF27" si="21">AE43*1.03</f>
        <v>66.321700000000007</v>
      </c>
      <c r="AF27" s="1357">
        <f t="shared" si="21"/>
        <v>68.567099999999996</v>
      </c>
      <c r="AG27" s="2237"/>
      <c r="AH27" s="174"/>
      <c r="BG27" s="386">
        <v>21</v>
      </c>
      <c r="BH27" s="386">
        <v>2026</v>
      </c>
      <c r="BI27" s="1665">
        <f t="shared" si="17"/>
        <v>43.046269593247949</v>
      </c>
    </row>
    <row r="28" spans="1:90" ht="61.2">
      <c r="A28" s="182"/>
      <c r="B28" s="182"/>
      <c r="C28" s="182"/>
      <c r="D28" s="182"/>
      <c r="N28" s="180"/>
      <c r="P28" s="180"/>
      <c r="Q28" s="180"/>
      <c r="R28" s="180"/>
      <c r="S28" s="180"/>
      <c r="T28" s="703"/>
      <c r="U28" s="5636"/>
      <c r="V28" s="1369" t="s">
        <v>1069</v>
      </c>
      <c r="W28" s="5637" t="s">
        <v>1370</v>
      </c>
      <c r="X28" s="5638"/>
      <c r="Y28" s="5638"/>
      <c r="Z28" s="5638"/>
      <c r="AA28" s="5638"/>
      <c r="AB28" s="5638"/>
      <c r="AC28" s="5638"/>
      <c r="AD28" s="5639"/>
      <c r="AE28" s="1359"/>
      <c r="AF28" s="1359"/>
      <c r="AG28" s="2244" t="s">
        <v>1410</v>
      </c>
      <c r="AH28" s="181"/>
      <c r="BG28" s="386">
        <v>22</v>
      </c>
      <c r="BH28" s="386">
        <v>2027</v>
      </c>
      <c r="BI28" s="1665">
        <f t="shared" si="17"/>
        <v>42.457406664366303</v>
      </c>
    </row>
    <row r="29" spans="1:90">
      <c r="A29" s="182"/>
      <c r="B29" s="182"/>
      <c r="C29" s="182"/>
      <c r="D29" s="182"/>
      <c r="N29" s="180"/>
      <c r="O29" s="180"/>
      <c r="P29" s="180"/>
      <c r="Q29" s="180"/>
      <c r="R29" s="180"/>
      <c r="S29" s="180"/>
      <c r="T29" s="703"/>
      <c r="U29" s="1384"/>
      <c r="V29" s="1385">
        <f>V27/V43-1</f>
        <v>4.9563274426162929E-2</v>
      </c>
      <c r="W29" s="1359">
        <f t="shared" ref="W29:AF29" si="22">W27/W43-1</f>
        <v>-7.3962010421920743E-3</v>
      </c>
      <c r="X29" s="1359">
        <f t="shared" si="22"/>
        <v>2.8610587630632178E-2</v>
      </c>
      <c r="Y29" s="1359">
        <f t="shared" si="22"/>
        <v>-1.6357688113413316E-2</v>
      </c>
      <c r="Z29" s="1359">
        <f t="shared" si="22"/>
        <v>-1.8949181739879029E-3</v>
      </c>
      <c r="AA29" s="1359">
        <f t="shared" si="22"/>
        <v>1.6260162601633432E-4</v>
      </c>
      <c r="AB29" s="1359">
        <f t="shared" si="22"/>
        <v>5.4536011080332347E-2</v>
      </c>
      <c r="AC29" s="1359">
        <f t="shared" si="22"/>
        <v>4.3935411190386908E-2</v>
      </c>
      <c r="AD29" s="1359">
        <f t="shared" si="22"/>
        <v>-4.6908643494309454E-2</v>
      </c>
      <c r="AE29" s="1359">
        <f t="shared" si="22"/>
        <v>3.0000000000000027E-2</v>
      </c>
      <c r="AF29" s="1359">
        <f t="shared" si="22"/>
        <v>3.0000000000000027E-2</v>
      </c>
      <c r="AG29" s="2238"/>
      <c r="AH29" s="174"/>
      <c r="BG29" s="386">
        <v>23</v>
      </c>
      <c r="BH29" s="386">
        <v>2028</v>
      </c>
      <c r="BI29" s="1665">
        <f t="shared" si="17"/>
        <v>41.86854373548465</v>
      </c>
    </row>
    <row r="30" spans="1:90" ht="15.6">
      <c r="T30" s="703"/>
      <c r="U30" s="1164" t="s">
        <v>917</v>
      </c>
      <c r="V30" s="1370">
        <f>V45+V45*V29</f>
        <v>45.131220800325003</v>
      </c>
      <c r="W30" s="1166">
        <f t="shared" ref="W30:AF30" si="23">W45+W45*W29</f>
        <v>58.563624138510669</v>
      </c>
      <c r="X30" s="1166">
        <f t="shared" si="23"/>
        <v>62.74524584546856</v>
      </c>
      <c r="Y30" s="1166">
        <f t="shared" si="23"/>
        <v>57.051254089422031</v>
      </c>
      <c r="Z30" s="1166">
        <f t="shared" si="23"/>
        <v>52.89956933677864</v>
      </c>
      <c r="AA30" s="1166">
        <f t="shared" si="23"/>
        <v>61.009918699186997</v>
      </c>
      <c r="AB30" s="1166">
        <f t="shared" si="23"/>
        <v>57.999480609418278</v>
      </c>
      <c r="AC30" s="1166">
        <f t="shared" si="23"/>
        <v>55.328576793090505</v>
      </c>
      <c r="AD30" s="1166">
        <f t="shared" si="23"/>
        <v>53.373115964318671</v>
      </c>
      <c r="AE30" s="1166">
        <f t="shared" si="23"/>
        <v>63.86</v>
      </c>
      <c r="AF30" s="1166">
        <f t="shared" si="23"/>
        <v>60.77</v>
      </c>
      <c r="AG30" s="2239">
        <v>38.6</v>
      </c>
      <c r="AH30" s="174"/>
      <c r="BG30" s="386">
        <v>24</v>
      </c>
      <c r="BH30" s="386">
        <v>2029</v>
      </c>
      <c r="BI30" s="1665">
        <f t="shared" si="17"/>
        <v>41.279680806603004</v>
      </c>
    </row>
    <row r="31" spans="1:90" ht="15.6">
      <c r="T31" s="703"/>
      <c r="U31" s="1162" t="s">
        <v>1018</v>
      </c>
      <c r="V31" s="1371">
        <f>V46</f>
        <v>46.629727594339634</v>
      </c>
      <c r="W31" s="1163">
        <f t="shared" ref="W31:AF31" si="24">W46</f>
        <v>51.933741745283008</v>
      </c>
      <c r="X31" s="1163">
        <f t="shared" si="24"/>
        <v>53.491753997641496</v>
      </c>
      <c r="Y31" s="1163">
        <f t="shared" si="24"/>
        <v>55.096506617570739</v>
      </c>
      <c r="Z31" s="1163">
        <f t="shared" si="24"/>
        <v>56.749401816097858</v>
      </c>
      <c r="AA31" s="1163">
        <f t="shared" si="24"/>
        <v>58.451883870580794</v>
      </c>
      <c r="AB31" s="1163">
        <f t="shared" si="24"/>
        <v>55.01</v>
      </c>
      <c r="AC31" s="1163">
        <f t="shared" si="24"/>
        <v>62.01160359829916</v>
      </c>
      <c r="AD31" s="1163">
        <f t="shared" si="24"/>
        <v>63.871951706248133</v>
      </c>
      <c r="AE31" s="1163">
        <f t="shared" si="24"/>
        <v>65.788110257435577</v>
      </c>
      <c r="AF31" s="1163">
        <f t="shared" si="24"/>
        <v>67.761753565158642</v>
      </c>
      <c r="AG31" s="2240"/>
      <c r="AH31" s="174"/>
    </row>
    <row r="32" spans="1:90" ht="15.6">
      <c r="T32" s="703"/>
      <c r="U32" s="1164" t="s">
        <v>918</v>
      </c>
      <c r="V32" s="1370">
        <f>V47+V47*V29</f>
        <v>26.239081860654075</v>
      </c>
      <c r="W32" s="1166">
        <f t="shared" ref="W32:AF32" si="25">W47+W47*W29</f>
        <v>21.837283577071773</v>
      </c>
      <c r="X32" s="1166">
        <f t="shared" si="25"/>
        <v>30.858317628918964</v>
      </c>
      <c r="Y32" s="1166">
        <f t="shared" si="25"/>
        <v>24.591057797164666</v>
      </c>
      <c r="Z32" s="1166">
        <f t="shared" si="25"/>
        <v>22.95641688199828</v>
      </c>
      <c r="AA32" s="1166">
        <f t="shared" si="25"/>
        <v>31.005040650406507</v>
      </c>
      <c r="AB32" s="1166">
        <f t="shared" si="25"/>
        <v>30.581544321329638</v>
      </c>
      <c r="AC32" s="1166">
        <f t="shared" si="25"/>
        <v>27.142320690950058</v>
      </c>
      <c r="AD32" s="1166">
        <f t="shared" si="25"/>
        <v>21.921101199630883</v>
      </c>
      <c r="AE32" s="1166">
        <f t="shared" si="25"/>
        <v>33.99</v>
      </c>
      <c r="AF32" s="1166">
        <f t="shared" si="25"/>
        <v>24.72</v>
      </c>
      <c r="AG32" s="2239">
        <v>22.4</v>
      </c>
      <c r="AH32" s="174"/>
    </row>
    <row r="33" spans="20:64" ht="16.2" thickBot="1">
      <c r="T33" s="703"/>
      <c r="U33" s="1383" t="s">
        <v>1018</v>
      </c>
      <c r="V33" s="1372">
        <f>V48</f>
        <v>38.714876649746188</v>
      </c>
      <c r="W33" s="1171">
        <f t="shared" ref="W33:AF33" si="26">W48</f>
        <v>38.873088832487319</v>
      </c>
      <c r="X33" s="1171">
        <f t="shared" si="26"/>
        <v>40.039281497461936</v>
      </c>
      <c r="Y33" s="1171">
        <f t="shared" si="26"/>
        <v>41.24045994238579</v>
      </c>
      <c r="Z33" s="1171">
        <f t="shared" si="26"/>
        <v>42.477673740657366</v>
      </c>
      <c r="AA33" s="1171">
        <f t="shared" si="26"/>
        <v>43.752003952877089</v>
      </c>
      <c r="AB33" s="1171">
        <f t="shared" si="26"/>
        <v>29.1</v>
      </c>
      <c r="AC33" s="1171">
        <f t="shared" si="26"/>
        <v>46.416500993607301</v>
      </c>
      <c r="AD33" s="1171">
        <f t="shared" si="26"/>
        <v>47.808996023415517</v>
      </c>
      <c r="AE33" s="1171">
        <f t="shared" si="26"/>
        <v>49.243265904117983</v>
      </c>
      <c r="AF33" s="1171">
        <f t="shared" si="26"/>
        <v>50.720563881241524</v>
      </c>
      <c r="AG33" s="2241"/>
      <c r="AH33" s="174"/>
      <c r="BL33" s="1012"/>
    </row>
    <row r="34" spans="20:64" ht="15" thickBot="1">
      <c r="T34" s="703"/>
      <c r="U34" s="874"/>
      <c r="V34" s="1156">
        <f>V24/V40-1</f>
        <v>3.9194831242616912E-2</v>
      </c>
      <c r="W34" s="1157">
        <f t="shared" ref="W34:AF34" si="27">IF((W24/W40-1)=-100%,"",W24/W40-1)</f>
        <v>-5.7583203938104122E-3</v>
      </c>
      <c r="X34" s="1157">
        <f t="shared" si="27"/>
        <v>2.3048989337986381E-2</v>
      </c>
      <c r="Y34" s="1157">
        <f t="shared" si="27"/>
        <v>-1.2501664154940806E-2</v>
      </c>
      <c r="Z34" s="1157">
        <f t="shared" si="27"/>
        <v>-1.490460821741979E-3</v>
      </c>
      <c r="AA34" s="1157">
        <f t="shared" si="27"/>
        <v>1.3109589223980755E-4</v>
      </c>
      <c r="AB34" s="1157">
        <f t="shared" si="27"/>
        <v>4.3852578221597938E-2</v>
      </c>
      <c r="AC34" s="1157">
        <f t="shared" si="27"/>
        <v>3.5527041904926726E-2</v>
      </c>
      <c r="AD34" s="1157">
        <f t="shared" si="27"/>
        <v>-3.6576343165166225E-2</v>
      </c>
      <c r="AE34" s="1157">
        <f t="shared" si="27"/>
        <v>2.4197660039950719E-2</v>
      </c>
      <c r="AF34" s="1157">
        <f t="shared" si="27"/>
        <v>3.4209525749397507E-2</v>
      </c>
      <c r="AG34" s="2242">
        <f>IF((AG24/AG40-1)=-100%,"",AG24/AG40-1)</f>
        <v>-6.1759925702343788E-3</v>
      </c>
      <c r="AH34" s="174"/>
    </row>
    <row r="35" spans="20:64" ht="15" thickBot="1">
      <c r="T35" s="703"/>
      <c r="U35" s="1118"/>
      <c r="V35" s="1118"/>
      <c r="W35" s="1118"/>
      <c r="X35" s="1118"/>
      <c r="Y35" s="1118"/>
      <c r="Z35" s="1118"/>
      <c r="AA35" s="1118"/>
      <c r="AB35" s="1118"/>
      <c r="AC35" s="1118"/>
      <c r="AD35" s="1118"/>
      <c r="AE35" s="1118"/>
      <c r="AF35" s="1118"/>
      <c r="AG35" s="1118"/>
    </row>
    <row r="36" spans="20:64">
      <c r="T36" s="168"/>
      <c r="U36" s="349"/>
      <c r="V36" s="1402" t="s">
        <v>1071</v>
      </c>
      <c r="W36" s="870"/>
      <c r="X36" s="870" t="s">
        <v>33</v>
      </c>
      <c r="Y36" s="870"/>
      <c r="Z36" s="870"/>
      <c r="AA36" s="870"/>
      <c r="AB36" s="870"/>
      <c r="AC36" s="870"/>
      <c r="AD36" s="870"/>
      <c r="AE36" s="870"/>
      <c r="AF36" s="870"/>
      <c r="AG36" s="871"/>
    </row>
    <row r="37" spans="20:64">
      <c r="T37" s="1108"/>
      <c r="U37" s="566"/>
      <c r="V37" s="1403" t="s">
        <v>36</v>
      </c>
      <c r="W37" s="1102" t="s">
        <v>187</v>
      </c>
      <c r="X37" s="1102" t="s">
        <v>546</v>
      </c>
      <c r="Y37" s="1102" t="s">
        <v>188</v>
      </c>
      <c r="Z37" s="1102" t="s">
        <v>189</v>
      </c>
      <c r="AA37" s="1102" t="s">
        <v>180</v>
      </c>
      <c r="AB37" s="1102" t="s">
        <v>42</v>
      </c>
      <c r="AC37" s="1102" t="s">
        <v>43</v>
      </c>
      <c r="AD37" s="1102" t="s">
        <v>44</v>
      </c>
      <c r="AE37" s="1102" t="s">
        <v>45</v>
      </c>
      <c r="AF37" s="1102" t="s">
        <v>46</v>
      </c>
      <c r="AG37" s="1103" t="s">
        <v>47</v>
      </c>
    </row>
    <row r="38" spans="20:64" ht="15" thickBot="1">
      <c r="T38" s="472"/>
      <c r="U38" s="566"/>
      <c r="V38" s="1404" t="s">
        <v>862</v>
      </c>
      <c r="W38" s="1125"/>
      <c r="X38" s="1125"/>
      <c r="Y38" s="1125"/>
      <c r="Z38" s="1125"/>
      <c r="AA38" s="1125"/>
      <c r="AB38" s="1405"/>
      <c r="AC38" s="1125"/>
      <c r="AD38" s="1125"/>
      <c r="AE38" s="1125"/>
      <c r="AF38" s="1126" t="s">
        <v>579</v>
      </c>
      <c r="AG38" s="1376" t="s">
        <v>579</v>
      </c>
    </row>
    <row r="39" spans="20:64" ht="16.2" thickBot="1">
      <c r="T39" s="472"/>
      <c r="U39" s="1110" t="s">
        <v>1017</v>
      </c>
      <c r="V39" s="1389">
        <v>46.618800113787223</v>
      </c>
      <c r="W39" s="1124">
        <v>51.312205196282946</v>
      </c>
      <c r="X39" s="1124">
        <v>51.808999999999997</v>
      </c>
      <c r="Y39" s="1124">
        <v>49.542999999999999</v>
      </c>
      <c r="Z39" s="1124">
        <v>46.179853508282172</v>
      </c>
      <c r="AA39" s="1124">
        <v>50.758921421924441</v>
      </c>
      <c r="AB39" s="1124">
        <v>51</v>
      </c>
      <c r="AC39" s="1124">
        <v>47.870106320491338</v>
      </c>
      <c r="AD39" s="1124">
        <v>50.718187442769405</v>
      </c>
      <c r="AE39" s="1124">
        <v>62.636029441860465</v>
      </c>
      <c r="AF39" s="1128">
        <v>51.379586424716173</v>
      </c>
      <c r="AG39" s="1129">
        <v>42.539779832495817</v>
      </c>
    </row>
    <row r="40" spans="20:64" ht="16.2" thickBot="1">
      <c r="T40" s="564"/>
      <c r="U40" s="1167" t="s">
        <v>865</v>
      </c>
      <c r="V40" s="1406">
        <f t="shared" ref="V40:AG40" si="28">AVERAGE(V41,V45,V47)</f>
        <v>39.038333333333334</v>
      </c>
      <c r="W40" s="1168">
        <f t="shared" si="28"/>
        <v>47.414999999999999</v>
      </c>
      <c r="X40" s="1168">
        <f t="shared" si="28"/>
        <v>49.728333333333332</v>
      </c>
      <c r="Y40" s="1168">
        <f t="shared" si="28"/>
        <v>50.198333333333331</v>
      </c>
      <c r="Z40" s="1168">
        <f t="shared" si="28"/>
        <v>44.508333333333333</v>
      </c>
      <c r="AA40" s="1168">
        <f t="shared" si="28"/>
        <v>50.75</v>
      </c>
      <c r="AB40" s="1168">
        <f t="shared" si="28"/>
        <v>46.793333333333329</v>
      </c>
      <c r="AC40" s="1168">
        <f t="shared" si="28"/>
        <v>43.543333333333329</v>
      </c>
      <c r="AD40" s="1168">
        <f t="shared" si="28"/>
        <v>47.669999999999995</v>
      </c>
      <c r="AE40" s="1168">
        <f t="shared" si="28"/>
        <v>52.564999999999998</v>
      </c>
      <c r="AF40" s="1169">
        <f t="shared" si="28"/>
        <v>49.094999999999999</v>
      </c>
      <c r="AG40" s="1170">
        <f t="shared" si="28"/>
        <v>35.891666666666666</v>
      </c>
    </row>
    <row r="41" spans="20:64">
      <c r="T41" s="564"/>
      <c r="U41" s="1158" t="s">
        <v>921</v>
      </c>
      <c r="V41" s="1159">
        <f t="shared" ref="V41:AG41" si="29">AVERAGE(V42:V43)</f>
        <v>49.114999999999995</v>
      </c>
      <c r="W41" s="1159">
        <f t="shared" si="29"/>
        <v>61.245000000000005</v>
      </c>
      <c r="X41" s="1159">
        <f t="shared" si="29"/>
        <v>58.185000000000002</v>
      </c>
      <c r="Y41" s="1159">
        <f t="shared" si="29"/>
        <v>67.594999999999999</v>
      </c>
      <c r="Z41" s="1159">
        <f t="shared" si="29"/>
        <v>57.524999999999999</v>
      </c>
      <c r="AA41" s="1159">
        <f t="shared" si="29"/>
        <v>60.25</v>
      </c>
      <c r="AB41" s="1159">
        <f t="shared" si="29"/>
        <v>56.379999999999995</v>
      </c>
      <c r="AC41" s="1159">
        <f t="shared" si="29"/>
        <v>51.629999999999995</v>
      </c>
      <c r="AD41" s="1159">
        <f t="shared" si="29"/>
        <v>64.009999999999991</v>
      </c>
      <c r="AE41" s="1159">
        <f t="shared" si="29"/>
        <v>62.695</v>
      </c>
      <c r="AF41" s="1159">
        <f t="shared" si="29"/>
        <v>64.284999999999997</v>
      </c>
      <c r="AG41" s="1160">
        <f t="shared" si="29"/>
        <v>48.674999999999997</v>
      </c>
    </row>
    <row r="42" spans="20:64" ht="15.6">
      <c r="T42" s="564"/>
      <c r="U42" s="1111" t="s">
        <v>915</v>
      </c>
      <c r="V42" s="1123">
        <v>49</v>
      </c>
      <c r="W42" s="1123">
        <v>63</v>
      </c>
      <c r="X42" s="1123">
        <v>58</v>
      </c>
      <c r="Y42" s="1123">
        <v>71</v>
      </c>
      <c r="Z42" s="1123">
        <v>57</v>
      </c>
      <c r="AA42" s="1123">
        <v>59</v>
      </c>
      <c r="AB42" s="1123">
        <v>55</v>
      </c>
      <c r="AC42" s="1123">
        <v>50</v>
      </c>
      <c r="AD42" s="1123">
        <v>63</v>
      </c>
      <c r="AE42" s="1123">
        <v>61</v>
      </c>
      <c r="AF42" s="1123">
        <v>62</v>
      </c>
      <c r="AG42" s="1362">
        <v>52</v>
      </c>
    </row>
    <row r="43" spans="20:64" ht="15.6">
      <c r="T43" s="564"/>
      <c r="U43" s="1112" t="s">
        <v>916</v>
      </c>
      <c r="V43" s="1113">
        <v>49.23</v>
      </c>
      <c r="W43" s="1113">
        <v>59.49</v>
      </c>
      <c r="X43" s="1114">
        <v>58.37</v>
      </c>
      <c r="Y43" s="1114">
        <v>64.19</v>
      </c>
      <c r="Z43" s="1114">
        <v>58.05</v>
      </c>
      <c r="AA43" s="1114">
        <v>61.5</v>
      </c>
      <c r="AB43" s="1114">
        <v>57.76</v>
      </c>
      <c r="AC43" s="1114">
        <v>53.26</v>
      </c>
      <c r="AD43" s="1114">
        <v>65.02</v>
      </c>
      <c r="AE43" s="1114">
        <v>64.39</v>
      </c>
      <c r="AF43" s="1114">
        <v>66.569999999999993</v>
      </c>
      <c r="AG43" s="1352">
        <v>45.35</v>
      </c>
    </row>
    <row r="44" spans="20:64">
      <c r="T44" s="347"/>
      <c r="U44" s="1115" t="s">
        <v>907</v>
      </c>
      <c r="V44" s="1116"/>
      <c r="W44" s="1117">
        <f t="shared" ref="W44:AG44" si="30">IF((W43/W58-1)=-100%,"",W43/W58-1)</f>
        <v>4.3501140150850715E-2</v>
      </c>
      <c r="X44" s="1117">
        <f t="shared" si="30"/>
        <v>-1.1180755548026444E-2</v>
      </c>
      <c r="Y44" s="1117">
        <f t="shared" si="30"/>
        <v>0.17392099487929769</v>
      </c>
      <c r="Z44" s="1117">
        <f t="shared" si="30"/>
        <v>8.2013047530288929E-2</v>
      </c>
      <c r="AA44" s="1117">
        <f t="shared" si="30"/>
        <v>4.2019654354455982E-2</v>
      </c>
      <c r="AB44" s="1117">
        <f t="shared" si="30"/>
        <v>1.7797356828193722E-2</v>
      </c>
      <c r="AC44" s="1117">
        <f t="shared" si="30"/>
        <v>-8.7474409082448634E-3</v>
      </c>
      <c r="AD44" s="1117">
        <f t="shared" si="30"/>
        <v>0.14110214110214114</v>
      </c>
      <c r="AE44" s="1117">
        <f t="shared" si="30"/>
        <v>0.11401384083044985</v>
      </c>
      <c r="AF44" s="1117">
        <f t="shared" si="30"/>
        <v>3.7077426390403456E-2</v>
      </c>
      <c r="AG44" s="1161">
        <f t="shared" si="30"/>
        <v>-3.0775994724114852E-3</v>
      </c>
    </row>
    <row r="45" spans="20:64" ht="15.6">
      <c r="T45" s="347"/>
      <c r="U45" s="1164" t="s">
        <v>917</v>
      </c>
      <c r="V45" s="1165">
        <v>43</v>
      </c>
      <c r="W45" s="1165">
        <v>59</v>
      </c>
      <c r="X45" s="1165">
        <v>61</v>
      </c>
      <c r="Y45" s="1165">
        <v>58</v>
      </c>
      <c r="Z45" s="1165">
        <v>53</v>
      </c>
      <c r="AA45" s="1165">
        <v>61</v>
      </c>
      <c r="AB45" s="1165">
        <v>55</v>
      </c>
      <c r="AC45" s="1165">
        <v>53</v>
      </c>
      <c r="AD45" s="1165">
        <v>56</v>
      </c>
      <c r="AE45" s="1165">
        <v>62</v>
      </c>
      <c r="AF45" s="1165">
        <v>59</v>
      </c>
      <c r="AG45" s="1363">
        <v>40</v>
      </c>
      <c r="AV45" s="156"/>
      <c r="AW45" s="156"/>
      <c r="AX45" s="156"/>
      <c r="AY45" s="156"/>
      <c r="AZ45" s="156"/>
      <c r="BA45" s="156"/>
      <c r="BB45" s="156"/>
    </row>
    <row r="46" spans="20:64" ht="15.6">
      <c r="U46" s="1162" t="s">
        <v>1018</v>
      </c>
      <c r="V46" s="1381">
        <v>46.629727594339634</v>
      </c>
      <c r="W46" s="1381">
        <v>51.933741745283008</v>
      </c>
      <c r="X46" s="1381">
        <v>53.491753997641496</v>
      </c>
      <c r="Y46" s="1381">
        <v>55.096506617570739</v>
      </c>
      <c r="Z46" s="1381">
        <v>56.749401816097858</v>
      </c>
      <c r="AA46" s="1381">
        <v>58.451883870580794</v>
      </c>
      <c r="AB46" s="1381">
        <v>55.01</v>
      </c>
      <c r="AC46" s="1381">
        <v>62.01160359829916</v>
      </c>
      <c r="AD46" s="1381">
        <v>63.871951706248133</v>
      </c>
      <c r="AE46" s="1381">
        <v>65.788110257435577</v>
      </c>
      <c r="AF46" s="1381">
        <v>67.761753565158642</v>
      </c>
      <c r="AG46" s="1382">
        <v>69.794606172113404</v>
      </c>
    </row>
    <row r="47" spans="20:64" ht="15.6">
      <c r="U47" s="1164" t="s">
        <v>918</v>
      </c>
      <c r="V47" s="1165">
        <v>25</v>
      </c>
      <c r="W47" s="1165">
        <v>22</v>
      </c>
      <c r="X47" s="1165">
        <v>30</v>
      </c>
      <c r="Y47" s="1165">
        <v>25</v>
      </c>
      <c r="Z47" s="1165">
        <v>23</v>
      </c>
      <c r="AA47" s="1165">
        <v>31</v>
      </c>
      <c r="AB47" s="1165">
        <v>29</v>
      </c>
      <c r="AC47" s="1165">
        <v>26</v>
      </c>
      <c r="AD47" s="1165">
        <v>23</v>
      </c>
      <c r="AE47" s="1165">
        <v>33</v>
      </c>
      <c r="AF47" s="1165">
        <v>24</v>
      </c>
      <c r="AG47" s="1363">
        <v>19</v>
      </c>
    </row>
    <row r="48" spans="20:64" ht="16.2" thickBot="1">
      <c r="U48" s="1162" t="s">
        <v>1018</v>
      </c>
      <c r="V48" s="1386">
        <v>38.714876649746188</v>
      </c>
      <c r="W48" s="1386">
        <v>38.873088832487319</v>
      </c>
      <c r="X48" s="1386">
        <v>40.039281497461936</v>
      </c>
      <c r="Y48" s="1386">
        <v>41.24045994238579</v>
      </c>
      <c r="Z48" s="1386">
        <v>42.477673740657366</v>
      </c>
      <c r="AA48" s="1386">
        <v>43.752003952877089</v>
      </c>
      <c r="AB48" s="1386">
        <v>29.1</v>
      </c>
      <c r="AC48" s="1386">
        <v>46.416500993607301</v>
      </c>
      <c r="AD48" s="1386">
        <v>47.808996023415517</v>
      </c>
      <c r="AE48" s="1386">
        <v>49.243265904117983</v>
      </c>
      <c r="AF48" s="1386">
        <v>50.720563881241524</v>
      </c>
      <c r="AG48" s="1387">
        <v>52.24218079767877</v>
      </c>
    </row>
    <row r="49" spans="20:33" ht="15" thickBot="1">
      <c r="U49" s="874"/>
      <c r="V49" s="1156">
        <f>V40/V55-1</f>
        <v>-0.1374835209145242</v>
      </c>
      <c r="W49" s="1157">
        <f t="shared" ref="W49:AG49" si="31">IF((W40/W55-1)=-100%,"",W40/W55-1)</f>
        <v>-4.8229367395463574E-2</v>
      </c>
      <c r="X49" s="1157">
        <f t="shared" si="31"/>
        <v>-1.1365142478462542E-2</v>
      </c>
      <c r="Y49" s="1157">
        <f t="shared" si="31"/>
        <v>4.3624393624393631E-2</v>
      </c>
      <c r="Z49" s="1157">
        <f t="shared" si="31"/>
        <v>4.0522111825443297E-2</v>
      </c>
      <c r="AA49" s="1157">
        <f t="shared" si="31"/>
        <v>9.9198613818497039E-2</v>
      </c>
      <c r="AB49" s="1157">
        <f t="shared" si="31"/>
        <v>5.648165569143937E-2</v>
      </c>
      <c r="AC49" s="1157">
        <f t="shared" si="31"/>
        <v>-3.1401772142513051E-2</v>
      </c>
      <c r="AD49" s="1157">
        <f t="shared" si="31"/>
        <v>7.1316203460933147E-2</v>
      </c>
      <c r="AE49" s="1157">
        <f t="shared" si="31"/>
        <v>0.13941473988439301</v>
      </c>
      <c r="AF49" s="1157">
        <f t="shared" si="31"/>
        <v>-4.7284841036256076E-2</v>
      </c>
      <c r="AG49" s="1157">
        <f t="shared" si="31"/>
        <v>-6.5686146904420983E-2</v>
      </c>
    </row>
    <row r="50" spans="20:33" ht="15" thickBot="1">
      <c r="U50" s="1118"/>
      <c r="V50" s="1118"/>
      <c r="W50" s="1118"/>
      <c r="X50" s="1118"/>
      <c r="Y50" s="1118"/>
      <c r="Z50" s="1118"/>
      <c r="AA50" s="1118"/>
      <c r="AB50" s="1118"/>
      <c r="AC50" s="1118"/>
      <c r="AD50" s="1118"/>
      <c r="AE50" s="1118"/>
      <c r="AF50" s="1118"/>
      <c r="AG50" s="1118"/>
    </row>
    <row r="51" spans="20:33">
      <c r="U51" s="349"/>
      <c r="V51" s="565" t="s">
        <v>580</v>
      </c>
      <c r="W51" s="336"/>
      <c r="X51" s="336" t="s">
        <v>33</v>
      </c>
      <c r="Y51" s="336"/>
      <c r="Z51" s="336"/>
      <c r="AA51" s="336"/>
      <c r="AB51" s="336"/>
      <c r="AC51" s="336"/>
      <c r="AD51" s="336"/>
      <c r="AE51" s="336"/>
      <c r="AF51" s="336"/>
      <c r="AG51" s="337"/>
    </row>
    <row r="52" spans="20:33">
      <c r="T52" s="703"/>
      <c r="U52" s="566"/>
      <c r="V52" s="341" t="s">
        <v>36</v>
      </c>
      <c r="W52" s="341" t="s">
        <v>187</v>
      </c>
      <c r="X52" s="341" t="s">
        <v>546</v>
      </c>
      <c r="Y52" s="341" t="s">
        <v>188</v>
      </c>
      <c r="Z52" s="341" t="s">
        <v>189</v>
      </c>
      <c r="AA52" s="341" t="s">
        <v>180</v>
      </c>
      <c r="AB52" s="341" t="s">
        <v>42</v>
      </c>
      <c r="AC52" s="341" t="s">
        <v>43</v>
      </c>
      <c r="AD52" s="341" t="s">
        <v>44</v>
      </c>
      <c r="AE52" s="341" t="s">
        <v>45</v>
      </c>
      <c r="AF52" s="341" t="s">
        <v>46</v>
      </c>
      <c r="AG52" s="342" t="s">
        <v>47</v>
      </c>
    </row>
    <row r="53" spans="20:33" ht="69.599999999999994" thickBot="1">
      <c r="T53" s="703"/>
      <c r="U53" s="566"/>
      <c r="V53" s="1026" t="s">
        <v>602</v>
      </c>
      <c r="W53" s="1026" t="s">
        <v>733</v>
      </c>
      <c r="X53" s="1026" t="s">
        <v>735</v>
      </c>
      <c r="Y53" s="1026" t="s">
        <v>735</v>
      </c>
      <c r="Z53" s="5634" t="s">
        <v>862</v>
      </c>
      <c r="AA53" s="5634"/>
      <c r="AB53" s="5634"/>
      <c r="AC53" s="5634"/>
      <c r="AD53" s="5634"/>
      <c r="AE53" s="5634"/>
      <c r="AF53" s="5634"/>
      <c r="AG53" s="5635"/>
    </row>
    <row r="54" spans="20:33" ht="16.2" thickBot="1">
      <c r="U54" s="1110"/>
      <c r="V54" s="1389"/>
      <c r="W54" s="1124"/>
      <c r="X54" s="1124"/>
      <c r="Y54" s="1124"/>
      <c r="Z54" s="1124"/>
      <c r="AA54" s="1124"/>
      <c r="AB54" s="1124"/>
      <c r="AC54" s="1124"/>
      <c r="AD54" s="1124"/>
      <c r="AE54" s="1124"/>
      <c r="AF54" s="1124"/>
      <c r="AG54" s="1390"/>
    </row>
    <row r="55" spans="20:33" ht="16.2" thickBot="1">
      <c r="U55" s="1110" t="s">
        <v>865</v>
      </c>
      <c r="V55" s="1389">
        <v>45.260970984259437</v>
      </c>
      <c r="W55" s="1124">
        <v>49.817674947847522</v>
      </c>
      <c r="X55" s="1124">
        <v>50.3</v>
      </c>
      <c r="Y55" s="1124">
        <v>48.1</v>
      </c>
      <c r="Z55" s="1124">
        <f t="shared" ref="Z55:AG55" si="32">AVERAGE(Z56,Z59,Z61)</f>
        <v>42.774999999999999</v>
      </c>
      <c r="AA55" s="1124">
        <f t="shared" si="32"/>
        <v>46.169999999999995</v>
      </c>
      <c r="AB55" s="1124">
        <f t="shared" si="32"/>
        <v>44.291666666666664</v>
      </c>
      <c r="AC55" s="1124">
        <f t="shared" si="32"/>
        <v>44.955000000000005</v>
      </c>
      <c r="AD55" s="1124">
        <f t="shared" si="32"/>
        <v>44.49666666666667</v>
      </c>
      <c r="AE55" s="1124">
        <f t="shared" si="32"/>
        <v>46.133333333333333</v>
      </c>
      <c r="AF55" s="1124">
        <f t="shared" si="32"/>
        <v>51.531666666666666</v>
      </c>
      <c r="AG55" s="1390">
        <f t="shared" si="32"/>
        <v>38.414999999999999</v>
      </c>
    </row>
    <row r="56" spans="20:33">
      <c r="U56" s="1130" t="s">
        <v>921</v>
      </c>
      <c r="V56" s="1391"/>
      <c r="W56" s="1131"/>
      <c r="X56" s="1131"/>
      <c r="Y56" s="1131"/>
      <c r="Z56" s="1131">
        <f>AVERAGE(Z57:Z58)</f>
        <v>55.325000000000003</v>
      </c>
      <c r="AA56" s="1131">
        <f t="shared" ref="AA56:AG56" si="33">AVERAGE(AA57:AA58)</f>
        <v>57.510000000000005</v>
      </c>
      <c r="AB56" s="1131">
        <f t="shared" si="33"/>
        <v>55.875</v>
      </c>
      <c r="AC56" s="1131">
        <f t="shared" si="33"/>
        <v>48.864999999999995</v>
      </c>
      <c r="AD56" s="1131">
        <f t="shared" si="33"/>
        <v>57.489999999999995</v>
      </c>
      <c r="AE56" s="1131">
        <f t="shared" si="33"/>
        <v>56.4</v>
      </c>
      <c r="AF56" s="1131">
        <f t="shared" si="33"/>
        <v>66.594999999999999</v>
      </c>
      <c r="AG56" s="1392">
        <f t="shared" si="33"/>
        <v>48.245000000000005</v>
      </c>
    </row>
    <row r="57" spans="20:33" ht="15.6">
      <c r="U57" s="1111" t="s">
        <v>915</v>
      </c>
      <c r="V57" s="1393">
        <v>47</v>
      </c>
      <c r="W57" s="1123">
        <v>58</v>
      </c>
      <c r="X57" s="1123">
        <v>63</v>
      </c>
      <c r="Y57" s="1123">
        <v>60</v>
      </c>
      <c r="Z57" s="1123">
        <v>57</v>
      </c>
      <c r="AA57" s="1123">
        <v>56</v>
      </c>
      <c r="AB57" s="1123">
        <v>55</v>
      </c>
      <c r="AC57" s="1123">
        <v>44</v>
      </c>
      <c r="AD57" s="1123">
        <v>58</v>
      </c>
      <c r="AE57" s="1123">
        <v>55</v>
      </c>
      <c r="AF57" s="1123">
        <v>69</v>
      </c>
      <c r="AG57" s="1362">
        <v>51</v>
      </c>
    </row>
    <row r="58" spans="20:33" ht="15.6">
      <c r="T58" s="742" t="s">
        <v>1073</v>
      </c>
      <c r="U58" s="1119" t="s">
        <v>908</v>
      </c>
      <c r="V58" s="1394">
        <v>49.83</v>
      </c>
      <c r="W58" s="1120">
        <v>57.01</v>
      </c>
      <c r="X58" s="1114">
        <v>59.03</v>
      </c>
      <c r="Y58" s="1114">
        <v>54.68</v>
      </c>
      <c r="Z58" s="1114">
        <v>53.65</v>
      </c>
      <c r="AA58" s="1114">
        <v>59.02</v>
      </c>
      <c r="AB58" s="1114">
        <v>56.75</v>
      </c>
      <c r="AC58" s="1114">
        <v>53.73</v>
      </c>
      <c r="AD58" s="1114">
        <v>56.98</v>
      </c>
      <c r="AE58" s="1114">
        <v>57.8</v>
      </c>
      <c r="AF58" s="1114">
        <v>64.19</v>
      </c>
      <c r="AG58" s="1352">
        <v>45.49</v>
      </c>
    </row>
    <row r="59" spans="20:33" ht="15.6">
      <c r="U59" s="1164" t="s">
        <v>919</v>
      </c>
      <c r="V59" s="1395">
        <v>39</v>
      </c>
      <c r="W59" s="1165">
        <v>52</v>
      </c>
      <c r="X59" s="1165">
        <v>55</v>
      </c>
      <c r="Y59" s="1165">
        <v>51</v>
      </c>
      <c r="Z59" s="1165">
        <v>48</v>
      </c>
      <c r="AA59" s="1165">
        <v>54</v>
      </c>
      <c r="AB59" s="1165">
        <v>48</v>
      </c>
      <c r="AC59" s="1165">
        <v>55</v>
      </c>
      <c r="AD59" s="1165">
        <v>48</v>
      </c>
      <c r="AE59" s="1165">
        <v>57</v>
      </c>
      <c r="AF59" s="1165">
        <v>58</v>
      </c>
      <c r="AG59" s="1363">
        <v>43</v>
      </c>
    </row>
    <row r="60" spans="20:33" ht="15.6">
      <c r="U60" s="1162" t="s">
        <v>1018</v>
      </c>
      <c r="V60" s="1396">
        <v>45.271580188679259</v>
      </c>
      <c r="W60" s="1172">
        <v>50.421108490566027</v>
      </c>
      <c r="X60" s="1173">
        <v>51.933741745283008</v>
      </c>
      <c r="Y60" s="1173">
        <v>53.491753997641496</v>
      </c>
      <c r="Z60" s="1388">
        <v>55.096506617570739</v>
      </c>
      <c r="AA60" s="1388">
        <v>56.749401816097858</v>
      </c>
      <c r="AB60" s="1388">
        <v>58.451883870580794</v>
      </c>
      <c r="AC60" s="1388">
        <v>60.205440386698214</v>
      </c>
      <c r="AD60" s="1388">
        <v>62.01160359829916</v>
      </c>
      <c r="AE60" s="1388">
        <v>63.871951706248133</v>
      </c>
      <c r="AF60" s="1388">
        <v>65.788110257435577</v>
      </c>
      <c r="AG60" s="1397">
        <v>67.761753565158642</v>
      </c>
    </row>
    <row r="61" spans="20:33" ht="15.6">
      <c r="T61" s="742" t="s">
        <v>1073</v>
      </c>
      <c r="U61" s="1164" t="s">
        <v>920</v>
      </c>
      <c r="V61" s="1395">
        <v>26</v>
      </c>
      <c r="W61" s="1165">
        <v>27</v>
      </c>
      <c r="X61" s="1165">
        <v>28</v>
      </c>
      <c r="Y61" s="1165">
        <v>32</v>
      </c>
      <c r="Z61" s="1165">
        <v>25</v>
      </c>
      <c r="AA61" s="1165">
        <v>27</v>
      </c>
      <c r="AB61" s="1165">
        <v>29</v>
      </c>
      <c r="AC61" s="1165">
        <v>31</v>
      </c>
      <c r="AD61" s="1165">
        <v>28</v>
      </c>
      <c r="AE61" s="1165">
        <v>25</v>
      </c>
      <c r="AF61" s="1165">
        <v>30</v>
      </c>
      <c r="AG61" s="1363">
        <v>24</v>
      </c>
    </row>
    <row r="62" spans="20:33" ht="16.2" thickBot="1">
      <c r="U62" s="1162" t="s">
        <v>1018</v>
      </c>
      <c r="V62" s="1398">
        <v>37.58725888324873</v>
      </c>
      <c r="W62" s="1399">
        <v>37.740862944162444</v>
      </c>
      <c r="X62" s="1400">
        <v>38.873088832487319</v>
      </c>
      <c r="Y62" s="1400">
        <v>40.039281497461936</v>
      </c>
      <c r="Z62" s="1400">
        <v>41.24045994238579</v>
      </c>
      <c r="AA62" s="1400">
        <v>42.477673740657366</v>
      </c>
      <c r="AB62" s="1400">
        <v>43.752003952877089</v>
      </c>
      <c r="AC62" s="1400">
        <v>45.064564071463401</v>
      </c>
      <c r="AD62" s="1400">
        <v>46.416500993607301</v>
      </c>
      <c r="AE62" s="1400">
        <v>47.808996023415517</v>
      </c>
      <c r="AF62" s="1400">
        <v>49.243265904117983</v>
      </c>
      <c r="AG62" s="1401">
        <v>50.720563881241524</v>
      </c>
    </row>
    <row r="63" spans="20:33" ht="15" thickBot="1">
      <c r="T63" s="742" t="s">
        <v>1073</v>
      </c>
      <c r="U63" s="874"/>
      <c r="V63" s="875">
        <f>V55/V68-1</f>
        <v>2.538205966935525E-2</v>
      </c>
      <c r="W63" s="876">
        <f t="shared" ref="W63:AG63" si="34">IF((W55/W68-1)=-100%,"",W55/W68-1)</f>
        <v>9.5278355054263963E-2</v>
      </c>
      <c r="X63" s="876">
        <f t="shared" si="34"/>
        <v>9.3419422076916003E-2</v>
      </c>
      <c r="Y63" s="876">
        <f t="shared" si="34"/>
        <v>7.6163009310403984E-2</v>
      </c>
      <c r="Z63" s="876">
        <f t="shared" si="34"/>
        <v>-1.7320453563992366E-2</v>
      </c>
      <c r="AA63" s="876">
        <f t="shared" si="34"/>
        <v>-3.501194217962289E-2</v>
      </c>
      <c r="AB63" s="876">
        <f t="shared" si="34"/>
        <v>-3.6265025257740668E-2</v>
      </c>
      <c r="AC63" s="876">
        <f t="shared" si="34"/>
        <v>-3.7047509212532193E-3</v>
      </c>
      <c r="AD63" s="876">
        <f t="shared" si="34"/>
        <v>-6.9238944709239081E-2</v>
      </c>
      <c r="AE63" s="876">
        <f t="shared" si="34"/>
        <v>-0.2186150084950278</v>
      </c>
      <c r="AF63" s="876">
        <f t="shared" si="34"/>
        <v>6.4040195161393143E-2</v>
      </c>
      <c r="AG63" s="876">
        <f t="shared" si="34"/>
        <v>-4.1967926010092693E-2</v>
      </c>
    </row>
    <row r="64" spans="20:33" ht="15" thickBot="1">
      <c r="U64" s="874"/>
      <c r="V64" s="877"/>
      <c r="W64" s="877"/>
      <c r="X64" s="877"/>
      <c r="Y64" s="877"/>
      <c r="Z64" s="1121"/>
      <c r="AA64" s="1122"/>
      <c r="AB64" s="1122"/>
      <c r="AC64" s="877"/>
      <c r="AD64" s="877"/>
      <c r="AE64" s="877"/>
      <c r="AF64" s="877"/>
      <c r="AG64" s="877"/>
    </row>
    <row r="65" spans="20:33">
      <c r="U65" s="561"/>
      <c r="V65" s="554" t="s">
        <v>531</v>
      </c>
      <c r="W65" s="555"/>
      <c r="X65" s="555" t="s">
        <v>33</v>
      </c>
      <c r="Y65" s="555"/>
      <c r="Z65" s="555"/>
      <c r="AA65" s="555"/>
      <c r="AB65" s="555"/>
      <c r="AC65" s="555"/>
      <c r="AD65" s="555"/>
      <c r="AE65" s="555"/>
      <c r="AF65" s="555"/>
      <c r="AG65" s="558"/>
    </row>
    <row r="66" spans="20:33">
      <c r="U66" s="471"/>
      <c r="V66" s="556" t="s">
        <v>36</v>
      </c>
      <c r="W66" s="557" t="s">
        <v>187</v>
      </c>
      <c r="X66" s="557" t="s">
        <v>546</v>
      </c>
      <c r="Y66" s="557" t="s">
        <v>188</v>
      </c>
      <c r="Z66" s="557" t="s">
        <v>189</v>
      </c>
      <c r="AA66" s="557" t="s">
        <v>180</v>
      </c>
      <c r="AB66" s="557" t="s">
        <v>42</v>
      </c>
      <c r="AC66" s="557" t="s">
        <v>43</v>
      </c>
      <c r="AD66" s="557" t="s">
        <v>44</v>
      </c>
      <c r="AE66" s="557" t="s">
        <v>45</v>
      </c>
      <c r="AF66" s="557" t="s">
        <v>46</v>
      </c>
      <c r="AG66" s="559" t="s">
        <v>47</v>
      </c>
    </row>
    <row r="67" spans="20:33" ht="15" thickBot="1">
      <c r="U67" s="472"/>
      <c r="V67" s="567"/>
      <c r="W67" s="567"/>
      <c r="X67" s="567"/>
      <c r="Y67" s="567"/>
      <c r="Z67" s="567"/>
      <c r="AA67" s="567"/>
      <c r="AB67" s="567"/>
      <c r="AC67" s="567"/>
      <c r="AD67" s="567"/>
      <c r="AE67" s="5628" t="s">
        <v>583</v>
      </c>
      <c r="AF67" s="5628"/>
      <c r="AG67" s="5628"/>
    </row>
    <row r="68" spans="20:33" ht="15" thickBot="1">
      <c r="U68" s="560" t="s">
        <v>151</v>
      </c>
      <c r="V68" s="878">
        <v>44.140591848129553</v>
      </c>
      <c r="W68" s="878">
        <v>45.484031267448337</v>
      </c>
      <c r="X68" s="878">
        <v>46.00247533966126</v>
      </c>
      <c r="Y68" s="879">
        <v>44.69583100688628</v>
      </c>
      <c r="Z68" s="879">
        <v>43.528941001302826</v>
      </c>
      <c r="AA68" s="878">
        <v>47.845151684347663</v>
      </c>
      <c r="AB68" s="878">
        <v>45.958347292015631</v>
      </c>
      <c r="AC68" s="878">
        <v>45.12216638749301</v>
      </c>
      <c r="AD68" s="878">
        <v>47.806756002233392</v>
      </c>
      <c r="AE68" s="880">
        <v>59.040465116279073</v>
      </c>
      <c r="AF68" s="878">
        <v>48.430187976921644</v>
      </c>
      <c r="AG68" s="881">
        <v>40.097822445561143</v>
      </c>
    </row>
    <row r="69" spans="20:33">
      <c r="U69" s="562" t="s">
        <v>144</v>
      </c>
      <c r="V69" s="882">
        <v>51.558406561218504</v>
      </c>
      <c r="W69" s="882">
        <v>55.830990041007617</v>
      </c>
      <c r="X69" s="882">
        <v>54.512829525483305</v>
      </c>
      <c r="Y69" s="882">
        <v>57.521675454012886</v>
      </c>
      <c r="Z69" s="882">
        <v>57.359988283538371</v>
      </c>
      <c r="AA69" s="882">
        <v>60.261921499707086</v>
      </c>
      <c r="AB69" s="882">
        <v>53.324956063268885</v>
      </c>
      <c r="AC69" s="882">
        <v>50.747275922671356</v>
      </c>
      <c r="AD69" s="882">
        <v>57.149326303456355</v>
      </c>
      <c r="AE69" s="882">
        <v>70.874985354422961</v>
      </c>
      <c r="AF69" s="882">
        <v>62.512536613942586</v>
      </c>
      <c r="AG69" s="883">
        <v>43.413708260105452</v>
      </c>
    </row>
    <row r="70" spans="20:33">
      <c r="U70" s="562" t="s">
        <v>145</v>
      </c>
      <c r="V70" s="882">
        <v>43.926650943396218</v>
      </c>
      <c r="W70" s="882">
        <v>44.932134433962268</v>
      </c>
      <c r="X70" s="882">
        <v>46.1502358490566</v>
      </c>
      <c r="Y70" s="882">
        <v>45.307488207547166</v>
      </c>
      <c r="Z70" s="882">
        <v>43.315271226415092</v>
      </c>
      <c r="AA70" s="882">
        <v>50.526709905660375</v>
      </c>
      <c r="AB70" s="882">
        <v>51.207429245283016</v>
      </c>
      <c r="AC70" s="882">
        <v>51.081014150943389</v>
      </c>
      <c r="AD70" s="882">
        <v>48.948761792452828</v>
      </c>
      <c r="AE70" s="882">
        <v>62.996937573616016</v>
      </c>
      <c r="AF70" s="882">
        <v>48.532783018867924</v>
      </c>
      <c r="AG70" s="883">
        <v>42.145990566037732</v>
      </c>
    </row>
    <row r="71" spans="20:33" ht="15" thickBot="1">
      <c r="U71" s="563" t="s">
        <v>569</v>
      </c>
      <c r="V71" s="884">
        <v>37.897258883248718</v>
      </c>
      <c r="W71" s="884">
        <v>36.99355329949239</v>
      </c>
      <c r="X71" s="884">
        <v>38.501065989847724</v>
      </c>
      <c r="Y71" s="884">
        <v>33.05568527918782</v>
      </c>
      <c r="Z71" s="884">
        <v>31.728324873096447</v>
      </c>
      <c r="AA71" s="884">
        <v>34.777461928934009</v>
      </c>
      <c r="AB71" s="884">
        <v>35.056192893401018</v>
      </c>
      <c r="AC71" s="884">
        <v>35.117969543147211</v>
      </c>
      <c r="AD71" s="884">
        <v>38.728274111675127</v>
      </c>
      <c r="AE71" s="884">
        <v>45.375685279187806</v>
      </c>
      <c r="AF71" s="884">
        <v>36.139543147208123</v>
      </c>
      <c r="AG71" s="885">
        <v>35.461319796954314</v>
      </c>
    </row>
    <row r="72" spans="20:33" ht="15" thickBot="1">
      <c r="T72" s="703"/>
      <c r="U72" s="886"/>
      <c r="V72" s="887">
        <f t="shared" ref="V72:AG72" si="35">V68/V84-1</f>
        <v>-0.17327766995714788</v>
      </c>
      <c r="W72" s="888">
        <f t="shared" si="35"/>
        <v>-0.29142710384735693</v>
      </c>
      <c r="X72" s="888">
        <f t="shared" si="35"/>
        <v>-0.23201209783537124</v>
      </c>
      <c r="Y72" s="888">
        <f t="shared" si="35"/>
        <v>-0.2343940557602413</v>
      </c>
      <c r="Z72" s="888">
        <f t="shared" si="35"/>
        <v>-0.29050188469512439</v>
      </c>
      <c r="AA72" s="888">
        <f t="shared" si="35"/>
        <v>-0.22832383997511552</v>
      </c>
      <c r="AB72" s="888">
        <f t="shared" si="35"/>
        <v>-0.25513213465128637</v>
      </c>
      <c r="AC72" s="888">
        <f t="shared" si="35"/>
        <v>-0.27297261490921521</v>
      </c>
      <c r="AD72" s="888">
        <f t="shared" si="35"/>
        <v>-0.23174217742631897</v>
      </c>
      <c r="AE72" s="888">
        <f t="shared" si="35"/>
        <v>-6.3222977996115981E-2</v>
      </c>
      <c r="AF72" s="888">
        <f t="shared" si="35"/>
        <v>-0.27203195208006881</v>
      </c>
      <c r="AG72" s="888">
        <f t="shared" si="35"/>
        <v>-0.30860506510162089</v>
      </c>
    </row>
    <row r="73" spans="20:33">
      <c r="T73" s="742" t="s">
        <v>1073</v>
      </c>
      <c r="V73" s="169" t="s">
        <v>315</v>
      </c>
      <c r="W73" s="170"/>
      <c r="X73" s="170" t="s">
        <v>33</v>
      </c>
      <c r="Y73" s="170"/>
      <c r="Z73" s="170"/>
      <c r="AA73" s="170"/>
      <c r="AB73" s="170"/>
      <c r="AC73" s="170"/>
      <c r="AD73" s="170"/>
      <c r="AE73" s="170"/>
      <c r="AF73" s="170"/>
      <c r="AG73" s="171"/>
    </row>
    <row r="74" spans="20:33" ht="15" thickBot="1">
      <c r="T74" s="703"/>
      <c r="V74" s="473" t="s">
        <v>36</v>
      </c>
      <c r="W74" s="474" t="s">
        <v>37</v>
      </c>
      <c r="X74" s="474" t="s">
        <v>38</v>
      </c>
      <c r="Y74" s="474" t="s">
        <v>39</v>
      </c>
      <c r="Z74" s="474" t="s">
        <v>40</v>
      </c>
      <c r="AA74" s="474" t="s">
        <v>41</v>
      </c>
      <c r="AB74" s="474" t="s">
        <v>42</v>
      </c>
      <c r="AC74" s="474" t="s">
        <v>43</v>
      </c>
      <c r="AD74" s="474" t="s">
        <v>44</v>
      </c>
      <c r="AE74" s="474" t="s">
        <v>45</v>
      </c>
      <c r="AF74" s="474" t="s">
        <v>46</v>
      </c>
      <c r="AG74" s="474" t="s">
        <v>47</v>
      </c>
    </row>
    <row r="75" spans="20:33" ht="15" thickBot="1">
      <c r="T75" s="742" t="s">
        <v>1073</v>
      </c>
      <c r="U75" s="338" t="s">
        <v>151</v>
      </c>
      <c r="V75" s="889">
        <v>51.627660052414825</v>
      </c>
      <c r="W75" s="890">
        <v>51.647940846125053</v>
      </c>
      <c r="X75" s="891">
        <v>57.482497192062887</v>
      </c>
      <c r="Y75" s="891">
        <v>53.048152377386764</v>
      </c>
      <c r="Z75" s="891">
        <v>54.241388992886556</v>
      </c>
      <c r="AA75" s="890">
        <v>55.588920082350739</v>
      </c>
      <c r="AB75" s="891">
        <v>54.83994010855325</v>
      </c>
      <c r="AC75" s="892">
        <v>48.290715777482454</v>
      </c>
      <c r="AD75" s="892">
        <v>50.944218720334156</v>
      </c>
      <c r="AE75" s="891">
        <v>54.332618188722243</v>
      </c>
      <c r="AF75" s="891">
        <v>55.251518602885348</v>
      </c>
      <c r="AG75" s="891">
        <v>44.372454976303317</v>
      </c>
    </row>
    <row r="76" spans="20:33">
      <c r="T76" s="703"/>
      <c r="U76" s="339" t="s">
        <v>144</v>
      </c>
      <c r="V76" s="893">
        <v>63.923164713140032</v>
      </c>
      <c r="W76" s="894">
        <v>69.016594694632943</v>
      </c>
      <c r="X76" s="895">
        <v>71.136952498457745</v>
      </c>
      <c r="Y76" s="895">
        <v>64.16826650215917</v>
      </c>
      <c r="Z76" s="895">
        <v>68.897038864898207</v>
      </c>
      <c r="AA76" s="894">
        <v>66.700678593460822</v>
      </c>
      <c r="AB76" s="896">
        <v>65.777606415792718</v>
      </c>
      <c r="AC76" s="896">
        <v>57.994040968342652</v>
      </c>
      <c r="AD76" s="896">
        <v>58.905462445685906</v>
      </c>
      <c r="AE76" s="896">
        <v>68.051769087523269</v>
      </c>
      <c r="AF76" s="896">
        <v>72.682805710738677</v>
      </c>
      <c r="AG76" s="896">
        <v>51.006587942821618</v>
      </c>
    </row>
    <row r="77" spans="20:33">
      <c r="T77" s="742" t="s">
        <v>1073</v>
      </c>
      <c r="U77" s="339" t="s">
        <v>145</v>
      </c>
      <c r="V77" s="893">
        <v>53.596954545454537</v>
      </c>
      <c r="W77" s="894">
        <v>50.203693181818188</v>
      </c>
      <c r="X77" s="895">
        <v>60.320170454545455</v>
      </c>
      <c r="Y77" s="895">
        <v>55.937823863636353</v>
      </c>
      <c r="Z77" s="895">
        <v>55.730965909090912</v>
      </c>
      <c r="AA77" s="894">
        <v>60.893838326738269</v>
      </c>
      <c r="AB77" s="896">
        <v>62.101921989824746</v>
      </c>
      <c r="AC77" s="896">
        <v>52.804610951008648</v>
      </c>
      <c r="AD77" s="896">
        <v>54.020057636887607</v>
      </c>
      <c r="AE77" s="896">
        <v>56.422363112391928</v>
      </c>
      <c r="AF77" s="896">
        <v>55.888888888888886</v>
      </c>
      <c r="AG77" s="896">
        <v>46.219026047565109</v>
      </c>
    </row>
    <row r="78" spans="20:33" ht="15" thickBot="1">
      <c r="T78" s="703"/>
      <c r="U78" s="475" t="s">
        <v>569</v>
      </c>
      <c r="V78" s="897">
        <v>39.696517083120852</v>
      </c>
      <c r="W78" s="898">
        <v>38.586894441611427</v>
      </c>
      <c r="X78" s="899">
        <v>43.64864864864866</v>
      </c>
      <c r="Y78" s="899">
        <v>41.262570117287098</v>
      </c>
      <c r="Z78" s="899">
        <v>40.789852116267213</v>
      </c>
      <c r="AA78" s="898">
        <v>41.560983102918584</v>
      </c>
      <c r="AB78" s="900">
        <v>39.183819764464921</v>
      </c>
      <c r="AC78" s="900">
        <v>36.076418532014564</v>
      </c>
      <c r="AD78" s="900">
        <v>41.489692868297759</v>
      </c>
      <c r="AE78" s="900">
        <v>40.939979177511702</v>
      </c>
      <c r="AF78" s="900">
        <v>39.823032223983098</v>
      </c>
      <c r="AG78" s="900">
        <v>37.038052631578942</v>
      </c>
    </row>
    <row r="79" spans="20:33" ht="15" thickBot="1">
      <c r="U79" s="901"/>
      <c r="V79" s="887">
        <f t="shared" ref="V79:AG79" si="36">V75/V91-1</f>
        <v>-1.8790759984439354E-2</v>
      </c>
      <c r="W79" s="888">
        <f t="shared" si="36"/>
        <v>-0.11925039936124726</v>
      </c>
      <c r="X79" s="888">
        <f t="shared" si="36"/>
        <v>-7.9692211064975371E-2</v>
      </c>
      <c r="Y79" s="888">
        <f t="shared" si="36"/>
        <v>-9.2501792800918636E-2</v>
      </c>
      <c r="Z79" s="888">
        <f t="shared" si="36"/>
        <v>-9.7846498197794674E-2</v>
      </c>
      <c r="AA79" s="888">
        <f t="shared" si="36"/>
        <v>-0.12787335023390345</v>
      </c>
      <c r="AB79" s="888">
        <f t="shared" si="36"/>
        <v>-0.16538248179334591</v>
      </c>
      <c r="AC79" s="888">
        <f t="shared" si="36"/>
        <v>-0.24692790146461496</v>
      </c>
      <c r="AD79" s="888">
        <f t="shared" si="36"/>
        <v>-0.25421836470546555</v>
      </c>
      <c r="AE79" s="888">
        <f t="shared" si="36"/>
        <v>-0.15181671961766163</v>
      </c>
      <c r="AF79" s="888">
        <f t="shared" si="36"/>
        <v>-0.18058601020491949</v>
      </c>
      <c r="AG79" s="888">
        <f t="shared" si="36"/>
        <v>-0.13451746235589235</v>
      </c>
    </row>
    <row r="80" spans="20:33">
      <c r="U80" s="902"/>
      <c r="V80" s="184" t="s">
        <v>316</v>
      </c>
      <c r="W80" s="185"/>
      <c r="X80" s="185" t="s">
        <v>33</v>
      </c>
      <c r="Y80" s="185"/>
      <c r="Z80" s="185"/>
      <c r="AA80" s="185"/>
      <c r="AB80" s="185"/>
      <c r="AC80" s="185"/>
      <c r="AD80" s="185"/>
      <c r="AE80" s="185"/>
      <c r="AF80" s="185"/>
      <c r="AG80" s="186"/>
    </row>
    <row r="81" spans="21:33" ht="15" thickBot="1">
      <c r="U81" s="902"/>
      <c r="V81" s="190" t="s">
        <v>36</v>
      </c>
      <c r="W81" s="191" t="s">
        <v>37</v>
      </c>
      <c r="X81" s="191" t="s">
        <v>38</v>
      </c>
      <c r="Y81" s="191" t="s">
        <v>39</v>
      </c>
      <c r="Z81" s="191" t="s">
        <v>40</v>
      </c>
      <c r="AA81" s="191" t="s">
        <v>41</v>
      </c>
      <c r="AB81" s="191" t="s">
        <v>42</v>
      </c>
      <c r="AC81" s="191" t="s">
        <v>43</v>
      </c>
      <c r="AD81" s="191" t="s">
        <v>44</v>
      </c>
      <c r="AE81" s="191" t="s">
        <v>45</v>
      </c>
      <c r="AF81" s="191" t="s">
        <v>46</v>
      </c>
      <c r="AG81" s="192" t="s">
        <v>47</v>
      </c>
    </row>
    <row r="82" spans="21:33" ht="15" thickBot="1">
      <c r="U82" s="193" t="s">
        <v>151</v>
      </c>
      <c r="V82" s="903">
        <v>51.883923850303461</v>
      </c>
      <c r="W82" s="904">
        <v>60.943820524320813</v>
      </c>
      <c r="X82" s="904">
        <v>57.5</v>
      </c>
      <c r="Y82" s="904">
        <v>54.264872468117026</v>
      </c>
      <c r="Z82" s="904">
        <v>55.715435108777179</v>
      </c>
      <c r="AA82" s="904">
        <v>56.167516879219804</v>
      </c>
      <c r="AB82" s="904">
        <v>57.6</v>
      </c>
      <c r="AC82" s="904">
        <v>55.727789236827292</v>
      </c>
      <c r="AD82" s="904">
        <v>60.140119872635324</v>
      </c>
      <c r="AE82" s="904">
        <v>58.802678404195518</v>
      </c>
      <c r="AF82" s="904">
        <v>63.233126169973787</v>
      </c>
      <c r="AG82" s="905">
        <v>50.994687383002628</v>
      </c>
    </row>
    <row r="83" spans="21:33">
      <c r="U83" s="194" t="s">
        <v>144</v>
      </c>
      <c r="V83" s="906">
        <v>63.479333746132014</v>
      </c>
      <c r="W83" s="907">
        <v>80.314179959259718</v>
      </c>
      <c r="X83" s="907">
        <v>73.400000000000006</v>
      </c>
      <c r="Y83" s="907">
        <v>71.880259099321407</v>
      </c>
      <c r="Z83" s="907">
        <v>71.210055521283152</v>
      </c>
      <c r="AA83" s="907">
        <v>70.879333744602093</v>
      </c>
      <c r="AB83" s="907">
        <v>73.7</v>
      </c>
      <c r="AC83" s="907">
        <v>67.403269586674895</v>
      </c>
      <c r="AD83" s="907">
        <v>79.765638494756317</v>
      </c>
      <c r="AE83" s="907">
        <v>74.366440468846392</v>
      </c>
      <c r="AF83" s="907">
        <v>80.694768661320168</v>
      </c>
      <c r="AG83" s="908">
        <v>56.046434299814933</v>
      </c>
    </row>
    <row r="84" spans="21:33">
      <c r="U84" s="194" t="s">
        <v>145</v>
      </c>
      <c r="V84" s="909">
        <v>53.392282080782287</v>
      </c>
      <c r="W84" s="910">
        <v>64.191040208303448</v>
      </c>
      <c r="X84" s="910">
        <v>59.9</v>
      </c>
      <c r="Y84" s="910">
        <v>58.379681274900399</v>
      </c>
      <c r="Z84" s="910">
        <v>61.351735913488902</v>
      </c>
      <c r="AA84" s="910">
        <v>62.00159362549801</v>
      </c>
      <c r="AB84" s="910">
        <v>61.7</v>
      </c>
      <c r="AC84" s="910">
        <v>62.063915765509371</v>
      </c>
      <c r="AD84" s="910">
        <v>62.227490039840639</v>
      </c>
      <c r="AE84" s="910">
        <v>63.025099601593645</v>
      </c>
      <c r="AF84" s="910">
        <v>66.527903409090911</v>
      </c>
      <c r="AG84" s="911">
        <v>57.995539772727291</v>
      </c>
    </row>
    <row r="85" spans="21:33" ht="15" thickBot="1">
      <c r="U85" s="195" t="s">
        <v>146</v>
      </c>
      <c r="V85" s="912">
        <v>41.007288296211755</v>
      </c>
      <c r="W85" s="913">
        <v>42.120784483927054</v>
      </c>
      <c r="X85" s="913">
        <v>42.3</v>
      </c>
      <c r="Y85" s="913">
        <v>35.951535312180141</v>
      </c>
      <c r="Z85" s="913">
        <v>37.793346980552712</v>
      </c>
      <c r="AA85" s="913">
        <v>38.716990788126921</v>
      </c>
      <c r="AB85" s="913">
        <v>40.700000000000003</v>
      </c>
      <c r="AC85" s="913">
        <v>40.352583120204606</v>
      </c>
      <c r="AD85" s="913">
        <v>42.047067822539518</v>
      </c>
      <c r="AE85" s="913">
        <v>42.154207037225916</v>
      </c>
      <c r="AF85" s="913">
        <v>45.841932687404395</v>
      </c>
      <c r="AG85" s="914">
        <v>40.535543090260077</v>
      </c>
    </row>
    <row r="86" spans="21:33" ht="15" thickBot="1">
      <c r="U86" s="901"/>
      <c r="V86" s="886"/>
      <c r="W86" s="886"/>
      <c r="X86" s="915"/>
      <c r="Y86" s="915"/>
      <c r="Z86" s="915"/>
      <c r="AA86" s="196"/>
      <c r="AB86" s="916"/>
      <c r="AC86" s="916"/>
      <c r="AD86" s="915"/>
      <c r="AE86" s="915"/>
      <c r="AF86" s="915"/>
      <c r="AG86" s="915"/>
    </row>
    <row r="87" spans="21:33">
      <c r="U87" s="902"/>
      <c r="V87" s="197" t="s">
        <v>317</v>
      </c>
      <c r="W87" s="198"/>
      <c r="X87" s="198" t="s">
        <v>33</v>
      </c>
      <c r="Y87" s="198"/>
      <c r="Z87" s="198"/>
      <c r="AA87" s="198"/>
      <c r="AB87" s="198"/>
      <c r="AC87" s="198"/>
      <c r="AD87" s="198"/>
      <c r="AE87" s="198"/>
      <c r="AF87" s="198"/>
      <c r="AG87" s="199"/>
    </row>
    <row r="88" spans="21:33" ht="15" thickBot="1">
      <c r="U88" s="902"/>
      <c r="V88" s="200" t="s">
        <v>36</v>
      </c>
      <c r="W88" s="201" t="s">
        <v>37</v>
      </c>
      <c r="X88" s="201" t="s">
        <v>38</v>
      </c>
      <c r="Y88" s="201" t="s">
        <v>39</v>
      </c>
      <c r="Z88" s="201" t="s">
        <v>40</v>
      </c>
      <c r="AA88" s="201" t="s">
        <v>41</v>
      </c>
      <c r="AB88" s="201" t="s">
        <v>42</v>
      </c>
      <c r="AC88" s="201" t="s">
        <v>43</v>
      </c>
      <c r="AD88" s="201" t="s">
        <v>44</v>
      </c>
      <c r="AE88" s="201" t="s">
        <v>45</v>
      </c>
      <c r="AF88" s="201" t="s">
        <v>46</v>
      </c>
      <c r="AG88" s="202" t="s">
        <v>47</v>
      </c>
    </row>
    <row r="89" spans="21:33" ht="15" thickBot="1">
      <c r="U89" s="203" t="s">
        <v>151</v>
      </c>
      <c r="V89" s="917">
        <v>51.517990776187105</v>
      </c>
      <c r="W89" s="918">
        <v>58.807323381825718</v>
      </c>
      <c r="X89" s="918">
        <v>60.827928595939248</v>
      </c>
      <c r="Y89" s="918">
        <v>57.747390920923969</v>
      </c>
      <c r="Z89" s="918">
        <v>56.524014066944922</v>
      </c>
      <c r="AA89" s="918">
        <v>59.499559914305905</v>
      </c>
      <c r="AB89" s="918">
        <v>59.641522979405501</v>
      </c>
      <c r="AC89" s="918">
        <v>56.017138599275704</v>
      </c>
      <c r="AD89" s="918">
        <v>62.131768504782805</v>
      </c>
      <c r="AE89" s="918">
        <v>60.530743713386741</v>
      </c>
      <c r="AF89" s="918">
        <v>62.385742672503326</v>
      </c>
      <c r="AG89" s="919">
        <v>50.787822701019572</v>
      </c>
    </row>
    <row r="90" spans="21:33">
      <c r="U90" s="204" t="s">
        <v>144</v>
      </c>
      <c r="V90" s="920">
        <v>64.50418897062923</v>
      </c>
      <c r="W90" s="921">
        <v>79.534238123954339</v>
      </c>
      <c r="X90" s="921">
        <v>80.095918488685996</v>
      </c>
      <c r="Y90" s="921">
        <v>74.86119678988895</v>
      </c>
      <c r="Z90" s="921">
        <v>71.329923784083903</v>
      </c>
      <c r="AA90" s="921">
        <v>75.899650422911776</v>
      </c>
      <c r="AB90" s="921">
        <v>74.261208733146219</v>
      </c>
      <c r="AC90" s="921">
        <v>64.583789377809993</v>
      </c>
      <c r="AD90" s="921">
        <v>76.216327368840211</v>
      </c>
      <c r="AE90" s="921">
        <v>74.382599350024662</v>
      </c>
      <c r="AF90" s="921">
        <v>77.569401601529918</v>
      </c>
      <c r="AG90" s="922">
        <v>63.75793516548427</v>
      </c>
    </row>
    <row r="91" spans="21:33">
      <c r="U91" s="204" t="s">
        <v>145</v>
      </c>
      <c r="V91" s="923">
        <v>52.616361472091398</v>
      </c>
      <c r="W91" s="924">
        <v>58.640890451347381</v>
      </c>
      <c r="X91" s="924">
        <v>62.460078990074976</v>
      </c>
      <c r="Y91" s="924">
        <v>58.455379808534857</v>
      </c>
      <c r="Z91" s="924">
        <v>60.12434567346925</v>
      </c>
      <c r="AA91" s="924">
        <v>63.739504001236092</v>
      </c>
      <c r="AB91" s="924">
        <v>65.706672712056232</v>
      </c>
      <c r="AC91" s="924">
        <v>64.124956788866328</v>
      </c>
      <c r="AD91" s="924">
        <v>68.309832676711807</v>
      </c>
      <c r="AE91" s="924">
        <v>64.057638773816137</v>
      </c>
      <c r="AF91" s="924">
        <v>67.428087988469272</v>
      </c>
      <c r="AG91" s="925">
        <v>51.26903553373549</v>
      </c>
    </row>
    <row r="92" spans="21:33" ht="15" thickBot="1">
      <c r="U92" s="205" t="s">
        <v>146</v>
      </c>
      <c r="V92" s="926">
        <v>39.904238977251275</v>
      </c>
      <c r="W92" s="927">
        <v>41.93081487895644</v>
      </c>
      <c r="X92" s="927">
        <v>43.594143216541021</v>
      </c>
      <c r="Y92" s="927">
        <v>43.08172914547113</v>
      </c>
      <c r="Z92" s="927">
        <v>41.252410366935145</v>
      </c>
      <c r="AA92" s="927">
        <v>42.365754812563331</v>
      </c>
      <c r="AB92" s="927">
        <v>42.391410922440727</v>
      </c>
      <c r="AC92" s="927">
        <v>41.700166683293816</v>
      </c>
      <c r="AD92" s="927">
        <v>45.016886186916913</v>
      </c>
      <c r="AE92" s="927">
        <v>45.988168774617016</v>
      </c>
      <c r="AF92" s="927">
        <v>45.388382303121588</v>
      </c>
      <c r="AG92" s="928">
        <v>39.704873026600808</v>
      </c>
    </row>
    <row r="93" spans="21:33">
      <c r="V93" s="915"/>
      <c r="W93" s="915"/>
      <c r="X93" s="915"/>
      <c r="Y93" s="915"/>
      <c r="Z93" s="915"/>
      <c r="AA93" s="929"/>
      <c r="AB93" s="929"/>
      <c r="AC93" s="929"/>
      <c r="AD93" s="915"/>
      <c r="AE93" s="915"/>
      <c r="AF93" s="915"/>
      <c r="AG93" s="915"/>
    </row>
    <row r="94" spans="21:33">
      <c r="V94" s="915"/>
      <c r="W94" s="915"/>
      <c r="X94" s="915"/>
      <c r="Y94" s="915"/>
      <c r="Z94" s="915"/>
      <c r="AA94" s="929"/>
      <c r="AB94" s="929"/>
      <c r="AC94" s="929"/>
      <c r="AD94" s="915"/>
      <c r="AE94" s="915"/>
      <c r="AF94" s="915"/>
      <c r="AG94" s="915"/>
    </row>
    <row r="95" spans="21:33">
      <c r="V95" s="915"/>
      <c r="W95" s="915"/>
      <c r="X95" s="915"/>
      <c r="Y95" s="915"/>
      <c r="Z95" s="915"/>
      <c r="AA95" s="929"/>
      <c r="AB95" s="929"/>
      <c r="AC95" s="929"/>
      <c r="AD95" s="915"/>
      <c r="AE95" s="915"/>
      <c r="AF95" s="915"/>
      <c r="AG95" s="915"/>
    </row>
    <row r="96" spans="21:33">
      <c r="V96" s="915"/>
      <c r="W96" s="915"/>
      <c r="X96" s="915"/>
      <c r="Y96" s="915"/>
      <c r="Z96" s="915"/>
      <c r="AA96" s="929"/>
      <c r="AB96" s="929"/>
      <c r="AC96" s="929"/>
      <c r="AD96" s="915"/>
      <c r="AE96" s="915"/>
      <c r="AF96" s="915"/>
      <c r="AG96" s="915"/>
    </row>
    <row r="97" spans="22:33">
      <c r="V97" s="915"/>
      <c r="W97" s="915"/>
      <c r="X97" s="915"/>
      <c r="Y97" s="915"/>
      <c r="Z97" s="915"/>
      <c r="AA97" s="929"/>
      <c r="AB97" s="929"/>
      <c r="AC97" s="929"/>
      <c r="AD97" s="915"/>
      <c r="AE97" s="915"/>
      <c r="AF97" s="915"/>
      <c r="AG97" s="915"/>
    </row>
    <row r="121" spans="21:33" ht="15" thickBot="1"/>
    <row r="122" spans="21:33" ht="15" thickBot="1">
      <c r="V122" s="930"/>
      <c r="W122" s="931"/>
      <c r="X122" s="931"/>
      <c r="Y122" s="931"/>
      <c r="Z122" s="931"/>
      <c r="AA122" s="932">
        <v>2012</v>
      </c>
      <c r="AB122" s="931"/>
      <c r="AC122" s="931"/>
      <c r="AD122" s="931"/>
      <c r="AE122" s="931"/>
      <c r="AF122" s="931"/>
      <c r="AG122" s="933"/>
    </row>
    <row r="123" spans="21:33" ht="15" thickBot="1">
      <c r="U123" s="677" t="s">
        <v>754</v>
      </c>
      <c r="V123" s="934" t="s">
        <v>36</v>
      </c>
      <c r="W123" s="935" t="s">
        <v>37</v>
      </c>
      <c r="X123" s="935" t="s">
        <v>38</v>
      </c>
      <c r="Y123" s="935" t="s">
        <v>39</v>
      </c>
      <c r="Z123" s="935" t="s">
        <v>40</v>
      </c>
      <c r="AA123" s="935" t="s">
        <v>41</v>
      </c>
      <c r="AB123" s="935" t="s">
        <v>42</v>
      </c>
      <c r="AC123" s="935" t="s">
        <v>43</v>
      </c>
      <c r="AD123" s="935" t="s">
        <v>44</v>
      </c>
      <c r="AE123" s="935" t="s">
        <v>45</v>
      </c>
      <c r="AF123" s="935" t="s">
        <v>46</v>
      </c>
      <c r="AG123" s="936" t="s">
        <v>47</v>
      </c>
    </row>
    <row r="124" spans="21:33" ht="15" thickBot="1">
      <c r="V124" s="937"/>
      <c r="W124" s="938"/>
      <c r="X124" s="938"/>
      <c r="Y124" s="938"/>
      <c r="Z124" s="938"/>
      <c r="AA124" s="938"/>
      <c r="AB124" s="938"/>
      <c r="AC124" s="938"/>
      <c r="AD124" s="938"/>
      <c r="AE124" s="938"/>
      <c r="AF124" s="938"/>
      <c r="AG124" s="939"/>
    </row>
    <row r="125" spans="21:33" ht="16.2" thickBot="1">
      <c r="U125" s="677" t="s">
        <v>151</v>
      </c>
      <c r="V125" s="940">
        <v>53.089875463470889</v>
      </c>
      <c r="W125" s="941">
        <v>55.87610303153771</v>
      </c>
      <c r="X125" s="941">
        <v>58.579753404123871</v>
      </c>
      <c r="Y125" s="941">
        <v>53.879183463947015</v>
      </c>
      <c r="Z125" s="941">
        <v>58.787717387036651</v>
      </c>
      <c r="AA125" s="941">
        <v>62.016859985606381</v>
      </c>
      <c r="AB125" s="941">
        <v>59.875153625024922</v>
      </c>
      <c r="AC125" s="941">
        <v>59.294727491619376</v>
      </c>
      <c r="AD125" s="941">
        <v>59.437947944190896</v>
      </c>
      <c r="AE125" s="941">
        <v>60.024214842291194</v>
      </c>
      <c r="AF125" s="941">
        <v>64.57437445092043</v>
      </c>
      <c r="AG125" s="942">
        <v>47.765906961560191</v>
      </c>
    </row>
    <row r="126" spans="21:33" ht="15.6">
      <c r="U126" s="678" t="s">
        <v>144</v>
      </c>
      <c r="V126" s="940">
        <v>68.951356232838961</v>
      </c>
      <c r="W126" s="941">
        <v>72.378673808491399</v>
      </c>
      <c r="X126" s="941">
        <v>77.877250978115853</v>
      </c>
      <c r="Y126" s="941">
        <v>67.982176955626983</v>
      </c>
      <c r="Z126" s="941">
        <v>78.131865876970096</v>
      </c>
      <c r="AA126" s="941">
        <v>80.292000821943248</v>
      </c>
      <c r="AB126" s="941">
        <v>74.957712284275132</v>
      </c>
      <c r="AC126" s="941">
        <v>76.840261883368285</v>
      </c>
      <c r="AD126" s="941">
        <v>76.000411269537324</v>
      </c>
      <c r="AE126" s="941">
        <v>79.490955401603955</v>
      </c>
      <c r="AF126" s="941">
        <v>85.827678389771748</v>
      </c>
      <c r="AG126" s="942">
        <v>58.283417246070321</v>
      </c>
    </row>
    <row r="127" spans="21:33" ht="15.6">
      <c r="U127" s="678" t="s">
        <v>145</v>
      </c>
      <c r="V127" s="940">
        <v>54.153923096839591</v>
      </c>
      <c r="W127" s="941">
        <v>58.820142701824686</v>
      </c>
      <c r="X127" s="941">
        <v>59.62452151612402</v>
      </c>
      <c r="Y127" s="941">
        <v>55.014907572976746</v>
      </c>
      <c r="Z127" s="941">
        <v>57.637486294759718</v>
      </c>
      <c r="AA127" s="941">
        <v>63.361160802404292</v>
      </c>
      <c r="AB127" s="941">
        <v>60.693160988628009</v>
      </c>
      <c r="AC127" s="941">
        <v>58.665457225764506</v>
      </c>
      <c r="AD127" s="941">
        <v>60.615114235690662</v>
      </c>
      <c r="AE127" s="941">
        <v>60.740404784960745</v>
      </c>
      <c r="AF127" s="941">
        <v>68.144893576127728</v>
      </c>
      <c r="AG127" s="942">
        <v>49.821418448132398</v>
      </c>
    </row>
    <row r="128" spans="21:33" ht="16.2" thickBot="1">
      <c r="U128" s="679" t="s">
        <v>146</v>
      </c>
      <c r="V128" s="940">
        <v>39.472948298842432</v>
      </c>
      <c r="W128" s="941">
        <v>40.137860697185111</v>
      </c>
      <c r="X128" s="941">
        <v>42.226645391596634</v>
      </c>
      <c r="Y128" s="941">
        <v>41.609722930406924</v>
      </c>
      <c r="Z128" s="941">
        <v>44.270764777222823</v>
      </c>
      <c r="AA128" s="941">
        <v>45.760666326518113</v>
      </c>
      <c r="AB128" s="941">
        <v>46.782364285452871</v>
      </c>
      <c r="AC128" s="941">
        <v>45.430924601441738</v>
      </c>
      <c r="AD128" s="941">
        <v>44.819317797292804</v>
      </c>
      <c r="AE128" s="941">
        <v>43.419289473100299</v>
      </c>
      <c r="AF128" s="941">
        <v>44.034110098535969</v>
      </c>
      <c r="AG128" s="942">
        <v>37.351701146580545</v>
      </c>
    </row>
    <row r="131" spans="21:33" ht="15" thickBot="1"/>
    <row r="132" spans="21:33" ht="15" thickBot="1">
      <c r="V132" s="943"/>
      <c r="W132" s="944"/>
      <c r="X132" s="944"/>
      <c r="Y132" s="944"/>
      <c r="Z132" s="944"/>
      <c r="AA132" s="944">
        <v>2011</v>
      </c>
      <c r="AB132" s="944"/>
      <c r="AC132" s="944"/>
      <c r="AD132" s="944"/>
      <c r="AE132" s="944"/>
      <c r="AF132" s="944"/>
      <c r="AG132" s="944"/>
    </row>
    <row r="133" spans="21:33" ht="15" thickBot="1">
      <c r="U133" s="680" t="s">
        <v>755</v>
      </c>
      <c r="V133" s="945" t="s">
        <v>36</v>
      </c>
      <c r="W133" s="946" t="s">
        <v>37</v>
      </c>
      <c r="X133" s="946" t="s">
        <v>38</v>
      </c>
      <c r="Y133" s="946" t="s">
        <v>39</v>
      </c>
      <c r="Z133" s="946" t="s">
        <v>40</v>
      </c>
      <c r="AA133" s="946" t="s">
        <v>41</v>
      </c>
      <c r="AB133" s="946" t="s">
        <v>42</v>
      </c>
      <c r="AC133" s="946" t="s">
        <v>43</v>
      </c>
      <c r="AD133" s="946" t="s">
        <v>44</v>
      </c>
      <c r="AE133" s="946" t="s">
        <v>45</v>
      </c>
      <c r="AF133" s="946" t="s">
        <v>46</v>
      </c>
      <c r="AG133" s="947" t="s">
        <v>47</v>
      </c>
    </row>
    <row r="134" spans="21:33" ht="15" thickBot="1">
      <c r="V134" s="948"/>
      <c r="W134" s="948"/>
      <c r="X134" s="948"/>
      <c r="Y134" s="948"/>
      <c r="Z134" s="948"/>
      <c r="AA134" s="948"/>
      <c r="AB134" s="948"/>
      <c r="AC134" s="948"/>
      <c r="AD134" s="948"/>
      <c r="AE134" s="948"/>
      <c r="AF134" s="948"/>
      <c r="AG134" s="948"/>
    </row>
    <row r="135" spans="21:33" ht="16.2" thickBot="1">
      <c r="U135" s="680" t="s">
        <v>151</v>
      </c>
      <c r="V135" s="949">
        <v>47.079084889906142</v>
      </c>
      <c r="W135" s="950">
        <v>54.159655752409741</v>
      </c>
      <c r="X135" s="950">
        <v>53.545023637071445</v>
      </c>
      <c r="Y135" s="950">
        <v>50.871468108548385</v>
      </c>
      <c r="Z135" s="950">
        <v>52.230783125112957</v>
      </c>
      <c r="AA135" s="950">
        <v>53.992405226685442</v>
      </c>
      <c r="AB135" s="950">
        <v>54.916567527829294</v>
      </c>
      <c r="AC135" s="950">
        <v>54.486169331981472</v>
      </c>
      <c r="AD135" s="950">
        <v>55.124541417875285</v>
      </c>
      <c r="AE135" s="950">
        <v>56.71759176175658</v>
      </c>
      <c r="AF135" s="950">
        <v>61.411019388666553</v>
      </c>
      <c r="AG135" s="951">
        <v>50.684609144756003</v>
      </c>
    </row>
    <row r="136" spans="21:33" ht="15.6">
      <c r="U136" s="681" t="s">
        <v>144</v>
      </c>
      <c r="V136" s="949">
        <v>57.206217530916611</v>
      </c>
      <c r="W136" s="950">
        <v>70.714740382590705</v>
      </c>
      <c r="X136" s="950">
        <v>71.604279173450024</v>
      </c>
      <c r="Y136" s="950">
        <v>64.841926586842774</v>
      </c>
      <c r="Z136" s="950">
        <v>68.477033326199873</v>
      </c>
      <c r="AA136" s="950">
        <v>70.176108635346893</v>
      </c>
      <c r="AB136" s="950">
        <v>70.086856531635888</v>
      </c>
      <c r="AC136" s="950">
        <v>71.084782654213882</v>
      </c>
      <c r="AD136" s="950">
        <v>72.679821770528321</v>
      </c>
      <c r="AE136" s="950">
        <v>72.996447712698924</v>
      </c>
      <c r="AF136" s="950">
        <v>82.005092296600893</v>
      </c>
      <c r="AG136" s="951">
        <v>61.070614567746659</v>
      </c>
    </row>
    <row r="137" spans="21:33" ht="15.6">
      <c r="U137" s="681" t="s">
        <v>145</v>
      </c>
      <c r="V137" s="949">
        <v>48.171651291523972</v>
      </c>
      <c r="W137" s="950">
        <v>54.852979443424388</v>
      </c>
      <c r="X137" s="950">
        <v>55.134457565877362</v>
      </c>
      <c r="Y137" s="950">
        <v>52.754503136692179</v>
      </c>
      <c r="Z137" s="950">
        <v>53.634173569362488</v>
      </c>
      <c r="AA137" s="950">
        <v>53.978951629452347</v>
      </c>
      <c r="AB137" s="950">
        <v>58.467986760534302</v>
      </c>
      <c r="AC137" s="950">
        <v>57.324167107310259</v>
      </c>
      <c r="AD137" s="950">
        <v>57.051204210310864</v>
      </c>
      <c r="AE137" s="950">
        <v>58.772385405189027</v>
      </c>
      <c r="AF137" s="950">
        <v>63.502285826320829</v>
      </c>
      <c r="AG137" s="951">
        <v>51.143555120506853</v>
      </c>
    </row>
    <row r="138" spans="21:33" ht="16.2" thickBot="1">
      <c r="U138" s="682" t="s">
        <v>146</v>
      </c>
      <c r="V138" s="949">
        <v>38.048395322087728</v>
      </c>
      <c r="W138" s="950">
        <v>40.314708239347254</v>
      </c>
      <c r="X138" s="950">
        <v>37.742428977003065</v>
      </c>
      <c r="Y138" s="950">
        <v>38.097909230040784</v>
      </c>
      <c r="Z138" s="950">
        <v>38.036880459337077</v>
      </c>
      <c r="AA138" s="950">
        <v>41.0385857568414</v>
      </c>
      <c r="AB138" s="950">
        <v>39.780559623063738</v>
      </c>
      <c r="AC138" s="950">
        <v>38.805086279868419</v>
      </c>
      <c r="AD138" s="950">
        <v>39.442461329573703</v>
      </c>
      <c r="AE138" s="950">
        <v>41.919034067229987</v>
      </c>
      <c r="AF138" s="950">
        <v>43.124256331904128</v>
      </c>
      <c r="AG138" s="951">
        <v>41.97167343804896</v>
      </c>
    </row>
    <row r="140" spans="21:33" ht="15" thickBot="1"/>
    <row r="141" spans="21:33" ht="15" thickBot="1">
      <c r="V141" s="952"/>
      <c r="W141" s="953"/>
      <c r="X141" s="953"/>
      <c r="Y141" s="953"/>
      <c r="Z141" s="953"/>
      <c r="AA141" s="953">
        <v>2010</v>
      </c>
      <c r="AB141" s="953"/>
      <c r="AC141" s="953"/>
      <c r="AD141" s="953"/>
      <c r="AE141" s="953"/>
      <c r="AF141" s="953"/>
      <c r="AG141" s="954"/>
    </row>
    <row r="142" spans="21:33" ht="15" thickBot="1">
      <c r="U142" s="683" t="s">
        <v>756</v>
      </c>
      <c r="V142" s="955" t="s">
        <v>36</v>
      </c>
      <c r="W142" s="948" t="s">
        <v>37</v>
      </c>
      <c r="X142" s="948" t="s">
        <v>38</v>
      </c>
      <c r="Y142" s="948" t="s">
        <v>39</v>
      </c>
      <c r="Z142" s="948" t="s">
        <v>40</v>
      </c>
      <c r="AA142" s="948" t="s">
        <v>41</v>
      </c>
      <c r="AB142" s="948" t="s">
        <v>42</v>
      </c>
      <c r="AC142" s="948" t="s">
        <v>43</v>
      </c>
      <c r="AD142" s="948" t="s">
        <v>44</v>
      </c>
      <c r="AE142" s="948" t="s">
        <v>45</v>
      </c>
      <c r="AF142" s="948" t="s">
        <v>46</v>
      </c>
      <c r="AG142" s="956" t="s">
        <v>47</v>
      </c>
    </row>
    <row r="143" spans="21:33" ht="15" thickBot="1">
      <c r="V143" s="957"/>
      <c r="W143" s="958"/>
      <c r="X143" s="958"/>
      <c r="Y143" s="958"/>
      <c r="Z143" s="958"/>
      <c r="AA143" s="958"/>
      <c r="AB143" s="958"/>
      <c r="AC143" s="958"/>
      <c r="AD143" s="958"/>
      <c r="AE143" s="958"/>
      <c r="AF143" s="958"/>
      <c r="AG143" s="959"/>
    </row>
    <row r="144" spans="21:33" ht="16.2" thickBot="1">
      <c r="U144" s="683" t="s">
        <v>151</v>
      </c>
      <c r="V144" s="960">
        <v>46.844172135145513</v>
      </c>
      <c r="W144" s="961">
        <v>54.180880272627071</v>
      </c>
      <c r="X144" s="961">
        <v>53.044507487294503</v>
      </c>
      <c r="Y144" s="961">
        <v>50.910729226471325</v>
      </c>
      <c r="Z144" s="961">
        <v>51.893191486115484</v>
      </c>
      <c r="AA144" s="961">
        <v>53.137671365175905</v>
      </c>
      <c r="AB144" s="961">
        <v>53.520109125300245</v>
      </c>
      <c r="AC144" s="961">
        <v>52.132370802605131</v>
      </c>
      <c r="AD144" s="961">
        <v>51.076140824553399</v>
      </c>
      <c r="AE144" s="961">
        <v>56.118692736004242</v>
      </c>
      <c r="AF144" s="961">
        <v>55.756581064313373</v>
      </c>
      <c r="AG144" s="962">
        <v>49.254121794042113</v>
      </c>
    </row>
    <row r="145" spans="21:33" ht="15.6">
      <c r="U145" s="684" t="s">
        <v>144</v>
      </c>
      <c r="V145" s="960">
        <v>58.31489713689755</v>
      </c>
      <c r="W145" s="961">
        <v>70.028189506728211</v>
      </c>
      <c r="X145" s="961">
        <v>68.858955669503487</v>
      </c>
      <c r="Y145" s="961">
        <v>63.800127305194138</v>
      </c>
      <c r="Z145" s="961">
        <v>67.711135293074477</v>
      </c>
      <c r="AA145" s="961">
        <v>67.884574581928717</v>
      </c>
      <c r="AB145" s="961">
        <v>67.616681380464669</v>
      </c>
      <c r="AC145" s="961">
        <v>66.873370155525151</v>
      </c>
      <c r="AD145" s="961">
        <v>64.347549329866325</v>
      </c>
      <c r="AE145" s="961">
        <v>73.536477690636517</v>
      </c>
      <c r="AF145" s="961">
        <v>73.341820495607877</v>
      </c>
      <c r="AG145" s="962">
        <v>60.337570068892425</v>
      </c>
    </row>
    <row r="146" spans="21:33" ht="15.6">
      <c r="U146" s="684" t="s">
        <v>145</v>
      </c>
      <c r="V146" s="960">
        <v>44.801463424466625</v>
      </c>
      <c r="W146" s="961">
        <v>52.718253967518528</v>
      </c>
      <c r="X146" s="961">
        <v>53.064516128648137</v>
      </c>
      <c r="Y146" s="961">
        <v>50.985630438849427</v>
      </c>
      <c r="Z146" s="961">
        <v>51.530642223391013</v>
      </c>
      <c r="AA146" s="961">
        <v>55.636510827255613</v>
      </c>
      <c r="AB146" s="961">
        <v>57.21644436681845</v>
      </c>
      <c r="AC146" s="961">
        <v>52.717550972799025</v>
      </c>
      <c r="AD146" s="961">
        <v>52.098765431979366</v>
      </c>
      <c r="AE146" s="961">
        <v>56.856062832319374</v>
      </c>
      <c r="AF146" s="961">
        <v>59.321999595886467</v>
      </c>
      <c r="AG146" s="962">
        <v>49.636680572067391</v>
      </c>
    </row>
    <row r="147" spans="21:33" ht="16.2" thickBot="1">
      <c r="U147" s="685" t="s">
        <v>146</v>
      </c>
      <c r="V147" s="960">
        <v>39.308160373479083</v>
      </c>
      <c r="W147" s="961">
        <v>42.687682215230602</v>
      </c>
      <c r="X147" s="961">
        <v>40.352205398905092</v>
      </c>
      <c r="Y147" s="961">
        <v>40.521842597985732</v>
      </c>
      <c r="Z147" s="961">
        <v>39.52558766917236</v>
      </c>
      <c r="AA147" s="961">
        <v>39.224885262389598</v>
      </c>
      <c r="AB147" s="961">
        <v>39.122567485502302</v>
      </c>
      <c r="AC147" s="961">
        <v>39.83155401334114</v>
      </c>
      <c r="AD147" s="961">
        <v>39.58524562298421</v>
      </c>
      <c r="AE147" s="961">
        <v>41.545623530314131</v>
      </c>
      <c r="AF147" s="961">
        <v>38.674145843474754</v>
      </c>
      <c r="AG147" s="962">
        <v>40.053626359469156</v>
      </c>
    </row>
    <row r="150" spans="21:33" ht="15" thickBot="1"/>
    <row r="151" spans="21:33" ht="16.2" thickBot="1">
      <c r="V151" s="963"/>
      <c r="W151" s="964"/>
      <c r="X151" s="964"/>
      <c r="Y151" s="964"/>
      <c r="Z151" s="964"/>
      <c r="AA151" s="964">
        <v>2009</v>
      </c>
      <c r="AB151" s="964"/>
      <c r="AC151" s="964"/>
      <c r="AD151" s="964"/>
      <c r="AE151" s="964"/>
      <c r="AF151" s="964"/>
      <c r="AG151" s="965"/>
    </row>
    <row r="152" spans="21:33" ht="15" thickBot="1">
      <c r="U152" s="677" t="s">
        <v>757</v>
      </c>
      <c r="V152" s="966" t="s">
        <v>36</v>
      </c>
      <c r="W152" s="967" t="s">
        <v>37</v>
      </c>
      <c r="X152" s="967" t="s">
        <v>38</v>
      </c>
      <c r="Y152" s="967" t="s">
        <v>39</v>
      </c>
      <c r="Z152" s="967" t="s">
        <v>40</v>
      </c>
      <c r="AA152" s="967" t="s">
        <v>41</v>
      </c>
      <c r="AB152" s="967" t="s">
        <v>42</v>
      </c>
      <c r="AC152" s="967" t="s">
        <v>43</v>
      </c>
      <c r="AD152" s="967" t="s">
        <v>44</v>
      </c>
      <c r="AE152" s="967" t="s">
        <v>45</v>
      </c>
      <c r="AF152" s="967" t="s">
        <v>46</v>
      </c>
      <c r="AG152" s="968" t="s">
        <v>47</v>
      </c>
    </row>
    <row r="153" spans="21:33" ht="15" thickBot="1">
      <c r="V153" s="969"/>
      <c r="W153" s="970"/>
      <c r="X153" s="970"/>
      <c r="Y153" s="970"/>
      <c r="Z153" s="970"/>
      <c r="AA153" s="970"/>
      <c r="AB153" s="970"/>
      <c r="AC153" s="970"/>
      <c r="AD153" s="970"/>
      <c r="AE153" s="970"/>
      <c r="AF153" s="970"/>
      <c r="AG153" s="971"/>
    </row>
    <row r="154" spans="21:33" ht="16.2" thickBot="1">
      <c r="U154" s="677" t="s">
        <v>151</v>
      </c>
      <c r="V154" s="972">
        <v>47.276710982789211</v>
      </c>
      <c r="W154" s="973">
        <v>48.627691780909444</v>
      </c>
      <c r="X154" s="973">
        <v>50.878535751101467</v>
      </c>
      <c r="Y154" s="973">
        <v>46.381673143536318</v>
      </c>
      <c r="Z154" s="973">
        <v>48.21662465190493</v>
      </c>
      <c r="AA154" s="973">
        <v>49.669792091339772</v>
      </c>
      <c r="AB154" s="973">
        <v>52.647843982929082</v>
      </c>
      <c r="AC154" s="973">
        <v>52.179589997558047</v>
      </c>
      <c r="AD154" s="973">
        <v>49.544645303169894</v>
      </c>
      <c r="AE154" s="973">
        <v>52.417375007233247</v>
      </c>
      <c r="AF154" s="973">
        <v>54.481723949776615</v>
      </c>
      <c r="AG154" s="974">
        <v>46.643221451943326</v>
      </c>
    </row>
    <row r="155" spans="21:33" ht="15.6">
      <c r="U155" s="678" t="s">
        <v>144</v>
      </c>
      <c r="V155" s="972">
        <v>53.881581441257346</v>
      </c>
      <c r="W155" s="973">
        <v>59.046080243319629</v>
      </c>
      <c r="X155" s="973">
        <v>66.724627252391571</v>
      </c>
      <c r="Y155" s="973">
        <v>56.726559272391569</v>
      </c>
      <c r="Z155" s="973">
        <v>58.026541952087982</v>
      </c>
      <c r="AA155" s="973">
        <v>62.232548533166046</v>
      </c>
      <c r="AB155" s="973">
        <v>64.141919473995031</v>
      </c>
      <c r="AC155" s="973">
        <v>67.869992074089481</v>
      </c>
      <c r="AD155" s="973">
        <v>64.950640622986768</v>
      </c>
      <c r="AE155" s="973">
        <v>72.697522208594819</v>
      </c>
      <c r="AF155" s="973">
        <v>74.553665196326406</v>
      </c>
      <c r="AG155" s="974">
        <v>54.354940342394457</v>
      </c>
    </row>
    <row r="156" spans="21:33" ht="15.6">
      <c r="U156" s="678" t="s">
        <v>145</v>
      </c>
      <c r="V156" s="972">
        <v>48.092979126448533</v>
      </c>
      <c r="W156" s="973">
        <v>47.124474789998537</v>
      </c>
      <c r="X156" s="973">
        <v>44.800730733482865</v>
      </c>
      <c r="Y156" s="973">
        <v>46.430700446442629</v>
      </c>
      <c r="Z156" s="973">
        <v>48.765902701403242</v>
      </c>
      <c r="AA156" s="973">
        <v>49.59038508731053</v>
      </c>
      <c r="AB156" s="973">
        <v>52.752260912553353</v>
      </c>
      <c r="AC156" s="973">
        <v>49.424048662824049</v>
      </c>
      <c r="AD156" s="973">
        <v>49.752720078999999</v>
      </c>
      <c r="AE156" s="973">
        <v>52.259007734564321</v>
      </c>
      <c r="AF156" s="973">
        <v>53.630604288406431</v>
      </c>
      <c r="AG156" s="974">
        <v>47.110460863343086</v>
      </c>
    </row>
    <row r="157" spans="21:33" ht="16.2" thickBot="1">
      <c r="U157" s="679" t="s">
        <v>146</v>
      </c>
      <c r="V157" s="972">
        <v>40.873593203790051</v>
      </c>
      <c r="W157" s="973">
        <v>40.541237113186085</v>
      </c>
      <c r="X157" s="973">
        <v>41.867062730181587</v>
      </c>
      <c r="Y157" s="973">
        <v>37.709949991713913</v>
      </c>
      <c r="Z157" s="973">
        <v>39.640872452465594</v>
      </c>
      <c r="AA157" s="973">
        <v>39.23607518568442</v>
      </c>
      <c r="AB157" s="973">
        <v>42.999083104914732</v>
      </c>
      <c r="AC157" s="973">
        <v>41.217896299902222</v>
      </c>
      <c r="AD157" s="973">
        <v>36.751163994132952</v>
      </c>
      <c r="AE157" s="973">
        <v>35.879378535660628</v>
      </c>
      <c r="AF157" s="973">
        <v>38.604931884841157</v>
      </c>
      <c r="AG157" s="974">
        <v>39.988330416010861</v>
      </c>
    </row>
    <row r="160" spans="21:33" ht="15" thickBot="1"/>
    <row r="161" spans="21:33" ht="16.2" thickBot="1">
      <c r="V161" s="975"/>
      <c r="W161" s="159"/>
      <c r="X161" s="159"/>
      <c r="Y161" s="159"/>
      <c r="Z161" s="159"/>
      <c r="AA161" s="976">
        <v>2008</v>
      </c>
      <c r="AB161" s="159"/>
      <c r="AC161" s="159"/>
      <c r="AD161" s="159"/>
      <c r="AE161" s="159"/>
      <c r="AF161" s="159"/>
      <c r="AG161" s="977"/>
    </row>
    <row r="162" spans="21:33" ht="15" thickBot="1">
      <c r="U162" s="686" t="s">
        <v>758</v>
      </c>
      <c r="V162" s="978" t="s">
        <v>36</v>
      </c>
      <c r="W162" s="979" t="s">
        <v>37</v>
      </c>
      <c r="X162" s="979" t="s">
        <v>38</v>
      </c>
      <c r="Y162" s="979" t="s">
        <v>39</v>
      </c>
      <c r="Z162" s="979" t="s">
        <v>40</v>
      </c>
      <c r="AA162" s="979" t="s">
        <v>41</v>
      </c>
      <c r="AB162" s="979" t="s">
        <v>42</v>
      </c>
      <c r="AC162" s="979" t="s">
        <v>43</v>
      </c>
      <c r="AD162" s="979" t="s">
        <v>44</v>
      </c>
      <c r="AE162" s="979" t="s">
        <v>45</v>
      </c>
      <c r="AF162" s="979" t="s">
        <v>46</v>
      </c>
      <c r="AG162" s="979" t="s">
        <v>47</v>
      </c>
    </row>
    <row r="163" spans="21:33" ht="15" thickBot="1">
      <c r="V163" s="978"/>
      <c r="W163" s="979"/>
      <c r="X163" s="979"/>
      <c r="Y163" s="979"/>
      <c r="Z163" s="979"/>
      <c r="AA163" s="979"/>
      <c r="AB163" s="979"/>
      <c r="AC163" s="979"/>
      <c r="AD163" s="979"/>
      <c r="AE163" s="979"/>
      <c r="AF163" s="979"/>
      <c r="AG163" s="979"/>
    </row>
    <row r="164" spans="21:33" ht="16.2" thickBot="1">
      <c r="U164" s="686" t="s">
        <v>151</v>
      </c>
      <c r="V164" s="980">
        <v>47.852340968457582</v>
      </c>
      <c r="W164" s="981">
        <v>51.920638945599286</v>
      </c>
      <c r="X164" s="981">
        <v>50.493490406671988</v>
      </c>
      <c r="Y164" s="981">
        <v>53.271377995810482</v>
      </c>
      <c r="Z164" s="981">
        <v>53.435094344529858</v>
      </c>
      <c r="AA164" s="981">
        <v>56.232091690366374</v>
      </c>
      <c r="AB164" s="981">
        <v>58.864695707466012</v>
      </c>
      <c r="AC164" s="981">
        <v>55.950510346118698</v>
      </c>
      <c r="AD164" s="981">
        <v>56.10178741937068</v>
      </c>
      <c r="AE164" s="981">
        <v>55.655553282211514</v>
      </c>
      <c r="AF164" s="981">
        <v>59.003612076366181</v>
      </c>
      <c r="AG164" s="981">
        <v>48.137284627777461</v>
      </c>
    </row>
    <row r="165" spans="21:33" ht="15.6">
      <c r="U165" s="687" t="s">
        <v>144</v>
      </c>
      <c r="V165" s="980">
        <v>62.385879489150945</v>
      </c>
      <c r="W165" s="981">
        <v>71.988576265006145</v>
      </c>
      <c r="X165" s="981">
        <v>68.408866019858891</v>
      </c>
      <c r="Y165" s="981">
        <v>71.728016361153379</v>
      </c>
      <c r="Z165" s="981">
        <v>71.994134897518421</v>
      </c>
      <c r="AA165" s="981">
        <v>75.280507779158469</v>
      </c>
      <c r="AB165" s="981">
        <v>76.381073155067568</v>
      </c>
      <c r="AC165" s="981">
        <v>71.647380518882059</v>
      </c>
      <c r="AD165" s="981">
        <v>74.780917279404164</v>
      </c>
      <c r="AE165" s="981">
        <v>75.416105253599511</v>
      </c>
      <c r="AF165" s="981">
        <v>78.599508598918916</v>
      </c>
      <c r="AG165" s="981">
        <v>59.742807324066334</v>
      </c>
    </row>
    <row r="166" spans="21:33" ht="15.6">
      <c r="U166" s="687" t="s">
        <v>145</v>
      </c>
      <c r="V166" s="980">
        <v>48.650280085107021</v>
      </c>
      <c r="W166" s="981">
        <v>50.988540160694605</v>
      </c>
      <c r="X166" s="981">
        <v>48.099768205303157</v>
      </c>
      <c r="Y166" s="981">
        <v>50.508982035748495</v>
      </c>
      <c r="Z166" s="981">
        <v>51.209677419509781</v>
      </c>
      <c r="AA166" s="981">
        <v>55.549698795173207</v>
      </c>
      <c r="AB166" s="981">
        <v>58.892829382112964</v>
      </c>
      <c r="AC166" s="981">
        <v>55.591721726871242</v>
      </c>
      <c r="AD166" s="981">
        <v>52.999497991992463</v>
      </c>
      <c r="AE166" s="981">
        <v>54.181915125755822</v>
      </c>
      <c r="AF166" s="981">
        <v>58.066616578824942</v>
      </c>
      <c r="AG166" s="981">
        <v>49.013797123383284</v>
      </c>
    </row>
    <row r="167" spans="21:33" ht="16.2" thickBot="1">
      <c r="U167" s="688" t="s">
        <v>146</v>
      </c>
      <c r="V167" s="980">
        <v>35.326759150972528</v>
      </c>
      <c r="W167" s="981">
        <v>35.617294979795858</v>
      </c>
      <c r="X167" s="981">
        <v>37.019889687259585</v>
      </c>
      <c r="Y167" s="981">
        <v>39.595854921786511</v>
      </c>
      <c r="Z167" s="981">
        <v>39.311382249276676</v>
      </c>
      <c r="AA167" s="981">
        <v>40.633851468740943</v>
      </c>
      <c r="AB167" s="981">
        <v>44.069864616986024</v>
      </c>
      <c r="AC167" s="981">
        <v>42.956710680368396</v>
      </c>
      <c r="AD167" s="981">
        <v>42.480138169331084</v>
      </c>
      <c r="AE167" s="981">
        <v>40.003342803881353</v>
      </c>
      <c r="AF167" s="981">
        <v>43.136645962759331</v>
      </c>
      <c r="AG167" s="981">
        <v>37.787542861150662</v>
      </c>
    </row>
    <row r="170" spans="21:33" ht="15" thickBot="1"/>
    <row r="171" spans="21:33" ht="15" thickBot="1">
      <c r="V171" s="982"/>
      <c r="W171" s="983"/>
      <c r="X171" s="983"/>
      <c r="Y171" s="984"/>
      <c r="Z171" s="983"/>
      <c r="AA171" s="985">
        <v>2007</v>
      </c>
      <c r="AB171" s="985"/>
      <c r="AC171" s="983"/>
      <c r="AD171" s="983"/>
      <c r="AE171" s="983"/>
      <c r="AF171" s="983"/>
      <c r="AG171" s="986"/>
    </row>
    <row r="172" spans="21:33" ht="15" thickBot="1">
      <c r="U172" s="689" t="s">
        <v>759</v>
      </c>
      <c r="V172" s="987" t="s">
        <v>36</v>
      </c>
      <c r="W172" s="162" t="s">
        <v>37</v>
      </c>
      <c r="X172" s="162" t="s">
        <v>38</v>
      </c>
      <c r="Y172" s="162" t="s">
        <v>39</v>
      </c>
      <c r="Z172" s="162" t="s">
        <v>40</v>
      </c>
      <c r="AA172" s="162" t="s">
        <v>41</v>
      </c>
      <c r="AB172" s="162" t="s">
        <v>42</v>
      </c>
      <c r="AC172" s="162" t="s">
        <v>43</v>
      </c>
      <c r="AD172" s="162" t="s">
        <v>44</v>
      </c>
      <c r="AE172" s="162" t="s">
        <v>45</v>
      </c>
      <c r="AF172" s="162" t="s">
        <v>46</v>
      </c>
      <c r="AG172" s="163" t="s">
        <v>47</v>
      </c>
    </row>
    <row r="173" spans="21:33" ht="15" thickBot="1">
      <c r="V173" s="988"/>
      <c r="W173" s="989"/>
      <c r="X173" s="989"/>
      <c r="Y173" s="989"/>
      <c r="Z173" s="989"/>
      <c r="AA173" s="989"/>
      <c r="AB173" s="989"/>
      <c r="AC173" s="989"/>
      <c r="AD173" s="989"/>
      <c r="AE173" s="989"/>
      <c r="AF173" s="989"/>
      <c r="AG173" s="990"/>
    </row>
    <row r="174" spans="21:33" ht="16.2" thickBot="1">
      <c r="U174" s="689" t="s">
        <v>151</v>
      </c>
      <c r="V174" s="991">
        <v>47.239377634177075</v>
      </c>
      <c r="W174" s="992">
        <v>50.688309020043988</v>
      </c>
      <c r="X174" s="992">
        <v>51.845590867311138</v>
      </c>
      <c r="Y174" s="992">
        <v>50.847376353295132</v>
      </c>
      <c r="Z174" s="992">
        <v>50.261856463469151</v>
      </c>
      <c r="AA174" s="992">
        <v>55.469242361743312</v>
      </c>
      <c r="AB174" s="992">
        <v>55.089875335545024</v>
      </c>
      <c r="AC174" s="992">
        <v>53.986819566650787</v>
      </c>
      <c r="AD174" s="992">
        <v>51.96837624161931</v>
      </c>
      <c r="AE174" s="992">
        <v>53.713306698027367</v>
      </c>
      <c r="AF174" s="992">
        <v>58.200243210258613</v>
      </c>
      <c r="AG174" s="993">
        <v>44.25835728769222</v>
      </c>
    </row>
    <row r="175" spans="21:33" ht="15.6">
      <c r="U175" s="690" t="s">
        <v>144</v>
      </c>
      <c r="V175" s="991">
        <v>64.23691168809836</v>
      </c>
      <c r="W175" s="992">
        <v>70.47914818109318</v>
      </c>
      <c r="X175" s="992">
        <v>73.89701462659626</v>
      </c>
      <c r="Y175" s="992">
        <v>69.63354037385092</v>
      </c>
      <c r="Z175" s="992">
        <v>67.727910240484476</v>
      </c>
      <c r="AA175" s="992">
        <v>79.476190476683229</v>
      </c>
      <c r="AB175" s="992">
        <v>73.653973059927807</v>
      </c>
      <c r="AC175" s="992">
        <v>70.488204141325383</v>
      </c>
      <c r="AD175" s="992">
        <v>73.926368158782083</v>
      </c>
      <c r="AE175" s="992">
        <v>74.561386617898506</v>
      </c>
      <c r="AF175" s="992">
        <v>77.562189054244783</v>
      </c>
      <c r="AG175" s="993">
        <v>56.946642321528302</v>
      </c>
    </row>
    <row r="176" spans="21:33" ht="15.6">
      <c r="U176" s="690" t="s">
        <v>145</v>
      </c>
      <c r="V176" s="991">
        <v>45.156822446045695</v>
      </c>
      <c r="W176" s="992">
        <v>48.166245745545744</v>
      </c>
      <c r="X176" s="992">
        <v>46.574980797897318</v>
      </c>
      <c r="Y176" s="992">
        <v>46.72371031802605</v>
      </c>
      <c r="Z176" s="992">
        <v>48.334293394901792</v>
      </c>
      <c r="AA176" s="992">
        <v>50.376984125961307</v>
      </c>
      <c r="AB176" s="992">
        <v>54.783258595718991</v>
      </c>
      <c r="AC176" s="992">
        <v>54.364467982388057</v>
      </c>
      <c r="AD176" s="992">
        <v>47.070858283677396</v>
      </c>
      <c r="AE176" s="992">
        <v>55.324029360527696</v>
      </c>
      <c r="AF176" s="992">
        <v>58.405688623355545</v>
      </c>
      <c r="AG176" s="993">
        <v>42.964071856426649</v>
      </c>
    </row>
    <row r="177" spans="21:33" ht="16.2" thickBot="1">
      <c r="U177" s="691" t="s">
        <v>146</v>
      </c>
      <c r="V177" s="991">
        <v>35.173011262103216</v>
      </c>
      <c r="W177" s="992">
        <v>36.075810692248986</v>
      </c>
      <c r="X177" s="992">
        <v>36.982048859383887</v>
      </c>
      <c r="Y177" s="992">
        <v>37.927126917263088</v>
      </c>
      <c r="Z177" s="992">
        <v>36.909501956753665</v>
      </c>
      <c r="AA177" s="992">
        <v>38.833682008101988</v>
      </c>
      <c r="AB177" s="992">
        <v>39.225739212545058</v>
      </c>
      <c r="AC177" s="992">
        <v>39.319874261977589</v>
      </c>
      <c r="AD177" s="992">
        <v>36.236559139934968</v>
      </c>
      <c r="AE177" s="992">
        <v>34.424826290699279</v>
      </c>
      <c r="AF177" s="992">
        <v>41.192581036273026</v>
      </c>
      <c r="AG177" s="993">
        <v>34.661474942412063</v>
      </c>
    </row>
    <row r="179" spans="21:33" ht="15" thickBot="1"/>
    <row r="180" spans="21:33">
      <c r="AA180" s="159"/>
      <c r="AB180" s="159"/>
      <c r="AC180" s="159"/>
      <c r="AD180" s="994">
        <v>2006</v>
      </c>
      <c r="AE180" s="159"/>
      <c r="AF180" s="159"/>
      <c r="AG180" s="995"/>
    </row>
    <row r="181" spans="21:33" ht="15" thickBot="1">
      <c r="AA181" s="979" t="s">
        <v>41</v>
      </c>
      <c r="AB181" s="979" t="s">
        <v>42</v>
      </c>
      <c r="AC181" s="979" t="s">
        <v>43</v>
      </c>
      <c r="AD181" s="979" t="s">
        <v>44</v>
      </c>
      <c r="AE181" s="979" t="s">
        <v>45</v>
      </c>
      <c r="AF181" s="979" t="s">
        <v>46</v>
      </c>
      <c r="AG181" s="996" t="s">
        <v>47</v>
      </c>
    </row>
    <row r="182" spans="21:33" ht="15" thickBot="1">
      <c r="U182" s="686" t="s">
        <v>760</v>
      </c>
      <c r="AA182" s="979"/>
      <c r="AB182" s="979"/>
      <c r="AC182" s="979"/>
      <c r="AD182" s="979"/>
      <c r="AE182" s="979"/>
      <c r="AF182" s="979"/>
      <c r="AG182" s="996"/>
    </row>
    <row r="183" spans="21:33" ht="16.2" thickBot="1">
      <c r="U183" s="686" t="s">
        <v>151</v>
      </c>
      <c r="AA183" s="981">
        <v>50.845060706401767</v>
      </c>
      <c r="AB183" s="981">
        <v>46.981423648154973</v>
      </c>
      <c r="AC183" s="981">
        <v>49.288885986678856</v>
      </c>
      <c r="AD183" s="981">
        <v>47.349454717875773</v>
      </c>
      <c r="AE183" s="981">
        <v>49.325955800596077</v>
      </c>
      <c r="AF183" s="981">
        <v>53.017335517335518</v>
      </c>
      <c r="AG183" s="997">
        <v>42.113676266345223</v>
      </c>
    </row>
    <row r="184" spans="21:33" ht="15.6">
      <c r="U184" s="687" t="s">
        <v>144</v>
      </c>
      <c r="AA184" s="981">
        <v>66.837820914214149</v>
      </c>
      <c r="AB184" s="981">
        <v>70.627458693941776</v>
      </c>
      <c r="AC184" s="981">
        <v>66.456287985039737</v>
      </c>
      <c r="AD184" s="981">
        <v>71.515693285657534</v>
      </c>
      <c r="AE184" s="981">
        <v>69.76457204558163</v>
      </c>
      <c r="AF184" s="981">
        <v>75.224148236700543</v>
      </c>
      <c r="AG184" s="997">
        <v>54.53881819078623</v>
      </c>
    </row>
    <row r="185" spans="21:33" ht="15.6">
      <c r="U185" s="687" t="s">
        <v>145</v>
      </c>
      <c r="AA185" s="981">
        <v>45.746951219512191</v>
      </c>
      <c r="AB185" s="981">
        <v>44.423549833646753</v>
      </c>
      <c r="AC185" s="981">
        <v>46.168896280173151</v>
      </c>
      <c r="AD185" s="981">
        <v>43.744257274119448</v>
      </c>
      <c r="AE185" s="981">
        <v>49.859529423568958</v>
      </c>
      <c r="AF185" s="981">
        <v>49.807592303692147</v>
      </c>
      <c r="AG185" s="997">
        <v>40.646617636350399</v>
      </c>
    </row>
    <row r="186" spans="21:33" ht="16.2" thickBot="1">
      <c r="U186" s="688" t="s">
        <v>146</v>
      </c>
      <c r="AA186" s="981">
        <v>41.041775004333509</v>
      </c>
      <c r="AB186" s="981">
        <v>29.399592563481498</v>
      </c>
      <c r="AC186" s="981">
        <v>36.915373881638345</v>
      </c>
      <c r="AD186" s="981">
        <v>28.845293409051799</v>
      </c>
      <c r="AE186" s="981">
        <v>31.383578919421211</v>
      </c>
      <c r="AF186" s="981">
        <v>35.890789701054089</v>
      </c>
      <c r="AG186" s="997">
        <v>32.743581303489137</v>
      </c>
    </row>
  </sheetData>
  <mergeCells count="17">
    <mergeCell ref="AE67:AG67"/>
    <mergeCell ref="E22:L22"/>
    <mergeCell ref="E16:M16"/>
    <mergeCell ref="E17:M17"/>
    <mergeCell ref="E18:M18"/>
    <mergeCell ref="E19:M19"/>
    <mergeCell ref="E20:M20"/>
    <mergeCell ref="E21:M21"/>
    <mergeCell ref="Z53:AG53"/>
    <mergeCell ref="U27:U28"/>
    <mergeCell ref="W28:AD28"/>
    <mergeCell ref="V18:AG18"/>
    <mergeCell ref="AE10:AG10"/>
    <mergeCell ref="AE19:AG19"/>
    <mergeCell ref="B2:M2"/>
    <mergeCell ref="AE3:AG3"/>
    <mergeCell ref="V9:AD9"/>
  </mergeCells>
  <hyperlinks>
    <hyperlink ref="C13" r:id="rId1" xr:uid="{00000000-0004-0000-1400-000000000000}"/>
    <hyperlink ref="T75" r:id="rId2" xr:uid="{00000000-0004-0000-1400-000001000000}"/>
    <hyperlink ref="T58" r:id="rId3" xr:uid="{00000000-0004-0000-1400-000002000000}"/>
    <hyperlink ref="T61" r:id="rId4" xr:uid="{00000000-0004-0000-1400-000003000000}"/>
    <hyperlink ref="T63" r:id="rId5" xr:uid="{00000000-0004-0000-1400-000004000000}"/>
    <hyperlink ref="T77" r:id="rId6" xr:uid="{00000000-0004-0000-1400-000005000000}"/>
    <hyperlink ref="T73" r:id="rId7" xr:uid="{00000000-0004-0000-1400-000006000000}"/>
  </hyperlinks>
  <pageMargins left="0.35433070866141736" right="0.23622047244094491" top="0.74803149606299213" bottom="0.74803149606299213" header="0.31496062992125984" footer="0.31496062992125984"/>
  <pageSetup scale="11" orientation="landscape" verticalDpi="597" r:id="rId8"/>
  <drawing r:id="rId9"/>
  <legacyDrawing r:id="rId10"/>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82C4BE-013A-40E6-A5D4-22CF9C361F5F}">
  <sheetPr>
    <tabColor rgb="FF92D050"/>
    <pageSetUpPr fitToPage="1"/>
  </sheetPr>
  <dimension ref="A1:EO190"/>
  <sheetViews>
    <sheetView showGridLines="0" zoomScale="70" zoomScaleNormal="70" workbookViewId="0">
      <selection activeCell="E7" sqref="E7"/>
    </sheetView>
  </sheetViews>
  <sheetFormatPr baseColWidth="10" defaultColWidth="11.44140625" defaultRowHeight="14.4"/>
  <cols>
    <col min="1" max="1" width="5.5546875" customWidth="1"/>
    <col min="2" max="2" width="18.44140625" customWidth="1"/>
    <col min="3" max="14" width="11.77734375" customWidth="1"/>
  </cols>
  <sheetData>
    <row r="1" spans="1:145">
      <c r="B1" s="5615" t="s">
        <v>1791</v>
      </c>
      <c r="C1" s="5615"/>
      <c r="D1" s="5615"/>
      <c r="E1" s="5615"/>
      <c r="F1" s="5615"/>
      <c r="G1" s="5615"/>
      <c r="H1" s="5615"/>
      <c r="I1" s="5615"/>
      <c r="J1" s="5615"/>
      <c r="K1" s="5615"/>
      <c r="L1" s="5615"/>
      <c r="M1" s="5615"/>
      <c r="N1" s="5615"/>
    </row>
    <row r="2" spans="1:145" hidden="1"/>
    <row r="3" spans="1:145" ht="15" thickBot="1"/>
    <row r="4" spans="1:145">
      <c r="B4" s="4413"/>
      <c r="C4" s="554" t="s">
        <v>1785</v>
      </c>
      <c r="D4" s="555"/>
      <c r="E4" s="555" t="s">
        <v>33</v>
      </c>
      <c r="F4" s="555"/>
      <c r="G4" s="555"/>
      <c r="H4" s="555"/>
      <c r="I4" s="555"/>
      <c r="J4" s="555"/>
      <c r="K4" s="555"/>
      <c r="L4" s="555"/>
      <c r="M4" s="555"/>
      <c r="N4" s="558"/>
      <c r="P4" s="4414" t="s">
        <v>911</v>
      </c>
      <c r="Q4" s="4415"/>
      <c r="R4" s="4415"/>
      <c r="S4" s="4416"/>
      <c r="T4" s="4416"/>
      <c r="U4" s="4416"/>
      <c r="V4" s="4416"/>
      <c r="W4" s="4416"/>
      <c r="X4" s="4416"/>
      <c r="Y4" s="4417"/>
      <c r="Z4" s="4417"/>
      <c r="AA4" s="4417"/>
    </row>
    <row r="5" spans="1:145" s="2213" customFormat="1">
      <c r="A5"/>
      <c r="B5" s="4418"/>
      <c r="C5" s="556" t="s">
        <v>36</v>
      </c>
      <c r="D5" s="557" t="s">
        <v>187</v>
      </c>
      <c r="E5" s="557" t="s">
        <v>546</v>
      </c>
      <c r="F5" s="557" t="s">
        <v>188</v>
      </c>
      <c r="G5" s="557" t="s">
        <v>189</v>
      </c>
      <c r="H5" s="557" t="s">
        <v>180</v>
      </c>
      <c r="I5" s="557" t="s">
        <v>42</v>
      </c>
      <c r="J5" s="557" t="s">
        <v>43</v>
      </c>
      <c r="K5" s="557" t="s">
        <v>44</v>
      </c>
      <c r="L5" s="557" t="s">
        <v>1787</v>
      </c>
      <c r="M5" s="557" t="s">
        <v>1788</v>
      </c>
      <c r="N5" s="559" t="s">
        <v>1789</v>
      </c>
      <c r="O5"/>
      <c r="P5" s="4419" t="s">
        <v>863</v>
      </c>
      <c r="Q5" s="4420" t="s">
        <v>864</v>
      </c>
      <c r="R5" s="4421"/>
      <c r="S5" s="4422"/>
      <c r="T5" s="4422"/>
      <c r="U5" s="4422"/>
      <c r="V5" s="4422"/>
      <c r="W5" s="4422"/>
      <c r="X5" s="4416"/>
      <c r="Y5" s="4417"/>
      <c r="Z5" s="4417"/>
      <c r="AA5" s="4417"/>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row>
    <row r="6" spans="1:145" s="2975" customFormat="1" ht="15" thickBot="1">
      <c r="A6"/>
      <c r="B6" s="4423"/>
      <c r="C6" s="4424"/>
      <c r="D6" s="4424"/>
      <c r="E6" s="4424"/>
      <c r="F6" s="4424"/>
      <c r="G6" s="4424"/>
      <c r="H6" s="4424"/>
      <c r="I6" s="4424"/>
      <c r="J6" s="4424"/>
      <c r="K6" s="4424"/>
      <c r="L6" s="5628"/>
      <c r="M6" s="5628"/>
      <c r="N6" s="5628"/>
      <c r="O6"/>
      <c r="P6" s="4415"/>
      <c r="Q6" s="4415"/>
      <c r="R6" s="4415"/>
      <c r="S6" s="4416"/>
      <c r="T6" s="4416"/>
      <c r="U6" s="4416"/>
      <c r="V6" s="4416"/>
      <c r="W6" s="4416"/>
      <c r="X6" s="4416"/>
      <c r="Y6" s="4417"/>
      <c r="Z6" s="4417"/>
      <c r="AA6" s="4417"/>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row>
    <row r="7" spans="1:145" s="2975" customFormat="1" ht="15" thickBot="1">
      <c r="A7"/>
      <c r="B7" s="560" t="s">
        <v>151</v>
      </c>
      <c r="C7" s="878">
        <v>11</v>
      </c>
      <c r="D7" s="878">
        <v>16</v>
      </c>
      <c r="E7" s="878">
        <v>15</v>
      </c>
      <c r="F7" s="879">
        <v>13</v>
      </c>
      <c r="G7" s="879">
        <v>14</v>
      </c>
      <c r="H7" s="878">
        <v>23</v>
      </c>
      <c r="I7" s="878">
        <v>23</v>
      </c>
      <c r="J7" s="878">
        <v>28</v>
      </c>
      <c r="K7" s="878">
        <v>28</v>
      </c>
      <c r="L7" s="880">
        <v>20</v>
      </c>
      <c r="M7" s="878">
        <v>20</v>
      </c>
      <c r="N7" s="881">
        <v>25</v>
      </c>
      <c r="O7"/>
      <c r="P7" s="4425"/>
      <c r="Q7" s="4425"/>
      <c r="R7" s="4425"/>
      <c r="S7" s="4426" t="s">
        <v>519</v>
      </c>
      <c r="T7" s="4427"/>
      <c r="U7" s="4428"/>
      <c r="V7" s="4428"/>
      <c r="W7" s="4428"/>
      <c r="X7" s="4428"/>
      <c r="Y7" s="4428"/>
      <c r="Z7" s="4428"/>
      <c r="AA7" s="4428"/>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row>
    <row r="8" spans="1:145">
      <c r="B8" s="562" t="s">
        <v>1413</v>
      </c>
      <c r="C8" s="882">
        <v>21</v>
      </c>
      <c r="D8" s="882">
        <v>25</v>
      </c>
      <c r="E8" s="882">
        <v>24</v>
      </c>
      <c r="F8" s="882">
        <v>28</v>
      </c>
      <c r="G8" s="882">
        <v>19</v>
      </c>
      <c r="H8" s="882">
        <v>33</v>
      </c>
      <c r="I8" s="882">
        <v>33</v>
      </c>
      <c r="J8" s="882">
        <v>31</v>
      </c>
      <c r="K8" s="882">
        <v>44</v>
      </c>
      <c r="L8" s="882">
        <v>29.59</v>
      </c>
      <c r="M8" s="882">
        <v>29.59</v>
      </c>
      <c r="N8" s="883">
        <v>29.59</v>
      </c>
      <c r="P8" s="4425"/>
      <c r="Q8" s="4425"/>
      <c r="R8" s="4425"/>
      <c r="S8" s="5640" t="s">
        <v>549</v>
      </c>
      <c r="T8" s="5640"/>
      <c r="U8" s="5640"/>
      <c r="V8" s="5640"/>
      <c r="W8" s="5640"/>
      <c r="X8" s="5640"/>
      <c r="Y8" s="5640"/>
      <c r="Z8" s="5640"/>
      <c r="AA8" s="5640"/>
    </row>
    <row r="9" spans="1:145">
      <c r="B9" s="562" t="s">
        <v>1414</v>
      </c>
      <c r="C9" s="882">
        <v>10</v>
      </c>
      <c r="D9" s="882">
        <v>17</v>
      </c>
      <c r="E9" s="882">
        <v>16</v>
      </c>
      <c r="F9" s="882">
        <v>15</v>
      </c>
      <c r="G9" s="882">
        <v>13</v>
      </c>
      <c r="H9" s="882">
        <v>22</v>
      </c>
      <c r="I9" s="882">
        <v>26</v>
      </c>
      <c r="J9" s="882">
        <v>32</v>
      </c>
      <c r="K9" s="882">
        <v>28</v>
      </c>
      <c r="L9" s="882">
        <v>20.45</v>
      </c>
      <c r="M9" s="882">
        <v>20.45</v>
      </c>
      <c r="N9" s="883">
        <v>20.45</v>
      </c>
      <c r="P9" s="4425"/>
      <c r="Q9" s="4425"/>
      <c r="R9" s="4425"/>
      <c r="S9" s="5640" t="s">
        <v>507</v>
      </c>
      <c r="T9" s="5640"/>
      <c r="U9" s="5640"/>
      <c r="V9" s="5640"/>
      <c r="W9" s="5640"/>
      <c r="X9" s="5640"/>
      <c r="Y9" s="5640"/>
      <c r="Z9" s="5640"/>
      <c r="AA9" s="5640"/>
    </row>
    <row r="10" spans="1:145" ht="22.8" customHeight="1" thickBot="1">
      <c r="B10" s="563" t="s">
        <v>1415</v>
      </c>
      <c r="C10" s="884">
        <v>4</v>
      </c>
      <c r="D10" s="884">
        <v>7</v>
      </c>
      <c r="E10" s="884">
        <v>5</v>
      </c>
      <c r="F10" s="884">
        <v>8</v>
      </c>
      <c r="G10" s="884">
        <v>14</v>
      </c>
      <c r="H10" s="884">
        <v>21</v>
      </c>
      <c r="I10" s="884">
        <v>16</v>
      </c>
      <c r="J10" s="884">
        <v>13</v>
      </c>
      <c r="K10" s="884">
        <v>13</v>
      </c>
      <c r="L10" s="884">
        <v>12.24</v>
      </c>
      <c r="M10" s="884">
        <v>12.24</v>
      </c>
      <c r="N10" s="885">
        <v>12.24</v>
      </c>
      <c r="P10" s="4425"/>
      <c r="Q10" s="4425"/>
      <c r="R10" s="4425"/>
      <c r="S10" s="5640" t="s">
        <v>511</v>
      </c>
      <c r="T10" s="5640"/>
      <c r="U10" s="5640"/>
      <c r="V10" s="5640"/>
      <c r="W10" s="5640"/>
      <c r="X10" s="5640"/>
      <c r="Y10" s="5640"/>
      <c r="Z10" s="5640"/>
      <c r="AA10" s="5640"/>
    </row>
    <row r="11" spans="1:145" ht="22.8" customHeight="1" thickBot="1">
      <c r="B11" s="4429"/>
      <c r="C11" s="887">
        <f>C7/C16-1</f>
        <v>-0.56000000000000005</v>
      </c>
      <c r="D11" s="888">
        <f>D7/D16-1</f>
        <v>0.33333333333333326</v>
      </c>
      <c r="E11" s="888">
        <f>E7/E16-1</f>
        <v>14</v>
      </c>
      <c r="F11" s="888">
        <v>12</v>
      </c>
      <c r="G11" s="888">
        <f t="shared" ref="G11:N11" si="0">G7/G16-1</f>
        <v>0.39999999999999991</v>
      </c>
      <c r="H11" s="888">
        <f t="shared" si="0"/>
        <v>3.5999999999999996</v>
      </c>
      <c r="I11" s="888">
        <f t="shared" si="0"/>
        <v>10.5</v>
      </c>
      <c r="J11" s="888">
        <f t="shared" si="0"/>
        <v>3</v>
      </c>
      <c r="K11" s="888">
        <f t="shared" si="0"/>
        <v>2.5</v>
      </c>
      <c r="L11" s="888">
        <f t="shared" si="0"/>
        <v>0.53846153846153855</v>
      </c>
      <c r="M11" s="888">
        <f t="shared" si="0"/>
        <v>0.53846153846153855</v>
      </c>
      <c r="N11" s="888">
        <f t="shared" si="0"/>
        <v>0.47058823529411775</v>
      </c>
      <c r="P11" s="4425"/>
      <c r="Q11" s="4425"/>
      <c r="R11" s="4425"/>
      <c r="S11" s="5640" t="s">
        <v>518</v>
      </c>
      <c r="T11" s="5640"/>
      <c r="U11" s="5640"/>
      <c r="V11" s="5640"/>
      <c r="W11" s="5640"/>
      <c r="X11" s="5640"/>
      <c r="Y11" s="5640"/>
      <c r="Z11" s="5640"/>
      <c r="AA11" s="5640"/>
    </row>
    <row r="12" spans="1:145" s="4430" customFormat="1" ht="22.8" customHeight="1" thickBot="1">
      <c r="A12"/>
      <c r="B12" s="4429"/>
      <c r="C12" s="5626" t="s">
        <v>1790</v>
      </c>
      <c r="D12" s="5627"/>
      <c r="E12" s="5627"/>
      <c r="F12" s="5627"/>
      <c r="G12" s="5627"/>
      <c r="H12" s="5627"/>
      <c r="I12" s="5627"/>
      <c r="J12" s="5627"/>
      <c r="K12" s="5627"/>
      <c r="L12" s="5627"/>
      <c r="M12" s="5627"/>
      <c r="N12" s="5627"/>
      <c r="O12"/>
      <c r="P12" s="4425"/>
      <c r="Q12" s="4425"/>
      <c r="R12" s="4425"/>
      <c r="S12" s="5640" t="s">
        <v>517</v>
      </c>
      <c r="T12" s="5640"/>
      <c r="U12" s="5640"/>
      <c r="V12" s="5640"/>
      <c r="W12" s="5640"/>
      <c r="X12" s="5640"/>
      <c r="Y12" s="5640"/>
      <c r="Z12" s="5640"/>
      <c r="AA12" s="5640"/>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row>
    <row r="13" spans="1:145" s="4430" customFormat="1" ht="22.8" customHeight="1" thickBot="1">
      <c r="A13"/>
      <c r="B13" s="4423"/>
      <c r="C13" s="4424"/>
      <c r="D13" s="4424"/>
      <c r="E13" s="4424"/>
      <c r="F13" s="4424"/>
      <c r="G13" s="4424"/>
      <c r="H13" s="4424"/>
      <c r="I13" s="4424"/>
      <c r="J13" s="4424"/>
      <c r="K13" s="4424"/>
      <c r="L13" s="5628"/>
      <c r="M13" s="5628"/>
      <c r="N13" s="5628"/>
      <c r="O13"/>
      <c r="P13" s="4425"/>
      <c r="Q13" s="4425"/>
      <c r="R13" s="4425"/>
      <c r="S13" s="5640" t="s">
        <v>1792</v>
      </c>
      <c r="T13" s="5640"/>
      <c r="U13" s="5640"/>
      <c r="V13" s="5640"/>
      <c r="W13" s="5640"/>
      <c r="X13" s="5640"/>
      <c r="Y13" s="5640"/>
      <c r="Z13" s="5640"/>
      <c r="AA13" s="5640"/>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row>
    <row r="14" spans="1:145" ht="22.8" customHeight="1">
      <c r="C14" s="169" t="s">
        <v>1786</v>
      </c>
      <c r="D14" s="170"/>
      <c r="E14" s="170" t="s">
        <v>33</v>
      </c>
      <c r="F14" s="170"/>
      <c r="G14" s="170"/>
      <c r="H14" s="170"/>
      <c r="I14" s="170"/>
      <c r="J14" s="170"/>
      <c r="K14" s="170"/>
      <c r="L14" s="170"/>
      <c r="M14" s="170"/>
      <c r="N14" s="171"/>
      <c r="P14" s="4425"/>
      <c r="Q14" s="4425"/>
      <c r="R14" s="4425"/>
      <c r="S14" s="5641" t="s">
        <v>516</v>
      </c>
      <c r="T14" s="5641"/>
      <c r="U14" s="5641"/>
      <c r="V14" s="5641"/>
      <c r="W14" s="5641"/>
      <c r="X14" s="5641"/>
      <c r="Y14" s="5641"/>
      <c r="Z14" s="5641"/>
    </row>
    <row r="15" spans="1:145" ht="22.8" customHeight="1" thickBot="1">
      <c r="C15" s="473" t="s">
        <v>36</v>
      </c>
      <c r="D15" s="4431" t="s">
        <v>37</v>
      </c>
      <c r="E15" s="4431" t="s">
        <v>38</v>
      </c>
      <c r="F15" s="4431" t="s">
        <v>39</v>
      </c>
      <c r="G15" s="4431" t="s">
        <v>40</v>
      </c>
      <c r="H15" s="4431" t="s">
        <v>41</v>
      </c>
      <c r="I15" s="4431" t="s">
        <v>42</v>
      </c>
      <c r="J15" s="4431" t="s">
        <v>43</v>
      </c>
      <c r="K15" s="4431" t="s">
        <v>44</v>
      </c>
      <c r="L15" s="4431" t="s">
        <v>45</v>
      </c>
      <c r="M15" s="4431" t="s">
        <v>46</v>
      </c>
      <c r="N15" s="4431" t="s">
        <v>47</v>
      </c>
    </row>
    <row r="16" spans="1:145" ht="22.8" customHeight="1" thickBot="1">
      <c r="B16" s="338" t="s">
        <v>151</v>
      </c>
      <c r="C16" s="4409">
        <v>25</v>
      </c>
      <c r="D16" s="4410">
        <v>12</v>
      </c>
      <c r="E16" s="4411">
        <v>1</v>
      </c>
      <c r="F16" s="4411">
        <v>0</v>
      </c>
      <c r="G16" s="4411">
        <v>10</v>
      </c>
      <c r="H16" s="4410">
        <v>5</v>
      </c>
      <c r="I16" s="4411">
        <v>2</v>
      </c>
      <c r="J16" s="4412">
        <v>7</v>
      </c>
      <c r="K16" s="4412">
        <v>8</v>
      </c>
      <c r="L16" s="4411">
        <v>13</v>
      </c>
      <c r="M16" s="4411">
        <v>13</v>
      </c>
      <c r="N16" s="4411">
        <v>17</v>
      </c>
    </row>
    <row r="17" spans="2:14" ht="22.8" customHeight="1">
      <c r="B17" s="339" t="s">
        <v>1413</v>
      </c>
      <c r="C17" s="4406">
        <v>63</v>
      </c>
      <c r="D17" s="4407">
        <v>1</v>
      </c>
      <c r="E17" s="4408">
        <v>0</v>
      </c>
      <c r="F17" s="4408">
        <v>0</v>
      </c>
      <c r="G17" s="4408">
        <v>8</v>
      </c>
      <c r="H17" s="4407">
        <v>10</v>
      </c>
      <c r="I17" s="4408">
        <v>4</v>
      </c>
      <c r="J17" s="4408">
        <v>18</v>
      </c>
      <c r="K17" s="4408">
        <v>17</v>
      </c>
      <c r="L17" s="4408">
        <v>20</v>
      </c>
      <c r="M17" s="4408">
        <v>23</v>
      </c>
      <c r="N17" s="4408">
        <v>27</v>
      </c>
    </row>
    <row r="18" spans="2:14">
      <c r="B18" s="339" t="s">
        <v>1414</v>
      </c>
      <c r="C18" s="893">
        <v>15</v>
      </c>
      <c r="D18" s="894">
        <v>17</v>
      </c>
      <c r="E18" s="895">
        <v>1</v>
      </c>
      <c r="F18" s="895">
        <v>0</v>
      </c>
      <c r="G18" s="895">
        <v>11</v>
      </c>
      <c r="H18" s="894">
        <v>3</v>
      </c>
      <c r="I18" s="896">
        <v>1</v>
      </c>
      <c r="J18" s="896">
        <v>0</v>
      </c>
      <c r="K18" s="896">
        <v>5</v>
      </c>
      <c r="L18" s="896">
        <v>12</v>
      </c>
      <c r="M18" s="896">
        <v>7</v>
      </c>
      <c r="N18" s="896">
        <v>8</v>
      </c>
    </row>
    <row r="19" spans="2:14" ht="15" thickBot="1">
      <c r="B19" s="475" t="s">
        <v>1415</v>
      </c>
      <c r="C19" s="897">
        <v>8</v>
      </c>
      <c r="D19" s="898">
        <v>2</v>
      </c>
      <c r="E19" s="899">
        <v>1</v>
      </c>
      <c r="F19" s="899">
        <v>1</v>
      </c>
      <c r="G19" s="899">
        <v>11</v>
      </c>
      <c r="H19" s="898">
        <v>5</v>
      </c>
      <c r="I19" s="900">
        <v>2</v>
      </c>
      <c r="J19" s="900">
        <v>5</v>
      </c>
      <c r="K19" s="900">
        <v>5</v>
      </c>
      <c r="L19" s="900">
        <v>12</v>
      </c>
      <c r="M19" s="900">
        <v>11</v>
      </c>
      <c r="N19" s="900">
        <v>15</v>
      </c>
    </row>
    <row r="20" spans="2:14" ht="15" thickBot="1">
      <c r="B20" s="4432"/>
      <c r="C20" s="887">
        <f t="shared" ref="C20:N20" si="1">C16/C26-1</f>
        <v>-0.48905954365378712</v>
      </c>
      <c r="D20" s="888">
        <f t="shared" si="1"/>
        <v>-0.76439492898191208</v>
      </c>
      <c r="E20" s="888">
        <f t="shared" si="1"/>
        <v>-0.98123520604798209</v>
      </c>
      <c r="F20" s="888">
        <f t="shared" si="1"/>
        <v>-1</v>
      </c>
      <c r="G20" s="888">
        <f t="shared" si="1"/>
        <v>-0.78304424124554317</v>
      </c>
      <c r="H20" s="888">
        <f t="shared" si="1"/>
        <v>-0.9015111632792584</v>
      </c>
      <c r="I20" s="888">
        <f t="shared" si="1"/>
        <v>-0.96281237827588761</v>
      </c>
      <c r="J20" s="888">
        <f t="shared" si="1"/>
        <v>-0.8599251976053599</v>
      </c>
      <c r="K20" s="888">
        <f t="shared" si="1"/>
        <v>-0.83450238801625654</v>
      </c>
      <c r="L20" s="888">
        <f t="shared" si="1"/>
        <v>-0.79849681827268004</v>
      </c>
      <c r="M20" s="888">
        <f t="shared" si="1"/>
        <v>-0.75435070420828731</v>
      </c>
      <c r="N20" s="888">
        <f t="shared" si="1"/>
        <v>-0.52380952380952384</v>
      </c>
    </row>
    <row r="21" spans="2:14" ht="15" thickBot="1">
      <c r="C21" s="5626" t="s">
        <v>1790</v>
      </c>
      <c r="D21" s="5627"/>
      <c r="E21" s="5627"/>
      <c r="F21" s="5627"/>
      <c r="G21" s="5627"/>
      <c r="H21" s="5627"/>
      <c r="I21" s="5627"/>
      <c r="J21" s="5627"/>
      <c r="K21" s="5627"/>
      <c r="L21" s="5627"/>
      <c r="M21" s="5627"/>
      <c r="N21" s="5627"/>
    </row>
    <row r="22" spans="2:14" ht="15" thickBot="1">
      <c r="B22" s="4423"/>
      <c r="C22" s="4424"/>
      <c r="D22" s="4424"/>
      <c r="E22" s="4424"/>
      <c r="F22" s="4424"/>
      <c r="G22" s="4424"/>
      <c r="H22" s="4424"/>
      <c r="I22" s="4424"/>
      <c r="J22" s="4424"/>
      <c r="K22" s="4424"/>
      <c r="L22" s="5628"/>
      <c r="M22" s="5628"/>
      <c r="N22" s="5628"/>
    </row>
    <row r="23" spans="2:14">
      <c r="B23" s="4433"/>
      <c r="C23" s="1373" t="s">
        <v>1072</v>
      </c>
      <c r="D23" s="1353"/>
      <c r="E23" s="1353" t="s">
        <v>33</v>
      </c>
      <c r="F23" s="1353"/>
      <c r="G23" s="1353"/>
      <c r="H23" s="1353"/>
      <c r="I23" s="1353"/>
      <c r="J23" s="1353"/>
      <c r="K23" s="1353"/>
      <c r="L23" s="1353"/>
      <c r="M23" s="1353"/>
      <c r="N23" s="1354"/>
    </row>
    <row r="24" spans="2:14">
      <c r="B24" s="4434"/>
      <c r="C24" s="1374" t="s">
        <v>36</v>
      </c>
      <c r="D24" s="1355" t="s">
        <v>187</v>
      </c>
      <c r="E24" s="1355" t="s">
        <v>546</v>
      </c>
      <c r="F24" s="1355" t="s">
        <v>188</v>
      </c>
      <c r="G24" s="1355" t="s">
        <v>189</v>
      </c>
      <c r="H24" s="1355" t="s">
        <v>180</v>
      </c>
      <c r="I24" s="1355" t="s">
        <v>42</v>
      </c>
      <c r="J24" s="1355" t="s">
        <v>43</v>
      </c>
      <c r="K24" s="1355" t="s">
        <v>44</v>
      </c>
      <c r="L24" s="1355" t="s">
        <v>45</v>
      </c>
      <c r="M24" s="1355" t="s">
        <v>46</v>
      </c>
      <c r="N24" s="1356" t="s">
        <v>47</v>
      </c>
    </row>
    <row r="25" spans="2:14" ht="15" thickBot="1">
      <c r="B25" s="4434"/>
      <c r="C25" s="1375" t="s">
        <v>579</v>
      </c>
      <c r="D25" s="1126" t="s">
        <v>579</v>
      </c>
      <c r="E25" s="1126" t="s">
        <v>579</v>
      </c>
      <c r="F25" s="1126" t="s">
        <v>579</v>
      </c>
      <c r="G25" s="1126" t="s">
        <v>579</v>
      </c>
      <c r="H25" s="1126" t="s">
        <v>579</v>
      </c>
      <c r="I25" s="1126" t="s">
        <v>579</v>
      </c>
      <c r="J25" s="1126" t="s">
        <v>579</v>
      </c>
      <c r="K25" s="1126" t="s">
        <v>579</v>
      </c>
      <c r="L25" s="1126" t="s">
        <v>579</v>
      </c>
      <c r="M25" s="1126" t="s">
        <v>579</v>
      </c>
      <c r="N25" s="4435"/>
    </row>
    <row r="26" spans="2:14" ht="16.2" thickBot="1">
      <c r="B26" s="1360" t="s">
        <v>1017</v>
      </c>
      <c r="C26" s="1364">
        <f>C42+C42*C32</f>
        <v>48.929380497245297</v>
      </c>
      <c r="D26" s="1128">
        <f t="shared" ref="D26:M26" si="2">D42+D42*D32</f>
        <v>50.932689810733024</v>
      </c>
      <c r="E26" s="1128">
        <f t="shared" si="2"/>
        <v>53.291285934555418</v>
      </c>
      <c r="F26" s="1128">
        <f t="shared" si="2"/>
        <v>48.732591057797165</v>
      </c>
      <c r="G26" s="1128">
        <f t="shared" si="2"/>
        <v>46.092346464597227</v>
      </c>
      <c r="H26" s="1128">
        <f t="shared" si="2"/>
        <v>50.767174905082484</v>
      </c>
      <c r="I26" s="1128">
        <f t="shared" si="2"/>
        <v>53.78133656509695</v>
      </c>
      <c r="J26" s="1128">
        <f t="shared" si="2"/>
        <v>49.973299125409667</v>
      </c>
      <c r="K26" s="1128">
        <f t="shared" si="2"/>
        <v>48.339066069338976</v>
      </c>
      <c r="L26" s="1128">
        <f t="shared" si="2"/>
        <v>64.515110325116282</v>
      </c>
      <c r="M26" s="1128">
        <f t="shared" si="2"/>
        <v>52.920974017457659</v>
      </c>
      <c r="N26" s="4436">
        <v>35.700000000000003</v>
      </c>
    </row>
    <row r="27" spans="2:14" ht="16.2" hidden="1" thickBot="1">
      <c r="B27" s="1361" t="s">
        <v>865</v>
      </c>
      <c r="C27" s="1365">
        <f t="shared" ref="C27:M27" si="3">AVERAGE(C28,C33,C35)</f>
        <v>40.56843422032636</v>
      </c>
      <c r="D27" s="1169">
        <f t="shared" si="3"/>
        <v>47.14196923852748</v>
      </c>
      <c r="E27" s="1169">
        <f t="shared" si="3"/>
        <v>50.87452115812917</v>
      </c>
      <c r="F27" s="1169">
        <f t="shared" si="3"/>
        <v>49.570770628862228</v>
      </c>
      <c r="G27" s="1169">
        <f t="shared" si="3"/>
        <v>44.441995406258968</v>
      </c>
      <c r="H27" s="1169">
        <f t="shared" si="3"/>
        <v>50.756653116531169</v>
      </c>
      <c r="I27" s="1169">
        <f t="shared" si="3"/>
        <v>48.845341643582636</v>
      </c>
      <c r="J27" s="1169">
        <f t="shared" si="3"/>
        <v>45.090299161346856</v>
      </c>
      <c r="K27" s="1169">
        <f t="shared" si="3"/>
        <v>45.92640572131652</v>
      </c>
      <c r="L27" s="1169">
        <f t="shared" si="3"/>
        <v>53.836950000000002</v>
      </c>
      <c r="M27" s="1169">
        <f t="shared" si="3"/>
        <v>50.774516666666671</v>
      </c>
      <c r="N27" s="4437">
        <v>35.67</v>
      </c>
    </row>
    <row r="28" spans="2:14">
      <c r="B28" s="1158" t="s">
        <v>921</v>
      </c>
      <c r="C28" s="1366">
        <f>AVERAGE(C29:C30)</f>
        <v>50.335000000000001</v>
      </c>
      <c r="D28" s="1358">
        <f>AVERAGE(D29:D30)</f>
        <v>61.024999999999999</v>
      </c>
      <c r="E28" s="1358">
        <f>AVERAGE(E29:E30)</f>
        <v>59.019999999999996</v>
      </c>
      <c r="F28" s="1358">
        <f>AVERAGE(F29:F30)</f>
        <v>67.069999999999993</v>
      </c>
      <c r="G28" s="1358">
        <f>AVERAGE(G29:G30)</f>
        <v>57.47</v>
      </c>
      <c r="H28" s="1358">
        <f t="shared" ref="H28:M28" si="4">AVERAGE(H29:H30)</f>
        <v>60.254999999999995</v>
      </c>
      <c r="I28" s="1358">
        <f t="shared" si="4"/>
        <v>57.954999999999998</v>
      </c>
      <c r="J28" s="1358">
        <f t="shared" si="4"/>
        <v>52.8</v>
      </c>
      <c r="K28" s="1358">
        <f t="shared" si="4"/>
        <v>62.484999999999999</v>
      </c>
      <c r="L28" s="1358">
        <f t="shared" si="4"/>
        <v>63.660850000000003</v>
      </c>
      <c r="M28" s="1358">
        <f t="shared" si="4"/>
        <v>66.833550000000002</v>
      </c>
      <c r="N28" s="4438">
        <v>49.6</v>
      </c>
    </row>
    <row r="29" spans="2:14" ht="15.6" hidden="1">
      <c r="B29" s="1111" t="s">
        <v>915</v>
      </c>
      <c r="C29" s="1367">
        <v>49</v>
      </c>
      <c r="D29" s="1127">
        <v>63</v>
      </c>
      <c r="E29" s="1127">
        <v>58</v>
      </c>
      <c r="F29" s="1127">
        <v>71</v>
      </c>
      <c r="G29" s="1127">
        <v>57</v>
      </c>
      <c r="H29" s="1127">
        <v>59</v>
      </c>
      <c r="I29" s="1127">
        <v>55</v>
      </c>
      <c r="J29" s="1127">
        <v>50</v>
      </c>
      <c r="K29" s="1127">
        <v>63</v>
      </c>
      <c r="L29" s="1127">
        <v>61</v>
      </c>
      <c r="M29" s="1127">
        <f>M45*1.05</f>
        <v>65.100000000000009</v>
      </c>
      <c r="N29" s="4439"/>
    </row>
    <row r="30" spans="2:14" ht="15.6" hidden="1">
      <c r="B30" s="5636" t="s">
        <v>1074</v>
      </c>
      <c r="C30" s="1368">
        <v>51.67</v>
      </c>
      <c r="D30" s="1113">
        <v>59.05</v>
      </c>
      <c r="E30" s="1113">
        <v>60.04</v>
      </c>
      <c r="F30" s="1113">
        <v>63.14</v>
      </c>
      <c r="G30" s="1113">
        <v>57.94</v>
      </c>
      <c r="H30" s="1113">
        <v>61.51</v>
      </c>
      <c r="I30" s="1113">
        <v>60.91</v>
      </c>
      <c r="J30" s="1113">
        <v>55.6</v>
      </c>
      <c r="K30" s="1113">
        <v>61.97</v>
      </c>
      <c r="L30" s="1357">
        <f t="shared" ref="L30:M30" si="5">L46*1.03</f>
        <v>66.321700000000007</v>
      </c>
      <c r="M30" s="1357">
        <f t="shared" si="5"/>
        <v>68.567099999999996</v>
      </c>
      <c r="N30" s="4440"/>
    </row>
    <row r="31" spans="2:14" ht="122.4" hidden="1">
      <c r="B31" s="5636"/>
      <c r="C31" s="1369" t="s">
        <v>1069</v>
      </c>
      <c r="D31" s="5637" t="s">
        <v>1370</v>
      </c>
      <c r="E31" s="5638"/>
      <c r="F31" s="5638"/>
      <c r="G31" s="5638"/>
      <c r="H31" s="5638"/>
      <c r="I31" s="5638"/>
      <c r="J31" s="5638"/>
      <c r="K31" s="5639"/>
      <c r="L31" s="1359"/>
      <c r="M31" s="1359"/>
      <c r="N31" s="4441" t="s">
        <v>1410</v>
      </c>
    </row>
    <row r="32" spans="2:14" hidden="1">
      <c r="B32" s="4403"/>
      <c r="C32" s="4442">
        <f>C30/C46-1</f>
        <v>4.9563274426162929E-2</v>
      </c>
      <c r="D32" s="1359">
        <f t="shared" ref="D32:M32" si="6">D30/D46-1</f>
        <v>-7.3962010421920743E-3</v>
      </c>
      <c r="E32" s="1359">
        <f t="shared" si="6"/>
        <v>2.8610587630632178E-2</v>
      </c>
      <c r="F32" s="1359">
        <f t="shared" si="6"/>
        <v>-1.6357688113413316E-2</v>
      </c>
      <c r="G32" s="1359">
        <f t="shared" si="6"/>
        <v>-1.8949181739879029E-3</v>
      </c>
      <c r="H32" s="1359">
        <f t="shared" si="6"/>
        <v>1.6260162601633432E-4</v>
      </c>
      <c r="I32" s="1359">
        <f t="shared" si="6"/>
        <v>5.4536011080332347E-2</v>
      </c>
      <c r="J32" s="1359">
        <f t="shared" si="6"/>
        <v>4.3935411190386908E-2</v>
      </c>
      <c r="K32" s="1359">
        <f t="shared" si="6"/>
        <v>-4.6908643494309454E-2</v>
      </c>
      <c r="L32" s="1359">
        <f t="shared" si="6"/>
        <v>3.0000000000000027E-2</v>
      </c>
      <c r="M32" s="1359">
        <f t="shared" si="6"/>
        <v>3.0000000000000027E-2</v>
      </c>
      <c r="N32" s="2238"/>
    </row>
    <row r="33" spans="1:14" ht="15.6" hidden="1">
      <c r="B33" s="1164" t="s">
        <v>917</v>
      </c>
      <c r="C33" s="1370">
        <f>C48+C48*C32</f>
        <v>45.131220800325003</v>
      </c>
      <c r="D33" s="1166">
        <f t="shared" ref="D33:M33" si="7">D48+D48*D32</f>
        <v>58.563624138510669</v>
      </c>
      <c r="E33" s="1166">
        <f t="shared" si="7"/>
        <v>62.74524584546856</v>
      </c>
      <c r="F33" s="1166">
        <f t="shared" si="7"/>
        <v>57.051254089422031</v>
      </c>
      <c r="G33" s="1166">
        <f t="shared" si="7"/>
        <v>52.89956933677864</v>
      </c>
      <c r="H33" s="1166">
        <f t="shared" si="7"/>
        <v>61.009918699186997</v>
      </c>
      <c r="I33" s="1166">
        <f t="shared" si="7"/>
        <v>57.999480609418278</v>
      </c>
      <c r="J33" s="1166">
        <f t="shared" si="7"/>
        <v>55.328576793090505</v>
      </c>
      <c r="K33" s="1166">
        <f t="shared" si="7"/>
        <v>53.373115964318671</v>
      </c>
      <c r="L33" s="1166">
        <f t="shared" si="7"/>
        <v>63.86</v>
      </c>
      <c r="M33" s="1166">
        <f t="shared" si="7"/>
        <v>60.77</v>
      </c>
      <c r="N33" s="4443">
        <v>38.6</v>
      </c>
    </row>
    <row r="34" spans="1:14" ht="15.6">
      <c r="B34" s="1162" t="s">
        <v>1018</v>
      </c>
      <c r="C34" s="1371">
        <f>C49</f>
        <v>46.629727594339634</v>
      </c>
      <c r="D34" s="1163">
        <f t="shared" ref="D34:M34" si="8">D49</f>
        <v>51.933741745283008</v>
      </c>
      <c r="E34" s="1163">
        <f t="shared" si="8"/>
        <v>53.491753997641496</v>
      </c>
      <c r="F34" s="1163">
        <f t="shared" si="8"/>
        <v>55.096506617570739</v>
      </c>
      <c r="G34" s="1163">
        <f t="shared" si="8"/>
        <v>56.749401816097858</v>
      </c>
      <c r="H34" s="1163">
        <f t="shared" si="8"/>
        <v>58.451883870580794</v>
      </c>
      <c r="I34" s="1163">
        <f t="shared" si="8"/>
        <v>55.01</v>
      </c>
      <c r="J34" s="1163">
        <f t="shared" si="8"/>
        <v>62.01160359829916</v>
      </c>
      <c r="K34" s="1163">
        <f t="shared" si="8"/>
        <v>63.871951706248133</v>
      </c>
      <c r="L34" s="1163">
        <f t="shared" si="8"/>
        <v>65.788110257435577</v>
      </c>
      <c r="M34" s="1163">
        <f t="shared" si="8"/>
        <v>67.761753565158642</v>
      </c>
      <c r="N34" s="4444">
        <f>AVERAGE(C34:M34)</f>
        <v>57.890584978968633</v>
      </c>
    </row>
    <row r="35" spans="1:14" ht="15.6" hidden="1">
      <c r="B35" s="1164" t="s">
        <v>918</v>
      </c>
      <c r="C35" s="1370">
        <f>C50+C50*C32</f>
        <v>26.239081860654075</v>
      </c>
      <c r="D35" s="1166">
        <f t="shared" ref="D35:M35" si="9">D50+D50*D32</f>
        <v>21.837283577071773</v>
      </c>
      <c r="E35" s="1166">
        <f t="shared" si="9"/>
        <v>30.858317628918964</v>
      </c>
      <c r="F35" s="1166">
        <f t="shared" si="9"/>
        <v>24.591057797164666</v>
      </c>
      <c r="G35" s="1166">
        <f t="shared" si="9"/>
        <v>22.95641688199828</v>
      </c>
      <c r="H35" s="1166">
        <f t="shared" si="9"/>
        <v>31.005040650406507</v>
      </c>
      <c r="I35" s="1166">
        <f t="shared" si="9"/>
        <v>30.581544321329638</v>
      </c>
      <c r="J35" s="1166">
        <f t="shared" si="9"/>
        <v>27.142320690950058</v>
      </c>
      <c r="K35" s="1166">
        <f t="shared" si="9"/>
        <v>21.921101199630883</v>
      </c>
      <c r="L35" s="1166">
        <f t="shared" si="9"/>
        <v>33.99</v>
      </c>
      <c r="M35" s="1166">
        <f t="shared" si="9"/>
        <v>24.72</v>
      </c>
      <c r="N35" s="4443">
        <f t="shared" ref="N35:N36" si="10">AVERAGE(C35:M35)</f>
        <v>26.894742237102253</v>
      </c>
    </row>
    <row r="36" spans="1:14" ht="16.2" thickBot="1">
      <c r="B36" s="1383" t="s">
        <v>1018</v>
      </c>
      <c r="C36" s="1372">
        <f>C51</f>
        <v>38.714876649746188</v>
      </c>
      <c r="D36" s="1171">
        <f t="shared" ref="D36:M36" si="11">D51</f>
        <v>38.873088832487319</v>
      </c>
      <c r="E36" s="1171">
        <f t="shared" si="11"/>
        <v>40.039281497461936</v>
      </c>
      <c r="F36" s="1171">
        <f t="shared" si="11"/>
        <v>41.24045994238579</v>
      </c>
      <c r="G36" s="1171">
        <f t="shared" si="11"/>
        <v>42.477673740657366</v>
      </c>
      <c r="H36" s="1171">
        <f t="shared" si="11"/>
        <v>43.752003952877089</v>
      </c>
      <c r="I36" s="1171">
        <f t="shared" si="11"/>
        <v>29.1</v>
      </c>
      <c r="J36" s="1171">
        <f t="shared" si="11"/>
        <v>46.416500993607301</v>
      </c>
      <c r="K36" s="1171">
        <f t="shared" si="11"/>
        <v>47.808996023415517</v>
      </c>
      <c r="L36" s="1171">
        <f t="shared" si="11"/>
        <v>49.243265904117983</v>
      </c>
      <c r="M36" s="1171">
        <f t="shared" si="11"/>
        <v>50.720563881241524</v>
      </c>
      <c r="N36" s="4445">
        <f t="shared" si="10"/>
        <v>42.580610128908916</v>
      </c>
    </row>
    <row r="37" spans="1:14" ht="15" thickBot="1">
      <c r="B37" s="4446"/>
      <c r="C37" s="1156">
        <f>C27/C43-1</f>
        <v>3.9194831242616912E-2</v>
      </c>
      <c r="D37" s="1157">
        <f t="shared" ref="D37:M37" si="12">IF((D27/D43-1)=-100%,"",D27/D43-1)</f>
        <v>-5.7583203938104122E-3</v>
      </c>
      <c r="E37" s="1157">
        <f t="shared" si="12"/>
        <v>2.3048989337986381E-2</v>
      </c>
      <c r="F37" s="1157">
        <f t="shared" si="12"/>
        <v>-1.2501664154940806E-2</v>
      </c>
      <c r="G37" s="1157">
        <f t="shared" si="12"/>
        <v>-1.490460821741979E-3</v>
      </c>
      <c r="H37" s="1157">
        <f t="shared" si="12"/>
        <v>1.3109589223980755E-4</v>
      </c>
      <c r="I37" s="1157">
        <f t="shared" si="12"/>
        <v>4.3852578221597938E-2</v>
      </c>
      <c r="J37" s="1157">
        <f t="shared" si="12"/>
        <v>3.5527041904926726E-2</v>
      </c>
      <c r="K37" s="1157">
        <f t="shared" si="12"/>
        <v>-3.6576343165166225E-2</v>
      </c>
      <c r="L37" s="1157">
        <f t="shared" si="12"/>
        <v>2.4197660039950719E-2</v>
      </c>
      <c r="M37" s="1157">
        <f t="shared" si="12"/>
        <v>3.4209525749397507E-2</v>
      </c>
      <c r="N37" s="2242">
        <f>IF((N27/N43-1)=-100%,"",N27/N43-1)</f>
        <v>-6.1759925702343788E-3</v>
      </c>
    </row>
    <row r="38" spans="1:14">
      <c r="B38" s="4447"/>
      <c r="C38" s="4447"/>
      <c r="D38" s="4447"/>
      <c r="E38" s="4447"/>
      <c r="F38" s="4447"/>
      <c r="G38" s="4447"/>
      <c r="H38" s="4447"/>
      <c r="I38" s="4447"/>
      <c r="J38" s="4447"/>
      <c r="K38" s="4447"/>
      <c r="L38" s="4447"/>
      <c r="M38" s="4447"/>
      <c r="N38" s="4447"/>
    </row>
    <row r="39" spans="1:14" hidden="1">
      <c r="A39" s="4448"/>
      <c r="B39" s="4433"/>
      <c r="C39" s="1402" t="s">
        <v>1071</v>
      </c>
      <c r="D39" s="870"/>
      <c r="E39" s="870" t="s">
        <v>33</v>
      </c>
      <c r="F39" s="870"/>
      <c r="G39" s="870"/>
      <c r="H39" s="870"/>
      <c r="I39" s="870"/>
      <c r="J39" s="870"/>
      <c r="K39" s="870"/>
      <c r="L39" s="870"/>
      <c r="M39" s="870"/>
      <c r="N39" s="871"/>
    </row>
    <row r="40" spans="1:14" hidden="1">
      <c r="A40" s="2213"/>
      <c r="B40" s="4434"/>
      <c r="C40" s="1403" t="s">
        <v>36</v>
      </c>
      <c r="D40" s="1102" t="s">
        <v>187</v>
      </c>
      <c r="E40" s="1102" t="s">
        <v>546</v>
      </c>
      <c r="F40" s="1102" t="s">
        <v>188</v>
      </c>
      <c r="G40" s="1102" t="s">
        <v>189</v>
      </c>
      <c r="H40" s="1102" t="s">
        <v>180</v>
      </c>
      <c r="I40" s="1102" t="s">
        <v>42</v>
      </c>
      <c r="J40" s="1102" t="s">
        <v>43</v>
      </c>
      <c r="K40" s="1102" t="s">
        <v>44</v>
      </c>
      <c r="L40" s="1102" t="s">
        <v>45</v>
      </c>
      <c r="M40" s="1102" t="s">
        <v>46</v>
      </c>
      <c r="N40" s="1103" t="s">
        <v>47</v>
      </c>
    </row>
    <row r="41" spans="1:14" hidden="1">
      <c r="A41" s="4423"/>
      <c r="B41" s="4434"/>
      <c r="C41" s="1404" t="s">
        <v>862</v>
      </c>
      <c r="D41" s="1125"/>
      <c r="E41" s="1125"/>
      <c r="F41" s="1125"/>
      <c r="G41" s="1125"/>
      <c r="H41" s="1125"/>
      <c r="I41" s="4449"/>
      <c r="J41" s="1125"/>
      <c r="K41" s="1125"/>
      <c r="L41" s="1125"/>
      <c r="M41" s="1126" t="s">
        <v>579</v>
      </c>
      <c r="N41" s="1376" t="s">
        <v>579</v>
      </c>
    </row>
    <row r="42" spans="1:14" ht="16.2" hidden="1" thickBot="1">
      <c r="A42" s="4423"/>
      <c r="B42" s="1110" t="s">
        <v>1017</v>
      </c>
      <c r="C42" s="1389">
        <v>46.618800113787223</v>
      </c>
      <c r="D42" s="1124">
        <v>51.312205196282946</v>
      </c>
      <c r="E42" s="1124">
        <v>51.808999999999997</v>
      </c>
      <c r="F42" s="1124">
        <v>49.542999999999999</v>
      </c>
      <c r="G42" s="1124">
        <v>46.179853508282172</v>
      </c>
      <c r="H42" s="1124">
        <v>50.758921421924441</v>
      </c>
      <c r="I42" s="1124">
        <v>51</v>
      </c>
      <c r="J42" s="1124">
        <v>47.870106320491338</v>
      </c>
      <c r="K42" s="1124">
        <v>50.718187442769405</v>
      </c>
      <c r="L42" s="1124">
        <v>62.636029441860465</v>
      </c>
      <c r="M42" s="1128">
        <v>51.379586424716173</v>
      </c>
      <c r="N42" s="1129">
        <v>42.539779832495817</v>
      </c>
    </row>
    <row r="43" spans="1:14" ht="16.2" hidden="1" thickBot="1">
      <c r="A43" s="4450"/>
      <c r="B43" s="1167" t="s">
        <v>865</v>
      </c>
      <c r="C43" s="1406">
        <f t="shared" ref="C43:N43" si="13">AVERAGE(C44,C48,C50)</f>
        <v>39.038333333333334</v>
      </c>
      <c r="D43" s="1168">
        <f t="shared" si="13"/>
        <v>47.414999999999999</v>
      </c>
      <c r="E43" s="1168">
        <f t="shared" si="13"/>
        <v>49.728333333333332</v>
      </c>
      <c r="F43" s="1168">
        <f t="shared" si="13"/>
        <v>50.198333333333331</v>
      </c>
      <c r="G43" s="1168">
        <f t="shared" si="13"/>
        <v>44.508333333333333</v>
      </c>
      <c r="H43" s="1168">
        <f t="shared" si="13"/>
        <v>50.75</v>
      </c>
      <c r="I43" s="1168">
        <f t="shared" si="13"/>
        <v>46.793333333333329</v>
      </c>
      <c r="J43" s="1168">
        <f t="shared" si="13"/>
        <v>43.543333333333329</v>
      </c>
      <c r="K43" s="1168">
        <f t="shared" si="13"/>
        <v>47.669999999999995</v>
      </c>
      <c r="L43" s="1168">
        <f t="shared" si="13"/>
        <v>52.564999999999998</v>
      </c>
      <c r="M43" s="1169">
        <f t="shared" si="13"/>
        <v>49.094999999999999</v>
      </c>
      <c r="N43" s="1170">
        <f t="shared" si="13"/>
        <v>35.891666666666666</v>
      </c>
    </row>
    <row r="44" spans="1:14" hidden="1">
      <c r="A44" s="4450"/>
      <c r="B44" s="1158" t="s">
        <v>921</v>
      </c>
      <c r="C44" s="1159">
        <f t="shared" ref="C44:N44" si="14">AVERAGE(C45:C46)</f>
        <v>49.114999999999995</v>
      </c>
      <c r="D44" s="1159">
        <f t="shared" si="14"/>
        <v>61.245000000000005</v>
      </c>
      <c r="E44" s="1159">
        <f t="shared" si="14"/>
        <v>58.185000000000002</v>
      </c>
      <c r="F44" s="1159">
        <f t="shared" si="14"/>
        <v>67.594999999999999</v>
      </c>
      <c r="G44" s="1159">
        <f t="shared" si="14"/>
        <v>57.524999999999999</v>
      </c>
      <c r="H44" s="1159">
        <f t="shared" si="14"/>
        <v>60.25</v>
      </c>
      <c r="I44" s="1159">
        <f t="shared" si="14"/>
        <v>56.379999999999995</v>
      </c>
      <c r="J44" s="1159">
        <f t="shared" si="14"/>
        <v>51.629999999999995</v>
      </c>
      <c r="K44" s="1159">
        <f t="shared" si="14"/>
        <v>64.009999999999991</v>
      </c>
      <c r="L44" s="1159">
        <f t="shared" si="14"/>
        <v>62.695</v>
      </c>
      <c r="M44" s="1159">
        <f t="shared" si="14"/>
        <v>64.284999999999997</v>
      </c>
      <c r="N44" s="1160">
        <f t="shared" si="14"/>
        <v>48.674999999999997</v>
      </c>
    </row>
    <row r="45" spans="1:14" ht="15.6" hidden="1">
      <c r="A45" s="4450"/>
      <c r="B45" s="1111" t="s">
        <v>915</v>
      </c>
      <c r="C45" s="1123">
        <v>49</v>
      </c>
      <c r="D45" s="1123">
        <v>63</v>
      </c>
      <c r="E45" s="1123">
        <v>58</v>
      </c>
      <c r="F45" s="1123">
        <v>71</v>
      </c>
      <c r="G45" s="1123">
        <v>57</v>
      </c>
      <c r="H45" s="1123">
        <v>59</v>
      </c>
      <c r="I45" s="1123">
        <v>55</v>
      </c>
      <c r="J45" s="1123">
        <v>50</v>
      </c>
      <c r="K45" s="1123">
        <v>63</v>
      </c>
      <c r="L45" s="1123">
        <v>61</v>
      </c>
      <c r="M45" s="1123">
        <v>62</v>
      </c>
      <c r="N45" s="1362">
        <v>52</v>
      </c>
    </row>
    <row r="46" spans="1:14" ht="15.6" hidden="1">
      <c r="A46" s="4450"/>
      <c r="B46" s="1112" t="s">
        <v>916</v>
      </c>
      <c r="C46" s="1113">
        <v>49.23</v>
      </c>
      <c r="D46" s="1113">
        <v>59.49</v>
      </c>
      <c r="E46" s="1114">
        <v>58.37</v>
      </c>
      <c r="F46" s="1114">
        <v>64.19</v>
      </c>
      <c r="G46" s="1114">
        <v>58.05</v>
      </c>
      <c r="H46" s="1114">
        <v>61.5</v>
      </c>
      <c r="I46" s="1114">
        <v>57.76</v>
      </c>
      <c r="J46" s="1114">
        <v>53.26</v>
      </c>
      <c r="K46" s="1114">
        <v>65.02</v>
      </c>
      <c r="L46" s="1114">
        <v>64.39</v>
      </c>
      <c r="M46" s="1114">
        <v>66.569999999999993</v>
      </c>
      <c r="N46" s="1352">
        <v>45.35</v>
      </c>
    </row>
    <row r="47" spans="1:14" hidden="1">
      <c r="A47" s="4451"/>
      <c r="B47" s="1115" t="s">
        <v>907</v>
      </c>
      <c r="C47" s="1116"/>
      <c r="D47" s="1117">
        <f t="shared" ref="D47:N47" si="15">IF((D46/D61-1)=-100%,"",D46/D61-1)</f>
        <v>4.3501140150850715E-2</v>
      </c>
      <c r="E47" s="1117">
        <f t="shared" si="15"/>
        <v>-1.1180755548026444E-2</v>
      </c>
      <c r="F47" s="1117">
        <f t="shared" si="15"/>
        <v>0.17392099487929769</v>
      </c>
      <c r="G47" s="1117">
        <f t="shared" si="15"/>
        <v>8.2013047530288929E-2</v>
      </c>
      <c r="H47" s="1117">
        <f t="shared" si="15"/>
        <v>4.2019654354455982E-2</v>
      </c>
      <c r="I47" s="1117">
        <f t="shared" si="15"/>
        <v>1.7797356828193722E-2</v>
      </c>
      <c r="J47" s="1117">
        <f t="shared" si="15"/>
        <v>-8.7474409082448634E-3</v>
      </c>
      <c r="K47" s="1117">
        <f t="shared" si="15"/>
        <v>0.14110214110214114</v>
      </c>
      <c r="L47" s="1117">
        <f t="shared" si="15"/>
        <v>0.11401384083044985</v>
      </c>
      <c r="M47" s="1117">
        <f t="shared" si="15"/>
        <v>3.7077426390403456E-2</v>
      </c>
      <c r="N47" s="1161">
        <f t="shared" si="15"/>
        <v>-3.0775994724114852E-3</v>
      </c>
    </row>
    <row r="48" spans="1:14" ht="15.6" hidden="1">
      <c r="A48" s="4451"/>
      <c r="B48" s="1164" t="s">
        <v>917</v>
      </c>
      <c r="C48" s="1165">
        <v>43</v>
      </c>
      <c r="D48" s="1165">
        <v>59</v>
      </c>
      <c r="E48" s="1165">
        <v>61</v>
      </c>
      <c r="F48" s="1165">
        <v>58</v>
      </c>
      <c r="G48" s="1165">
        <v>53</v>
      </c>
      <c r="H48" s="1165">
        <v>61</v>
      </c>
      <c r="I48" s="1165">
        <v>55</v>
      </c>
      <c r="J48" s="1165">
        <v>53</v>
      </c>
      <c r="K48" s="1165">
        <v>56</v>
      </c>
      <c r="L48" s="1165">
        <v>62</v>
      </c>
      <c r="M48" s="1165">
        <v>59</v>
      </c>
      <c r="N48" s="1363">
        <v>40</v>
      </c>
    </row>
    <row r="49" spans="1:14" ht="15.6" hidden="1">
      <c r="B49" s="1162" t="s">
        <v>1018</v>
      </c>
      <c r="C49" s="1381">
        <v>46.629727594339634</v>
      </c>
      <c r="D49" s="1381">
        <v>51.933741745283008</v>
      </c>
      <c r="E49" s="1381">
        <v>53.491753997641496</v>
      </c>
      <c r="F49" s="1381">
        <v>55.096506617570739</v>
      </c>
      <c r="G49" s="1381">
        <v>56.749401816097858</v>
      </c>
      <c r="H49" s="1381">
        <v>58.451883870580794</v>
      </c>
      <c r="I49" s="1381">
        <v>55.01</v>
      </c>
      <c r="J49" s="1381">
        <v>62.01160359829916</v>
      </c>
      <c r="K49" s="1381">
        <v>63.871951706248133</v>
      </c>
      <c r="L49" s="1381">
        <v>65.788110257435577</v>
      </c>
      <c r="M49" s="1381">
        <v>67.761753565158642</v>
      </c>
      <c r="N49" s="1382">
        <v>69.794606172113404</v>
      </c>
    </row>
    <row r="50" spans="1:14" ht="15.6" hidden="1">
      <c r="B50" s="1164" t="s">
        <v>918</v>
      </c>
      <c r="C50" s="1165">
        <v>25</v>
      </c>
      <c r="D50" s="1165">
        <v>22</v>
      </c>
      <c r="E50" s="1165">
        <v>30</v>
      </c>
      <c r="F50" s="1165">
        <v>25</v>
      </c>
      <c r="G50" s="1165">
        <v>23</v>
      </c>
      <c r="H50" s="1165">
        <v>31</v>
      </c>
      <c r="I50" s="1165">
        <v>29</v>
      </c>
      <c r="J50" s="1165">
        <v>26</v>
      </c>
      <c r="K50" s="1165">
        <v>23</v>
      </c>
      <c r="L50" s="1165">
        <v>33</v>
      </c>
      <c r="M50" s="1165">
        <v>24</v>
      </c>
      <c r="N50" s="1363">
        <v>19</v>
      </c>
    </row>
    <row r="51" spans="1:14" ht="16.2" hidden="1" thickBot="1">
      <c r="B51" s="1162" t="s">
        <v>1018</v>
      </c>
      <c r="C51" s="1386">
        <v>38.714876649746188</v>
      </c>
      <c r="D51" s="1386">
        <v>38.873088832487319</v>
      </c>
      <c r="E51" s="1386">
        <v>40.039281497461936</v>
      </c>
      <c r="F51" s="1386">
        <v>41.24045994238579</v>
      </c>
      <c r="G51" s="1386">
        <v>42.477673740657366</v>
      </c>
      <c r="H51" s="1386">
        <v>43.752003952877089</v>
      </c>
      <c r="I51" s="1386">
        <v>29.1</v>
      </c>
      <c r="J51" s="1386">
        <v>46.416500993607301</v>
      </c>
      <c r="K51" s="1386">
        <v>47.808996023415517</v>
      </c>
      <c r="L51" s="1386">
        <v>49.243265904117983</v>
      </c>
      <c r="M51" s="1386">
        <v>50.720563881241524</v>
      </c>
      <c r="N51" s="1387">
        <v>52.24218079767877</v>
      </c>
    </row>
    <row r="52" spans="1:14" ht="15" hidden="1" thickBot="1">
      <c r="B52" s="4446"/>
      <c r="C52" s="1156">
        <f>C43/C58-1</f>
        <v>-0.1374835209145242</v>
      </c>
      <c r="D52" s="1157">
        <f t="shared" ref="D52:N52" si="16">IF((D43/D58-1)=-100%,"",D43/D58-1)</f>
        <v>-4.8229367395463574E-2</v>
      </c>
      <c r="E52" s="1157">
        <f t="shared" si="16"/>
        <v>-1.1365142478462542E-2</v>
      </c>
      <c r="F52" s="1157">
        <f t="shared" si="16"/>
        <v>4.3624393624393631E-2</v>
      </c>
      <c r="G52" s="1157">
        <f t="shared" si="16"/>
        <v>4.0522111825443297E-2</v>
      </c>
      <c r="H52" s="1157">
        <f t="shared" si="16"/>
        <v>9.9198613818497039E-2</v>
      </c>
      <c r="I52" s="1157">
        <f t="shared" si="16"/>
        <v>5.648165569143937E-2</v>
      </c>
      <c r="J52" s="1157">
        <f t="shared" si="16"/>
        <v>-3.1401772142513051E-2</v>
      </c>
      <c r="K52" s="1157">
        <f t="shared" si="16"/>
        <v>7.1316203460933147E-2</v>
      </c>
      <c r="L52" s="1157">
        <f t="shared" si="16"/>
        <v>0.13941473988439301</v>
      </c>
      <c r="M52" s="1157">
        <f t="shared" si="16"/>
        <v>-4.7284841036256076E-2</v>
      </c>
      <c r="N52" s="1157">
        <f t="shared" si="16"/>
        <v>-6.5686146904420983E-2</v>
      </c>
    </row>
    <row r="53" spans="1:14" hidden="1">
      <c r="B53" s="4447"/>
      <c r="C53" s="4447"/>
      <c r="D53" s="4447"/>
      <c r="E53" s="4447"/>
      <c r="F53" s="4447"/>
      <c r="G53" s="4447"/>
      <c r="H53" s="4447"/>
      <c r="I53" s="4447"/>
      <c r="J53" s="4447"/>
      <c r="K53" s="4447"/>
      <c r="L53" s="4447"/>
      <c r="M53" s="4447"/>
      <c r="N53" s="4447"/>
    </row>
    <row r="54" spans="1:14" hidden="1">
      <c r="B54" s="4433"/>
      <c r="C54" s="565" t="s">
        <v>580</v>
      </c>
      <c r="D54" s="336"/>
      <c r="E54" s="336" t="s">
        <v>33</v>
      </c>
      <c r="F54" s="336"/>
      <c r="G54" s="336"/>
      <c r="H54" s="336"/>
      <c r="I54" s="336"/>
      <c r="J54" s="336"/>
      <c r="K54" s="336"/>
      <c r="L54" s="336"/>
      <c r="M54" s="336"/>
      <c r="N54" s="337"/>
    </row>
    <row r="55" spans="1:14" hidden="1">
      <c r="B55" s="4434"/>
      <c r="C55" s="341" t="s">
        <v>36</v>
      </c>
      <c r="D55" s="341" t="s">
        <v>187</v>
      </c>
      <c r="E55" s="341" t="s">
        <v>546</v>
      </c>
      <c r="F55" s="341" t="s">
        <v>188</v>
      </c>
      <c r="G55" s="341" t="s">
        <v>189</v>
      </c>
      <c r="H55" s="341" t="s">
        <v>180</v>
      </c>
      <c r="I55" s="341" t="s">
        <v>42</v>
      </c>
      <c r="J55" s="341" t="s">
        <v>43</v>
      </c>
      <c r="K55" s="341" t="s">
        <v>44</v>
      </c>
      <c r="L55" s="341" t="s">
        <v>45</v>
      </c>
      <c r="M55" s="341" t="s">
        <v>46</v>
      </c>
      <c r="N55" s="342" t="s">
        <v>47</v>
      </c>
    </row>
    <row r="56" spans="1:14" ht="69" hidden="1">
      <c r="B56" s="4434"/>
      <c r="C56" s="4452" t="s">
        <v>602</v>
      </c>
      <c r="D56" s="4452" t="s">
        <v>733</v>
      </c>
      <c r="E56" s="4452" t="s">
        <v>735</v>
      </c>
      <c r="F56" s="4452" t="s">
        <v>735</v>
      </c>
      <c r="G56" s="5634" t="s">
        <v>862</v>
      </c>
      <c r="H56" s="5634"/>
      <c r="I56" s="5634"/>
      <c r="J56" s="5634"/>
      <c r="K56" s="5634"/>
      <c r="L56" s="5634"/>
      <c r="M56" s="5634"/>
      <c r="N56" s="5635"/>
    </row>
    <row r="57" spans="1:14" ht="16.2" hidden="1" thickBot="1">
      <c r="B57" s="1110"/>
      <c r="C57" s="1389"/>
      <c r="D57" s="1124"/>
      <c r="E57" s="1124"/>
      <c r="F57" s="1124"/>
      <c r="G57" s="1124"/>
      <c r="H57" s="1124"/>
      <c r="I57" s="1124"/>
      <c r="J57" s="1124"/>
      <c r="K57" s="1124"/>
      <c r="L57" s="1124"/>
      <c r="M57" s="1124"/>
      <c r="N57" s="1390"/>
    </row>
    <row r="58" spans="1:14" ht="16.2" hidden="1" thickBot="1">
      <c r="B58" s="1110" t="s">
        <v>865</v>
      </c>
      <c r="C58" s="1389">
        <v>45.260970984259437</v>
      </c>
      <c r="D58" s="1124">
        <v>49.817674947847522</v>
      </c>
      <c r="E58" s="1124">
        <v>50.3</v>
      </c>
      <c r="F58" s="1124">
        <v>48.1</v>
      </c>
      <c r="G58" s="1124">
        <f t="shared" ref="G58:N58" si="17">AVERAGE(G59,G62,G64)</f>
        <v>42.774999999999999</v>
      </c>
      <c r="H58" s="1124">
        <f t="shared" si="17"/>
        <v>46.169999999999995</v>
      </c>
      <c r="I58" s="1124">
        <f t="shared" si="17"/>
        <v>44.291666666666664</v>
      </c>
      <c r="J58" s="1124">
        <f t="shared" si="17"/>
        <v>44.955000000000005</v>
      </c>
      <c r="K58" s="1124">
        <f t="shared" si="17"/>
        <v>44.49666666666667</v>
      </c>
      <c r="L58" s="1124">
        <f t="shared" si="17"/>
        <v>46.133333333333333</v>
      </c>
      <c r="M58" s="1124">
        <f t="shared" si="17"/>
        <v>51.531666666666666</v>
      </c>
      <c r="N58" s="1390">
        <f t="shared" si="17"/>
        <v>38.414999999999999</v>
      </c>
    </row>
    <row r="59" spans="1:14" hidden="1">
      <c r="B59" s="1130" t="s">
        <v>921</v>
      </c>
      <c r="C59" s="1391"/>
      <c r="D59" s="1131"/>
      <c r="E59" s="1131"/>
      <c r="F59" s="1131"/>
      <c r="G59" s="1131">
        <f>AVERAGE(G60:G61)</f>
        <v>55.325000000000003</v>
      </c>
      <c r="H59" s="1131">
        <f t="shared" ref="H59:N59" si="18">AVERAGE(H60:H61)</f>
        <v>57.510000000000005</v>
      </c>
      <c r="I59" s="1131">
        <f t="shared" si="18"/>
        <v>55.875</v>
      </c>
      <c r="J59" s="1131">
        <f t="shared" si="18"/>
        <v>48.864999999999995</v>
      </c>
      <c r="K59" s="1131">
        <f t="shared" si="18"/>
        <v>57.489999999999995</v>
      </c>
      <c r="L59" s="1131">
        <f t="shared" si="18"/>
        <v>56.4</v>
      </c>
      <c r="M59" s="1131">
        <f t="shared" si="18"/>
        <v>66.594999999999999</v>
      </c>
      <c r="N59" s="1392">
        <f t="shared" si="18"/>
        <v>48.245000000000005</v>
      </c>
    </row>
    <row r="60" spans="1:14" ht="15.6" hidden="1">
      <c r="B60" s="1111" t="s">
        <v>915</v>
      </c>
      <c r="C60" s="1393">
        <v>47</v>
      </c>
      <c r="D60" s="1123">
        <v>58</v>
      </c>
      <c r="E60" s="1123">
        <v>63</v>
      </c>
      <c r="F60" s="1123">
        <v>60</v>
      </c>
      <c r="G60" s="1123">
        <v>57</v>
      </c>
      <c r="H60" s="1123">
        <v>56</v>
      </c>
      <c r="I60" s="1123">
        <v>55</v>
      </c>
      <c r="J60" s="1123">
        <v>44</v>
      </c>
      <c r="K60" s="1123">
        <v>58</v>
      </c>
      <c r="L60" s="1123">
        <v>55</v>
      </c>
      <c r="M60" s="1123">
        <v>69</v>
      </c>
      <c r="N60" s="1362">
        <v>51</v>
      </c>
    </row>
    <row r="61" spans="1:14" ht="24.6" hidden="1">
      <c r="A61" s="4453" t="s">
        <v>1073</v>
      </c>
      <c r="B61" s="1119" t="s">
        <v>908</v>
      </c>
      <c r="C61" s="1394">
        <v>49.83</v>
      </c>
      <c r="D61" s="1120">
        <v>57.01</v>
      </c>
      <c r="E61" s="1114">
        <v>59.03</v>
      </c>
      <c r="F61" s="1114">
        <v>54.68</v>
      </c>
      <c r="G61" s="1114">
        <v>53.65</v>
      </c>
      <c r="H61" s="1114">
        <v>59.02</v>
      </c>
      <c r="I61" s="1114">
        <v>56.75</v>
      </c>
      <c r="J61" s="1114">
        <v>53.73</v>
      </c>
      <c r="K61" s="1114">
        <v>56.98</v>
      </c>
      <c r="L61" s="1114">
        <v>57.8</v>
      </c>
      <c r="M61" s="1114">
        <v>64.19</v>
      </c>
      <c r="N61" s="1352">
        <v>45.49</v>
      </c>
    </row>
    <row r="62" spans="1:14" ht="15.6" hidden="1">
      <c r="B62" s="1164" t="s">
        <v>919</v>
      </c>
      <c r="C62" s="1395">
        <v>39</v>
      </c>
      <c r="D62" s="1165">
        <v>52</v>
      </c>
      <c r="E62" s="1165">
        <v>55</v>
      </c>
      <c r="F62" s="1165">
        <v>51</v>
      </c>
      <c r="G62" s="1165">
        <v>48</v>
      </c>
      <c r="H62" s="1165">
        <v>54</v>
      </c>
      <c r="I62" s="1165">
        <v>48</v>
      </c>
      <c r="J62" s="1165">
        <v>55</v>
      </c>
      <c r="K62" s="1165">
        <v>48</v>
      </c>
      <c r="L62" s="1165">
        <v>57</v>
      </c>
      <c r="M62" s="1165">
        <v>58</v>
      </c>
      <c r="N62" s="1363">
        <v>43</v>
      </c>
    </row>
    <row r="63" spans="1:14" ht="15.6" hidden="1">
      <c r="B63" s="1162" t="s">
        <v>1018</v>
      </c>
      <c r="C63" s="1396">
        <v>45.271580188679259</v>
      </c>
      <c r="D63" s="1172">
        <v>50.421108490566027</v>
      </c>
      <c r="E63" s="1173">
        <v>51.933741745283008</v>
      </c>
      <c r="F63" s="1173">
        <v>53.491753997641496</v>
      </c>
      <c r="G63" s="1388">
        <v>55.096506617570739</v>
      </c>
      <c r="H63" s="1388">
        <v>56.749401816097858</v>
      </c>
      <c r="I63" s="1388">
        <v>58.451883870580794</v>
      </c>
      <c r="J63" s="1388">
        <v>60.205440386698214</v>
      </c>
      <c r="K63" s="1388">
        <v>62.01160359829916</v>
      </c>
      <c r="L63" s="1388">
        <v>63.871951706248133</v>
      </c>
      <c r="M63" s="1388">
        <v>65.788110257435577</v>
      </c>
      <c r="N63" s="1397">
        <v>67.761753565158642</v>
      </c>
    </row>
    <row r="64" spans="1:14" ht="15.6" hidden="1">
      <c r="A64" s="4453" t="s">
        <v>1073</v>
      </c>
      <c r="B64" s="1164" t="s">
        <v>920</v>
      </c>
      <c r="C64" s="1395">
        <v>26</v>
      </c>
      <c r="D64" s="1165">
        <v>27</v>
      </c>
      <c r="E64" s="1165">
        <v>28</v>
      </c>
      <c r="F64" s="1165">
        <v>32</v>
      </c>
      <c r="G64" s="1165">
        <v>25</v>
      </c>
      <c r="H64" s="1165">
        <v>27</v>
      </c>
      <c r="I64" s="1165">
        <v>29</v>
      </c>
      <c r="J64" s="1165">
        <v>31</v>
      </c>
      <c r="K64" s="1165">
        <v>28</v>
      </c>
      <c r="L64" s="1165">
        <v>25</v>
      </c>
      <c r="M64" s="1165">
        <v>30</v>
      </c>
      <c r="N64" s="1363">
        <v>24</v>
      </c>
    </row>
    <row r="65" spans="1:14" ht="16.2" hidden="1" thickBot="1">
      <c r="B65" s="1162" t="s">
        <v>1018</v>
      </c>
      <c r="C65" s="1398">
        <v>37.58725888324873</v>
      </c>
      <c r="D65" s="1399">
        <v>37.740862944162444</v>
      </c>
      <c r="E65" s="1400">
        <v>38.873088832487319</v>
      </c>
      <c r="F65" s="1400">
        <v>40.039281497461936</v>
      </c>
      <c r="G65" s="1400">
        <v>41.24045994238579</v>
      </c>
      <c r="H65" s="1400">
        <v>42.477673740657366</v>
      </c>
      <c r="I65" s="1400">
        <v>43.752003952877089</v>
      </c>
      <c r="J65" s="1400">
        <v>45.064564071463401</v>
      </c>
      <c r="K65" s="1400">
        <v>46.416500993607301</v>
      </c>
      <c r="L65" s="1400">
        <v>47.808996023415517</v>
      </c>
      <c r="M65" s="1400">
        <v>49.243265904117983</v>
      </c>
      <c r="N65" s="1401">
        <v>50.720563881241524</v>
      </c>
    </row>
    <row r="66" spans="1:14" ht="15" hidden="1" thickBot="1">
      <c r="A66" s="4453" t="s">
        <v>1073</v>
      </c>
      <c r="B66" s="4446"/>
      <c r="C66" s="875">
        <f>C58/C71-1</f>
        <v>2.538205966935525E-2</v>
      </c>
      <c r="D66" s="876">
        <f t="shared" ref="D66:N66" si="19">IF((D58/D71-1)=-100%,"",D58/D71-1)</f>
        <v>9.5278355054263963E-2</v>
      </c>
      <c r="E66" s="876">
        <f t="shared" si="19"/>
        <v>9.3419422076916003E-2</v>
      </c>
      <c r="F66" s="876">
        <f t="shared" si="19"/>
        <v>7.6163009310403984E-2</v>
      </c>
      <c r="G66" s="876">
        <f t="shared" si="19"/>
        <v>-1.7320453563992366E-2</v>
      </c>
      <c r="H66" s="876">
        <f t="shared" si="19"/>
        <v>-3.501194217962289E-2</v>
      </c>
      <c r="I66" s="876">
        <f t="shared" si="19"/>
        <v>-3.6265025257740668E-2</v>
      </c>
      <c r="J66" s="876">
        <f t="shared" si="19"/>
        <v>-3.7047509212532193E-3</v>
      </c>
      <c r="K66" s="876">
        <f t="shared" si="19"/>
        <v>-6.9238944709239081E-2</v>
      </c>
      <c r="L66" s="876">
        <f t="shared" si="19"/>
        <v>-0.2186150084950278</v>
      </c>
      <c r="M66" s="876">
        <f t="shared" si="19"/>
        <v>6.4040195161393143E-2</v>
      </c>
      <c r="N66" s="876">
        <f t="shared" si="19"/>
        <v>-4.1967926010092693E-2</v>
      </c>
    </row>
    <row r="67" spans="1:14" hidden="1">
      <c r="B67" s="4446"/>
      <c r="C67" s="877"/>
      <c r="D67" s="877"/>
      <c r="E67" s="877"/>
      <c r="F67" s="877"/>
      <c r="G67" s="4454"/>
      <c r="H67" s="1122"/>
      <c r="I67" s="1122"/>
      <c r="J67" s="877"/>
      <c r="K67" s="877"/>
      <c r="L67" s="877"/>
      <c r="M67" s="877"/>
      <c r="N67" s="877"/>
    </row>
    <row r="68" spans="1:14" hidden="1">
      <c r="B68" s="4413"/>
      <c r="C68" s="554" t="s">
        <v>531</v>
      </c>
      <c r="D68" s="555"/>
      <c r="E68" s="555" t="s">
        <v>33</v>
      </c>
      <c r="F68" s="555"/>
      <c r="G68" s="555"/>
      <c r="H68" s="555"/>
      <c r="I68" s="555"/>
      <c r="J68" s="555"/>
      <c r="K68" s="555"/>
      <c r="L68" s="555"/>
      <c r="M68" s="555"/>
      <c r="N68" s="558"/>
    </row>
    <row r="69" spans="1:14" hidden="1">
      <c r="B69" s="4418"/>
      <c r="C69" s="556" t="s">
        <v>36</v>
      </c>
      <c r="D69" s="557" t="s">
        <v>187</v>
      </c>
      <c r="E69" s="557" t="s">
        <v>546</v>
      </c>
      <c r="F69" s="557" t="s">
        <v>188</v>
      </c>
      <c r="G69" s="557" t="s">
        <v>189</v>
      </c>
      <c r="H69" s="557" t="s">
        <v>180</v>
      </c>
      <c r="I69" s="557" t="s">
        <v>42</v>
      </c>
      <c r="J69" s="557" t="s">
        <v>43</v>
      </c>
      <c r="K69" s="557" t="s">
        <v>44</v>
      </c>
      <c r="L69" s="557" t="s">
        <v>45</v>
      </c>
      <c r="M69" s="557" t="s">
        <v>46</v>
      </c>
      <c r="N69" s="559" t="s">
        <v>47</v>
      </c>
    </row>
    <row r="70" spans="1:14" hidden="1">
      <c r="B70" s="4423"/>
      <c r="C70" s="4455"/>
      <c r="D70" s="4455"/>
      <c r="E70" s="4455"/>
      <c r="F70" s="4455"/>
      <c r="G70" s="4455"/>
      <c r="H70" s="4455"/>
      <c r="I70" s="4455"/>
      <c r="J70" s="4455"/>
      <c r="K70" s="4455"/>
      <c r="L70" s="5628" t="s">
        <v>583</v>
      </c>
      <c r="M70" s="5628"/>
      <c r="N70" s="5628"/>
    </row>
    <row r="71" spans="1:14" ht="15" hidden="1" thickBot="1">
      <c r="B71" s="560" t="s">
        <v>151</v>
      </c>
      <c r="C71" s="878">
        <v>44.140591848129553</v>
      </c>
      <c r="D71" s="878">
        <v>45.484031267448337</v>
      </c>
      <c r="E71" s="878">
        <v>46.00247533966126</v>
      </c>
      <c r="F71" s="879">
        <v>44.69583100688628</v>
      </c>
      <c r="G71" s="879">
        <v>43.528941001302826</v>
      </c>
      <c r="H71" s="878">
        <v>47.845151684347663</v>
      </c>
      <c r="I71" s="878">
        <v>45.958347292015631</v>
      </c>
      <c r="J71" s="878">
        <v>45.12216638749301</v>
      </c>
      <c r="K71" s="878">
        <v>47.806756002233392</v>
      </c>
      <c r="L71" s="880">
        <v>59.040465116279073</v>
      </c>
      <c r="M71" s="878">
        <v>48.430187976921644</v>
      </c>
      <c r="N71" s="881">
        <v>40.097822445561143</v>
      </c>
    </row>
    <row r="72" spans="1:14" hidden="1">
      <c r="B72" s="562" t="s">
        <v>144</v>
      </c>
      <c r="C72" s="882">
        <v>51.558406561218504</v>
      </c>
      <c r="D72" s="882">
        <v>55.830990041007617</v>
      </c>
      <c r="E72" s="882">
        <v>54.512829525483305</v>
      </c>
      <c r="F72" s="882">
        <v>57.521675454012886</v>
      </c>
      <c r="G72" s="882">
        <v>57.359988283538371</v>
      </c>
      <c r="H72" s="882">
        <v>60.261921499707086</v>
      </c>
      <c r="I72" s="882">
        <v>53.324956063268885</v>
      </c>
      <c r="J72" s="882">
        <v>50.747275922671356</v>
      </c>
      <c r="K72" s="882">
        <v>57.149326303456355</v>
      </c>
      <c r="L72" s="882">
        <v>70.874985354422961</v>
      </c>
      <c r="M72" s="882">
        <v>62.512536613942586</v>
      </c>
      <c r="N72" s="883">
        <v>43.413708260105452</v>
      </c>
    </row>
    <row r="73" spans="1:14" hidden="1">
      <c r="B73" s="562" t="s">
        <v>145</v>
      </c>
      <c r="C73" s="882">
        <v>43.926650943396218</v>
      </c>
      <c r="D73" s="882">
        <v>44.932134433962268</v>
      </c>
      <c r="E73" s="882">
        <v>46.1502358490566</v>
      </c>
      <c r="F73" s="882">
        <v>45.307488207547166</v>
      </c>
      <c r="G73" s="882">
        <v>43.315271226415092</v>
      </c>
      <c r="H73" s="882">
        <v>50.526709905660375</v>
      </c>
      <c r="I73" s="882">
        <v>51.207429245283016</v>
      </c>
      <c r="J73" s="882">
        <v>51.081014150943389</v>
      </c>
      <c r="K73" s="882">
        <v>48.948761792452828</v>
      </c>
      <c r="L73" s="882">
        <v>62.996937573616016</v>
      </c>
      <c r="M73" s="882">
        <v>48.532783018867924</v>
      </c>
      <c r="N73" s="883">
        <v>42.145990566037732</v>
      </c>
    </row>
    <row r="74" spans="1:14" ht="15" hidden="1" thickBot="1">
      <c r="B74" s="563" t="s">
        <v>569</v>
      </c>
      <c r="C74" s="884">
        <v>37.897258883248718</v>
      </c>
      <c r="D74" s="884">
        <v>36.99355329949239</v>
      </c>
      <c r="E74" s="884">
        <v>38.501065989847724</v>
      </c>
      <c r="F74" s="884">
        <v>33.05568527918782</v>
      </c>
      <c r="G74" s="884">
        <v>31.728324873096447</v>
      </c>
      <c r="H74" s="884">
        <v>34.777461928934009</v>
      </c>
      <c r="I74" s="884">
        <v>35.056192893401018</v>
      </c>
      <c r="J74" s="884">
        <v>35.117969543147211</v>
      </c>
      <c r="K74" s="884">
        <v>38.728274111675127</v>
      </c>
      <c r="L74" s="884">
        <v>45.375685279187806</v>
      </c>
      <c r="M74" s="884">
        <v>36.139543147208123</v>
      </c>
      <c r="N74" s="885">
        <v>35.461319796954314</v>
      </c>
    </row>
    <row r="75" spans="1:14" ht="15" hidden="1" thickBot="1">
      <c r="B75" s="4429"/>
      <c r="C75" s="887">
        <f t="shared" ref="C75:N75" si="20">C71/C87-1</f>
        <v>-0.17327766995714788</v>
      </c>
      <c r="D75" s="888">
        <f t="shared" si="20"/>
        <v>-0.29142710384735693</v>
      </c>
      <c r="E75" s="888">
        <f t="shared" si="20"/>
        <v>-0.23201209783537124</v>
      </c>
      <c r="F75" s="888">
        <f t="shared" si="20"/>
        <v>-0.2343940557602413</v>
      </c>
      <c r="G75" s="888">
        <f t="shared" si="20"/>
        <v>-0.29050188469512439</v>
      </c>
      <c r="H75" s="888">
        <f t="shared" si="20"/>
        <v>-0.22832383997511552</v>
      </c>
      <c r="I75" s="888">
        <f t="shared" si="20"/>
        <v>-0.25513213465128637</v>
      </c>
      <c r="J75" s="888">
        <f t="shared" si="20"/>
        <v>-0.27297261490921521</v>
      </c>
      <c r="K75" s="888">
        <f t="shared" si="20"/>
        <v>-0.23174217742631897</v>
      </c>
      <c r="L75" s="888">
        <f t="shared" si="20"/>
        <v>-6.3222977996115981E-2</v>
      </c>
      <c r="M75" s="888">
        <f t="shared" si="20"/>
        <v>-0.27203195208006881</v>
      </c>
      <c r="N75" s="888">
        <f t="shared" si="20"/>
        <v>-0.30860506510162089</v>
      </c>
    </row>
    <row r="76" spans="1:14" hidden="1">
      <c r="A76" s="4453" t="s">
        <v>1073</v>
      </c>
      <c r="C76" s="169" t="s">
        <v>315</v>
      </c>
      <c r="D76" s="170"/>
      <c r="E76" s="170" t="s">
        <v>33</v>
      </c>
      <c r="F76" s="170"/>
      <c r="G76" s="170"/>
      <c r="H76" s="170"/>
      <c r="I76" s="170"/>
      <c r="J76" s="170"/>
      <c r="K76" s="170"/>
      <c r="L76" s="170"/>
      <c r="M76" s="170"/>
      <c r="N76" s="171"/>
    </row>
    <row r="77" spans="1:14" hidden="1">
      <c r="C77" s="473" t="s">
        <v>36</v>
      </c>
      <c r="D77" s="4431" t="s">
        <v>37</v>
      </c>
      <c r="E77" s="4431" t="s">
        <v>38</v>
      </c>
      <c r="F77" s="4431" t="s">
        <v>39</v>
      </c>
      <c r="G77" s="4431" t="s">
        <v>40</v>
      </c>
      <c r="H77" s="4431" t="s">
        <v>41</v>
      </c>
      <c r="I77" s="4431" t="s">
        <v>42</v>
      </c>
      <c r="J77" s="4431" t="s">
        <v>43</v>
      </c>
      <c r="K77" s="4431" t="s">
        <v>44</v>
      </c>
      <c r="L77" s="4431" t="s">
        <v>45</v>
      </c>
      <c r="M77" s="4431" t="s">
        <v>46</v>
      </c>
      <c r="N77" s="4431" t="s">
        <v>47</v>
      </c>
    </row>
    <row r="78" spans="1:14" ht="15" hidden="1" thickBot="1">
      <c r="A78" s="4453" t="s">
        <v>1073</v>
      </c>
      <c r="B78" s="338" t="s">
        <v>151</v>
      </c>
      <c r="C78" s="889">
        <v>51.627660052414825</v>
      </c>
      <c r="D78" s="890">
        <v>51.647940846125053</v>
      </c>
      <c r="E78" s="891">
        <v>57.482497192062887</v>
      </c>
      <c r="F78" s="891">
        <v>53.048152377386764</v>
      </c>
      <c r="G78" s="891">
        <v>54.241388992886556</v>
      </c>
      <c r="H78" s="890">
        <v>55.588920082350739</v>
      </c>
      <c r="I78" s="891">
        <v>54.83994010855325</v>
      </c>
      <c r="J78" s="892">
        <v>48.290715777482454</v>
      </c>
      <c r="K78" s="892">
        <v>50.944218720334156</v>
      </c>
      <c r="L78" s="891">
        <v>54.332618188722243</v>
      </c>
      <c r="M78" s="891">
        <v>55.251518602885348</v>
      </c>
      <c r="N78" s="891">
        <v>44.372454976303317</v>
      </c>
    </row>
    <row r="79" spans="1:14" hidden="1">
      <c r="B79" s="339" t="s">
        <v>144</v>
      </c>
      <c r="C79" s="893">
        <v>63.923164713140032</v>
      </c>
      <c r="D79" s="894">
        <v>69.016594694632943</v>
      </c>
      <c r="E79" s="895">
        <v>71.136952498457745</v>
      </c>
      <c r="F79" s="895">
        <v>64.16826650215917</v>
      </c>
      <c r="G79" s="895">
        <v>68.897038864898207</v>
      </c>
      <c r="H79" s="894">
        <v>66.700678593460822</v>
      </c>
      <c r="I79" s="896">
        <v>65.777606415792718</v>
      </c>
      <c r="J79" s="896">
        <v>57.994040968342652</v>
      </c>
      <c r="K79" s="896">
        <v>58.905462445685906</v>
      </c>
      <c r="L79" s="896">
        <v>68.051769087523269</v>
      </c>
      <c r="M79" s="896">
        <v>72.682805710738677</v>
      </c>
      <c r="N79" s="896">
        <v>51.006587942821618</v>
      </c>
    </row>
    <row r="80" spans="1:14" hidden="1">
      <c r="A80" s="4453" t="s">
        <v>1073</v>
      </c>
      <c r="B80" s="339" t="s">
        <v>145</v>
      </c>
      <c r="C80" s="893">
        <v>53.596954545454537</v>
      </c>
      <c r="D80" s="894">
        <v>50.203693181818188</v>
      </c>
      <c r="E80" s="895">
        <v>60.320170454545455</v>
      </c>
      <c r="F80" s="895">
        <v>55.937823863636353</v>
      </c>
      <c r="G80" s="895">
        <v>55.730965909090912</v>
      </c>
      <c r="H80" s="894">
        <v>60.893838326738269</v>
      </c>
      <c r="I80" s="896">
        <v>62.101921989824746</v>
      </c>
      <c r="J80" s="896">
        <v>52.804610951008648</v>
      </c>
      <c r="K80" s="896">
        <v>54.020057636887607</v>
      </c>
      <c r="L80" s="896">
        <v>56.422363112391928</v>
      </c>
      <c r="M80" s="896">
        <v>55.888888888888886</v>
      </c>
      <c r="N80" s="896">
        <v>46.219026047565109</v>
      </c>
    </row>
    <row r="81" spans="2:14" ht="15" hidden="1" thickBot="1">
      <c r="B81" s="475" t="s">
        <v>569</v>
      </c>
      <c r="C81" s="897">
        <v>39.696517083120852</v>
      </c>
      <c r="D81" s="898">
        <v>38.586894441611427</v>
      </c>
      <c r="E81" s="899">
        <v>43.64864864864866</v>
      </c>
      <c r="F81" s="899">
        <v>41.262570117287098</v>
      </c>
      <c r="G81" s="899">
        <v>40.789852116267213</v>
      </c>
      <c r="H81" s="898">
        <v>41.560983102918584</v>
      </c>
      <c r="I81" s="900">
        <v>39.183819764464921</v>
      </c>
      <c r="J81" s="900">
        <v>36.076418532014564</v>
      </c>
      <c r="K81" s="900">
        <v>41.489692868297759</v>
      </c>
      <c r="L81" s="900">
        <v>40.939979177511702</v>
      </c>
      <c r="M81" s="900">
        <v>39.823032223983098</v>
      </c>
      <c r="N81" s="900">
        <v>37.038052631578942</v>
      </c>
    </row>
    <row r="82" spans="2:14" ht="15" hidden="1" thickBot="1">
      <c r="B82" s="4432"/>
      <c r="C82" s="887">
        <f t="shared" ref="C82:N82" si="21">C78/C94-1</f>
        <v>-1.8790759984439354E-2</v>
      </c>
      <c r="D82" s="888">
        <f t="shared" si="21"/>
        <v>-0.11925039936124726</v>
      </c>
      <c r="E82" s="888">
        <f t="shared" si="21"/>
        <v>-7.9692211064975371E-2</v>
      </c>
      <c r="F82" s="888">
        <f t="shared" si="21"/>
        <v>-9.2501792800918636E-2</v>
      </c>
      <c r="G82" s="888">
        <f t="shared" si="21"/>
        <v>-9.7846498197794674E-2</v>
      </c>
      <c r="H82" s="888">
        <f t="shared" si="21"/>
        <v>-0.12787335023390345</v>
      </c>
      <c r="I82" s="888">
        <f t="shared" si="21"/>
        <v>-0.16538248179334591</v>
      </c>
      <c r="J82" s="888">
        <f t="shared" si="21"/>
        <v>-0.24692790146461496</v>
      </c>
      <c r="K82" s="888">
        <f t="shared" si="21"/>
        <v>-0.25421836470546555</v>
      </c>
      <c r="L82" s="888">
        <f t="shared" si="21"/>
        <v>-0.15181671961766163</v>
      </c>
      <c r="M82" s="888">
        <f t="shared" si="21"/>
        <v>-0.18058601020491949</v>
      </c>
      <c r="N82" s="888">
        <f t="shared" si="21"/>
        <v>-0.13451746235589235</v>
      </c>
    </row>
    <row r="83" spans="2:14" hidden="1">
      <c r="B83" s="4456"/>
      <c r="C83" s="184" t="s">
        <v>316</v>
      </c>
      <c r="D83" s="185"/>
      <c r="E83" s="185" t="s">
        <v>33</v>
      </c>
      <c r="F83" s="185"/>
      <c r="G83" s="185"/>
      <c r="H83" s="185"/>
      <c r="I83" s="185"/>
      <c r="J83" s="185"/>
      <c r="K83" s="185"/>
      <c r="L83" s="185"/>
      <c r="M83" s="185"/>
      <c r="N83" s="186"/>
    </row>
    <row r="84" spans="2:14" hidden="1">
      <c r="B84" s="4456"/>
      <c r="C84" s="190" t="s">
        <v>36</v>
      </c>
      <c r="D84" s="191" t="s">
        <v>37</v>
      </c>
      <c r="E84" s="191" t="s">
        <v>38</v>
      </c>
      <c r="F84" s="191" t="s">
        <v>39</v>
      </c>
      <c r="G84" s="191" t="s">
        <v>40</v>
      </c>
      <c r="H84" s="191" t="s">
        <v>41</v>
      </c>
      <c r="I84" s="191" t="s">
        <v>42</v>
      </c>
      <c r="J84" s="191" t="s">
        <v>43</v>
      </c>
      <c r="K84" s="191" t="s">
        <v>44</v>
      </c>
      <c r="L84" s="191" t="s">
        <v>45</v>
      </c>
      <c r="M84" s="191" t="s">
        <v>46</v>
      </c>
      <c r="N84" s="192" t="s">
        <v>47</v>
      </c>
    </row>
    <row r="85" spans="2:14" ht="15" hidden="1" thickBot="1">
      <c r="B85" s="193" t="s">
        <v>151</v>
      </c>
      <c r="C85" s="903">
        <v>51.883923850303461</v>
      </c>
      <c r="D85" s="904">
        <v>60.943820524320813</v>
      </c>
      <c r="E85" s="904">
        <v>57.5</v>
      </c>
      <c r="F85" s="904">
        <v>54.264872468117026</v>
      </c>
      <c r="G85" s="904">
        <v>55.715435108777179</v>
      </c>
      <c r="H85" s="904">
        <v>56.167516879219804</v>
      </c>
      <c r="I85" s="904">
        <v>57.6</v>
      </c>
      <c r="J85" s="904">
        <v>55.727789236827292</v>
      </c>
      <c r="K85" s="904">
        <v>60.140119872635324</v>
      </c>
      <c r="L85" s="904">
        <v>58.802678404195518</v>
      </c>
      <c r="M85" s="904">
        <v>63.233126169973787</v>
      </c>
      <c r="N85" s="905">
        <v>50.994687383002628</v>
      </c>
    </row>
    <row r="86" spans="2:14" hidden="1">
      <c r="B86" s="194" t="s">
        <v>144</v>
      </c>
      <c r="C86" s="906">
        <v>63.479333746132014</v>
      </c>
      <c r="D86" s="907">
        <v>80.314179959259718</v>
      </c>
      <c r="E86" s="907">
        <v>73.400000000000006</v>
      </c>
      <c r="F86" s="907">
        <v>71.880259099321407</v>
      </c>
      <c r="G86" s="907">
        <v>71.210055521283152</v>
      </c>
      <c r="H86" s="907">
        <v>70.879333744602093</v>
      </c>
      <c r="I86" s="907">
        <v>73.7</v>
      </c>
      <c r="J86" s="907">
        <v>67.403269586674895</v>
      </c>
      <c r="K86" s="907">
        <v>79.765638494756317</v>
      </c>
      <c r="L86" s="907">
        <v>74.366440468846392</v>
      </c>
      <c r="M86" s="907">
        <v>80.694768661320168</v>
      </c>
      <c r="N86" s="908">
        <v>56.046434299814933</v>
      </c>
    </row>
    <row r="87" spans="2:14" hidden="1">
      <c r="B87" s="194" t="s">
        <v>145</v>
      </c>
      <c r="C87" s="909">
        <v>53.392282080782287</v>
      </c>
      <c r="D87" s="910">
        <v>64.191040208303448</v>
      </c>
      <c r="E87" s="910">
        <v>59.9</v>
      </c>
      <c r="F87" s="910">
        <v>58.379681274900399</v>
      </c>
      <c r="G87" s="910">
        <v>61.351735913488902</v>
      </c>
      <c r="H87" s="910">
        <v>62.00159362549801</v>
      </c>
      <c r="I87" s="910">
        <v>61.7</v>
      </c>
      <c r="J87" s="910">
        <v>62.063915765509371</v>
      </c>
      <c r="K87" s="910">
        <v>62.227490039840639</v>
      </c>
      <c r="L87" s="910">
        <v>63.025099601593645</v>
      </c>
      <c r="M87" s="910">
        <v>66.527903409090911</v>
      </c>
      <c r="N87" s="911">
        <v>57.995539772727291</v>
      </c>
    </row>
    <row r="88" spans="2:14" ht="15" hidden="1" thickBot="1">
      <c r="B88" s="195" t="s">
        <v>146</v>
      </c>
      <c r="C88" s="912">
        <v>41.007288296211755</v>
      </c>
      <c r="D88" s="913">
        <v>42.120784483927054</v>
      </c>
      <c r="E88" s="913">
        <v>42.3</v>
      </c>
      <c r="F88" s="913">
        <v>35.951535312180141</v>
      </c>
      <c r="G88" s="913">
        <v>37.793346980552712</v>
      </c>
      <c r="H88" s="913">
        <v>38.716990788126921</v>
      </c>
      <c r="I88" s="913">
        <v>40.700000000000003</v>
      </c>
      <c r="J88" s="913">
        <v>40.352583120204606</v>
      </c>
      <c r="K88" s="913">
        <v>42.047067822539518</v>
      </c>
      <c r="L88" s="913">
        <v>42.154207037225916</v>
      </c>
      <c r="M88" s="913">
        <v>45.841932687404395</v>
      </c>
      <c r="N88" s="914">
        <v>40.535543090260077</v>
      </c>
    </row>
    <row r="89" spans="2:14" hidden="1">
      <c r="B89" s="4432"/>
      <c r="C89" s="4429"/>
      <c r="D89" s="4429"/>
      <c r="E89" s="4457"/>
      <c r="F89" s="4457"/>
      <c r="G89" s="4457"/>
      <c r="H89" s="4458"/>
      <c r="I89" s="4459"/>
      <c r="J89" s="4459"/>
      <c r="K89" s="4457"/>
      <c r="L89" s="4457"/>
      <c r="M89" s="4457"/>
      <c r="N89" s="4457"/>
    </row>
    <row r="90" spans="2:14" hidden="1">
      <c r="B90" s="4456"/>
      <c r="C90" s="197" t="s">
        <v>317</v>
      </c>
      <c r="D90" s="198"/>
      <c r="E90" s="198" t="s">
        <v>33</v>
      </c>
      <c r="F90" s="198"/>
      <c r="G90" s="198"/>
      <c r="H90" s="198"/>
      <c r="I90" s="198"/>
      <c r="J90" s="198"/>
      <c r="K90" s="198"/>
      <c r="L90" s="198"/>
      <c r="M90" s="198"/>
      <c r="N90" s="199"/>
    </row>
    <row r="91" spans="2:14" hidden="1">
      <c r="B91" s="4456"/>
      <c r="C91" s="200" t="s">
        <v>36</v>
      </c>
      <c r="D91" s="4460" t="s">
        <v>37</v>
      </c>
      <c r="E91" s="4460" t="s">
        <v>38</v>
      </c>
      <c r="F91" s="4460" t="s">
        <v>39</v>
      </c>
      <c r="G91" s="4460" t="s">
        <v>40</v>
      </c>
      <c r="H91" s="4460" t="s">
        <v>41</v>
      </c>
      <c r="I91" s="4460" t="s">
        <v>42</v>
      </c>
      <c r="J91" s="4460" t="s">
        <v>43</v>
      </c>
      <c r="K91" s="4460" t="s">
        <v>44</v>
      </c>
      <c r="L91" s="4460" t="s">
        <v>45</v>
      </c>
      <c r="M91" s="4460" t="s">
        <v>46</v>
      </c>
      <c r="N91" s="202" t="s">
        <v>47</v>
      </c>
    </row>
    <row r="92" spans="2:14" ht="15" hidden="1" thickBot="1">
      <c r="B92" s="203" t="s">
        <v>151</v>
      </c>
      <c r="C92" s="917">
        <v>51.517990776187105</v>
      </c>
      <c r="D92" s="918">
        <v>58.807323381825718</v>
      </c>
      <c r="E92" s="918">
        <v>60.827928595939248</v>
      </c>
      <c r="F92" s="918">
        <v>57.747390920923969</v>
      </c>
      <c r="G92" s="918">
        <v>56.524014066944922</v>
      </c>
      <c r="H92" s="918">
        <v>59.499559914305905</v>
      </c>
      <c r="I92" s="918">
        <v>59.641522979405501</v>
      </c>
      <c r="J92" s="918">
        <v>56.017138599275704</v>
      </c>
      <c r="K92" s="918">
        <v>62.131768504782805</v>
      </c>
      <c r="L92" s="918">
        <v>60.530743713386741</v>
      </c>
      <c r="M92" s="918">
        <v>62.385742672503326</v>
      </c>
      <c r="N92" s="919">
        <v>50.787822701019572</v>
      </c>
    </row>
    <row r="93" spans="2:14" hidden="1">
      <c r="B93" s="204" t="s">
        <v>144</v>
      </c>
      <c r="C93" s="920">
        <v>64.50418897062923</v>
      </c>
      <c r="D93" s="921">
        <v>79.534238123954339</v>
      </c>
      <c r="E93" s="921">
        <v>80.095918488685996</v>
      </c>
      <c r="F93" s="921">
        <v>74.86119678988895</v>
      </c>
      <c r="G93" s="921">
        <v>71.329923784083903</v>
      </c>
      <c r="H93" s="921">
        <v>75.899650422911776</v>
      </c>
      <c r="I93" s="921">
        <v>74.261208733146219</v>
      </c>
      <c r="J93" s="921">
        <v>64.583789377809993</v>
      </c>
      <c r="K93" s="921">
        <v>76.216327368840211</v>
      </c>
      <c r="L93" s="921">
        <v>74.382599350024662</v>
      </c>
      <c r="M93" s="921">
        <v>77.569401601529918</v>
      </c>
      <c r="N93" s="922">
        <v>63.75793516548427</v>
      </c>
    </row>
    <row r="94" spans="2:14" hidden="1">
      <c r="B94" s="204" t="s">
        <v>145</v>
      </c>
      <c r="C94" s="923">
        <v>52.616361472091398</v>
      </c>
      <c r="D94" s="924">
        <v>58.640890451347381</v>
      </c>
      <c r="E94" s="924">
        <v>62.460078990074976</v>
      </c>
      <c r="F94" s="924">
        <v>58.455379808534857</v>
      </c>
      <c r="G94" s="924">
        <v>60.12434567346925</v>
      </c>
      <c r="H94" s="924">
        <v>63.739504001236092</v>
      </c>
      <c r="I94" s="924">
        <v>65.706672712056232</v>
      </c>
      <c r="J94" s="924">
        <v>64.124956788866328</v>
      </c>
      <c r="K94" s="924">
        <v>68.309832676711807</v>
      </c>
      <c r="L94" s="924">
        <v>64.057638773816137</v>
      </c>
      <c r="M94" s="924">
        <v>67.428087988469272</v>
      </c>
      <c r="N94" s="925">
        <v>51.26903553373549</v>
      </c>
    </row>
    <row r="95" spans="2:14" ht="15" hidden="1" thickBot="1">
      <c r="B95" s="205" t="s">
        <v>146</v>
      </c>
      <c r="C95" s="926">
        <v>39.904238977251275</v>
      </c>
      <c r="D95" s="927">
        <v>41.93081487895644</v>
      </c>
      <c r="E95" s="927">
        <v>43.594143216541021</v>
      </c>
      <c r="F95" s="927">
        <v>43.08172914547113</v>
      </c>
      <c r="G95" s="927">
        <v>41.252410366935145</v>
      </c>
      <c r="H95" s="927">
        <v>42.365754812563331</v>
      </c>
      <c r="I95" s="927">
        <v>42.391410922440727</v>
      </c>
      <c r="J95" s="927">
        <v>41.700166683293816</v>
      </c>
      <c r="K95" s="927">
        <v>45.016886186916913</v>
      </c>
      <c r="L95" s="927">
        <v>45.988168774617016</v>
      </c>
      <c r="M95" s="927">
        <v>45.388382303121588</v>
      </c>
      <c r="N95" s="928">
        <v>39.704873026600808</v>
      </c>
    </row>
    <row r="96" spans="2:14" hidden="1">
      <c r="C96" s="4457"/>
      <c r="D96" s="4457"/>
      <c r="E96" s="4457"/>
      <c r="F96" s="4457"/>
      <c r="G96" s="4457"/>
      <c r="H96" s="4461"/>
      <c r="I96" s="4461"/>
      <c r="J96" s="4461"/>
      <c r="K96" s="4457"/>
      <c r="L96" s="4457"/>
      <c r="M96" s="4457"/>
      <c r="N96" s="4457"/>
    </row>
    <row r="97" spans="3:14" hidden="1">
      <c r="C97" s="4457"/>
      <c r="D97" s="4457"/>
      <c r="E97" s="4457"/>
      <c r="F97" s="4457"/>
      <c r="G97" s="4457"/>
      <c r="H97" s="4461"/>
      <c r="I97" s="4461"/>
      <c r="J97" s="4461"/>
      <c r="K97" s="4457"/>
      <c r="L97" s="4457"/>
      <c r="M97" s="4457"/>
      <c r="N97" s="4457"/>
    </row>
    <row r="98" spans="3:14" hidden="1">
      <c r="C98" s="4457"/>
      <c r="D98" s="4457"/>
      <c r="E98" s="4457"/>
      <c r="F98" s="4457"/>
      <c r="G98" s="4457"/>
      <c r="H98" s="4461"/>
      <c r="I98" s="4461"/>
      <c r="J98" s="4461"/>
      <c r="K98" s="4457"/>
      <c r="L98" s="4457"/>
      <c r="M98" s="4457"/>
      <c r="N98" s="4457"/>
    </row>
    <row r="99" spans="3:14" hidden="1">
      <c r="C99" s="4457"/>
      <c r="D99" s="4457"/>
      <c r="E99" s="4457"/>
      <c r="F99" s="4457"/>
      <c r="G99" s="4457"/>
      <c r="H99" s="4461"/>
      <c r="I99" s="4461"/>
      <c r="J99" s="4461"/>
      <c r="K99" s="4457"/>
      <c r="L99" s="4457"/>
      <c r="M99" s="4457"/>
      <c r="N99" s="4457"/>
    </row>
    <row r="100" spans="3:14" hidden="1">
      <c r="C100" s="4457"/>
      <c r="D100" s="4457"/>
      <c r="E100" s="4457"/>
      <c r="F100" s="4457"/>
      <c r="G100" s="4457"/>
      <c r="H100" s="4461"/>
      <c r="I100" s="4461"/>
      <c r="J100" s="4461"/>
      <c r="K100" s="4457"/>
      <c r="L100" s="4457"/>
      <c r="M100" s="4457"/>
      <c r="N100" s="4457"/>
    </row>
    <row r="101" spans="3:14" hidden="1"/>
    <row r="102" spans="3:14" hidden="1"/>
    <row r="103" spans="3:14" hidden="1"/>
    <row r="104" spans="3:14" hidden="1"/>
    <row r="105" spans="3:14" hidden="1"/>
    <row r="106" spans="3:14" hidden="1"/>
    <row r="107" spans="3:14" hidden="1"/>
    <row r="108" spans="3:14" hidden="1"/>
    <row r="109" spans="3:14" hidden="1"/>
    <row r="110" spans="3:14" hidden="1"/>
    <row r="111" spans="3:14" hidden="1"/>
    <row r="112" spans="3:14" hidden="1"/>
    <row r="113" spans="2:14" hidden="1"/>
    <row r="114" spans="2:14" hidden="1"/>
    <row r="115" spans="2:14" hidden="1"/>
    <row r="116" spans="2:14" hidden="1"/>
    <row r="117" spans="2:14" hidden="1"/>
    <row r="118" spans="2:14" hidden="1"/>
    <row r="119" spans="2:14" hidden="1"/>
    <row r="120" spans="2:14" hidden="1"/>
    <row r="121" spans="2:14" hidden="1"/>
    <row r="122" spans="2:14" hidden="1"/>
    <row r="123" spans="2:14" hidden="1"/>
    <row r="124" spans="2:14" hidden="1"/>
    <row r="125" spans="2:14" hidden="1">
      <c r="C125" s="4462"/>
      <c r="D125" s="4463"/>
      <c r="E125" s="4463"/>
      <c r="F125" s="4463"/>
      <c r="G125" s="4463"/>
      <c r="H125" s="932">
        <v>2012</v>
      </c>
      <c r="I125" s="4463"/>
      <c r="J125" s="4463"/>
      <c r="K125" s="4463"/>
      <c r="L125" s="4463"/>
      <c r="M125" s="4463"/>
      <c r="N125" s="4464"/>
    </row>
    <row r="126" spans="2:14" ht="15" hidden="1" thickBot="1">
      <c r="B126" s="677" t="s">
        <v>754</v>
      </c>
      <c r="C126" s="4465" t="s">
        <v>36</v>
      </c>
      <c r="D126" s="4466" t="s">
        <v>37</v>
      </c>
      <c r="E126" s="4466" t="s">
        <v>38</v>
      </c>
      <c r="F126" s="4466" t="s">
        <v>39</v>
      </c>
      <c r="G126" s="4466" t="s">
        <v>40</v>
      </c>
      <c r="H126" s="4466" t="s">
        <v>41</v>
      </c>
      <c r="I126" s="4466" t="s">
        <v>42</v>
      </c>
      <c r="J126" s="4466" t="s">
        <v>43</v>
      </c>
      <c r="K126" s="4466" t="s">
        <v>44</v>
      </c>
      <c r="L126" s="4466" t="s">
        <v>45</v>
      </c>
      <c r="M126" s="4466" t="s">
        <v>46</v>
      </c>
      <c r="N126" s="4467" t="s">
        <v>47</v>
      </c>
    </row>
    <row r="127" spans="2:14" hidden="1">
      <c r="C127" s="937"/>
      <c r="D127" s="938"/>
      <c r="E127" s="938"/>
      <c r="F127" s="938"/>
      <c r="G127" s="938"/>
      <c r="H127" s="938"/>
      <c r="I127" s="938"/>
      <c r="J127" s="938"/>
      <c r="K127" s="938"/>
      <c r="L127" s="938"/>
      <c r="M127" s="938"/>
      <c r="N127" s="939"/>
    </row>
    <row r="128" spans="2:14" ht="16.2" hidden="1" thickBot="1">
      <c r="B128" s="677" t="s">
        <v>151</v>
      </c>
      <c r="C128" s="940">
        <v>53.089875463470889</v>
      </c>
      <c r="D128" s="4468">
        <v>55.87610303153771</v>
      </c>
      <c r="E128" s="4468">
        <v>58.579753404123871</v>
      </c>
      <c r="F128" s="4468">
        <v>53.879183463947015</v>
      </c>
      <c r="G128" s="4468">
        <v>58.787717387036651</v>
      </c>
      <c r="H128" s="4468">
        <v>62.016859985606381</v>
      </c>
      <c r="I128" s="4468">
        <v>59.875153625024922</v>
      </c>
      <c r="J128" s="4468">
        <v>59.294727491619376</v>
      </c>
      <c r="K128" s="4468">
        <v>59.437947944190896</v>
      </c>
      <c r="L128" s="4468">
        <v>60.024214842291194</v>
      </c>
      <c r="M128" s="4468">
        <v>64.57437445092043</v>
      </c>
      <c r="N128" s="942">
        <v>47.765906961560191</v>
      </c>
    </row>
    <row r="129" spans="2:14" ht="15.6" hidden="1">
      <c r="B129" s="678" t="s">
        <v>144</v>
      </c>
      <c r="C129" s="940">
        <v>68.951356232838961</v>
      </c>
      <c r="D129" s="4468">
        <v>72.378673808491399</v>
      </c>
      <c r="E129" s="4468">
        <v>77.877250978115853</v>
      </c>
      <c r="F129" s="4468">
        <v>67.982176955626983</v>
      </c>
      <c r="G129" s="4468">
        <v>78.131865876970096</v>
      </c>
      <c r="H129" s="4468">
        <v>80.292000821943248</v>
      </c>
      <c r="I129" s="4468">
        <v>74.957712284275132</v>
      </c>
      <c r="J129" s="4468">
        <v>76.840261883368285</v>
      </c>
      <c r="K129" s="4468">
        <v>76.000411269537324</v>
      </c>
      <c r="L129" s="4468">
        <v>79.490955401603955</v>
      </c>
      <c r="M129" s="4468">
        <v>85.827678389771748</v>
      </c>
      <c r="N129" s="942">
        <v>58.283417246070321</v>
      </c>
    </row>
    <row r="130" spans="2:14" ht="15.6" hidden="1">
      <c r="B130" s="678" t="s">
        <v>145</v>
      </c>
      <c r="C130" s="940">
        <v>54.153923096839591</v>
      </c>
      <c r="D130" s="4468">
        <v>58.820142701824686</v>
      </c>
      <c r="E130" s="4468">
        <v>59.62452151612402</v>
      </c>
      <c r="F130" s="4468">
        <v>55.014907572976746</v>
      </c>
      <c r="G130" s="4468">
        <v>57.637486294759718</v>
      </c>
      <c r="H130" s="4468">
        <v>63.361160802404292</v>
      </c>
      <c r="I130" s="4468">
        <v>60.693160988628009</v>
      </c>
      <c r="J130" s="4468">
        <v>58.665457225764506</v>
      </c>
      <c r="K130" s="4468">
        <v>60.615114235690662</v>
      </c>
      <c r="L130" s="4468">
        <v>60.740404784960745</v>
      </c>
      <c r="M130" s="4468">
        <v>68.144893576127728</v>
      </c>
      <c r="N130" s="942">
        <v>49.821418448132398</v>
      </c>
    </row>
    <row r="131" spans="2:14" ht="16.2" hidden="1" thickBot="1">
      <c r="B131" s="679" t="s">
        <v>146</v>
      </c>
      <c r="C131" s="940">
        <v>39.472948298842432</v>
      </c>
      <c r="D131" s="4468">
        <v>40.137860697185111</v>
      </c>
      <c r="E131" s="4468">
        <v>42.226645391596634</v>
      </c>
      <c r="F131" s="4468">
        <v>41.609722930406924</v>
      </c>
      <c r="G131" s="4468">
        <v>44.270764777222823</v>
      </c>
      <c r="H131" s="4468">
        <v>45.760666326518113</v>
      </c>
      <c r="I131" s="4468">
        <v>46.782364285452871</v>
      </c>
      <c r="J131" s="4468">
        <v>45.430924601441738</v>
      </c>
      <c r="K131" s="4468">
        <v>44.819317797292804</v>
      </c>
      <c r="L131" s="4468">
        <v>43.419289473100299</v>
      </c>
      <c r="M131" s="4468">
        <v>44.034110098535969</v>
      </c>
      <c r="N131" s="942">
        <v>37.351701146580545</v>
      </c>
    </row>
    <row r="132" spans="2:14" hidden="1"/>
    <row r="133" spans="2:14" hidden="1"/>
    <row r="134" spans="2:14" hidden="1"/>
    <row r="135" spans="2:14" hidden="1">
      <c r="C135" s="4469"/>
      <c r="D135" s="4470"/>
      <c r="E135" s="4470"/>
      <c r="F135" s="4470"/>
      <c r="G135" s="4470"/>
      <c r="H135" s="4470">
        <v>2011</v>
      </c>
      <c r="I135" s="4470"/>
      <c r="J135" s="4470"/>
      <c r="K135" s="4470"/>
      <c r="L135" s="4470"/>
      <c r="M135" s="4470"/>
      <c r="N135" s="4470"/>
    </row>
    <row r="136" spans="2:14" ht="15" hidden="1" thickBot="1">
      <c r="B136" s="680" t="s">
        <v>755</v>
      </c>
      <c r="C136" s="945" t="s">
        <v>36</v>
      </c>
      <c r="D136" s="946" t="s">
        <v>37</v>
      </c>
      <c r="E136" s="946" t="s">
        <v>38</v>
      </c>
      <c r="F136" s="946" t="s">
        <v>39</v>
      </c>
      <c r="G136" s="946" t="s">
        <v>40</v>
      </c>
      <c r="H136" s="946" t="s">
        <v>41</v>
      </c>
      <c r="I136" s="946" t="s">
        <v>42</v>
      </c>
      <c r="J136" s="946" t="s">
        <v>43</v>
      </c>
      <c r="K136" s="946" t="s">
        <v>44</v>
      </c>
      <c r="L136" s="946" t="s">
        <v>45</v>
      </c>
      <c r="M136" s="946" t="s">
        <v>46</v>
      </c>
      <c r="N136" s="947" t="s">
        <v>47</v>
      </c>
    </row>
    <row r="137" spans="2:14" hidden="1">
      <c r="C137" s="4471"/>
      <c r="D137" s="4471"/>
      <c r="E137" s="4471"/>
      <c r="F137" s="4471"/>
      <c r="G137" s="4471"/>
      <c r="H137" s="4471"/>
      <c r="I137" s="4471"/>
      <c r="J137" s="4471"/>
      <c r="K137" s="4471"/>
      <c r="L137" s="4471"/>
      <c r="M137" s="4471"/>
      <c r="N137" s="4471"/>
    </row>
    <row r="138" spans="2:14" ht="16.2" hidden="1" thickBot="1">
      <c r="B138" s="680" t="s">
        <v>151</v>
      </c>
      <c r="C138" s="949">
        <v>47.079084889906142</v>
      </c>
      <c r="D138" s="950">
        <v>54.159655752409741</v>
      </c>
      <c r="E138" s="950">
        <v>53.545023637071445</v>
      </c>
      <c r="F138" s="950">
        <v>50.871468108548385</v>
      </c>
      <c r="G138" s="950">
        <v>52.230783125112957</v>
      </c>
      <c r="H138" s="950">
        <v>53.992405226685442</v>
      </c>
      <c r="I138" s="950">
        <v>54.916567527829294</v>
      </c>
      <c r="J138" s="950">
        <v>54.486169331981472</v>
      </c>
      <c r="K138" s="950">
        <v>55.124541417875285</v>
      </c>
      <c r="L138" s="950">
        <v>56.71759176175658</v>
      </c>
      <c r="M138" s="950">
        <v>61.411019388666553</v>
      </c>
      <c r="N138" s="951">
        <v>50.684609144756003</v>
      </c>
    </row>
    <row r="139" spans="2:14" ht="15.6" hidden="1">
      <c r="B139" s="681" t="s">
        <v>144</v>
      </c>
      <c r="C139" s="949">
        <v>57.206217530916611</v>
      </c>
      <c r="D139" s="950">
        <v>70.714740382590705</v>
      </c>
      <c r="E139" s="950">
        <v>71.604279173450024</v>
      </c>
      <c r="F139" s="950">
        <v>64.841926586842774</v>
      </c>
      <c r="G139" s="950">
        <v>68.477033326199873</v>
      </c>
      <c r="H139" s="950">
        <v>70.176108635346893</v>
      </c>
      <c r="I139" s="950">
        <v>70.086856531635888</v>
      </c>
      <c r="J139" s="950">
        <v>71.084782654213882</v>
      </c>
      <c r="K139" s="950">
        <v>72.679821770528321</v>
      </c>
      <c r="L139" s="950">
        <v>72.996447712698924</v>
      </c>
      <c r="M139" s="950">
        <v>82.005092296600893</v>
      </c>
      <c r="N139" s="951">
        <v>61.070614567746659</v>
      </c>
    </row>
    <row r="140" spans="2:14" ht="15.6" hidden="1">
      <c r="B140" s="681" t="s">
        <v>145</v>
      </c>
      <c r="C140" s="949">
        <v>48.171651291523972</v>
      </c>
      <c r="D140" s="950">
        <v>54.852979443424388</v>
      </c>
      <c r="E140" s="950">
        <v>55.134457565877362</v>
      </c>
      <c r="F140" s="950">
        <v>52.754503136692179</v>
      </c>
      <c r="G140" s="950">
        <v>53.634173569362488</v>
      </c>
      <c r="H140" s="950">
        <v>53.978951629452347</v>
      </c>
      <c r="I140" s="950">
        <v>58.467986760534302</v>
      </c>
      <c r="J140" s="950">
        <v>57.324167107310259</v>
      </c>
      <c r="K140" s="950">
        <v>57.051204210310864</v>
      </c>
      <c r="L140" s="950">
        <v>58.772385405189027</v>
      </c>
      <c r="M140" s="950">
        <v>63.502285826320829</v>
      </c>
      <c r="N140" s="951">
        <v>51.143555120506853</v>
      </c>
    </row>
    <row r="141" spans="2:14" ht="16.2" hidden="1" thickBot="1">
      <c r="B141" s="682" t="s">
        <v>146</v>
      </c>
      <c r="C141" s="949">
        <v>38.048395322087728</v>
      </c>
      <c r="D141" s="950">
        <v>40.314708239347254</v>
      </c>
      <c r="E141" s="950">
        <v>37.742428977003065</v>
      </c>
      <c r="F141" s="950">
        <v>38.097909230040784</v>
      </c>
      <c r="G141" s="950">
        <v>38.036880459337077</v>
      </c>
      <c r="H141" s="950">
        <v>41.0385857568414</v>
      </c>
      <c r="I141" s="950">
        <v>39.780559623063738</v>
      </c>
      <c r="J141" s="950">
        <v>38.805086279868419</v>
      </c>
      <c r="K141" s="950">
        <v>39.442461329573703</v>
      </c>
      <c r="L141" s="950">
        <v>41.919034067229987</v>
      </c>
      <c r="M141" s="950">
        <v>43.124256331904128</v>
      </c>
      <c r="N141" s="951">
        <v>41.97167343804896</v>
      </c>
    </row>
    <row r="142" spans="2:14" hidden="1"/>
    <row r="143" spans="2:14" hidden="1"/>
    <row r="144" spans="2:14" hidden="1">
      <c r="C144" s="4472"/>
      <c r="D144" s="4473"/>
      <c r="E144" s="4473"/>
      <c r="F144" s="4473"/>
      <c r="G144" s="4473"/>
      <c r="H144" s="4473">
        <v>2010</v>
      </c>
      <c r="I144" s="4473"/>
      <c r="J144" s="4473"/>
      <c r="K144" s="4473"/>
      <c r="L144" s="4473"/>
      <c r="M144" s="4473"/>
      <c r="N144" s="4474"/>
    </row>
    <row r="145" spans="2:14" ht="15" hidden="1" thickBot="1">
      <c r="B145" s="683" t="s">
        <v>756</v>
      </c>
      <c r="C145" s="955" t="s">
        <v>36</v>
      </c>
      <c r="D145" s="4471" t="s">
        <v>37</v>
      </c>
      <c r="E145" s="4471" t="s">
        <v>38</v>
      </c>
      <c r="F145" s="4471" t="s">
        <v>39</v>
      </c>
      <c r="G145" s="4471" t="s">
        <v>40</v>
      </c>
      <c r="H145" s="4471" t="s">
        <v>41</v>
      </c>
      <c r="I145" s="4471" t="s">
        <v>42</v>
      </c>
      <c r="J145" s="4471" t="s">
        <v>43</v>
      </c>
      <c r="K145" s="4471" t="s">
        <v>44</v>
      </c>
      <c r="L145" s="4471" t="s">
        <v>45</v>
      </c>
      <c r="M145" s="4471" t="s">
        <v>46</v>
      </c>
      <c r="N145" s="956" t="s">
        <v>47</v>
      </c>
    </row>
    <row r="146" spans="2:14" hidden="1">
      <c r="C146" s="957"/>
      <c r="D146" s="4475"/>
      <c r="E146" s="4475"/>
      <c r="F146" s="4475"/>
      <c r="G146" s="4475"/>
      <c r="H146" s="4475"/>
      <c r="I146" s="4475"/>
      <c r="J146" s="4475"/>
      <c r="K146" s="4475"/>
      <c r="L146" s="4475"/>
      <c r="M146" s="4475"/>
      <c r="N146" s="959"/>
    </row>
    <row r="147" spans="2:14" ht="16.2" hidden="1" thickBot="1">
      <c r="B147" s="683" t="s">
        <v>151</v>
      </c>
      <c r="C147" s="960">
        <v>46.844172135145513</v>
      </c>
      <c r="D147" s="4476">
        <v>54.180880272627071</v>
      </c>
      <c r="E147" s="4476">
        <v>53.044507487294503</v>
      </c>
      <c r="F147" s="4476">
        <v>50.910729226471325</v>
      </c>
      <c r="G147" s="4476">
        <v>51.893191486115484</v>
      </c>
      <c r="H147" s="4476">
        <v>53.137671365175905</v>
      </c>
      <c r="I147" s="4476">
        <v>53.520109125300245</v>
      </c>
      <c r="J147" s="4476">
        <v>52.132370802605131</v>
      </c>
      <c r="K147" s="4476">
        <v>51.076140824553399</v>
      </c>
      <c r="L147" s="4476">
        <v>56.118692736004242</v>
      </c>
      <c r="M147" s="4476">
        <v>55.756581064313373</v>
      </c>
      <c r="N147" s="962">
        <v>49.254121794042113</v>
      </c>
    </row>
    <row r="148" spans="2:14" ht="15.6" hidden="1">
      <c r="B148" s="684" t="s">
        <v>144</v>
      </c>
      <c r="C148" s="960">
        <v>58.31489713689755</v>
      </c>
      <c r="D148" s="4476">
        <v>70.028189506728211</v>
      </c>
      <c r="E148" s="4476">
        <v>68.858955669503487</v>
      </c>
      <c r="F148" s="4476">
        <v>63.800127305194138</v>
      </c>
      <c r="G148" s="4476">
        <v>67.711135293074477</v>
      </c>
      <c r="H148" s="4476">
        <v>67.884574581928717</v>
      </c>
      <c r="I148" s="4476">
        <v>67.616681380464669</v>
      </c>
      <c r="J148" s="4476">
        <v>66.873370155525151</v>
      </c>
      <c r="K148" s="4476">
        <v>64.347549329866325</v>
      </c>
      <c r="L148" s="4476">
        <v>73.536477690636517</v>
      </c>
      <c r="M148" s="4476">
        <v>73.341820495607877</v>
      </c>
      <c r="N148" s="962">
        <v>60.337570068892425</v>
      </c>
    </row>
    <row r="149" spans="2:14" ht="15.6" hidden="1">
      <c r="B149" s="684" t="s">
        <v>145</v>
      </c>
      <c r="C149" s="960">
        <v>44.801463424466625</v>
      </c>
      <c r="D149" s="4476">
        <v>52.718253967518528</v>
      </c>
      <c r="E149" s="4476">
        <v>53.064516128648137</v>
      </c>
      <c r="F149" s="4476">
        <v>50.985630438849427</v>
      </c>
      <c r="G149" s="4476">
        <v>51.530642223391013</v>
      </c>
      <c r="H149" s="4476">
        <v>55.636510827255613</v>
      </c>
      <c r="I149" s="4476">
        <v>57.21644436681845</v>
      </c>
      <c r="J149" s="4476">
        <v>52.717550972799025</v>
      </c>
      <c r="K149" s="4476">
        <v>52.098765431979366</v>
      </c>
      <c r="L149" s="4476">
        <v>56.856062832319374</v>
      </c>
      <c r="M149" s="4476">
        <v>59.321999595886467</v>
      </c>
      <c r="N149" s="962">
        <v>49.636680572067391</v>
      </c>
    </row>
    <row r="150" spans="2:14" ht="16.2" hidden="1" thickBot="1">
      <c r="B150" s="685" t="s">
        <v>146</v>
      </c>
      <c r="C150" s="960">
        <v>39.308160373479083</v>
      </c>
      <c r="D150" s="4476">
        <v>42.687682215230602</v>
      </c>
      <c r="E150" s="4476">
        <v>40.352205398905092</v>
      </c>
      <c r="F150" s="4476">
        <v>40.521842597985732</v>
      </c>
      <c r="G150" s="4476">
        <v>39.52558766917236</v>
      </c>
      <c r="H150" s="4476">
        <v>39.224885262389598</v>
      </c>
      <c r="I150" s="4476">
        <v>39.122567485502302</v>
      </c>
      <c r="J150" s="4476">
        <v>39.83155401334114</v>
      </c>
      <c r="K150" s="4476">
        <v>39.58524562298421</v>
      </c>
      <c r="L150" s="4476">
        <v>41.545623530314131</v>
      </c>
      <c r="M150" s="4476">
        <v>38.674145843474754</v>
      </c>
      <c r="N150" s="962">
        <v>40.053626359469156</v>
      </c>
    </row>
    <row r="151" spans="2:14" hidden="1"/>
    <row r="152" spans="2:14" hidden="1"/>
    <row r="153" spans="2:14" hidden="1"/>
    <row r="154" spans="2:14" ht="15.6" hidden="1">
      <c r="C154" s="4477"/>
      <c r="D154" s="4478"/>
      <c r="E154" s="4478"/>
      <c r="F154" s="4478"/>
      <c r="G154" s="4478"/>
      <c r="H154" s="4478">
        <v>2009</v>
      </c>
      <c r="I154" s="4478"/>
      <c r="J154" s="4478"/>
      <c r="K154" s="4478"/>
      <c r="L154" s="4478"/>
      <c r="M154" s="4478"/>
      <c r="N154" s="4479"/>
    </row>
    <row r="155" spans="2:14" ht="15" hidden="1" thickBot="1">
      <c r="B155" s="677" t="s">
        <v>757</v>
      </c>
      <c r="C155" s="4480" t="s">
        <v>36</v>
      </c>
      <c r="D155" s="4481" t="s">
        <v>37</v>
      </c>
      <c r="E155" s="4481" t="s">
        <v>38</v>
      </c>
      <c r="F155" s="4481" t="s">
        <v>39</v>
      </c>
      <c r="G155" s="4481" t="s">
        <v>40</v>
      </c>
      <c r="H155" s="4481" t="s">
        <v>41</v>
      </c>
      <c r="I155" s="4481" t="s">
        <v>42</v>
      </c>
      <c r="J155" s="4481" t="s">
        <v>43</v>
      </c>
      <c r="K155" s="4481" t="s">
        <v>44</v>
      </c>
      <c r="L155" s="4481" t="s">
        <v>45</v>
      </c>
      <c r="M155" s="4481" t="s">
        <v>46</v>
      </c>
      <c r="N155" s="4482" t="s">
        <v>47</v>
      </c>
    </row>
    <row r="156" spans="2:14" hidden="1">
      <c r="C156" s="969"/>
      <c r="D156" s="4483"/>
      <c r="E156" s="4483"/>
      <c r="F156" s="4483"/>
      <c r="G156" s="4483"/>
      <c r="H156" s="4483"/>
      <c r="I156" s="4483"/>
      <c r="J156" s="4483"/>
      <c r="K156" s="4483"/>
      <c r="L156" s="4483"/>
      <c r="M156" s="4483"/>
      <c r="N156" s="971"/>
    </row>
    <row r="157" spans="2:14" ht="16.2" hidden="1" thickBot="1">
      <c r="B157" s="677" t="s">
        <v>151</v>
      </c>
      <c r="C157" s="972">
        <v>47.276710982789211</v>
      </c>
      <c r="D157" s="4484">
        <v>48.627691780909444</v>
      </c>
      <c r="E157" s="4484">
        <v>50.878535751101467</v>
      </c>
      <c r="F157" s="4484">
        <v>46.381673143536318</v>
      </c>
      <c r="G157" s="4484">
        <v>48.21662465190493</v>
      </c>
      <c r="H157" s="4484">
        <v>49.669792091339772</v>
      </c>
      <c r="I157" s="4484">
        <v>52.647843982929082</v>
      </c>
      <c r="J157" s="4484">
        <v>52.179589997558047</v>
      </c>
      <c r="K157" s="4484">
        <v>49.544645303169894</v>
      </c>
      <c r="L157" s="4484">
        <v>52.417375007233247</v>
      </c>
      <c r="M157" s="4484">
        <v>54.481723949776615</v>
      </c>
      <c r="N157" s="974">
        <v>46.643221451943326</v>
      </c>
    </row>
    <row r="158" spans="2:14" ht="15.6" hidden="1">
      <c r="B158" s="678" t="s">
        <v>144</v>
      </c>
      <c r="C158" s="972">
        <v>53.881581441257346</v>
      </c>
      <c r="D158" s="4484">
        <v>59.046080243319629</v>
      </c>
      <c r="E158" s="4484">
        <v>66.724627252391571</v>
      </c>
      <c r="F158" s="4484">
        <v>56.726559272391569</v>
      </c>
      <c r="G158" s="4484">
        <v>58.026541952087982</v>
      </c>
      <c r="H158" s="4484">
        <v>62.232548533166046</v>
      </c>
      <c r="I158" s="4484">
        <v>64.141919473995031</v>
      </c>
      <c r="J158" s="4484">
        <v>67.869992074089481</v>
      </c>
      <c r="K158" s="4484">
        <v>64.950640622986768</v>
      </c>
      <c r="L158" s="4484">
        <v>72.697522208594819</v>
      </c>
      <c r="M158" s="4484">
        <v>74.553665196326406</v>
      </c>
      <c r="N158" s="974">
        <v>54.354940342394457</v>
      </c>
    </row>
    <row r="159" spans="2:14" ht="15.6" hidden="1">
      <c r="B159" s="678" t="s">
        <v>145</v>
      </c>
      <c r="C159" s="972">
        <v>48.092979126448533</v>
      </c>
      <c r="D159" s="4484">
        <v>47.124474789998537</v>
      </c>
      <c r="E159" s="4484">
        <v>44.800730733482865</v>
      </c>
      <c r="F159" s="4484">
        <v>46.430700446442629</v>
      </c>
      <c r="G159" s="4484">
        <v>48.765902701403242</v>
      </c>
      <c r="H159" s="4484">
        <v>49.59038508731053</v>
      </c>
      <c r="I159" s="4484">
        <v>52.752260912553353</v>
      </c>
      <c r="J159" s="4484">
        <v>49.424048662824049</v>
      </c>
      <c r="K159" s="4484">
        <v>49.752720078999999</v>
      </c>
      <c r="L159" s="4484">
        <v>52.259007734564321</v>
      </c>
      <c r="M159" s="4484">
        <v>53.630604288406431</v>
      </c>
      <c r="N159" s="974">
        <v>47.110460863343086</v>
      </c>
    </row>
    <row r="160" spans="2:14" ht="16.2" hidden="1" thickBot="1">
      <c r="B160" s="679" t="s">
        <v>146</v>
      </c>
      <c r="C160" s="972">
        <v>40.873593203790051</v>
      </c>
      <c r="D160" s="4484">
        <v>40.541237113186085</v>
      </c>
      <c r="E160" s="4484">
        <v>41.867062730181587</v>
      </c>
      <c r="F160" s="4484">
        <v>37.709949991713913</v>
      </c>
      <c r="G160" s="4484">
        <v>39.640872452465594</v>
      </c>
      <c r="H160" s="4484">
        <v>39.23607518568442</v>
      </c>
      <c r="I160" s="4484">
        <v>42.999083104914732</v>
      </c>
      <c r="J160" s="4484">
        <v>41.217896299902222</v>
      </c>
      <c r="K160" s="4484">
        <v>36.751163994132952</v>
      </c>
      <c r="L160" s="4484">
        <v>35.879378535660628</v>
      </c>
      <c r="M160" s="4484">
        <v>38.604931884841157</v>
      </c>
      <c r="N160" s="974">
        <v>39.988330416010861</v>
      </c>
    </row>
    <row r="161" spans="2:14" hidden="1"/>
    <row r="162" spans="2:14" hidden="1"/>
    <row r="163" spans="2:14" hidden="1"/>
    <row r="164" spans="2:14" ht="15.6" hidden="1">
      <c r="C164" s="975"/>
      <c r="D164" s="159"/>
      <c r="E164" s="159"/>
      <c r="F164" s="159"/>
      <c r="G164" s="159"/>
      <c r="H164" s="976">
        <v>2008</v>
      </c>
      <c r="I164" s="159"/>
      <c r="J164" s="159"/>
      <c r="K164" s="159"/>
      <c r="L164" s="159"/>
      <c r="M164" s="159"/>
      <c r="N164" s="977"/>
    </row>
    <row r="165" spans="2:14" ht="15" hidden="1" thickBot="1">
      <c r="B165" s="686" t="s">
        <v>758</v>
      </c>
      <c r="C165" s="978" t="s">
        <v>36</v>
      </c>
      <c r="D165" s="4485" t="s">
        <v>37</v>
      </c>
      <c r="E165" s="4485" t="s">
        <v>38</v>
      </c>
      <c r="F165" s="4485" t="s">
        <v>39</v>
      </c>
      <c r="G165" s="4485" t="s">
        <v>40</v>
      </c>
      <c r="H165" s="4485" t="s">
        <v>41</v>
      </c>
      <c r="I165" s="4485" t="s">
        <v>42</v>
      </c>
      <c r="J165" s="4485" t="s">
        <v>43</v>
      </c>
      <c r="K165" s="4485" t="s">
        <v>44</v>
      </c>
      <c r="L165" s="4485" t="s">
        <v>45</v>
      </c>
      <c r="M165" s="4485" t="s">
        <v>46</v>
      </c>
      <c r="N165" s="4485" t="s">
        <v>47</v>
      </c>
    </row>
    <row r="166" spans="2:14" hidden="1">
      <c r="C166" s="978"/>
      <c r="D166" s="4485"/>
      <c r="E166" s="4485"/>
      <c r="F166" s="4485"/>
      <c r="G166" s="4485"/>
      <c r="H166" s="4485"/>
      <c r="I166" s="4485"/>
      <c r="J166" s="4485"/>
      <c r="K166" s="4485"/>
      <c r="L166" s="4485"/>
      <c r="M166" s="4485"/>
      <c r="N166" s="4485"/>
    </row>
    <row r="167" spans="2:14" ht="16.2" hidden="1" thickBot="1">
      <c r="B167" s="686" t="s">
        <v>151</v>
      </c>
      <c r="C167" s="980">
        <v>47.852340968457582</v>
      </c>
      <c r="D167" s="4486">
        <v>51.920638945599286</v>
      </c>
      <c r="E167" s="4486">
        <v>50.493490406671988</v>
      </c>
      <c r="F167" s="4486">
        <v>53.271377995810482</v>
      </c>
      <c r="G167" s="4486">
        <v>53.435094344529858</v>
      </c>
      <c r="H167" s="4486">
        <v>56.232091690366374</v>
      </c>
      <c r="I167" s="4486">
        <v>58.864695707466012</v>
      </c>
      <c r="J167" s="4486">
        <v>55.950510346118698</v>
      </c>
      <c r="K167" s="4486">
        <v>56.10178741937068</v>
      </c>
      <c r="L167" s="4486">
        <v>55.655553282211514</v>
      </c>
      <c r="M167" s="4486">
        <v>59.003612076366181</v>
      </c>
      <c r="N167" s="4486">
        <v>48.137284627777461</v>
      </c>
    </row>
    <row r="168" spans="2:14" ht="15.6" hidden="1">
      <c r="B168" s="687" t="s">
        <v>144</v>
      </c>
      <c r="C168" s="980">
        <v>62.385879489150945</v>
      </c>
      <c r="D168" s="4486">
        <v>71.988576265006145</v>
      </c>
      <c r="E168" s="4486">
        <v>68.408866019858891</v>
      </c>
      <c r="F168" s="4486">
        <v>71.728016361153379</v>
      </c>
      <c r="G168" s="4486">
        <v>71.994134897518421</v>
      </c>
      <c r="H168" s="4486">
        <v>75.280507779158469</v>
      </c>
      <c r="I168" s="4486">
        <v>76.381073155067568</v>
      </c>
      <c r="J168" s="4486">
        <v>71.647380518882059</v>
      </c>
      <c r="K168" s="4486">
        <v>74.780917279404164</v>
      </c>
      <c r="L168" s="4486">
        <v>75.416105253599511</v>
      </c>
      <c r="M168" s="4486">
        <v>78.599508598918916</v>
      </c>
      <c r="N168" s="4486">
        <v>59.742807324066334</v>
      </c>
    </row>
    <row r="169" spans="2:14" ht="15.6" hidden="1">
      <c r="B169" s="687" t="s">
        <v>145</v>
      </c>
      <c r="C169" s="980">
        <v>48.650280085107021</v>
      </c>
      <c r="D169" s="4486">
        <v>50.988540160694605</v>
      </c>
      <c r="E169" s="4486">
        <v>48.099768205303157</v>
      </c>
      <c r="F169" s="4486">
        <v>50.508982035748495</v>
      </c>
      <c r="G169" s="4486">
        <v>51.209677419509781</v>
      </c>
      <c r="H169" s="4486">
        <v>55.549698795173207</v>
      </c>
      <c r="I169" s="4486">
        <v>58.892829382112964</v>
      </c>
      <c r="J169" s="4486">
        <v>55.591721726871242</v>
      </c>
      <c r="K169" s="4486">
        <v>52.999497991992463</v>
      </c>
      <c r="L169" s="4486">
        <v>54.181915125755822</v>
      </c>
      <c r="M169" s="4486">
        <v>58.066616578824942</v>
      </c>
      <c r="N169" s="4486">
        <v>49.013797123383284</v>
      </c>
    </row>
    <row r="170" spans="2:14" ht="16.2" hidden="1" thickBot="1">
      <c r="B170" s="688" t="s">
        <v>146</v>
      </c>
      <c r="C170" s="980">
        <v>35.326759150972528</v>
      </c>
      <c r="D170" s="4486">
        <v>35.617294979795858</v>
      </c>
      <c r="E170" s="4486">
        <v>37.019889687259585</v>
      </c>
      <c r="F170" s="4486">
        <v>39.595854921786511</v>
      </c>
      <c r="G170" s="4486">
        <v>39.311382249276676</v>
      </c>
      <c r="H170" s="4486">
        <v>40.633851468740943</v>
      </c>
      <c r="I170" s="4486">
        <v>44.069864616986024</v>
      </c>
      <c r="J170" s="4486">
        <v>42.956710680368396</v>
      </c>
      <c r="K170" s="4486">
        <v>42.480138169331084</v>
      </c>
      <c r="L170" s="4486">
        <v>40.003342803881353</v>
      </c>
      <c r="M170" s="4486">
        <v>43.136645962759331</v>
      </c>
      <c r="N170" s="4486">
        <v>37.787542861150662</v>
      </c>
    </row>
    <row r="171" spans="2:14" hidden="1"/>
    <row r="172" spans="2:14" hidden="1"/>
    <row r="173" spans="2:14" hidden="1"/>
    <row r="174" spans="2:14" hidden="1">
      <c r="C174" s="982"/>
      <c r="D174" s="983"/>
      <c r="E174" s="983"/>
      <c r="F174" s="4487"/>
      <c r="G174" s="983"/>
      <c r="H174" s="985">
        <v>2007</v>
      </c>
      <c r="I174" s="985"/>
      <c r="J174" s="983"/>
      <c r="K174" s="983"/>
      <c r="L174" s="983"/>
      <c r="M174" s="983"/>
      <c r="N174" s="986"/>
    </row>
    <row r="175" spans="2:14" ht="15" hidden="1" thickBot="1">
      <c r="B175" s="689" t="s">
        <v>759</v>
      </c>
      <c r="C175" s="4488" t="s">
        <v>36</v>
      </c>
      <c r="D175" s="4489" t="s">
        <v>37</v>
      </c>
      <c r="E175" s="4489" t="s">
        <v>38</v>
      </c>
      <c r="F175" s="4489" t="s">
        <v>39</v>
      </c>
      <c r="G175" s="4489" t="s">
        <v>40</v>
      </c>
      <c r="H175" s="4489" t="s">
        <v>41</v>
      </c>
      <c r="I175" s="4489" t="s">
        <v>42</v>
      </c>
      <c r="J175" s="4489" t="s">
        <v>43</v>
      </c>
      <c r="K175" s="4489" t="s">
        <v>44</v>
      </c>
      <c r="L175" s="4489" t="s">
        <v>45</v>
      </c>
      <c r="M175" s="4489" t="s">
        <v>46</v>
      </c>
      <c r="N175" s="4490" t="s">
        <v>47</v>
      </c>
    </row>
    <row r="176" spans="2:14" hidden="1">
      <c r="C176" s="988"/>
      <c r="D176" s="4491"/>
      <c r="E176" s="4491"/>
      <c r="F176" s="4491"/>
      <c r="G176" s="4491"/>
      <c r="H176" s="4491"/>
      <c r="I176" s="4491"/>
      <c r="J176" s="4491"/>
      <c r="K176" s="4491"/>
      <c r="L176" s="4491"/>
      <c r="M176" s="4491"/>
      <c r="N176" s="990"/>
    </row>
    <row r="177" spans="2:14" ht="16.2" hidden="1" thickBot="1">
      <c r="B177" s="689" t="s">
        <v>151</v>
      </c>
      <c r="C177" s="991">
        <v>47.239377634177075</v>
      </c>
      <c r="D177" s="4492">
        <v>50.688309020043988</v>
      </c>
      <c r="E177" s="4492">
        <v>51.845590867311138</v>
      </c>
      <c r="F177" s="4492">
        <v>50.847376353295132</v>
      </c>
      <c r="G177" s="4492">
        <v>50.261856463469151</v>
      </c>
      <c r="H177" s="4492">
        <v>55.469242361743312</v>
      </c>
      <c r="I177" s="4492">
        <v>55.089875335545024</v>
      </c>
      <c r="J177" s="4492">
        <v>53.986819566650787</v>
      </c>
      <c r="K177" s="4492">
        <v>51.96837624161931</v>
      </c>
      <c r="L177" s="4492">
        <v>53.713306698027367</v>
      </c>
      <c r="M177" s="4492">
        <v>58.200243210258613</v>
      </c>
      <c r="N177" s="993">
        <v>44.25835728769222</v>
      </c>
    </row>
    <row r="178" spans="2:14" ht="15.6" hidden="1">
      <c r="B178" s="690" t="s">
        <v>144</v>
      </c>
      <c r="C178" s="991">
        <v>64.23691168809836</v>
      </c>
      <c r="D178" s="4492">
        <v>70.47914818109318</v>
      </c>
      <c r="E178" s="4492">
        <v>73.89701462659626</v>
      </c>
      <c r="F178" s="4492">
        <v>69.63354037385092</v>
      </c>
      <c r="G178" s="4492">
        <v>67.727910240484476</v>
      </c>
      <c r="H178" s="4492">
        <v>79.476190476683229</v>
      </c>
      <c r="I178" s="4492">
        <v>73.653973059927807</v>
      </c>
      <c r="J178" s="4492">
        <v>70.488204141325383</v>
      </c>
      <c r="K178" s="4492">
        <v>73.926368158782083</v>
      </c>
      <c r="L178" s="4492">
        <v>74.561386617898506</v>
      </c>
      <c r="M178" s="4492">
        <v>77.562189054244783</v>
      </c>
      <c r="N178" s="993">
        <v>56.946642321528302</v>
      </c>
    </row>
    <row r="179" spans="2:14" ht="15.6" hidden="1">
      <c r="B179" s="690" t="s">
        <v>145</v>
      </c>
      <c r="C179" s="991">
        <v>45.156822446045695</v>
      </c>
      <c r="D179" s="4492">
        <v>48.166245745545744</v>
      </c>
      <c r="E179" s="4492">
        <v>46.574980797897318</v>
      </c>
      <c r="F179" s="4492">
        <v>46.72371031802605</v>
      </c>
      <c r="G179" s="4492">
        <v>48.334293394901792</v>
      </c>
      <c r="H179" s="4492">
        <v>50.376984125961307</v>
      </c>
      <c r="I179" s="4492">
        <v>54.783258595718991</v>
      </c>
      <c r="J179" s="4492">
        <v>54.364467982388057</v>
      </c>
      <c r="K179" s="4492">
        <v>47.070858283677396</v>
      </c>
      <c r="L179" s="4492">
        <v>55.324029360527696</v>
      </c>
      <c r="M179" s="4492">
        <v>58.405688623355545</v>
      </c>
      <c r="N179" s="993">
        <v>42.964071856426649</v>
      </c>
    </row>
    <row r="180" spans="2:14" ht="16.2" hidden="1" thickBot="1">
      <c r="B180" s="691" t="s">
        <v>146</v>
      </c>
      <c r="C180" s="991">
        <v>35.173011262103216</v>
      </c>
      <c r="D180" s="4492">
        <v>36.075810692248986</v>
      </c>
      <c r="E180" s="4492">
        <v>36.982048859383887</v>
      </c>
      <c r="F180" s="4492">
        <v>37.927126917263088</v>
      </c>
      <c r="G180" s="4492">
        <v>36.909501956753665</v>
      </c>
      <c r="H180" s="4492">
        <v>38.833682008101988</v>
      </c>
      <c r="I180" s="4492">
        <v>39.225739212545058</v>
      </c>
      <c r="J180" s="4492">
        <v>39.319874261977589</v>
      </c>
      <c r="K180" s="4492">
        <v>36.236559139934968</v>
      </c>
      <c r="L180" s="4492">
        <v>34.424826290699279</v>
      </c>
      <c r="M180" s="4492">
        <v>41.192581036273026</v>
      </c>
      <c r="N180" s="993">
        <v>34.661474942412063</v>
      </c>
    </row>
    <row r="181" spans="2:14" hidden="1"/>
    <row r="182" spans="2:14" hidden="1"/>
    <row r="183" spans="2:14" hidden="1">
      <c r="H183" s="159"/>
      <c r="I183" s="159"/>
      <c r="J183" s="159"/>
      <c r="K183" s="4493">
        <v>2006</v>
      </c>
      <c r="L183" s="159"/>
      <c r="M183" s="159"/>
      <c r="N183" s="995"/>
    </row>
    <row r="184" spans="2:14" hidden="1">
      <c r="H184" s="4485" t="s">
        <v>41</v>
      </c>
      <c r="I184" s="4485" t="s">
        <v>42</v>
      </c>
      <c r="J184" s="4485" t="s">
        <v>43</v>
      </c>
      <c r="K184" s="4485" t="s">
        <v>44</v>
      </c>
      <c r="L184" s="4485" t="s">
        <v>45</v>
      </c>
      <c r="M184" s="4485" t="s">
        <v>46</v>
      </c>
      <c r="N184" s="996" t="s">
        <v>47</v>
      </c>
    </row>
    <row r="185" spans="2:14" ht="15" hidden="1" thickBot="1">
      <c r="B185" s="686" t="s">
        <v>760</v>
      </c>
      <c r="H185" s="4485"/>
      <c r="I185" s="4485"/>
      <c r="J185" s="4485"/>
      <c r="K185" s="4485"/>
      <c r="L185" s="4485"/>
      <c r="M185" s="4485"/>
      <c r="N185" s="996"/>
    </row>
    <row r="186" spans="2:14" ht="16.2" hidden="1" thickBot="1">
      <c r="B186" s="686" t="s">
        <v>151</v>
      </c>
      <c r="H186" s="4486">
        <v>50.845060706401767</v>
      </c>
      <c r="I186" s="4486">
        <v>46.981423648154973</v>
      </c>
      <c r="J186" s="4486">
        <v>49.288885986678856</v>
      </c>
      <c r="K186" s="4486">
        <v>47.349454717875773</v>
      </c>
      <c r="L186" s="4486">
        <v>49.325955800596077</v>
      </c>
      <c r="M186" s="4486">
        <v>53.017335517335518</v>
      </c>
      <c r="N186" s="997">
        <v>42.113676266345223</v>
      </c>
    </row>
    <row r="187" spans="2:14" ht="15.6" hidden="1">
      <c r="B187" s="687" t="s">
        <v>144</v>
      </c>
      <c r="H187" s="4486">
        <v>66.837820914214149</v>
      </c>
      <c r="I187" s="4486">
        <v>70.627458693941776</v>
      </c>
      <c r="J187" s="4486">
        <v>66.456287985039737</v>
      </c>
      <c r="K187" s="4486">
        <v>71.515693285657534</v>
      </c>
      <c r="L187" s="4486">
        <v>69.76457204558163</v>
      </c>
      <c r="M187" s="4486">
        <v>75.224148236700543</v>
      </c>
      <c r="N187" s="997">
        <v>54.53881819078623</v>
      </c>
    </row>
    <row r="188" spans="2:14" ht="15.6" hidden="1">
      <c r="B188" s="687" t="s">
        <v>145</v>
      </c>
      <c r="H188" s="4486">
        <v>45.746951219512191</v>
      </c>
      <c r="I188" s="4486">
        <v>44.423549833646753</v>
      </c>
      <c r="J188" s="4486">
        <v>46.168896280173151</v>
      </c>
      <c r="K188" s="4486">
        <v>43.744257274119448</v>
      </c>
      <c r="L188" s="4486">
        <v>49.859529423568958</v>
      </c>
      <c r="M188" s="4486">
        <v>49.807592303692147</v>
      </c>
      <c r="N188" s="997">
        <v>40.646617636350399</v>
      </c>
    </row>
    <row r="189" spans="2:14" ht="16.2" hidden="1" thickBot="1">
      <c r="B189" s="688" t="s">
        <v>146</v>
      </c>
      <c r="H189" s="4486">
        <v>41.041775004333509</v>
      </c>
      <c r="I189" s="4486">
        <v>29.399592563481498</v>
      </c>
      <c r="J189" s="4486">
        <v>36.915373881638345</v>
      </c>
      <c r="K189" s="4486">
        <v>28.845293409051799</v>
      </c>
      <c r="L189" s="4486">
        <v>31.383578919421211</v>
      </c>
      <c r="M189" s="4486">
        <v>35.890789701054089</v>
      </c>
      <c r="N189" s="997">
        <v>32.743581303489137</v>
      </c>
    </row>
    <row r="190" spans="2:14" hidden="1"/>
  </sheetData>
  <mergeCells count="17">
    <mergeCell ref="L22:N22"/>
    <mergeCell ref="B30:B31"/>
    <mergeCell ref="D31:K31"/>
    <mergeCell ref="G56:N56"/>
    <mergeCell ref="L70:N70"/>
    <mergeCell ref="C21:N21"/>
    <mergeCell ref="B1:N1"/>
    <mergeCell ref="L6:N6"/>
    <mergeCell ref="S8:AA8"/>
    <mergeCell ref="S9:AA9"/>
    <mergeCell ref="S10:AA10"/>
    <mergeCell ref="S11:AA11"/>
    <mergeCell ref="C12:N12"/>
    <mergeCell ref="S12:AA12"/>
    <mergeCell ref="L13:N13"/>
    <mergeCell ref="S13:AA13"/>
    <mergeCell ref="S14:Z14"/>
  </mergeCells>
  <hyperlinks>
    <hyperlink ref="Q5" r:id="rId1" xr:uid="{4A7D80E2-8D6C-40E2-B54C-F29FD8B03A5B}"/>
    <hyperlink ref="A78" r:id="rId2" xr:uid="{91E510A4-0626-48A8-BB50-C3BB26215AB8}"/>
    <hyperlink ref="A61" r:id="rId3" xr:uid="{B4ACE41D-E24F-4268-B68A-90335D7CEB54}"/>
    <hyperlink ref="A64" r:id="rId4" xr:uid="{4E7A24D1-051C-46DA-8422-44BE95793F38}"/>
    <hyperlink ref="A66" r:id="rId5" xr:uid="{A20E01B7-1956-4F3C-B91A-9738947AD77B}"/>
    <hyperlink ref="A80" r:id="rId6" xr:uid="{F7A436BB-BB05-4225-B120-192001E9F138}"/>
    <hyperlink ref="A76" r:id="rId7" xr:uid="{E886E4E3-0FA6-438A-9981-EC59E2DBEAC5}"/>
  </hyperlinks>
  <pageMargins left="0.17" right="0.17" top="0.74803149606299213" bottom="0.74803149606299213" header="0.31496062992125984" footer="0.31496062992125984"/>
  <pageSetup scale="41" orientation="landscape" verticalDpi="597" r:id="rId8"/>
  <drawing r:id="rId9"/>
  <legacyDrawing r:id="rId10"/>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D4810-D686-429A-A706-060B47CAA146}">
  <sheetPr>
    <tabColor rgb="FF92D050"/>
    <pageSetUpPr fitToPage="1"/>
  </sheetPr>
  <dimension ref="B1:S33"/>
  <sheetViews>
    <sheetView showGridLines="0" zoomScale="85" zoomScaleNormal="85" workbookViewId="0">
      <selection activeCell="E7" sqref="E7"/>
    </sheetView>
  </sheetViews>
  <sheetFormatPr baseColWidth="10" defaultColWidth="11.44140625" defaultRowHeight="14.4"/>
  <cols>
    <col min="1" max="1" width="5.5546875" customWidth="1"/>
    <col min="2" max="2" width="16.33203125" customWidth="1"/>
    <col min="3" max="14" width="12.6640625" customWidth="1"/>
  </cols>
  <sheetData>
    <row r="1" spans="2:19">
      <c r="B1" s="5615" t="s">
        <v>1793</v>
      </c>
      <c r="C1" s="5615"/>
      <c r="D1" s="5615"/>
      <c r="E1" s="5615"/>
      <c r="F1" s="5615"/>
      <c r="G1" s="5615"/>
      <c r="H1" s="5615"/>
      <c r="I1" s="5615"/>
      <c r="J1" s="5615"/>
      <c r="K1" s="5615"/>
      <c r="L1" s="5615"/>
      <c r="M1" s="5615"/>
      <c r="N1" s="5615"/>
    </row>
    <row r="3" spans="2:19" ht="15" thickBot="1"/>
    <row r="4" spans="2:19">
      <c r="B4" s="4413"/>
      <c r="C4" s="554" t="s">
        <v>1794</v>
      </c>
      <c r="D4" s="555"/>
      <c r="E4" s="555" t="s">
        <v>33</v>
      </c>
      <c r="F4" s="555"/>
      <c r="G4" s="555"/>
      <c r="H4" s="555"/>
      <c r="I4" s="555"/>
      <c r="J4" s="555"/>
      <c r="K4" s="555"/>
      <c r="L4" s="555"/>
      <c r="M4" s="555"/>
      <c r="N4" s="558"/>
    </row>
    <row r="5" spans="2:19">
      <c r="B5" s="4418"/>
      <c r="C5" s="556" t="s">
        <v>36</v>
      </c>
      <c r="D5" s="557" t="s">
        <v>187</v>
      </c>
      <c r="E5" s="557" t="s">
        <v>546</v>
      </c>
      <c r="F5" s="557" t="s">
        <v>188</v>
      </c>
      <c r="G5" s="557" t="s">
        <v>189</v>
      </c>
      <c r="H5" s="557" t="s">
        <v>180</v>
      </c>
      <c r="I5" s="557" t="s">
        <v>42</v>
      </c>
      <c r="J5" s="557" t="s">
        <v>43</v>
      </c>
      <c r="K5" s="557" t="s">
        <v>44</v>
      </c>
      <c r="L5" s="557" t="s">
        <v>1787</v>
      </c>
      <c r="M5" s="557" t="s">
        <v>1788</v>
      </c>
      <c r="N5" s="559" t="s">
        <v>1789</v>
      </c>
    </row>
    <row r="6" spans="2:19" ht="15" thickBot="1">
      <c r="B6" s="4418"/>
      <c r="C6" s="4494"/>
      <c r="D6" s="4424"/>
      <c r="E6" s="4424"/>
      <c r="F6" s="4424"/>
      <c r="G6" s="4424"/>
      <c r="H6" s="4424"/>
      <c r="I6" s="4424"/>
      <c r="J6" s="4424"/>
      <c r="K6" s="4424"/>
      <c r="L6" s="5628"/>
      <c r="M6" s="5628"/>
      <c r="N6" s="5643"/>
    </row>
    <row r="7" spans="2:19" ht="15" thickBot="1">
      <c r="B7" s="4495" t="s">
        <v>865</v>
      </c>
      <c r="C7" s="4496">
        <v>301</v>
      </c>
      <c r="D7" s="4497">
        <v>317</v>
      </c>
      <c r="E7" s="4497">
        <v>533</v>
      </c>
      <c r="F7" s="4498">
        <v>341</v>
      </c>
      <c r="G7" s="4498">
        <v>417</v>
      </c>
      <c r="H7" s="4497">
        <v>615</v>
      </c>
      <c r="I7" s="4497">
        <v>878</v>
      </c>
      <c r="J7" s="4497">
        <v>1478</v>
      </c>
      <c r="K7" s="4497">
        <v>1140</v>
      </c>
      <c r="L7" s="4499">
        <v>668.87</v>
      </c>
      <c r="M7" s="4499">
        <v>690</v>
      </c>
      <c r="N7" s="4500">
        <v>750</v>
      </c>
      <c r="Q7" s="4414"/>
      <c r="R7" s="4415"/>
      <c r="S7" s="4415"/>
    </row>
    <row r="8" spans="2:19">
      <c r="B8" s="562" t="s">
        <v>1413</v>
      </c>
      <c r="C8" s="4501">
        <v>191</v>
      </c>
      <c r="D8" s="4502">
        <v>88</v>
      </c>
      <c r="E8" s="4502">
        <v>237</v>
      </c>
      <c r="F8" s="4502">
        <v>51</v>
      </c>
      <c r="G8" s="4502">
        <v>114</v>
      </c>
      <c r="H8" s="4502">
        <v>202</v>
      </c>
      <c r="I8" s="4502">
        <v>298</v>
      </c>
      <c r="J8" s="4502">
        <v>867</v>
      </c>
      <c r="K8" s="4502">
        <v>377</v>
      </c>
      <c r="L8" s="4502">
        <v>270</v>
      </c>
      <c r="M8" s="4502">
        <v>270</v>
      </c>
      <c r="N8" s="4503">
        <v>290</v>
      </c>
      <c r="Q8" s="4419"/>
      <c r="R8" s="4420"/>
      <c r="S8" s="4421"/>
    </row>
    <row r="9" spans="2:19">
      <c r="B9" s="562" t="s">
        <v>1414</v>
      </c>
      <c r="C9" s="4504">
        <v>84</v>
      </c>
      <c r="D9" s="4505">
        <v>204</v>
      </c>
      <c r="E9" s="4505">
        <v>267</v>
      </c>
      <c r="F9" s="4505">
        <v>259</v>
      </c>
      <c r="G9" s="4505">
        <v>208</v>
      </c>
      <c r="H9" s="4505">
        <v>241</v>
      </c>
      <c r="I9" s="4505">
        <v>420</v>
      </c>
      <c r="J9" s="4505">
        <v>541</v>
      </c>
      <c r="K9" s="4505">
        <v>706</v>
      </c>
      <c r="L9" s="4505">
        <v>325</v>
      </c>
      <c r="M9" s="4505">
        <v>325</v>
      </c>
      <c r="N9" s="4506">
        <v>350</v>
      </c>
      <c r="Q9" s="4415"/>
      <c r="R9" s="4415"/>
      <c r="S9" s="4415"/>
    </row>
    <row r="10" spans="2:19" ht="22.8" customHeight="1" thickBot="1">
      <c r="B10" s="563" t="s">
        <v>1415</v>
      </c>
      <c r="C10" s="4507">
        <v>26</v>
      </c>
      <c r="D10" s="4508">
        <v>25</v>
      </c>
      <c r="E10" s="4508">
        <v>28</v>
      </c>
      <c r="F10" s="4508">
        <v>31</v>
      </c>
      <c r="G10" s="4508">
        <v>94</v>
      </c>
      <c r="H10" s="4508">
        <v>172</v>
      </c>
      <c r="I10" s="4508">
        <v>160</v>
      </c>
      <c r="J10" s="4508">
        <v>70</v>
      </c>
      <c r="K10" s="4508">
        <v>57</v>
      </c>
      <c r="L10" s="4508">
        <v>74</v>
      </c>
      <c r="M10" s="4508">
        <v>74</v>
      </c>
      <c r="N10" s="4509">
        <v>80</v>
      </c>
      <c r="Q10" s="4425"/>
      <c r="R10" s="4425"/>
      <c r="S10" s="4425"/>
    </row>
    <row r="11" spans="2:19" ht="22.8" customHeight="1" thickBot="1">
      <c r="B11" s="4429"/>
      <c r="C11" s="887">
        <f>C7/C17-1</f>
        <v>-0.86769230769230765</v>
      </c>
      <c r="D11" s="888">
        <f>D7/D17-1</f>
        <v>-0.46452702702702697</v>
      </c>
      <c r="E11" s="888">
        <f>E7/E17-1</f>
        <v>0.62996941896024472</v>
      </c>
      <c r="F11" s="888">
        <v>12</v>
      </c>
      <c r="G11" s="888">
        <f t="shared" ref="G11:N11" si="0">G7/G17-1</f>
        <v>1.0746268656716418</v>
      </c>
      <c r="H11" s="888">
        <f t="shared" si="0"/>
        <v>6.1511627906976747</v>
      </c>
      <c r="I11" s="888">
        <f t="shared" si="0"/>
        <v>30.357142857142858</v>
      </c>
      <c r="J11" s="888">
        <f t="shared" si="0"/>
        <v>8.7880794701986762</v>
      </c>
      <c r="K11" s="888">
        <f t="shared" si="0"/>
        <v>5.4772727272727275</v>
      </c>
      <c r="L11" s="888">
        <f t="shared" si="0"/>
        <v>1.3064482758620688</v>
      </c>
      <c r="M11" s="888">
        <f t="shared" si="0"/>
        <v>0.92737430167597767</v>
      </c>
      <c r="N11" s="4510">
        <f t="shared" si="0"/>
        <v>0.875</v>
      </c>
      <c r="Q11" s="4425"/>
      <c r="R11" s="4425"/>
      <c r="S11" s="4425"/>
    </row>
    <row r="12" spans="2:19" ht="22.8" customHeight="1" thickBot="1">
      <c r="B12" s="4429"/>
      <c r="C12" s="5626" t="s">
        <v>1790</v>
      </c>
      <c r="D12" s="5627"/>
      <c r="E12" s="5627"/>
      <c r="F12" s="5627"/>
      <c r="G12" s="5627"/>
      <c r="H12" s="5627"/>
      <c r="I12" s="5627"/>
      <c r="J12" s="5627"/>
      <c r="K12" s="5627"/>
      <c r="L12" s="5627"/>
      <c r="M12" s="5627"/>
      <c r="N12" s="5644"/>
      <c r="Q12" s="4425"/>
      <c r="R12" s="4425"/>
      <c r="S12" s="4425"/>
    </row>
    <row r="13" spans="2:19" ht="22.8" customHeight="1" thickBot="1">
      <c r="B13" s="4423"/>
      <c r="C13" s="4511"/>
      <c r="D13" s="4511"/>
      <c r="E13" s="4511"/>
      <c r="F13" s="4511"/>
      <c r="G13" s="4511"/>
      <c r="H13" s="4511"/>
      <c r="I13" s="4511"/>
      <c r="J13" s="4511"/>
      <c r="K13" s="4511"/>
      <c r="L13" s="5642"/>
      <c r="M13" s="5642"/>
      <c r="N13" s="5642"/>
      <c r="Q13" s="4425"/>
      <c r="R13" s="4425"/>
      <c r="S13" s="4425"/>
    </row>
    <row r="14" spans="2:19" ht="22.8" customHeight="1">
      <c r="C14" s="169" t="s">
        <v>1795</v>
      </c>
      <c r="D14" s="170"/>
      <c r="E14" s="170" t="s">
        <v>33</v>
      </c>
      <c r="F14" s="170"/>
      <c r="G14" s="170"/>
      <c r="H14" s="170"/>
      <c r="I14" s="170"/>
      <c r="J14" s="170"/>
      <c r="K14" s="170"/>
      <c r="L14" s="170"/>
      <c r="M14" s="170"/>
      <c r="N14" s="171"/>
      <c r="Q14" s="4425"/>
      <c r="R14" s="4425"/>
      <c r="S14" s="4425"/>
    </row>
    <row r="15" spans="2:19" ht="22.8" customHeight="1">
      <c r="C15" s="4512" t="s">
        <v>36</v>
      </c>
      <c r="D15" s="4513" t="s">
        <v>37</v>
      </c>
      <c r="E15" s="4513" t="s">
        <v>38</v>
      </c>
      <c r="F15" s="4513" t="s">
        <v>39</v>
      </c>
      <c r="G15" s="4513" t="s">
        <v>40</v>
      </c>
      <c r="H15" s="4513" t="s">
        <v>41</v>
      </c>
      <c r="I15" s="4513" t="s">
        <v>42</v>
      </c>
      <c r="J15" s="4513" t="s">
        <v>43</v>
      </c>
      <c r="K15" s="4513" t="s">
        <v>44</v>
      </c>
      <c r="L15" s="4513" t="s">
        <v>45</v>
      </c>
      <c r="M15" s="4513" t="s">
        <v>46</v>
      </c>
      <c r="N15" s="4514" t="s">
        <v>47</v>
      </c>
      <c r="Q15" s="4425"/>
      <c r="R15" s="4425"/>
      <c r="S15" s="4425"/>
    </row>
    <row r="16" spans="2:19" ht="15" thickBot="1">
      <c r="C16" s="473"/>
      <c r="D16" s="4431"/>
      <c r="E16" s="4431"/>
      <c r="F16" s="4431"/>
      <c r="G16" s="4431"/>
      <c r="H16" s="4431"/>
      <c r="I16" s="4431"/>
      <c r="J16" s="4431"/>
      <c r="K16" s="4431"/>
      <c r="L16" s="4431"/>
      <c r="M16" s="4431"/>
      <c r="N16" s="4515"/>
      <c r="Q16" s="4425"/>
      <c r="R16" s="4425"/>
      <c r="S16" s="4425"/>
    </row>
    <row r="17" spans="2:19" ht="22.8" customHeight="1" thickBot="1">
      <c r="B17" s="4516" t="s">
        <v>865</v>
      </c>
      <c r="C17" s="4517">
        <v>2275</v>
      </c>
      <c r="D17" s="4518">
        <v>592</v>
      </c>
      <c r="E17" s="4518">
        <v>327</v>
      </c>
      <c r="F17" s="4518">
        <v>32</v>
      </c>
      <c r="G17" s="4518">
        <v>201</v>
      </c>
      <c r="H17" s="4518">
        <v>86</v>
      </c>
      <c r="I17" s="4518">
        <v>28</v>
      </c>
      <c r="J17" s="4519">
        <v>151</v>
      </c>
      <c r="K17" s="4519">
        <v>176</v>
      </c>
      <c r="L17" s="4518">
        <v>290</v>
      </c>
      <c r="M17" s="4518">
        <v>358</v>
      </c>
      <c r="N17" s="4520">
        <v>400</v>
      </c>
      <c r="Q17" s="4425"/>
      <c r="R17" s="4425"/>
      <c r="S17" s="4425"/>
    </row>
    <row r="18" spans="2:19" ht="22.8" customHeight="1">
      <c r="B18" s="339" t="s">
        <v>1413</v>
      </c>
      <c r="C18" s="4521">
        <v>1701</v>
      </c>
      <c r="D18" s="4522">
        <v>11</v>
      </c>
      <c r="E18" s="4522">
        <v>9</v>
      </c>
      <c r="F18" s="4522">
        <v>0</v>
      </c>
      <c r="G18" s="4522">
        <v>90</v>
      </c>
      <c r="H18" s="4522">
        <v>46</v>
      </c>
      <c r="I18" s="4522">
        <v>10</v>
      </c>
      <c r="J18" s="4522">
        <v>127</v>
      </c>
      <c r="K18" s="4522">
        <v>120</v>
      </c>
      <c r="L18" s="4522">
        <v>91</v>
      </c>
      <c r="M18" s="4522">
        <v>240</v>
      </c>
      <c r="N18" s="4523">
        <v>264</v>
      </c>
      <c r="Q18" s="4425"/>
      <c r="R18" s="4425"/>
      <c r="S18" s="4425"/>
    </row>
    <row r="19" spans="2:19">
      <c r="B19" s="339" t="s">
        <v>1414</v>
      </c>
      <c r="C19" s="4524">
        <v>439</v>
      </c>
      <c r="D19" s="4525">
        <v>545</v>
      </c>
      <c r="E19" s="4525">
        <v>252</v>
      </c>
      <c r="F19" s="4525">
        <v>16</v>
      </c>
      <c r="G19" s="4525">
        <v>57</v>
      </c>
      <c r="H19" s="4525">
        <v>26</v>
      </c>
      <c r="I19" s="4526">
        <v>4</v>
      </c>
      <c r="J19" s="4526">
        <v>1</v>
      </c>
      <c r="K19" s="4526">
        <v>39</v>
      </c>
      <c r="L19" s="4526">
        <v>121</v>
      </c>
      <c r="M19" s="4526">
        <v>99</v>
      </c>
      <c r="N19" s="4527">
        <v>47</v>
      </c>
    </row>
    <row r="20" spans="2:19" ht="15" thickBot="1">
      <c r="B20" s="475" t="s">
        <v>1415</v>
      </c>
      <c r="C20" s="4528">
        <v>135</v>
      </c>
      <c r="D20" s="4529">
        <v>36</v>
      </c>
      <c r="E20" s="4529">
        <v>66</v>
      </c>
      <c r="F20" s="4529">
        <v>16</v>
      </c>
      <c r="G20" s="4529">
        <v>55</v>
      </c>
      <c r="H20" s="4529">
        <v>15</v>
      </c>
      <c r="I20" s="4530">
        <v>13</v>
      </c>
      <c r="J20" s="4530">
        <v>22</v>
      </c>
      <c r="K20" s="4530">
        <v>17</v>
      </c>
      <c r="L20" s="4530">
        <v>79</v>
      </c>
      <c r="M20" s="4530">
        <v>19</v>
      </c>
      <c r="N20" s="4531">
        <v>89</v>
      </c>
    </row>
    <row r="21" spans="2:19" ht="15" thickBot="1">
      <c r="B21" s="4432"/>
      <c r="C21" s="887">
        <f t="shared" ref="C21:N21" si="1">C17/C27-1</f>
        <v>-0.50116559526937965</v>
      </c>
      <c r="D21" s="888">
        <f t="shared" si="1"/>
        <v>-0.87686274845693779</v>
      </c>
      <c r="E21" s="888">
        <f t="shared" si="1"/>
        <v>-0.9315891117627183</v>
      </c>
      <c r="F21" s="888">
        <f t="shared" si="1"/>
        <v>-0.9870540228246556</v>
      </c>
      <c r="G21" s="888">
        <f t="shared" si="1"/>
        <v>-0.93691067927035987</v>
      </c>
      <c r="H21" s="888">
        <f t="shared" si="1"/>
        <v>-0.97526305663518931</v>
      </c>
      <c r="I21" s="888">
        <f t="shared" si="1"/>
        <v>-0.99231121305964565</v>
      </c>
      <c r="J21" s="888">
        <f t="shared" si="1"/>
        <v>-0.90036666869190851</v>
      </c>
      <c r="K21" s="888">
        <f t="shared" si="1"/>
        <v>-0.93510918712989566</v>
      </c>
      <c r="L21" s="888">
        <f t="shared" si="1"/>
        <v>-0.91271506375479294</v>
      </c>
      <c r="M21" s="888">
        <f t="shared" si="1"/>
        <v>-0.90211602079358766</v>
      </c>
      <c r="N21" s="4510">
        <f t="shared" si="1"/>
        <v>-0.78552278820375332</v>
      </c>
    </row>
    <row r="22" spans="2:19" ht="15" thickBot="1">
      <c r="C22" s="5626" t="s">
        <v>1790</v>
      </c>
      <c r="D22" s="5627"/>
      <c r="E22" s="5627"/>
      <c r="F22" s="5627"/>
      <c r="G22" s="5627"/>
      <c r="H22" s="5627"/>
      <c r="I22" s="5627"/>
      <c r="J22" s="5627"/>
      <c r="K22" s="5627"/>
      <c r="L22" s="5627"/>
      <c r="M22" s="5627"/>
      <c r="N22" s="5644"/>
    </row>
    <row r="23" spans="2:19" ht="15" thickBot="1">
      <c r="B23" s="4423"/>
      <c r="C23" s="4511"/>
      <c r="D23" s="4511"/>
      <c r="E23" s="4511"/>
      <c r="F23" s="4511"/>
      <c r="G23" s="4511"/>
      <c r="H23" s="4511"/>
      <c r="I23" s="4511"/>
      <c r="J23" s="4511"/>
      <c r="K23" s="4511"/>
      <c r="L23" s="5642"/>
      <c r="M23" s="5642"/>
      <c r="N23" s="5642"/>
    </row>
    <row r="24" spans="2:19">
      <c r="B24" s="4433"/>
      <c r="C24" s="1373" t="s">
        <v>1796</v>
      </c>
      <c r="D24" s="1353"/>
      <c r="E24" s="1353" t="s">
        <v>33</v>
      </c>
      <c r="F24" s="1353"/>
      <c r="G24" s="1353"/>
      <c r="H24" s="1353"/>
      <c r="I24" s="1353"/>
      <c r="J24" s="1353"/>
      <c r="K24" s="1353"/>
      <c r="L24" s="1353"/>
      <c r="M24" s="1353"/>
      <c r="N24" s="1354"/>
    </row>
    <row r="25" spans="2:19">
      <c r="B25" s="4434"/>
      <c r="C25" s="1374" t="s">
        <v>36</v>
      </c>
      <c r="D25" s="1355" t="s">
        <v>187</v>
      </c>
      <c r="E25" s="1355" t="s">
        <v>546</v>
      </c>
      <c r="F25" s="1355" t="s">
        <v>188</v>
      </c>
      <c r="G25" s="1355" t="s">
        <v>189</v>
      </c>
      <c r="H25" s="1355" t="s">
        <v>180</v>
      </c>
      <c r="I25" s="1355" t="s">
        <v>42</v>
      </c>
      <c r="J25" s="1355" t="s">
        <v>43</v>
      </c>
      <c r="K25" s="1355" t="s">
        <v>44</v>
      </c>
      <c r="L25" s="1355" t="s">
        <v>45</v>
      </c>
      <c r="M25" s="1355" t="s">
        <v>46</v>
      </c>
      <c r="N25" s="1356" t="s">
        <v>47</v>
      </c>
    </row>
    <row r="26" spans="2:19" ht="43.8" thickBot="1">
      <c r="B26" s="4434"/>
      <c r="C26" s="1375" t="s">
        <v>579</v>
      </c>
      <c r="D26" s="4532" t="s">
        <v>579</v>
      </c>
      <c r="E26" s="4532" t="s">
        <v>579</v>
      </c>
      <c r="F26" s="4532" t="s">
        <v>579</v>
      </c>
      <c r="G26" s="4532" t="s">
        <v>579</v>
      </c>
      <c r="H26" s="4532" t="s">
        <v>579</v>
      </c>
      <c r="I26" s="4532" t="s">
        <v>579</v>
      </c>
      <c r="J26" s="4532" t="s">
        <v>579</v>
      </c>
      <c r="K26" s="4532" t="s">
        <v>579</v>
      </c>
      <c r="L26" s="4532" t="s">
        <v>579</v>
      </c>
      <c r="M26" s="4532" t="s">
        <v>579</v>
      </c>
      <c r="N26" s="4533" t="s">
        <v>1790</v>
      </c>
    </row>
    <row r="27" spans="2:19" ht="15" thickBot="1">
      <c r="B27" s="4516" t="s">
        <v>865</v>
      </c>
      <c r="C27" s="4534">
        <v>4560.6317014732394</v>
      </c>
      <c r="D27" s="4535">
        <v>4807.6434432432698</v>
      </c>
      <c r="E27" s="4535">
        <v>4779.9408606683701</v>
      </c>
      <c r="F27" s="4535">
        <v>2471.8103211972298</v>
      </c>
      <c r="G27" s="4535">
        <v>3185.9591714635098</v>
      </c>
      <c r="H27" s="4535">
        <v>3476.5815133950005</v>
      </c>
      <c r="I27" s="4535">
        <v>3641.6667827070196</v>
      </c>
      <c r="J27" s="4535">
        <v>1515.5570732957804</v>
      </c>
      <c r="K27" s="4535">
        <v>2712.24834788723</v>
      </c>
      <c r="L27" s="4535">
        <v>3322.4518740016201</v>
      </c>
      <c r="M27" s="4535">
        <v>3657.3911573932801</v>
      </c>
      <c r="N27" s="4536">
        <v>1865</v>
      </c>
    </row>
    <row r="28" spans="2:19">
      <c r="B28" s="339" t="s">
        <v>1413</v>
      </c>
      <c r="C28" s="4521"/>
      <c r="D28" s="4522"/>
      <c r="E28" s="4522"/>
      <c r="F28" s="4522"/>
      <c r="G28" s="4522"/>
      <c r="H28" s="4522"/>
      <c r="I28" s="4522"/>
      <c r="J28" s="4522"/>
      <c r="K28" s="4522"/>
      <c r="L28" s="4522"/>
      <c r="M28" s="4522"/>
      <c r="N28" s="4522">
        <v>865</v>
      </c>
    </row>
    <row r="29" spans="2:19">
      <c r="B29" s="339" t="s">
        <v>1414</v>
      </c>
      <c r="C29" s="4524"/>
      <c r="D29" s="4525"/>
      <c r="E29" s="4525"/>
      <c r="F29" s="4525"/>
      <c r="G29" s="4525"/>
      <c r="H29" s="4525"/>
      <c r="I29" s="4526"/>
      <c r="J29" s="4526"/>
      <c r="K29" s="4526"/>
      <c r="L29" s="4526"/>
      <c r="M29" s="4526"/>
      <c r="N29" s="4526">
        <v>773</v>
      </c>
    </row>
    <row r="30" spans="2:19" ht="15" thickBot="1">
      <c r="B30" s="475" t="s">
        <v>1415</v>
      </c>
      <c r="C30" s="4528"/>
      <c r="D30" s="4529"/>
      <c r="E30" s="4529"/>
      <c r="F30" s="4529"/>
      <c r="G30" s="4529"/>
      <c r="H30" s="4529"/>
      <c r="I30" s="4530"/>
      <c r="J30" s="4530"/>
      <c r="K30" s="4530"/>
      <c r="L30" s="4530"/>
      <c r="M30" s="4530"/>
      <c r="N30" s="4530">
        <v>227</v>
      </c>
    </row>
    <row r="31" spans="2:19" ht="15" thickBot="1">
      <c r="B31" s="4432"/>
      <c r="C31" s="887"/>
      <c r="D31" s="888"/>
      <c r="E31" s="888"/>
      <c r="F31" s="888"/>
      <c r="G31" s="888"/>
      <c r="H31" s="888"/>
      <c r="I31" s="888"/>
      <c r="J31" s="888"/>
      <c r="K31" s="888"/>
      <c r="L31" s="888"/>
      <c r="M31" s="888"/>
      <c r="N31" s="888"/>
    </row>
    <row r="33" spans="14:14">
      <c r="N33">
        <v>-0.7</v>
      </c>
    </row>
  </sheetData>
  <mergeCells count="6">
    <mergeCell ref="L23:N23"/>
    <mergeCell ref="B1:N1"/>
    <mergeCell ref="L6:N6"/>
    <mergeCell ref="C12:N12"/>
    <mergeCell ref="L13:N13"/>
    <mergeCell ref="C22:N22"/>
  </mergeCells>
  <pageMargins left="0.17" right="0.17" top="0.74803149606299213" bottom="0.74803149606299213" header="0.31496062992125984" footer="0.31496062992125984"/>
  <pageSetup scale="51" orientation="landscape" verticalDpi="597" r:id="rId1"/>
  <drawing r:id="rId2"/>
  <legacyDrawing r:id="rId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92D050"/>
  </sheetPr>
  <dimension ref="A1:S129"/>
  <sheetViews>
    <sheetView showGridLines="0" zoomScale="85" zoomScaleNormal="85" workbookViewId="0">
      <selection activeCell="X23" sqref="X23"/>
    </sheetView>
  </sheetViews>
  <sheetFormatPr baseColWidth="10" defaultColWidth="11.44140625" defaultRowHeight="14.4" zeroHeight="1"/>
  <cols>
    <col min="1" max="1" width="2.6640625" style="703" customWidth="1"/>
    <col min="2" max="2" width="17.88671875" style="703" customWidth="1"/>
    <col min="3" max="3" width="1.77734375" style="703" customWidth="1"/>
    <col min="4" max="12" width="9.6640625" style="703" customWidth="1"/>
    <col min="13" max="13" width="9.88671875" style="703" bestFit="1" customWidth="1"/>
    <col min="14" max="14" width="9" style="703" bestFit="1" customWidth="1"/>
    <col min="15" max="15" width="12.5546875" style="703" customWidth="1"/>
    <col min="16" max="16" width="11.44140625" style="703" customWidth="1"/>
    <col min="17" max="19" width="10" style="703" bestFit="1" customWidth="1"/>
    <col min="20" max="24" width="8.6640625" style="703" customWidth="1"/>
    <col min="25" max="26" width="11.44140625" style="703" customWidth="1"/>
    <col min="27" max="33" width="8.6640625" style="703" customWidth="1"/>
    <col min="34" max="37" width="11.44140625" style="703" customWidth="1"/>
    <col min="38" max="16384" width="11.44140625" style="703"/>
  </cols>
  <sheetData>
    <row r="1" spans="1:19" s="257" customFormat="1" ht="9" customHeight="1">
      <c r="A1" s="1408"/>
      <c r="B1" s="1408"/>
      <c r="C1" s="1409"/>
      <c r="D1" s="1410"/>
      <c r="E1" s="1410"/>
      <c r="F1" s="1410"/>
      <c r="G1" s="1410"/>
      <c r="H1" s="1410"/>
      <c r="I1" s="1410"/>
      <c r="J1" s="1410"/>
      <c r="K1" s="1410"/>
      <c r="L1" s="1410"/>
      <c r="M1" s="1408"/>
      <c r="N1" s="1410"/>
    </row>
    <row r="2" spans="1:19" s="257" customFormat="1" ht="24" thickBot="1">
      <c r="A2" s="1408"/>
      <c r="B2" s="1411" t="s">
        <v>595</v>
      </c>
      <c r="C2" s="1412"/>
      <c r="D2" s="1413"/>
      <c r="F2" s="1408"/>
      <c r="M2" s="1414"/>
      <c r="O2" s="998"/>
    </row>
    <row r="3" spans="1:19" s="257" customFormat="1" ht="15" thickBot="1">
      <c r="A3" s="1408"/>
      <c r="B3" s="1415" t="s">
        <v>200</v>
      </c>
      <c r="C3" s="1416"/>
      <c r="D3" s="1417" t="s">
        <v>147</v>
      </c>
      <c r="E3" s="1418"/>
      <c r="F3" s="1419"/>
      <c r="G3" s="1418"/>
      <c r="H3" s="1418" t="s">
        <v>446</v>
      </c>
      <c r="I3" s="1418"/>
      <c r="J3" s="1418"/>
      <c r="K3" s="1420"/>
      <c r="L3" s="1420"/>
      <c r="M3" s="1419"/>
      <c r="N3" s="1419"/>
      <c r="O3" s="1419"/>
      <c r="P3" s="1419"/>
      <c r="Q3" s="1419"/>
      <c r="R3" s="1419"/>
      <c r="S3" s="1419"/>
    </row>
    <row r="4" spans="1:19">
      <c r="A4" s="157"/>
      <c r="B4" s="1421"/>
      <c r="C4" s="1422"/>
      <c r="D4" s="1423">
        <v>2006</v>
      </c>
      <c r="E4" s="1424">
        <v>2007</v>
      </c>
      <c r="F4" s="1424">
        <v>2008</v>
      </c>
      <c r="G4" s="1424">
        <v>2009</v>
      </c>
      <c r="H4" s="1424">
        <v>2010</v>
      </c>
      <c r="I4" s="1424">
        <v>2011</v>
      </c>
      <c r="J4" s="1424">
        <v>2012</v>
      </c>
      <c r="K4" s="1424">
        <v>2013</v>
      </c>
      <c r="L4" s="1424">
        <v>2014</v>
      </c>
      <c r="M4" s="1424">
        <v>2015</v>
      </c>
      <c r="N4" s="1424">
        <v>2016</v>
      </c>
      <c r="O4" s="1425" t="s">
        <v>581</v>
      </c>
      <c r="P4" s="1426" t="s">
        <v>820</v>
      </c>
      <c r="Q4" s="1424">
        <v>2019</v>
      </c>
      <c r="R4" s="3973">
        <v>2020</v>
      </c>
      <c r="S4" s="3996" t="s">
        <v>1441</v>
      </c>
    </row>
    <row r="5" spans="1:19">
      <c r="A5" s="157"/>
      <c r="B5" s="1427"/>
      <c r="C5" s="1422" t="s">
        <v>148</v>
      </c>
      <c r="D5" s="1428" t="s">
        <v>149</v>
      </c>
      <c r="E5" s="1429" t="s">
        <v>48</v>
      </c>
      <c r="F5" s="1429" t="s">
        <v>48</v>
      </c>
      <c r="G5" s="1429" t="s">
        <v>48</v>
      </c>
      <c r="H5" s="1429" t="s">
        <v>48</v>
      </c>
      <c r="I5" s="1429" t="s">
        <v>48</v>
      </c>
      <c r="J5" s="1429" t="s">
        <v>150</v>
      </c>
      <c r="K5" s="1429" t="s">
        <v>150</v>
      </c>
      <c r="L5" s="1429" t="s">
        <v>48</v>
      </c>
      <c r="M5" s="1429" t="s">
        <v>48</v>
      </c>
      <c r="N5" s="1429" t="s">
        <v>48</v>
      </c>
      <c r="O5" s="1430" t="s">
        <v>579</v>
      </c>
      <c r="P5" s="1431" t="s">
        <v>579</v>
      </c>
      <c r="Q5" s="1429"/>
      <c r="R5" s="3974"/>
      <c r="S5" s="3997"/>
    </row>
    <row r="6" spans="1:19" hidden="1">
      <c r="A6" s="157"/>
      <c r="B6" s="1432" t="s">
        <v>144</v>
      </c>
      <c r="C6" s="1422"/>
      <c r="D6" s="1428">
        <v>1.5773254270289405</v>
      </c>
      <c r="E6" s="1433">
        <v>1.5744474859930453</v>
      </c>
      <c r="F6" s="1433">
        <v>1.5638712683756273</v>
      </c>
      <c r="G6" s="1433">
        <v>1.5667115293310827</v>
      </c>
      <c r="H6" s="1433">
        <v>1.5593222696817688</v>
      </c>
      <c r="I6" s="1433">
        <v>1.7252903768186687</v>
      </c>
      <c r="J6" s="1433">
        <v>1.6675865896511384</v>
      </c>
      <c r="K6" s="1433">
        <v>1.7278327203378285</v>
      </c>
      <c r="L6" s="1433"/>
      <c r="M6" s="1433"/>
      <c r="N6" s="1433"/>
      <c r="O6" s="1434"/>
      <c r="P6" s="1435"/>
      <c r="Q6" s="1433"/>
      <c r="R6" s="3975"/>
      <c r="S6" s="3998"/>
    </row>
    <row r="7" spans="1:19" hidden="1">
      <c r="A7" s="157"/>
      <c r="B7" s="1432" t="s">
        <v>145</v>
      </c>
      <c r="C7" s="1422"/>
      <c r="D7" s="1428">
        <v>1.6286832190126559</v>
      </c>
      <c r="E7" s="1433">
        <v>1.5154382146546497</v>
      </c>
      <c r="F7" s="1433">
        <v>1.5143356241091426</v>
      </c>
      <c r="G7" s="1433">
        <v>1.423619021477498</v>
      </c>
      <c r="H7" s="1433">
        <v>1.4526986735145564</v>
      </c>
      <c r="I7" s="1433">
        <v>1.4295638733909997</v>
      </c>
      <c r="J7" s="1433">
        <v>1.4642313455106659</v>
      </c>
      <c r="K7" s="1433">
        <v>1.5349434855567554</v>
      </c>
      <c r="L7" s="1433"/>
      <c r="M7" s="1433"/>
      <c r="N7" s="1433"/>
      <c r="O7" s="1434"/>
      <c r="P7" s="1435"/>
      <c r="Q7" s="1433"/>
      <c r="R7" s="3975"/>
      <c r="S7" s="3998"/>
    </row>
    <row r="8" spans="1:19" hidden="1">
      <c r="A8" s="157"/>
      <c r="B8" s="1432" t="s">
        <v>146</v>
      </c>
      <c r="C8" s="1422"/>
      <c r="D8" s="1428">
        <v>1.4668541543319518</v>
      </c>
      <c r="E8" s="1433">
        <v>1.3812645607055933</v>
      </c>
      <c r="F8" s="1433">
        <v>1.2607456278549865</v>
      </c>
      <c r="G8" s="1433">
        <v>1.1821936578764178</v>
      </c>
      <c r="H8" s="1433">
        <v>1.1900794709679083</v>
      </c>
      <c r="I8" s="1433">
        <v>1.243522881891137</v>
      </c>
      <c r="J8" s="1433">
        <v>1.3230585013979768</v>
      </c>
      <c r="K8" s="1433">
        <v>1.2704909357618104</v>
      </c>
      <c r="L8" s="1433"/>
      <c r="M8" s="1433"/>
      <c r="N8" s="1433"/>
      <c r="O8" s="1434"/>
      <c r="P8" s="1435"/>
      <c r="Q8" s="1433"/>
      <c r="R8" s="3975"/>
      <c r="S8" s="3998"/>
    </row>
    <row r="9" spans="1:19" hidden="1">
      <c r="A9" s="157"/>
      <c r="B9" s="1432" t="s">
        <v>201</v>
      </c>
      <c r="C9" s="1422"/>
      <c r="D9" s="1428">
        <v>1.5409268849373241</v>
      </c>
      <c r="E9" s="1433">
        <v>1.4617126346292795</v>
      </c>
      <c r="F9" s="1433">
        <v>1.3932879137938887</v>
      </c>
      <c r="G9" s="1433">
        <v>1.3178936724746533</v>
      </c>
      <c r="H9" s="1433">
        <v>1.3443240408286679</v>
      </c>
      <c r="I9" s="1433">
        <v>1.394757606030772</v>
      </c>
      <c r="J9" s="1433">
        <v>1.4350198458362768</v>
      </c>
      <c r="K9" s="1433">
        <v>1.4604597497153886</v>
      </c>
      <c r="L9" s="1433"/>
      <c r="M9" s="1433"/>
      <c r="N9" s="1433"/>
      <c r="O9" s="1434"/>
      <c r="P9" s="1435"/>
      <c r="Q9" s="1433"/>
      <c r="R9" s="3975"/>
      <c r="S9" s="3998"/>
    </row>
    <row r="10" spans="1:19" hidden="1">
      <c r="A10" s="157"/>
      <c r="B10" s="1436"/>
      <c r="C10" s="1422"/>
      <c r="D10" s="1437" t="str">
        <f>+D3</f>
        <v>Acumulados</v>
      </c>
      <c r="E10" s="1438"/>
      <c r="F10" s="1438"/>
      <c r="G10" s="1439"/>
      <c r="H10" s="1439" t="e">
        <f>+#REF!</f>
        <v>#REF!</v>
      </c>
      <c r="I10" s="1439"/>
      <c r="J10" s="1438"/>
      <c r="K10" s="1438"/>
      <c r="L10" s="1438"/>
      <c r="M10" s="1438"/>
      <c r="N10" s="1438"/>
      <c r="O10" s="1440"/>
      <c r="P10" s="1441"/>
      <c r="Q10" s="1438"/>
      <c r="R10" s="3976"/>
      <c r="S10" s="3999"/>
    </row>
    <row r="11" spans="1:19" hidden="1">
      <c r="A11" s="157"/>
      <c r="B11" s="1432" t="s">
        <v>144</v>
      </c>
      <c r="C11" s="1422"/>
      <c r="D11" s="1428">
        <v>1.628004460771451</v>
      </c>
      <c r="E11" s="1433">
        <v>1.7564460798985078</v>
      </c>
      <c r="F11" s="1433">
        <v>1.7093992298153993</v>
      </c>
      <c r="G11" s="1433">
        <v>1.7241935891355069</v>
      </c>
      <c r="H11" s="1433">
        <v>1.565574492719926</v>
      </c>
      <c r="I11" s="1433">
        <v>1.6422423769311509</v>
      </c>
      <c r="J11" s="1433">
        <v>1.695549697068228</v>
      </c>
      <c r="K11" s="1433">
        <v>1.6354209069655508</v>
      </c>
      <c r="L11" s="1433"/>
      <c r="M11" s="1433"/>
      <c r="N11" s="1433"/>
      <c r="O11" s="1434"/>
      <c r="P11" s="1435"/>
      <c r="Q11" s="1433"/>
      <c r="R11" s="3975"/>
      <c r="S11" s="3998"/>
    </row>
    <row r="12" spans="1:19" hidden="1">
      <c r="A12" s="157"/>
      <c r="B12" s="1432" t="s">
        <v>145</v>
      </c>
      <c r="C12" s="1422"/>
      <c r="D12" s="1428">
        <v>1.8911087045819486</v>
      </c>
      <c r="E12" s="1433">
        <v>1.7569338169784909</v>
      </c>
      <c r="F12" s="1433">
        <v>1.6253246251800582</v>
      </c>
      <c r="G12" s="1433">
        <v>1.5711965008474662</v>
      </c>
      <c r="H12" s="1433">
        <v>1.6061264660180792</v>
      </c>
      <c r="I12" s="1433">
        <v>1.5185617110340779</v>
      </c>
      <c r="J12" s="1433">
        <v>1.6628823636102446</v>
      </c>
      <c r="K12" s="1433">
        <v>1.5670499511603626</v>
      </c>
      <c r="L12" s="1433"/>
      <c r="M12" s="1433"/>
      <c r="N12" s="1433"/>
      <c r="O12" s="1434"/>
      <c r="P12" s="1435"/>
      <c r="Q12" s="1433"/>
      <c r="R12" s="3975"/>
      <c r="S12" s="3998"/>
    </row>
    <row r="13" spans="1:19" hidden="1">
      <c r="A13" s="157"/>
      <c r="B13" s="1432" t="s">
        <v>146</v>
      </c>
      <c r="C13" s="1422"/>
      <c r="D13" s="1428">
        <v>1.8188196255036739</v>
      </c>
      <c r="E13" s="1433">
        <v>1.6795107451045472</v>
      </c>
      <c r="F13" s="1433">
        <v>1.5372237999102731</v>
      </c>
      <c r="G13" s="1433">
        <v>1.3882129644268775</v>
      </c>
      <c r="H13" s="1433">
        <v>1.4737543725396276</v>
      </c>
      <c r="I13" s="1433">
        <v>1.4115962403598976</v>
      </c>
      <c r="J13" s="1433">
        <v>1.6117884293887921</v>
      </c>
      <c r="K13" s="1433">
        <v>1.6565251591289776</v>
      </c>
      <c r="L13" s="1433"/>
      <c r="M13" s="1433"/>
      <c r="N13" s="1433"/>
      <c r="O13" s="1434"/>
      <c r="P13" s="1435"/>
      <c r="Q13" s="1433"/>
      <c r="R13" s="3975"/>
      <c r="S13" s="3998"/>
    </row>
    <row r="14" spans="1:19" hidden="1">
      <c r="A14" s="157"/>
      <c r="B14" s="1432" t="s">
        <v>202</v>
      </c>
      <c r="C14" s="1422"/>
      <c r="D14" s="1428">
        <v>1.7172183989556304</v>
      </c>
      <c r="E14" s="1433">
        <v>1.7428810421277843</v>
      </c>
      <c r="F14" s="1433">
        <v>1.6515026830057939</v>
      </c>
      <c r="G14" s="1433">
        <v>1.6129445606483677</v>
      </c>
      <c r="H14" s="1433">
        <v>1.5605793439376641</v>
      </c>
      <c r="I14" s="1433">
        <v>1.558551096901361</v>
      </c>
      <c r="J14" s="1433">
        <v>1.6626710085689735</v>
      </c>
      <c r="K14" s="1433">
        <v>1.6166073661899483</v>
      </c>
      <c r="L14" s="1433"/>
      <c r="M14" s="1433"/>
      <c r="N14" s="1433"/>
      <c r="O14" s="1434"/>
      <c r="P14" s="1435"/>
      <c r="Q14" s="1433"/>
      <c r="R14" s="3975"/>
      <c r="S14" s="3998"/>
    </row>
    <row r="15" spans="1:19" ht="15" thickBot="1">
      <c r="A15" s="157"/>
      <c r="B15" s="1436"/>
      <c r="C15" s="1422"/>
      <c r="D15" s="1442" t="str">
        <f>+D3</f>
        <v>Acumulados</v>
      </c>
      <c r="E15" s="1438"/>
      <c r="F15" s="1438"/>
      <c r="G15" s="1439"/>
      <c r="H15" s="1443"/>
      <c r="I15" s="1439"/>
      <c r="J15" s="1438"/>
      <c r="K15" s="1438"/>
      <c r="L15" s="575" t="s">
        <v>319</v>
      </c>
      <c r="M15" s="575" t="s">
        <v>510</v>
      </c>
      <c r="N15" s="575" t="s">
        <v>584</v>
      </c>
      <c r="O15" s="612" t="s">
        <v>733</v>
      </c>
      <c r="P15" s="1018" t="s">
        <v>1076</v>
      </c>
      <c r="Q15" s="575" t="s">
        <v>1607</v>
      </c>
      <c r="R15" s="3977" t="s">
        <v>1607</v>
      </c>
      <c r="S15" s="3977" t="s">
        <v>2030</v>
      </c>
    </row>
    <row r="16" spans="1:19">
      <c r="A16" s="157"/>
      <c r="B16" s="3980" t="s">
        <v>1080</v>
      </c>
      <c r="C16" s="3981"/>
      <c r="D16" s="3982">
        <v>1.6142885859784815</v>
      </c>
      <c r="E16" s="3983">
        <v>1.7136095877827038</v>
      </c>
      <c r="F16" s="3983">
        <v>1.6673945049193584</v>
      </c>
      <c r="G16" s="3983">
        <v>1.6938734323633624</v>
      </c>
      <c r="H16" s="3983">
        <v>1.5639288708845749</v>
      </c>
      <c r="I16" s="3983">
        <v>1.687697939476452</v>
      </c>
      <c r="J16" s="3983">
        <v>1.6588613898438787</v>
      </c>
      <c r="K16" s="3983">
        <v>1.7722587868094171</v>
      </c>
      <c r="L16" s="3983">
        <v>1.7163406179145451</v>
      </c>
      <c r="M16" s="3983">
        <v>1.707987782490568</v>
      </c>
      <c r="N16" s="3983">
        <v>1.672298398929029</v>
      </c>
      <c r="O16" s="3984">
        <v>1.6794015480118631</v>
      </c>
      <c r="P16" s="3985">
        <f t="shared" ref="P16:P19" si="0">AVERAGE(L16:O16)</f>
        <v>1.6940070868365014</v>
      </c>
      <c r="Q16" s="3986">
        <v>1.73</v>
      </c>
      <c r="R16" s="3987">
        <v>2.06</v>
      </c>
      <c r="S16" s="4000">
        <v>1.03</v>
      </c>
    </row>
    <row r="17" spans="1:19">
      <c r="A17" s="157"/>
      <c r="B17" s="1444" t="s">
        <v>1081</v>
      </c>
      <c r="C17" s="1445"/>
      <c r="D17" s="1446">
        <v>1.7501037452017845</v>
      </c>
      <c r="E17" s="1447">
        <v>1.6256989712119139</v>
      </c>
      <c r="F17" s="1447">
        <v>1.5697041078058034</v>
      </c>
      <c r="G17" s="1447">
        <v>1.4953483646547592</v>
      </c>
      <c r="H17" s="1447">
        <v>1.5246979148041686</v>
      </c>
      <c r="I17" s="1447">
        <v>1.4725599355332923</v>
      </c>
      <c r="J17" s="1447">
        <v>1.5583094889639395</v>
      </c>
      <c r="K17" s="1447">
        <v>1.5710912141560645</v>
      </c>
      <c r="L17" s="1447">
        <v>1.5809865305383213</v>
      </c>
      <c r="M17" s="1447">
        <v>1.5535594304643294</v>
      </c>
      <c r="N17" s="1447">
        <v>1.5537887147871752</v>
      </c>
      <c r="O17" s="1448">
        <v>1.5315145834595965</v>
      </c>
      <c r="P17" s="1449">
        <f t="shared" si="0"/>
        <v>1.5549623148123557</v>
      </c>
      <c r="Q17" s="3971">
        <v>1.4</v>
      </c>
      <c r="R17" s="3978">
        <v>1.1000000000000001</v>
      </c>
      <c r="S17" s="4001" t="s">
        <v>2031</v>
      </c>
    </row>
    <row r="18" spans="1:19" ht="15" thickBot="1">
      <c r="A18" s="157"/>
      <c r="B18" s="3988" t="s">
        <v>1082</v>
      </c>
      <c r="C18" s="3989"/>
      <c r="D18" s="3990">
        <v>1.574186581202536</v>
      </c>
      <c r="E18" s="3991">
        <v>1.4639136084905167</v>
      </c>
      <c r="F18" s="3991">
        <v>1.3386695069976413</v>
      </c>
      <c r="G18" s="3991">
        <v>1.2393112226172907</v>
      </c>
      <c r="H18" s="3991">
        <v>1.2651293331409998</v>
      </c>
      <c r="I18" s="3991">
        <v>1.2902288399147539</v>
      </c>
      <c r="J18" s="3991">
        <v>1.3966473082654167</v>
      </c>
      <c r="K18" s="3991">
        <v>1.4357428321230126</v>
      </c>
      <c r="L18" s="3991">
        <v>1.5242255498597903</v>
      </c>
      <c r="M18" s="3991">
        <v>1.4809016616053134</v>
      </c>
      <c r="N18" s="3991">
        <v>1.4348377511665937</v>
      </c>
      <c r="O18" s="3992">
        <v>1.4157283717951621</v>
      </c>
      <c r="P18" s="3993">
        <f t="shared" si="0"/>
        <v>1.463923333606715</v>
      </c>
      <c r="Q18" s="3994">
        <v>1.24</v>
      </c>
      <c r="R18" s="3995">
        <v>1.66</v>
      </c>
      <c r="S18" s="4002">
        <v>1.18</v>
      </c>
    </row>
    <row r="19" spans="1:19" ht="15" thickBot="1">
      <c r="A19" s="157"/>
      <c r="B19" s="1450" t="s">
        <v>203</v>
      </c>
      <c r="C19" s="1451"/>
      <c r="D19" s="1452">
        <v>1.6355509319981032</v>
      </c>
      <c r="E19" s="1453">
        <v>1.6057938243488814</v>
      </c>
      <c r="F19" s="1453">
        <v>1.5220293541723511</v>
      </c>
      <c r="G19" s="1453">
        <v>1.4659289769839066</v>
      </c>
      <c r="H19" s="1453">
        <v>1.4492757533049243</v>
      </c>
      <c r="I19" s="1453">
        <v>1.4819725113027151</v>
      </c>
      <c r="J19" s="1453">
        <v>1.5431726537996364</v>
      </c>
      <c r="K19" s="1453">
        <v>1.5994361485517086</v>
      </c>
      <c r="L19" s="1453">
        <v>1.6156575134046374</v>
      </c>
      <c r="M19" s="1453">
        <v>1.5855894194982867</v>
      </c>
      <c r="N19" s="1453">
        <v>1.5566332188277681</v>
      </c>
      <c r="O19" s="1454">
        <v>1.5448134813886878</v>
      </c>
      <c r="P19" s="1457">
        <f t="shared" si="0"/>
        <v>1.5756734082798449</v>
      </c>
      <c r="Q19" s="3972">
        <v>1.48</v>
      </c>
      <c r="R19" s="3979">
        <v>1.48</v>
      </c>
      <c r="S19" s="4003">
        <v>1.1399999999999999</v>
      </c>
    </row>
    <row r="20" spans="1:19" ht="24" customHeight="1">
      <c r="A20" s="157"/>
      <c r="B20" s="1455"/>
      <c r="C20" s="1456"/>
      <c r="D20" s="5645" t="s">
        <v>604</v>
      </c>
      <c r="E20" s="5645"/>
      <c r="F20" s="5645"/>
      <c r="G20" s="5645"/>
      <c r="H20" s="5645"/>
      <c r="I20" s="5645"/>
      <c r="J20" s="5645"/>
      <c r="K20" s="5645"/>
      <c r="L20" s="5645"/>
      <c r="M20" s="5645"/>
      <c r="N20" s="5645"/>
      <c r="O20" s="5645"/>
      <c r="Q20" s="5646" t="s">
        <v>1486</v>
      </c>
      <c r="R20" s="5646"/>
      <c r="S20" s="5646"/>
    </row>
    <row r="21" spans="1:19">
      <c r="D21" s="55" t="s">
        <v>1075</v>
      </c>
    </row>
    <row r="22" spans="1:19"/>
    <row r="23" spans="1:19"/>
    <row r="24" spans="1:19"/>
    <row r="25" spans="1:19"/>
    <row r="26" spans="1:19"/>
    <row r="27" spans="1:19"/>
    <row r="28" spans="1:19"/>
    <row r="29" spans="1:19"/>
    <row r="30" spans="1:19"/>
    <row r="31" spans="1:19"/>
    <row r="32" spans="1:19"/>
    <row r="33" spans="2:2"/>
    <row r="34" spans="2:2"/>
    <row r="35" spans="2:2"/>
    <row r="36" spans="2:2"/>
    <row r="37" spans="2:2"/>
    <row r="38" spans="2:2">
      <c r="B38" s="256" t="s">
        <v>515</v>
      </c>
    </row>
    <row r="39" spans="2:2" ht="15" customHeight="1">
      <c r="B39" s="257" t="s">
        <v>516</v>
      </c>
    </row>
    <row r="40" spans="2:2" ht="15" customHeight="1"/>
    <row r="41" spans="2:2" ht="15" customHeight="1"/>
    <row r="42" spans="2:2" ht="15" customHeight="1"/>
    <row r="43" spans="2:2" ht="15" customHeight="1"/>
    <row r="44" spans="2:2"/>
    <row r="45" spans="2:2"/>
    <row r="46" spans="2:2"/>
    <row r="47" spans="2:2"/>
    <row r="48" spans="2:2"/>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sheetData>
  <mergeCells count="2">
    <mergeCell ref="D20:O20"/>
    <mergeCell ref="Q20:S20"/>
  </mergeCells>
  <phoneticPr fontId="11" type="noConversion"/>
  <pageMargins left="0.7" right="0.7" top="0.75" bottom="0.75" header="0.3" footer="0.3"/>
  <pageSetup orientation="portrait" r:id="rId1"/>
  <drawing r:id="rId2"/>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9" tint="0.39997558519241921"/>
    <pageSetUpPr fitToPage="1"/>
  </sheetPr>
  <dimension ref="A1:R18"/>
  <sheetViews>
    <sheetView showGridLines="0" zoomScaleNormal="100" workbookViewId="0">
      <pane xSplit="2" ySplit="4" topLeftCell="D5" activePane="bottomRight" state="frozen"/>
      <selection activeCell="Q14" activeCellId="5" sqref="Q17:Q20 Q23 Q26 Q27 Q28 Q14"/>
      <selection pane="topRight" activeCell="Q14" activeCellId="5" sqref="Q17:Q20 Q23 Q26 Q27 Q28 Q14"/>
      <selection pane="bottomLeft" activeCell="Q14" activeCellId="5" sqref="Q17:Q20 Q23 Q26 Q27 Q28 Q14"/>
      <selection pane="bottomRight" activeCell="Q14" activeCellId="5" sqref="Q17:Q20 Q23 Q26 Q27 Q28 Q14"/>
    </sheetView>
  </sheetViews>
  <sheetFormatPr baseColWidth="10" defaultColWidth="11.44140625" defaultRowHeight="15" customHeight="1"/>
  <cols>
    <col min="1" max="1" width="2.6640625" style="2" customWidth="1"/>
    <col min="2" max="2" width="31.5546875" style="2" bestFit="1" customWidth="1"/>
    <col min="3" max="16" width="8" style="2" customWidth="1"/>
    <col min="17" max="17" width="14.5546875" style="2" customWidth="1"/>
    <col min="18" max="18" width="56" style="229" bestFit="1" customWidth="1"/>
    <col min="19" max="24" width="8.6640625" style="2" customWidth="1"/>
    <col min="25" max="26" width="11.44140625" style="2" customWidth="1"/>
    <col min="27" max="33" width="8.6640625" style="2" customWidth="1"/>
    <col min="34" max="37" width="11.44140625" style="2" customWidth="1"/>
    <col min="38" max="16384" width="11.44140625" style="2"/>
  </cols>
  <sheetData>
    <row r="1" spans="1:18" s="393" customFormat="1" ht="13.8">
      <c r="B1" s="999"/>
      <c r="C1" s="1000"/>
      <c r="D1" s="1000"/>
      <c r="E1" s="1000"/>
      <c r="F1" s="1000"/>
      <c r="G1" s="1000"/>
      <c r="H1" s="1000"/>
      <c r="I1" s="1000"/>
      <c r="J1" s="1000"/>
      <c r="K1" s="1000"/>
      <c r="L1" s="999"/>
      <c r="M1" s="1000"/>
      <c r="R1" s="329"/>
    </row>
    <row r="2" spans="1:18" s="393" customFormat="1" ht="42" thickBot="1">
      <c r="B2" s="1001" t="s">
        <v>595</v>
      </c>
      <c r="C2" s="1002"/>
      <c r="E2" s="999"/>
      <c r="L2" s="1003"/>
      <c r="N2" s="998"/>
      <c r="Q2" s="1459" t="s">
        <v>1078</v>
      </c>
      <c r="R2" s="329"/>
    </row>
    <row r="3" spans="1:18" s="393" customFormat="1" ht="19.5" customHeight="1">
      <c r="B3" s="5647" t="s">
        <v>856</v>
      </c>
      <c r="C3" s="5649">
        <v>2006</v>
      </c>
      <c r="D3" s="5651">
        <v>2007</v>
      </c>
      <c r="E3" s="5651">
        <v>2008</v>
      </c>
      <c r="F3" s="5651">
        <v>2009</v>
      </c>
      <c r="G3" s="5651">
        <v>2010</v>
      </c>
      <c r="H3" s="5651">
        <v>2011</v>
      </c>
      <c r="I3" s="5651">
        <v>2012</v>
      </c>
      <c r="J3" s="5651">
        <v>2013</v>
      </c>
      <c r="K3" s="5651">
        <v>2014</v>
      </c>
      <c r="L3" s="5651">
        <v>2015</v>
      </c>
      <c r="M3" s="5651">
        <v>2016</v>
      </c>
      <c r="N3" s="5651" t="s">
        <v>581</v>
      </c>
      <c r="O3" s="5653" t="s">
        <v>820</v>
      </c>
      <c r="P3" s="5653" t="s">
        <v>875</v>
      </c>
      <c r="Q3" s="5655" t="s">
        <v>1077</v>
      </c>
      <c r="R3" s="329"/>
    </row>
    <row r="4" spans="1:18" ht="19.5" customHeight="1" thickBot="1">
      <c r="B4" s="5648"/>
      <c r="C4" s="5650"/>
      <c r="D4" s="5652"/>
      <c r="E4" s="5652"/>
      <c r="F4" s="5652"/>
      <c r="G4" s="5652"/>
      <c r="H4" s="5652"/>
      <c r="I4" s="5652"/>
      <c r="J4" s="5652"/>
      <c r="K4" s="5652"/>
      <c r="L4" s="5652"/>
      <c r="M4" s="5652"/>
      <c r="N4" s="5652"/>
      <c r="O4" s="5654"/>
      <c r="P4" s="5654"/>
      <c r="Q4" s="5656"/>
      <c r="R4" s="1019" t="s">
        <v>869</v>
      </c>
    </row>
    <row r="5" spans="1:18" ht="13.8">
      <c r="A5" s="229"/>
      <c r="B5" s="1004" t="s">
        <v>775</v>
      </c>
      <c r="C5" s="1005">
        <f>'Estancia hotelera'!D19</f>
        <v>1.6355509319981032</v>
      </c>
      <c r="D5" s="1005">
        <f>'Estancia hotelera'!E19</f>
        <v>1.6057938243488814</v>
      </c>
      <c r="E5" s="1005">
        <f>'Estancia hotelera'!F19</f>
        <v>1.5220293541723511</v>
      </c>
      <c r="F5" s="1005">
        <f>'Estancia hotelera'!G19</f>
        <v>1.4659289769839066</v>
      </c>
      <c r="G5" s="1005">
        <f>'Estancia hotelera'!H19</f>
        <v>1.4492757533049243</v>
      </c>
      <c r="H5" s="1005">
        <f>'Estancia hotelera'!I19</f>
        <v>1.4819725113027151</v>
      </c>
      <c r="I5" s="1005">
        <f>'Estancia hotelera'!J19</f>
        <v>1.5431726537996364</v>
      </c>
      <c r="J5" s="1005">
        <f>'Estancia hotelera'!K19</f>
        <v>1.5994361485517086</v>
      </c>
      <c r="K5" s="1005">
        <f>'Estancia hotelera'!L19</f>
        <v>1.6156575134046374</v>
      </c>
      <c r="L5" s="1005">
        <f>'Estancia hotelera'!M19</f>
        <v>1.5855894194982867</v>
      </c>
      <c r="M5" s="1005">
        <f>'Estancia hotelera'!N19</f>
        <v>1.5566332188277681</v>
      </c>
      <c r="N5" s="1005">
        <f>'Estancia hotelera'!O19</f>
        <v>1.5448134813886878</v>
      </c>
      <c r="O5" s="1020">
        <f>'Estancia hotelera'!P19</f>
        <v>1.5756734082798449</v>
      </c>
      <c r="P5" s="1020">
        <f>'Estancia hotelera'!Q19</f>
        <v>1.48</v>
      </c>
      <c r="Q5" s="1458">
        <f>P5</f>
        <v>1.48</v>
      </c>
      <c r="R5" s="229" t="s">
        <v>604</v>
      </c>
    </row>
    <row r="6" spans="1:18" ht="13.8">
      <c r="B6" s="1006" t="s">
        <v>857</v>
      </c>
      <c r="C6" s="1013"/>
      <c r="D6" s="1014"/>
      <c r="E6" s="1014"/>
      <c r="F6" s="1014"/>
      <c r="G6" s="1014">
        <f>AVERAGE(1.38,1.43,1.41,1.47,1.49,1.41,1.45,1.45,1.47,1.44,1.41,1.41)</f>
        <v>1.4349999999999998</v>
      </c>
      <c r="H6" s="1014"/>
      <c r="I6" s="1014"/>
      <c r="J6" s="1014"/>
      <c r="K6" s="1014"/>
      <c r="L6" s="1014"/>
      <c r="M6" s="1014"/>
      <c r="N6" s="1014"/>
      <c r="O6" s="1016"/>
      <c r="P6" s="1016"/>
      <c r="Q6" s="1458">
        <f>AVERAGE(G6:P6)</f>
        <v>1.4349999999999998</v>
      </c>
      <c r="R6" s="1008" t="s">
        <v>858</v>
      </c>
    </row>
    <row r="7" spans="1:18" ht="13.8">
      <c r="B7" s="1006" t="s">
        <v>859</v>
      </c>
      <c r="C7" s="1014"/>
      <c r="D7" s="1014"/>
      <c r="E7" s="1014"/>
      <c r="F7" s="1014"/>
      <c r="G7" s="1014">
        <f>AVERAGE(2.09,2.14,2.21,2.38,2.47,2.64,2.92,3.19,2.84,2.46,2.17,2.12)</f>
        <v>2.4691666666666672</v>
      </c>
      <c r="H7" s="1014">
        <f>AVERAGE(2.16,2.16,2.26,2.51,2.47,2.76,2.9,3.19,2.88,2.52,2.24,2.15)</f>
        <v>2.5166666666666662</v>
      </c>
      <c r="I7" s="1014">
        <f>AVERAGE(2.17,2.22,2.27,2.54,2.63,2.82,3.05,3.38,2.97,2.62,2.29,2.22)</f>
        <v>2.5983333333333332</v>
      </c>
      <c r="J7" s="1014">
        <f>AVERAGE(2.29,2.31,2.44,2.5,2.71,2.88,3.12,3.35,3.02,2.6,2.27,2.24)</f>
        <v>2.644166666666667</v>
      </c>
      <c r="K7" s="1014">
        <f>AVERAGE(2.31,2.32,2.37,2.64,2.67,2.8,3,3.25,2.94,2.64,2.33,2.2)</f>
        <v>2.6225000000000001</v>
      </c>
      <c r="L7" s="1014">
        <f>AVERAGE(2.35,2.3,2.5,2.61,2.63,2.72,3.14,3.28,2.63,2.38,2.32)</f>
        <v>2.6236363636363635</v>
      </c>
      <c r="M7" s="1014">
        <f>AVERAGE(2.37,2.36,2.51,2.53,2.58,2.67, 2.92,3.2,2.87,2.57,2.34,2.38)</f>
        <v>2.6083333333333329</v>
      </c>
      <c r="N7" s="1014">
        <f>AVERAGE(2.33,2.34,2.46,2.58,2.64,2.82,2.98,3.28,2.84,2.6,2.25,2.2)</f>
        <v>2.6100000000000003</v>
      </c>
      <c r="O7" s="1016">
        <f>AVERAGE(2.3,2.28,2.38,2.49,2.67,2.66,2.87,3.15)</f>
        <v>2.5999999999999996</v>
      </c>
      <c r="P7" s="1016">
        <f>AVERAGE(2.3,2.28,2.38,2.49,2.67,2.66,2.87,3.15)</f>
        <v>2.5999999999999996</v>
      </c>
      <c r="Q7" s="1458">
        <f>P7</f>
        <v>2.5999999999999996</v>
      </c>
      <c r="R7" s="1008" t="s">
        <v>867</v>
      </c>
    </row>
    <row r="8" spans="1:18" ht="13.8">
      <c r="B8" s="1006" t="s">
        <v>860</v>
      </c>
      <c r="C8" s="1014"/>
      <c r="D8" s="1014"/>
      <c r="E8" s="1014"/>
      <c r="F8" s="1014"/>
      <c r="G8" s="1014"/>
      <c r="H8" s="1014"/>
      <c r="I8" s="1014"/>
      <c r="J8" s="1014"/>
      <c r="K8" s="1014"/>
      <c r="L8" s="1014">
        <v>1.96</v>
      </c>
      <c r="M8" s="1014"/>
      <c r="N8" s="1014"/>
      <c r="O8" s="1016"/>
      <c r="P8" s="1016"/>
      <c r="Q8" s="1458">
        <f>L8</f>
        <v>1.96</v>
      </c>
      <c r="R8" s="229" t="s">
        <v>861</v>
      </c>
    </row>
    <row r="9" spans="1:18" ht="13.8">
      <c r="B9" s="1006" t="s">
        <v>866</v>
      </c>
      <c r="C9" s="1014"/>
      <c r="D9" s="1014"/>
      <c r="E9" s="1014"/>
      <c r="F9" s="1014"/>
      <c r="G9" s="1014">
        <f>AVERAGE(1.86,1.83,1.88,1.98,1.92,1.88,1.84,1.93,1.89,1.89,1.86,1.82)</f>
        <v>1.8816666666666668</v>
      </c>
      <c r="H9" s="1014">
        <f>AVERAGE(1.89,1.85,1.92,2.02,1.94,1.87,1.86,2.07,1.91,1.98,1.88,1.89)</f>
        <v>1.9233333333333331</v>
      </c>
      <c r="I9" s="1014">
        <f>AVERAGE(1.9,1.83,1.88,2,1.89,1.85,1.85,1.89,1.92,1.95,1.9,1.86)</f>
        <v>1.8933333333333329</v>
      </c>
      <c r="J9" s="1014">
        <f>AVERAGE(1.92,1.87,1.95,1.92,1.92,1.89,1.92,1.96,1.96,1.97,1.95,1.93)</f>
        <v>1.93</v>
      </c>
      <c r="K9" s="1014">
        <f>AVERAGE(1.92,1.84,1.94,1.99,1.97,1.9,1.89,1.92,1.99,1.94,1.92,1.92)</f>
        <v>1.9283333333333335</v>
      </c>
      <c r="L9" s="1014">
        <f>AVERAGE(1.959,1.85,1.94,1.98,1.99,1.92,1.91,1.97,1.95,1.98,1.92,1.95)</f>
        <v>1.9432499999999999</v>
      </c>
      <c r="M9" s="1014">
        <f>AVERAGE(1.98,1.9,1.94,1.9,1.89,1.87,1.95,2.01,1.95,1.97,1.91,2)</f>
        <v>1.9391666666666667</v>
      </c>
      <c r="N9" s="1014">
        <f>AVERAGE(2,1.91,1.93,2.03,1.97,2.02,1.99,2.06,1.98,1.99,2,2.01)</f>
        <v>1.9908333333333335</v>
      </c>
      <c r="O9" s="1016">
        <f>AVERAGE(2.03,1.91,1.95,2.01,1.99,1.94,1.95,2.01)</f>
        <v>1.9737499999999997</v>
      </c>
      <c r="P9" s="1016">
        <f>AVERAGE(2.03,1.91,1.95,2.01,1.99,1.94,1.95,2.01)</f>
        <v>1.9737499999999997</v>
      </c>
      <c r="Q9" s="1458">
        <f>P9</f>
        <v>1.9737499999999997</v>
      </c>
      <c r="R9" s="229" t="s">
        <v>867</v>
      </c>
    </row>
    <row r="10" spans="1:18" ht="13.8">
      <c r="B10" s="1006" t="s">
        <v>870</v>
      </c>
      <c r="C10" s="1014">
        <v>1.4</v>
      </c>
      <c r="D10" s="1014">
        <v>1.4</v>
      </c>
      <c r="E10" s="1014">
        <v>1.4</v>
      </c>
      <c r="F10" s="1014">
        <v>1.4</v>
      </c>
      <c r="G10" s="1014">
        <v>1.3</v>
      </c>
      <c r="H10" s="1014">
        <v>1.3</v>
      </c>
      <c r="I10" s="1014">
        <v>1.4</v>
      </c>
      <c r="J10" s="1014"/>
      <c r="K10" s="1014"/>
      <c r="L10" s="1014"/>
      <c r="M10" s="1014"/>
      <c r="N10" s="1014"/>
      <c r="O10" s="1016"/>
      <c r="P10" s="1016"/>
      <c r="Q10" s="1458">
        <f>I10</f>
        <v>1.4</v>
      </c>
      <c r="R10" s="229" t="s">
        <v>868</v>
      </c>
    </row>
    <row r="11" spans="1:18" ht="14.4" thickBot="1">
      <c r="B11" s="1007"/>
      <c r="C11" s="1015"/>
      <c r="D11" s="1015"/>
      <c r="E11" s="1015"/>
      <c r="F11" s="1015"/>
      <c r="G11" s="1015"/>
      <c r="H11" s="1015"/>
      <c r="I11" s="1015"/>
      <c r="J11" s="1015"/>
      <c r="K11" s="1015"/>
      <c r="L11" s="1015"/>
      <c r="M11" s="1015"/>
      <c r="N11" s="1015"/>
      <c r="O11" s="1017"/>
      <c r="P11" s="1017"/>
      <c r="Q11" s="1021"/>
    </row>
    <row r="12" spans="1:18" ht="13.8"/>
    <row r="13" spans="1:18" ht="13.8"/>
    <row r="14" spans="1:18" ht="13.8"/>
    <row r="15" spans="1:18" ht="13.8"/>
    <row r="16" spans="1:18" ht="13.8"/>
    <row r="17" ht="13.8"/>
    <row r="18" ht="13.8"/>
  </sheetData>
  <mergeCells count="16">
    <mergeCell ref="B3:B4"/>
    <mergeCell ref="C3:C4"/>
    <mergeCell ref="M3:M4"/>
    <mergeCell ref="O3:O4"/>
    <mergeCell ref="Q3:Q4"/>
    <mergeCell ref="N3:N4"/>
    <mergeCell ref="D3:D4"/>
    <mergeCell ref="E3:E4"/>
    <mergeCell ref="F3:F4"/>
    <mergeCell ref="G3:G4"/>
    <mergeCell ref="I3:I4"/>
    <mergeCell ref="J3:J4"/>
    <mergeCell ref="K3:K4"/>
    <mergeCell ref="L3:L4"/>
    <mergeCell ref="H3:H4"/>
    <mergeCell ref="P3:P4"/>
  </mergeCells>
  <hyperlinks>
    <hyperlink ref="R6" r:id="rId1" xr:uid="{00000000-0004-0000-1600-000000000000}"/>
    <hyperlink ref="R9" r:id="rId2" xr:uid="{00000000-0004-0000-1600-000001000000}"/>
    <hyperlink ref="R7" r:id="rId3" xr:uid="{00000000-0004-0000-1600-000002000000}"/>
  </hyperlinks>
  <pageMargins left="0.70866141732283472" right="0.70866141732283472" top="0.74803149606299213" bottom="0.74803149606299213" header="0.31496062992125984" footer="0.31496062992125984"/>
  <pageSetup scale="56" orientation="landscape" verticalDpi="597" r:id="rId4"/>
  <drawing r:id="rId5"/>
  <legacyDrawing r:id="rId6"/>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92D050"/>
    <pageSetUpPr fitToPage="1"/>
  </sheetPr>
  <dimension ref="A1:HM64"/>
  <sheetViews>
    <sheetView showGridLines="0" workbookViewId="0">
      <selection activeCell="FS11" sqref="FS11"/>
    </sheetView>
  </sheetViews>
  <sheetFormatPr baseColWidth="10" defaultColWidth="11.44140625" defaultRowHeight="0" customHeight="1" zeroHeight="1"/>
  <cols>
    <col min="1" max="1" width="3.6640625" style="2" customWidth="1"/>
    <col min="2" max="2" width="19" style="2" customWidth="1"/>
    <col min="3" max="3" width="4.88671875" style="2" bestFit="1" customWidth="1"/>
    <col min="4" max="4" width="5" style="2" hidden="1" customWidth="1"/>
    <col min="5" max="10" width="4.44140625" style="2" hidden="1" customWidth="1"/>
    <col min="11" max="11" width="5" style="2" hidden="1" customWidth="1"/>
    <col min="12" max="14" width="4.44140625" style="2" hidden="1" customWidth="1"/>
    <col min="15" max="15" width="4.6640625" style="2" hidden="1" customWidth="1"/>
    <col min="16" max="22" width="4.44140625" style="2" hidden="1" customWidth="1"/>
    <col min="23" max="23" width="5" style="2" hidden="1" customWidth="1"/>
    <col min="24" max="26" width="4.44140625" style="2" hidden="1" customWidth="1"/>
    <col min="27" max="27" width="4.6640625" style="2" hidden="1" customWidth="1"/>
    <col min="28" max="34" width="4.44140625" style="2" hidden="1" customWidth="1"/>
    <col min="35" max="35" width="5" style="2" hidden="1" customWidth="1"/>
    <col min="36" max="46" width="4.44140625" style="2" hidden="1" customWidth="1"/>
    <col min="47" max="47" width="5" style="2" hidden="1" customWidth="1"/>
    <col min="48" max="58" width="4.44140625" style="2" hidden="1" customWidth="1"/>
    <col min="59" max="59" width="5" style="2" hidden="1" customWidth="1"/>
    <col min="60" max="68" width="4.44140625" style="2" hidden="1" customWidth="1"/>
    <col min="69" max="70" width="5.44140625" style="2" hidden="1" customWidth="1"/>
    <col min="71" max="71" width="5.44140625" style="305" hidden="1" customWidth="1"/>
    <col min="72" max="74" width="5.44140625" style="1023" hidden="1" customWidth="1"/>
    <col min="75" max="75" width="4.44140625" style="1023" hidden="1" customWidth="1"/>
    <col min="76" max="76" width="5.44140625" style="1023" hidden="1" customWidth="1"/>
    <col min="77" max="79" width="4.44140625" style="1023" hidden="1" customWidth="1"/>
    <col min="80" max="81" width="5.44140625" style="1023" hidden="1" customWidth="1"/>
    <col min="82" max="82" width="5.44140625" style="1545" hidden="1" customWidth="1"/>
    <col min="83" max="85" width="5.44140625" style="1023" hidden="1" customWidth="1"/>
    <col min="86" max="86" width="4.44140625" style="1023" hidden="1" customWidth="1"/>
    <col min="87" max="93" width="5.44140625" style="1023" hidden="1" customWidth="1"/>
    <col min="94" max="94" width="4.44140625" style="1023" hidden="1" customWidth="1"/>
    <col min="95" max="95" width="5.5546875" style="2" hidden="1" customWidth="1"/>
    <col min="96" max="96" width="5.5546875" style="1022" hidden="1" customWidth="1"/>
    <col min="97" max="104" width="5.5546875" style="1023" hidden="1" customWidth="1"/>
    <col min="105" max="106" width="5.5546875" style="2" hidden="1" customWidth="1"/>
    <col min="107" max="155" width="5.44140625" style="2" hidden="1" customWidth="1"/>
    <col min="156" max="156" width="2.88671875" style="2" customWidth="1"/>
    <col min="157" max="157" width="6.109375" style="2" bestFit="1" customWidth="1"/>
    <col min="158" max="162" width="6.6640625" style="2" bestFit="1" customWidth="1"/>
    <col min="163" max="167" width="7.5546875" style="2" bestFit="1" customWidth="1"/>
    <col min="168" max="168" width="8.33203125" style="2" bestFit="1" customWidth="1"/>
    <col min="169" max="170" width="9.5546875" style="2" customWidth="1"/>
    <col min="171" max="16369" width="11.44140625" style="2"/>
    <col min="16370" max="16384" width="44.44140625" style="2" customWidth="1"/>
  </cols>
  <sheetData>
    <row r="1" spans="1:221" s="1042" customFormat="1" ht="13.8">
      <c r="A1" s="1462"/>
      <c r="B1" s="1462"/>
      <c r="C1" s="1460"/>
      <c r="D1" s="1463"/>
      <c r="E1" s="1464"/>
      <c r="F1" s="1464"/>
      <c r="G1" s="1464"/>
      <c r="H1" s="1464"/>
      <c r="I1" s="1464"/>
      <c r="J1" s="1461"/>
      <c r="K1" s="1461"/>
      <c r="L1" s="1461"/>
      <c r="M1" s="1461"/>
      <c r="N1" s="1461"/>
      <c r="O1" s="1461"/>
      <c r="P1" s="1461"/>
      <c r="Q1" s="1461"/>
      <c r="R1" s="1461"/>
      <c r="S1" s="1461"/>
      <c r="T1" s="1461"/>
      <c r="U1" s="1461"/>
      <c r="V1" s="1461"/>
      <c r="W1" s="1461"/>
      <c r="X1" s="1461"/>
      <c r="Y1" s="1461"/>
      <c r="Z1" s="1461"/>
      <c r="AA1" s="1461"/>
      <c r="AB1" s="1461"/>
      <c r="AC1" s="1461"/>
      <c r="AD1" s="1461"/>
      <c r="AE1" s="1461"/>
      <c r="AF1" s="1461"/>
      <c r="AG1" s="1461"/>
      <c r="AH1" s="1461"/>
      <c r="AI1" s="1461"/>
      <c r="AJ1" s="1461"/>
      <c r="AK1" s="1461"/>
      <c r="AL1" s="1461"/>
      <c r="AM1" s="1461"/>
      <c r="AN1" s="1461"/>
      <c r="AO1" s="1461"/>
      <c r="AP1" s="1461"/>
      <c r="AQ1" s="1461"/>
      <c r="AR1" s="1461"/>
      <c r="AS1" s="1461"/>
      <c r="AT1" s="1461"/>
      <c r="AU1" s="1461"/>
      <c r="AV1" s="1461"/>
      <c r="AW1" s="1461"/>
      <c r="AX1" s="1461"/>
      <c r="AY1" s="1461"/>
      <c r="AZ1" s="1461"/>
      <c r="BA1" s="1461"/>
      <c r="BB1" s="1461"/>
      <c r="BC1" s="1461"/>
      <c r="BD1" s="1461"/>
      <c r="BE1" s="1461"/>
      <c r="BF1" s="1461"/>
      <c r="BG1" s="1461"/>
      <c r="BH1" s="1461"/>
      <c r="BI1" s="1461"/>
      <c r="BJ1" s="1461"/>
      <c r="BK1" s="1461"/>
      <c r="BL1" s="1461"/>
      <c r="BM1" s="1461"/>
      <c r="BN1" s="1461"/>
      <c r="BO1" s="1461"/>
      <c r="BP1" s="1461"/>
      <c r="BQ1" s="1461"/>
      <c r="BR1" s="1461"/>
      <c r="BS1" s="1461"/>
      <c r="BT1" s="1461"/>
      <c r="BU1" s="1461"/>
      <c r="BV1" s="1461"/>
      <c r="BW1" s="1461"/>
      <c r="BX1" s="1461"/>
      <c r="BY1" s="1461"/>
      <c r="BZ1" s="1461"/>
      <c r="CA1" s="1461"/>
      <c r="CB1" s="1461"/>
      <c r="CC1" s="1461"/>
      <c r="CD1" s="1461"/>
      <c r="CE1" s="1461"/>
      <c r="CF1" s="1461"/>
      <c r="CG1" s="1461"/>
      <c r="CH1" s="1461"/>
      <c r="CI1" s="1461"/>
      <c r="CJ1" s="1461"/>
      <c r="CK1" s="1461"/>
      <c r="CL1" s="1461"/>
      <c r="CM1" s="1461"/>
      <c r="CN1" s="1461"/>
      <c r="CO1" s="1461"/>
      <c r="CP1" s="1461"/>
      <c r="CQ1" s="1461"/>
      <c r="CR1" s="1464"/>
      <c r="CS1" s="1464"/>
      <c r="CT1" s="1464"/>
      <c r="CU1" s="1464"/>
      <c r="CV1" s="1464"/>
      <c r="CW1" s="1464"/>
      <c r="CX1" s="1461"/>
      <c r="CY1" s="1461"/>
      <c r="CZ1" s="1461"/>
    </row>
    <row r="2" spans="1:221" ht="13.8">
      <c r="A2" s="1466"/>
      <c r="B2" s="1466"/>
      <c r="C2" s="1466"/>
      <c r="D2" s="1466"/>
      <c r="E2" s="1466"/>
      <c r="F2" s="1466"/>
      <c r="G2" s="1466"/>
      <c r="H2" s="1466"/>
      <c r="I2" s="1466"/>
      <c r="J2" s="1466"/>
      <c r="K2" s="1466"/>
      <c r="L2" s="1466"/>
      <c r="M2" s="1466"/>
      <c r="N2" s="1466"/>
      <c r="O2" s="1466"/>
      <c r="P2" s="1466"/>
      <c r="Q2" s="1466"/>
      <c r="R2" s="1466"/>
      <c r="S2" s="1466"/>
      <c r="T2" s="1466"/>
      <c r="U2" s="1466"/>
      <c r="V2" s="1466"/>
      <c r="W2" s="1466"/>
      <c r="X2" s="1466"/>
      <c r="Y2" s="1466"/>
      <c r="Z2" s="1466"/>
      <c r="AA2" s="1466"/>
      <c r="AB2" s="1466"/>
      <c r="AC2" s="1466"/>
      <c r="AD2" s="1466"/>
      <c r="AE2" s="1466"/>
      <c r="AF2" s="1466"/>
      <c r="AG2" s="1466"/>
      <c r="AH2" s="1466"/>
      <c r="AI2" s="1466"/>
      <c r="AJ2" s="1466"/>
      <c r="AK2" s="1466"/>
      <c r="AL2" s="1466"/>
      <c r="AM2" s="1466"/>
      <c r="AN2" s="1466"/>
      <c r="AO2" s="1466"/>
      <c r="AP2" s="1466"/>
      <c r="AQ2" s="1466"/>
      <c r="AR2" s="1466"/>
      <c r="AS2" s="1466"/>
      <c r="AT2" s="1466"/>
      <c r="AU2" s="1466"/>
      <c r="AV2" s="1466"/>
      <c r="AW2" s="1466"/>
      <c r="AX2" s="1466"/>
      <c r="AY2" s="1466"/>
      <c r="AZ2" s="1466"/>
      <c r="BA2" s="1466"/>
      <c r="BB2" s="1466"/>
      <c r="BC2" s="1466"/>
      <c r="BD2" s="1466"/>
      <c r="BE2" s="1466"/>
      <c r="BF2" s="1466"/>
      <c r="BG2" s="1466"/>
      <c r="BH2" s="1466"/>
      <c r="BI2" s="1466"/>
      <c r="BJ2" s="1466"/>
      <c r="BK2" s="1466"/>
      <c r="BL2" s="1466"/>
      <c r="BM2" s="1466"/>
      <c r="BN2" s="1466"/>
      <c r="BO2" s="1466"/>
      <c r="BP2" s="1466"/>
      <c r="BQ2" s="1466"/>
      <c r="BR2" s="1466"/>
      <c r="BS2" s="1466"/>
      <c r="BT2" s="1466"/>
      <c r="BU2" s="1466"/>
      <c r="BV2" s="1466"/>
      <c r="BW2" s="1466"/>
      <c r="BX2" s="1466"/>
      <c r="BY2" s="1466"/>
      <c r="BZ2" s="1466"/>
      <c r="CA2" s="1466"/>
      <c r="CB2" s="1466"/>
      <c r="CC2" s="1466"/>
      <c r="CD2" s="1466"/>
      <c r="CE2" s="1466"/>
      <c r="CF2" s="1466"/>
      <c r="CG2" s="1466"/>
      <c r="CH2" s="1466"/>
      <c r="CI2" s="1466"/>
      <c r="CJ2" s="1466"/>
      <c r="CK2" s="1466"/>
      <c r="CL2" s="1466"/>
      <c r="CM2" s="1466"/>
      <c r="CN2" s="1466"/>
      <c r="CO2" s="1466"/>
      <c r="CP2" s="1466"/>
      <c r="CQ2" s="1466"/>
      <c r="CR2" s="1466"/>
      <c r="CS2" s="1466"/>
      <c r="CT2" s="1466"/>
      <c r="CU2" s="1466"/>
      <c r="CV2" s="1466"/>
      <c r="CW2" s="1466"/>
      <c r="CX2" s="1466"/>
      <c r="CY2" s="1466"/>
      <c r="CZ2" s="1466"/>
    </row>
    <row r="3" spans="1:221" ht="14.4" thickBot="1">
      <c r="A3" s="1466"/>
      <c r="B3" s="1467" t="s">
        <v>178</v>
      </c>
      <c r="C3" s="1468"/>
      <c r="D3" s="1469"/>
      <c r="E3" s="1469"/>
      <c r="F3" s="1470"/>
      <c r="G3" s="1470"/>
      <c r="H3" s="1471"/>
      <c r="I3" s="1472"/>
      <c r="J3" s="1472"/>
      <c r="K3" s="1472"/>
      <c r="L3" s="1472"/>
      <c r="M3" s="1472"/>
      <c r="N3" s="1472"/>
      <c r="O3" s="1472"/>
      <c r="P3" s="1472"/>
      <c r="Q3" s="1472"/>
      <c r="R3" s="1472"/>
      <c r="S3" s="1472"/>
      <c r="T3" s="1472"/>
      <c r="U3" s="1472"/>
      <c r="V3" s="1472"/>
      <c r="W3" s="1472"/>
      <c r="X3" s="1472"/>
      <c r="Y3" s="1472"/>
      <c r="Z3" s="1472"/>
      <c r="AA3" s="1472"/>
      <c r="AB3" s="1472"/>
      <c r="AC3" s="1472"/>
      <c r="AD3" s="1472"/>
      <c r="AE3" s="1472"/>
      <c r="AF3" s="1472"/>
      <c r="AG3" s="1472"/>
      <c r="AH3" s="1472"/>
      <c r="AI3" s="1473"/>
      <c r="AJ3" s="1473"/>
      <c r="AK3" s="1473"/>
      <c r="AL3" s="1473"/>
      <c r="AM3" s="1473"/>
      <c r="AN3" s="1473"/>
      <c r="AO3" s="1473"/>
      <c r="AP3" s="1473"/>
      <c r="AQ3" s="1473"/>
      <c r="AR3" s="1473"/>
      <c r="AS3" s="1473"/>
      <c r="AT3" s="1473"/>
      <c r="AU3" s="1472"/>
      <c r="AV3" s="1472"/>
      <c r="AW3" s="1472"/>
      <c r="AX3" s="1472"/>
      <c r="AY3" s="1472"/>
      <c r="AZ3" s="1474"/>
      <c r="BA3" s="1474"/>
      <c r="BB3" s="1474"/>
      <c r="BC3" s="1474"/>
      <c r="BD3" s="1474"/>
      <c r="BE3" s="1474"/>
      <c r="BF3" s="1474"/>
      <c r="BG3" s="1472"/>
      <c r="BH3" s="1472"/>
      <c r="BI3" s="1472"/>
      <c r="BJ3" s="1472"/>
      <c r="BK3" s="1472"/>
      <c r="BL3" s="1472"/>
      <c r="BM3" s="1472"/>
      <c r="BN3" s="1472"/>
      <c r="BO3" s="1472"/>
      <c r="BP3" s="1472"/>
      <c r="BQ3" s="1472"/>
      <c r="BR3" s="1472"/>
      <c r="BS3" s="1472"/>
      <c r="BT3" s="1472"/>
      <c r="BU3" s="1472"/>
      <c r="BV3" s="1472"/>
      <c r="BW3" s="1472"/>
      <c r="BX3" s="1472"/>
      <c r="BY3" s="1472"/>
      <c r="BZ3" s="1472"/>
      <c r="CA3" s="1472"/>
      <c r="CB3" s="1472"/>
      <c r="CC3" s="1472"/>
      <c r="CD3" s="1472"/>
      <c r="CE3" s="1472"/>
      <c r="CF3" s="1472"/>
      <c r="CG3" s="1472"/>
      <c r="CH3" s="1472"/>
      <c r="CI3" s="1472"/>
      <c r="CJ3" s="1472"/>
      <c r="CK3" s="1472"/>
      <c r="CL3" s="1472"/>
      <c r="CM3" s="1472"/>
      <c r="CN3" s="1472"/>
      <c r="CO3" s="1472"/>
      <c r="CP3" s="1472"/>
      <c r="CQ3" s="1475"/>
      <c r="CR3" s="1476"/>
      <c r="CS3" s="1476"/>
      <c r="CT3" s="1477"/>
      <c r="CU3" s="1477"/>
      <c r="CV3" s="2"/>
      <c r="CW3" s="1478"/>
      <c r="CX3" s="1478"/>
      <c r="CY3" s="1479"/>
      <c r="CZ3" s="1479"/>
      <c r="DA3" s="1479"/>
      <c r="DB3" s="1480"/>
      <c r="DC3" s="1479"/>
      <c r="DD3" s="1479"/>
      <c r="DE3" s="1479"/>
      <c r="DF3" s="1479"/>
      <c r="DG3" s="1479"/>
      <c r="DH3" s="1479"/>
      <c r="DI3" s="1479"/>
      <c r="DJ3" s="1479"/>
      <c r="DK3" s="1479"/>
      <c r="DL3" s="1479"/>
      <c r="DM3" s="1479"/>
      <c r="DN3" s="1481"/>
      <c r="DO3" s="1481"/>
      <c r="DP3" s="1481"/>
      <c r="DQ3" s="1481"/>
      <c r="DR3" s="1481"/>
      <c r="DS3" s="1481"/>
      <c r="DT3" s="1481"/>
      <c r="DU3" s="1481"/>
      <c r="DV3" s="1482"/>
      <c r="DW3" s="1479"/>
      <c r="DX3" s="1480"/>
      <c r="DY3" s="1482"/>
      <c r="DZ3" s="1482"/>
      <c r="EA3" s="1482"/>
      <c r="EB3" s="1482"/>
      <c r="EC3" s="1482"/>
      <c r="ED3" s="1482"/>
      <c r="EE3" s="1482"/>
      <c r="EF3" s="1482"/>
      <c r="EG3" s="1482"/>
      <c r="EH3" s="1482"/>
      <c r="EI3" s="1482"/>
      <c r="EJ3" s="1482"/>
      <c r="EK3" s="1482"/>
      <c r="EL3" s="1482"/>
      <c r="EM3" s="1482"/>
      <c r="EN3" s="1482"/>
      <c r="EO3" s="1482"/>
      <c r="EP3" s="1482"/>
      <c r="EQ3" s="1482"/>
      <c r="ER3" s="1482"/>
      <c r="ES3" s="1482"/>
      <c r="ET3" s="1482"/>
      <c r="EU3" s="1482"/>
      <c r="EV3" s="1482"/>
      <c r="EW3" s="1482"/>
      <c r="EX3" s="1482"/>
      <c r="EY3" s="1482"/>
      <c r="EZ3" s="1482"/>
      <c r="FA3" s="5660" t="s">
        <v>147</v>
      </c>
      <c r="FB3" s="5661"/>
      <c r="FC3" s="5661"/>
      <c r="FD3" s="5661"/>
      <c r="FE3" s="5661"/>
      <c r="FF3" s="5661"/>
      <c r="FG3" s="5661"/>
      <c r="FH3" s="5661"/>
      <c r="FI3" s="5661"/>
      <c r="FJ3" s="5661"/>
      <c r="FK3" s="5661"/>
      <c r="FL3" s="5661"/>
      <c r="FM3" s="5661"/>
      <c r="FN3" s="5661"/>
    </row>
    <row r="4" spans="1:221" s="53" customFormat="1" ht="25.5" customHeight="1">
      <c r="A4" s="1596"/>
      <c r="B4" s="1597" t="s">
        <v>179</v>
      </c>
      <c r="C4" s="1598"/>
      <c r="D4" s="1599">
        <v>2006</v>
      </c>
      <c r="E4" s="1600"/>
      <c r="F4" s="1600"/>
      <c r="G4" s="1601"/>
      <c r="H4" s="1600"/>
      <c r="I4" s="1600"/>
      <c r="J4" s="1600"/>
      <c r="K4" s="1602">
        <v>2007</v>
      </c>
      <c r="L4" s="1603"/>
      <c r="M4" s="1603"/>
      <c r="N4" s="1604"/>
      <c r="O4" s="1604"/>
      <c r="P4" s="1605"/>
      <c r="Q4" s="1603"/>
      <c r="R4" s="1603"/>
      <c r="S4" s="1603"/>
      <c r="T4" s="1603"/>
      <c r="U4" s="1603"/>
      <c r="V4" s="1603"/>
      <c r="W4" s="1606">
        <v>2008</v>
      </c>
      <c r="X4" s="1607"/>
      <c r="Y4" s="1607"/>
      <c r="Z4" s="1607"/>
      <c r="AA4" s="1607"/>
      <c r="AB4" s="1607"/>
      <c r="AC4" s="1607"/>
      <c r="AD4" s="1607"/>
      <c r="AE4" s="1607"/>
      <c r="AF4" s="1607"/>
      <c r="AG4" s="1607"/>
      <c r="AH4" s="1607"/>
      <c r="AI4" s="1602">
        <v>2009</v>
      </c>
      <c r="AJ4" s="1602"/>
      <c r="AK4" s="1602"/>
      <c r="AL4" s="1602"/>
      <c r="AM4" s="1602"/>
      <c r="AN4" s="1602"/>
      <c r="AO4" s="1602"/>
      <c r="AP4" s="1602"/>
      <c r="AQ4" s="1602"/>
      <c r="AR4" s="1602"/>
      <c r="AS4" s="1602"/>
      <c r="AT4" s="1602"/>
      <c r="AU4" s="1608">
        <v>2010</v>
      </c>
      <c r="AV4" s="1608"/>
      <c r="AW4" s="1608"/>
      <c r="AX4" s="1608"/>
      <c r="AY4" s="1608"/>
      <c r="AZ4" s="1608"/>
      <c r="BA4" s="1608"/>
      <c r="BB4" s="1608"/>
      <c r="BC4" s="1608"/>
      <c r="BD4" s="1608"/>
      <c r="BE4" s="1608"/>
      <c r="BF4" s="1608"/>
      <c r="BG4" s="1609">
        <v>2011</v>
      </c>
      <c r="BH4" s="1609"/>
      <c r="BI4" s="1609"/>
      <c r="BJ4" s="1609"/>
      <c r="BK4" s="1609"/>
      <c r="BL4" s="1609"/>
      <c r="BM4" s="1609"/>
      <c r="BN4" s="1609"/>
      <c r="BO4" s="1609"/>
      <c r="BP4" s="1609"/>
      <c r="BQ4" s="1609"/>
      <c r="BR4" s="1609"/>
      <c r="BS4" s="1608">
        <v>2012</v>
      </c>
      <c r="BT4" s="1608"/>
      <c r="BU4" s="1608"/>
      <c r="BV4" s="1608"/>
      <c r="BW4" s="1608"/>
      <c r="BX4" s="1608"/>
      <c r="BY4" s="1608"/>
      <c r="BZ4" s="1608"/>
      <c r="CA4" s="1608"/>
      <c r="CB4" s="1608"/>
      <c r="CC4" s="1608"/>
      <c r="CD4" s="1608"/>
      <c r="CE4" s="1610">
        <v>2013</v>
      </c>
      <c r="CF4" s="1610"/>
      <c r="CG4" s="1610"/>
      <c r="CH4" s="1610"/>
      <c r="CI4" s="1610"/>
      <c r="CJ4" s="1610"/>
      <c r="CK4" s="1610"/>
      <c r="CL4" s="1610"/>
      <c r="CM4" s="1610"/>
      <c r="CN4" s="1610"/>
      <c r="CO4" s="1610"/>
      <c r="CP4" s="1610"/>
      <c r="CQ4" s="1608">
        <v>2014</v>
      </c>
      <c r="CR4" s="1608"/>
      <c r="CS4" s="1608"/>
      <c r="CT4" s="1608"/>
      <c r="CU4" s="1608"/>
      <c r="CV4" s="1608"/>
      <c r="CW4" s="1608"/>
      <c r="CX4" s="1608"/>
      <c r="CY4" s="1608"/>
      <c r="CZ4" s="1608"/>
      <c r="DA4" s="1608"/>
      <c r="DB4" s="1608"/>
      <c r="DC4" s="1611">
        <v>2015</v>
      </c>
      <c r="DD4" s="1610"/>
      <c r="DE4" s="1610"/>
      <c r="DF4" s="1610"/>
      <c r="DG4" s="1610"/>
      <c r="DH4" s="1610"/>
      <c r="DI4" s="1610"/>
      <c r="DJ4" s="1610"/>
      <c r="DK4" s="1610"/>
      <c r="DL4" s="1610"/>
      <c r="DM4" s="1610"/>
      <c r="DN4" s="1610"/>
      <c r="DO4" s="1612">
        <v>2016</v>
      </c>
      <c r="DP4" s="1613"/>
      <c r="DQ4" s="1613"/>
      <c r="DR4" s="1613"/>
      <c r="DS4" s="1613"/>
      <c r="DT4" s="1613"/>
      <c r="DU4" s="1613"/>
      <c r="DV4" s="1613"/>
      <c r="DW4" s="1613"/>
      <c r="DX4" s="1613"/>
      <c r="DY4" s="1613"/>
      <c r="DZ4" s="1613"/>
      <c r="EA4" s="1614">
        <v>2017</v>
      </c>
      <c r="EB4" s="1615"/>
      <c r="EC4" s="1615"/>
      <c r="ED4" s="1615"/>
      <c r="EE4" s="1615"/>
      <c r="EF4" s="1615"/>
      <c r="EG4" s="1615"/>
      <c r="EH4" s="1615"/>
      <c r="EI4" s="1615"/>
      <c r="EJ4" s="1615"/>
      <c r="EK4" s="1615"/>
      <c r="EL4" s="1615"/>
      <c r="EM4" s="1614">
        <v>2018</v>
      </c>
      <c r="EN4" s="1615"/>
      <c r="EO4" s="1615"/>
      <c r="EP4" s="1615"/>
      <c r="EQ4" s="1615"/>
      <c r="ER4" s="1615"/>
      <c r="ES4" s="1615"/>
      <c r="ET4" s="1615"/>
      <c r="EU4" s="1615"/>
      <c r="EV4" s="1615"/>
      <c r="EW4" s="1615"/>
      <c r="EX4" s="1615"/>
      <c r="EY4" s="1614">
        <v>2019</v>
      </c>
      <c r="EZ4" s="1608"/>
      <c r="FA4" s="1657">
        <v>2006</v>
      </c>
      <c r="FB4" s="1616">
        <v>2007</v>
      </c>
      <c r="FC4" s="1616">
        <v>2008</v>
      </c>
      <c r="FD4" s="1616">
        <v>2009</v>
      </c>
      <c r="FE4" s="1616">
        <v>2010</v>
      </c>
      <c r="FF4" s="1616">
        <v>2011</v>
      </c>
      <c r="FG4" s="1616">
        <v>2012</v>
      </c>
      <c r="FH4" s="1616">
        <v>2013</v>
      </c>
      <c r="FI4" s="1616">
        <v>2014</v>
      </c>
      <c r="FJ4" s="1616">
        <v>2015</v>
      </c>
      <c r="FK4" s="1616">
        <v>2016</v>
      </c>
      <c r="FL4" s="1616" t="s">
        <v>581</v>
      </c>
      <c r="FM4" s="1617" t="s">
        <v>820</v>
      </c>
      <c r="FN4" s="1616">
        <v>2019</v>
      </c>
      <c r="FO4" s="1616">
        <v>2020</v>
      </c>
      <c r="FP4" s="1616" t="s">
        <v>1441</v>
      </c>
      <c r="FQ4" s="1619"/>
      <c r="FR4" s="1619"/>
      <c r="FS4" s="1619"/>
      <c r="FT4" s="1619"/>
      <c r="FU4" s="1619"/>
      <c r="FV4" s="1619"/>
      <c r="FW4" s="1619"/>
      <c r="FX4" s="1618"/>
      <c r="FY4" s="1618"/>
      <c r="FZ4" s="1618"/>
      <c r="GA4" s="1618"/>
      <c r="GB4" s="1618"/>
      <c r="GC4" s="1618"/>
      <c r="GD4" s="1618"/>
      <c r="GE4" s="1618"/>
      <c r="GF4" s="1618"/>
      <c r="GG4" s="1619"/>
      <c r="GH4" s="1619"/>
      <c r="GI4" s="1619"/>
      <c r="GJ4" s="1619"/>
      <c r="GK4" s="1619"/>
      <c r="GL4" s="1619"/>
      <c r="GM4" s="1619"/>
      <c r="GN4" s="1619"/>
      <c r="GO4" s="1619"/>
      <c r="GP4" s="1619"/>
      <c r="GQ4" s="1619"/>
      <c r="GR4" s="1619"/>
      <c r="GS4" s="1619"/>
      <c r="GT4" s="1619"/>
      <c r="GU4" s="1619"/>
      <c r="GV4" s="1619"/>
      <c r="GW4" s="1619"/>
      <c r="GX4" s="1619"/>
      <c r="GY4" s="1619"/>
      <c r="GZ4" s="1619"/>
      <c r="HA4" s="1619"/>
      <c r="HB4" s="1619"/>
      <c r="HC4" s="1619"/>
      <c r="HD4" s="1619"/>
      <c r="HE4" s="1619"/>
      <c r="HF4" s="1619"/>
      <c r="HG4" s="1619"/>
      <c r="HH4" s="1619"/>
      <c r="HI4" s="1619"/>
      <c r="HJ4" s="1619"/>
      <c r="HK4" s="1619"/>
      <c r="HL4" s="1619"/>
      <c r="HM4" s="1619"/>
    </row>
    <row r="5" spans="1:221" ht="13.8">
      <c r="A5" s="1466"/>
      <c r="B5" s="1485" t="s">
        <v>148</v>
      </c>
      <c r="C5" s="1486"/>
      <c r="D5" s="1487" t="s">
        <v>180</v>
      </c>
      <c r="E5" s="1487" t="s">
        <v>181</v>
      </c>
      <c r="F5" s="1487" t="s">
        <v>182</v>
      </c>
      <c r="G5" s="1487" t="s">
        <v>183</v>
      </c>
      <c r="H5" s="1487" t="s">
        <v>184</v>
      </c>
      <c r="I5" s="1487" t="s">
        <v>185</v>
      </c>
      <c r="J5" s="1487" t="s">
        <v>186</v>
      </c>
      <c r="K5" s="1488" t="s">
        <v>36</v>
      </c>
      <c r="L5" s="1488" t="s">
        <v>187</v>
      </c>
      <c r="M5" s="1488" t="s">
        <v>38</v>
      </c>
      <c r="N5" s="1488" t="s">
        <v>188</v>
      </c>
      <c r="O5" s="1488" t="s">
        <v>189</v>
      </c>
      <c r="P5" s="1488" t="s">
        <v>180</v>
      </c>
      <c r="Q5" s="1488" t="s">
        <v>181</v>
      </c>
      <c r="R5" s="1488" t="s">
        <v>182</v>
      </c>
      <c r="S5" s="1488" t="s">
        <v>183</v>
      </c>
      <c r="T5" s="1488" t="s">
        <v>184</v>
      </c>
      <c r="U5" s="1488" t="s">
        <v>185</v>
      </c>
      <c r="V5" s="1488" t="s">
        <v>186</v>
      </c>
      <c r="W5" s="1489" t="s">
        <v>36</v>
      </c>
      <c r="X5" s="1489" t="s">
        <v>187</v>
      </c>
      <c r="Y5" s="1489" t="s">
        <v>38</v>
      </c>
      <c r="Z5" s="1489" t="s">
        <v>188</v>
      </c>
      <c r="AA5" s="1489" t="s">
        <v>189</v>
      </c>
      <c r="AB5" s="1489" t="s">
        <v>180</v>
      </c>
      <c r="AC5" s="1489" t="s">
        <v>181</v>
      </c>
      <c r="AD5" s="1489" t="s">
        <v>182</v>
      </c>
      <c r="AE5" s="1489" t="s">
        <v>183</v>
      </c>
      <c r="AF5" s="1489" t="s">
        <v>184</v>
      </c>
      <c r="AG5" s="1489" t="s">
        <v>185</v>
      </c>
      <c r="AH5" s="1489" t="s">
        <v>186</v>
      </c>
      <c r="AI5" s="1488" t="s">
        <v>36</v>
      </c>
      <c r="AJ5" s="1488" t="s">
        <v>187</v>
      </c>
      <c r="AK5" s="1488" t="s">
        <v>38</v>
      </c>
      <c r="AL5" s="1488" t="s">
        <v>39</v>
      </c>
      <c r="AM5" s="1488" t="s">
        <v>40</v>
      </c>
      <c r="AN5" s="1488" t="s">
        <v>41</v>
      </c>
      <c r="AO5" s="1488" t="s">
        <v>42</v>
      </c>
      <c r="AP5" s="1488" t="s">
        <v>43</v>
      </c>
      <c r="AQ5" s="1488" t="s">
        <v>44</v>
      </c>
      <c r="AR5" s="1488" t="s">
        <v>45</v>
      </c>
      <c r="AS5" s="1488" t="s">
        <v>46</v>
      </c>
      <c r="AT5" s="1488" t="s">
        <v>47</v>
      </c>
      <c r="AU5" s="1490" t="s">
        <v>36</v>
      </c>
      <c r="AV5" s="1490" t="s">
        <v>37</v>
      </c>
      <c r="AW5" s="1490" t="s">
        <v>38</v>
      </c>
      <c r="AX5" s="1490" t="s">
        <v>39</v>
      </c>
      <c r="AY5" s="1490" t="s">
        <v>40</v>
      </c>
      <c r="AZ5" s="1490" t="s">
        <v>41</v>
      </c>
      <c r="BA5" s="1490" t="s">
        <v>42</v>
      </c>
      <c r="BB5" s="1490" t="s">
        <v>43</v>
      </c>
      <c r="BC5" s="1490" t="s">
        <v>44</v>
      </c>
      <c r="BD5" s="1490" t="s">
        <v>45</v>
      </c>
      <c r="BE5" s="1490" t="s">
        <v>46</v>
      </c>
      <c r="BF5" s="1490" t="s">
        <v>47</v>
      </c>
      <c r="BG5" s="1488" t="s">
        <v>36</v>
      </c>
      <c r="BH5" s="1488" t="s">
        <v>37</v>
      </c>
      <c r="BI5" s="1488" t="s">
        <v>38</v>
      </c>
      <c r="BJ5" s="1488" t="s">
        <v>39</v>
      </c>
      <c r="BK5" s="1488" t="s">
        <v>40</v>
      </c>
      <c r="BL5" s="1488" t="s">
        <v>41</v>
      </c>
      <c r="BM5" s="1488" t="s">
        <v>42</v>
      </c>
      <c r="BN5" s="1488" t="s">
        <v>43</v>
      </c>
      <c r="BO5" s="1488" t="s">
        <v>44</v>
      </c>
      <c r="BP5" s="1488" t="s">
        <v>45</v>
      </c>
      <c r="BQ5" s="1488" t="s">
        <v>46</v>
      </c>
      <c r="BR5" s="1488" t="s">
        <v>47</v>
      </c>
      <c r="BS5" s="1490" t="s">
        <v>36</v>
      </c>
      <c r="BT5" s="1490" t="s">
        <v>37</v>
      </c>
      <c r="BU5" s="1490" t="s">
        <v>38</v>
      </c>
      <c r="BV5" s="1490" t="s">
        <v>39</v>
      </c>
      <c r="BW5" s="1490" t="s">
        <v>40</v>
      </c>
      <c r="BX5" s="1490" t="s">
        <v>41</v>
      </c>
      <c r="BY5" s="1490" t="s">
        <v>42</v>
      </c>
      <c r="BZ5" s="1490" t="s">
        <v>43</v>
      </c>
      <c r="CA5" s="1490" t="s">
        <v>44</v>
      </c>
      <c r="CB5" s="1490" t="s">
        <v>45</v>
      </c>
      <c r="CC5" s="1490" t="s">
        <v>46</v>
      </c>
      <c r="CD5" s="1490" t="s">
        <v>47</v>
      </c>
      <c r="CE5" s="1491" t="s">
        <v>36</v>
      </c>
      <c r="CF5" s="1491" t="s">
        <v>37</v>
      </c>
      <c r="CG5" s="1491" t="s">
        <v>38</v>
      </c>
      <c r="CH5" s="1491" t="s">
        <v>39</v>
      </c>
      <c r="CI5" s="1491" t="s">
        <v>40</v>
      </c>
      <c r="CJ5" s="1491" t="s">
        <v>41</v>
      </c>
      <c r="CK5" s="1491" t="s">
        <v>42</v>
      </c>
      <c r="CL5" s="1491" t="s">
        <v>43</v>
      </c>
      <c r="CM5" s="1491" t="s">
        <v>44</v>
      </c>
      <c r="CN5" s="1491" t="s">
        <v>45</v>
      </c>
      <c r="CO5" s="1491" t="s">
        <v>46</v>
      </c>
      <c r="CP5" s="1491" t="s">
        <v>47</v>
      </c>
      <c r="CQ5" s="1490" t="s">
        <v>36</v>
      </c>
      <c r="CR5" s="1490" t="s">
        <v>37</v>
      </c>
      <c r="CS5" s="1490" t="s">
        <v>38</v>
      </c>
      <c r="CT5" s="1490" t="s">
        <v>39</v>
      </c>
      <c r="CU5" s="1490" t="s">
        <v>40</v>
      </c>
      <c r="CV5" s="1490" t="s">
        <v>41</v>
      </c>
      <c r="CW5" s="1490" t="s">
        <v>42</v>
      </c>
      <c r="CX5" s="1490" t="s">
        <v>43</v>
      </c>
      <c r="CY5" s="1490" t="s">
        <v>44</v>
      </c>
      <c r="CZ5" s="1490" t="s">
        <v>45</v>
      </c>
      <c r="DA5" s="1490" t="s">
        <v>46</v>
      </c>
      <c r="DB5" s="1490" t="s">
        <v>47</v>
      </c>
      <c r="DC5" s="1547" t="s">
        <v>36</v>
      </c>
      <c r="DD5" s="1491" t="s">
        <v>37</v>
      </c>
      <c r="DE5" s="1491" t="s">
        <v>38</v>
      </c>
      <c r="DF5" s="1491" t="s">
        <v>39</v>
      </c>
      <c r="DG5" s="1491" t="s">
        <v>40</v>
      </c>
      <c r="DH5" s="1491" t="s">
        <v>41</v>
      </c>
      <c r="DI5" s="1491" t="s">
        <v>42</v>
      </c>
      <c r="DJ5" s="1491" t="s">
        <v>43</v>
      </c>
      <c r="DK5" s="1491" t="s">
        <v>44</v>
      </c>
      <c r="DL5" s="1491" t="s">
        <v>45</v>
      </c>
      <c r="DM5" s="1491" t="s">
        <v>46</v>
      </c>
      <c r="DN5" s="1491" t="s">
        <v>47</v>
      </c>
      <c r="DO5" s="1551" t="s">
        <v>36</v>
      </c>
      <c r="DP5" s="1492" t="s">
        <v>37</v>
      </c>
      <c r="DQ5" s="1492" t="s">
        <v>38</v>
      </c>
      <c r="DR5" s="1492" t="s">
        <v>39</v>
      </c>
      <c r="DS5" s="1492" t="s">
        <v>40</v>
      </c>
      <c r="DT5" s="1492" t="s">
        <v>41</v>
      </c>
      <c r="DU5" s="1492" t="s">
        <v>42</v>
      </c>
      <c r="DV5" s="1492" t="s">
        <v>1079</v>
      </c>
      <c r="DW5" s="1492" t="s">
        <v>44</v>
      </c>
      <c r="DX5" s="1492" t="s">
        <v>45</v>
      </c>
      <c r="DY5" s="1492" t="s">
        <v>46</v>
      </c>
      <c r="DZ5" s="1492" t="s">
        <v>47</v>
      </c>
      <c r="EA5" s="1555" t="s">
        <v>36</v>
      </c>
      <c r="EB5" s="1493" t="s">
        <v>37</v>
      </c>
      <c r="EC5" s="1652" t="s">
        <v>38</v>
      </c>
      <c r="ED5" s="1652" t="s">
        <v>39</v>
      </c>
      <c r="EE5" s="1652" t="s">
        <v>40</v>
      </c>
      <c r="EF5" s="1652" t="s">
        <v>41</v>
      </c>
      <c r="EG5" s="1652" t="s">
        <v>42</v>
      </c>
      <c r="EH5" s="1652" t="s">
        <v>1079</v>
      </c>
      <c r="EI5" s="1652" t="s">
        <v>44</v>
      </c>
      <c r="EJ5" s="1652" t="s">
        <v>45</v>
      </c>
      <c r="EK5" s="1652" t="s">
        <v>46</v>
      </c>
      <c r="EL5" s="1652" t="s">
        <v>47</v>
      </c>
      <c r="EM5" s="1555" t="s">
        <v>36</v>
      </c>
      <c r="EN5" s="1493" t="s">
        <v>37</v>
      </c>
      <c r="EO5" s="1652" t="s">
        <v>38</v>
      </c>
      <c r="EP5" s="1652" t="s">
        <v>39</v>
      </c>
      <c r="EQ5" s="1652" t="s">
        <v>40</v>
      </c>
      <c r="ER5" s="1652" t="s">
        <v>41</v>
      </c>
      <c r="ES5" s="1652" t="s">
        <v>42</v>
      </c>
      <c r="ET5" s="1652" t="s">
        <v>1079</v>
      </c>
      <c r="EU5" s="1652" t="s">
        <v>44</v>
      </c>
      <c r="EV5" s="1652" t="s">
        <v>45</v>
      </c>
      <c r="EW5" s="1652" t="s">
        <v>46</v>
      </c>
      <c r="EX5" s="1652" t="s">
        <v>47</v>
      </c>
      <c r="EY5" s="1555" t="s">
        <v>36</v>
      </c>
      <c r="EZ5" s="1490"/>
      <c r="FA5" s="1658" t="s">
        <v>149</v>
      </c>
      <c r="FB5" s="1494" t="s">
        <v>48</v>
      </c>
      <c r="FC5" s="1494" t="s">
        <v>48</v>
      </c>
      <c r="FD5" s="1494" t="s">
        <v>48</v>
      </c>
      <c r="FE5" s="1494" t="s">
        <v>48</v>
      </c>
      <c r="FF5" s="1494" t="s">
        <v>48</v>
      </c>
      <c r="FG5" s="1494" t="s">
        <v>150</v>
      </c>
      <c r="FH5" s="1494" t="s">
        <v>150</v>
      </c>
      <c r="FI5" s="1494" t="s">
        <v>150</v>
      </c>
      <c r="FJ5" s="1494" t="s">
        <v>150</v>
      </c>
      <c r="FK5" s="1494" t="s">
        <v>150</v>
      </c>
      <c r="FL5" s="1590" t="s">
        <v>579</v>
      </c>
      <c r="FM5" s="1590" t="s">
        <v>579</v>
      </c>
      <c r="FN5" s="2" t="s">
        <v>48</v>
      </c>
      <c r="FO5" s="2" t="s">
        <v>48</v>
      </c>
      <c r="FP5" s="2" t="s">
        <v>873</v>
      </c>
      <c r="FQ5" s="1481"/>
      <c r="FR5" s="1481"/>
      <c r="FS5" s="1481"/>
      <c r="FT5" s="1481"/>
      <c r="FU5" s="1481"/>
      <c r="FV5" s="1481"/>
      <c r="FW5" s="1481"/>
      <c r="FX5" s="1481"/>
      <c r="FY5" s="1481"/>
      <c r="FZ5" s="1481"/>
      <c r="GA5" s="1481"/>
      <c r="GB5" s="1481"/>
      <c r="GC5" s="1481"/>
      <c r="GD5" s="1481"/>
      <c r="GE5" s="1481"/>
      <c r="GF5" s="1481"/>
      <c r="GG5" s="1481"/>
      <c r="GH5" s="1481"/>
      <c r="GI5" s="1481"/>
      <c r="GJ5" s="1481"/>
      <c r="GK5" s="1481"/>
      <c r="GL5" s="1481"/>
      <c r="GM5" s="1481"/>
      <c r="GN5" s="1481"/>
      <c r="GO5" s="1481"/>
      <c r="GP5" s="1481"/>
      <c r="GQ5" s="1481"/>
      <c r="GR5" s="1481"/>
      <c r="GS5" s="1481"/>
      <c r="GT5" s="1481"/>
      <c r="GU5" s="1481"/>
      <c r="GV5" s="1481"/>
      <c r="GW5" s="1481"/>
      <c r="GX5" s="1481"/>
      <c r="GY5" s="1481"/>
      <c r="GZ5" s="1481"/>
      <c r="HA5" s="1481"/>
      <c r="HB5" s="1481"/>
      <c r="HC5" s="1481"/>
      <c r="HD5" s="1481"/>
      <c r="HE5" s="1481"/>
      <c r="HF5" s="1481"/>
      <c r="HG5" s="1481"/>
      <c r="HH5" s="1481"/>
      <c r="HI5" s="1481"/>
      <c r="HJ5" s="1481"/>
      <c r="HK5" s="1481"/>
      <c r="HL5" s="1481"/>
      <c r="HM5" s="1481"/>
    </row>
    <row r="6" spans="1:221" ht="13.8">
      <c r="A6" s="1466"/>
      <c r="B6" s="1495"/>
      <c r="C6" s="1486"/>
      <c r="D6" s="1487"/>
      <c r="E6" s="1487"/>
      <c r="F6" s="1487"/>
      <c r="G6" s="1487"/>
      <c r="H6" s="1487"/>
      <c r="I6" s="1487"/>
      <c r="J6" s="1487"/>
      <c r="K6" s="1488"/>
      <c r="L6" s="1488"/>
      <c r="M6" s="1488"/>
      <c r="N6" s="1488"/>
      <c r="O6" s="1488"/>
      <c r="P6" s="1488"/>
      <c r="Q6" s="1488"/>
      <c r="R6" s="1488"/>
      <c r="S6" s="1488"/>
      <c r="T6" s="1488"/>
      <c r="U6" s="1488"/>
      <c r="V6" s="1488"/>
      <c r="W6" s="1489"/>
      <c r="X6" s="1489"/>
      <c r="Y6" s="1489"/>
      <c r="Z6" s="1489"/>
      <c r="AA6" s="1489"/>
      <c r="AB6" s="1489"/>
      <c r="AC6" s="1489"/>
      <c r="AD6" s="1489"/>
      <c r="AE6" s="1489"/>
      <c r="AF6" s="1489"/>
      <c r="AG6" s="1489"/>
      <c r="AH6" s="1489"/>
      <c r="AI6" s="1488"/>
      <c r="AJ6" s="1488"/>
      <c r="AK6" s="1488"/>
      <c r="AL6" s="1488"/>
      <c r="AM6" s="1488"/>
      <c r="AN6" s="1488"/>
      <c r="AO6" s="1488"/>
      <c r="AP6" s="1488"/>
      <c r="AQ6" s="1488"/>
      <c r="AR6" s="1488"/>
      <c r="AS6" s="1488"/>
      <c r="AT6" s="1488"/>
      <c r="AU6" s="1496"/>
      <c r="AV6" s="1496"/>
      <c r="AW6" s="1496"/>
      <c r="AX6" s="1496"/>
      <c r="AY6" s="1496"/>
      <c r="AZ6" s="1496"/>
      <c r="BA6" s="1496"/>
      <c r="BB6" s="1496"/>
      <c r="BC6" s="1496"/>
      <c r="BD6" s="1496"/>
      <c r="BE6" s="1496"/>
      <c r="BF6" s="1496"/>
      <c r="BG6" s="1497"/>
      <c r="BH6" s="1497"/>
      <c r="BI6" s="1497"/>
      <c r="BJ6" s="1497"/>
      <c r="BK6" s="1497"/>
      <c r="BL6" s="1497"/>
      <c r="BM6" s="1497"/>
      <c r="BN6" s="1497"/>
      <c r="BO6" s="1497"/>
      <c r="BP6" s="1497"/>
      <c r="BQ6" s="1497"/>
      <c r="BR6" s="1497"/>
      <c r="BS6" s="1496"/>
      <c r="BT6" s="1496"/>
      <c r="BU6" s="1496"/>
      <c r="BV6" s="1496"/>
      <c r="BW6" s="1496"/>
      <c r="BX6" s="1496"/>
      <c r="BY6" s="1496"/>
      <c r="BZ6" s="1496"/>
      <c r="CA6" s="1496"/>
      <c r="CB6" s="1496"/>
      <c r="CC6" s="1496"/>
      <c r="CD6" s="1496"/>
      <c r="CE6" s="1498"/>
      <c r="CF6" s="1498"/>
      <c r="CG6" s="1498"/>
      <c r="CH6" s="1498"/>
      <c r="CI6" s="1498"/>
      <c r="CJ6" s="1498"/>
      <c r="CK6" s="1498"/>
      <c r="CL6" s="1498"/>
      <c r="CM6" s="1498"/>
      <c r="CN6" s="1498"/>
      <c r="CO6" s="1498"/>
      <c r="CP6" s="1498"/>
      <c r="CQ6" s="1496"/>
      <c r="CR6" s="1496"/>
      <c r="CS6" s="1496"/>
      <c r="CT6" s="1496"/>
      <c r="CU6" s="1496"/>
      <c r="CV6" s="1496"/>
      <c r="CW6" s="1496"/>
      <c r="CX6" s="1496"/>
      <c r="CY6" s="1496"/>
      <c r="CZ6" s="1496"/>
      <c r="DA6" s="1496"/>
      <c r="DB6" s="1496"/>
      <c r="DC6" s="1548"/>
      <c r="DD6" s="1498"/>
      <c r="DE6" s="1498"/>
      <c r="DF6" s="1498"/>
      <c r="DG6" s="1498"/>
      <c r="DH6" s="1498"/>
      <c r="DI6" s="1498"/>
      <c r="DJ6" s="1498"/>
      <c r="DK6" s="1498"/>
      <c r="DL6" s="1498"/>
      <c r="DM6" s="1498"/>
      <c r="DN6" s="1498"/>
      <c r="DO6" s="1552"/>
      <c r="DP6" s="1499"/>
      <c r="DQ6" s="1499"/>
      <c r="DR6" s="1499"/>
      <c r="DS6" s="1499"/>
      <c r="DT6" s="1499"/>
      <c r="DU6" s="1499"/>
      <c r="DV6" s="1499"/>
      <c r="DW6" s="1499"/>
      <c r="DX6" s="1499"/>
      <c r="DY6" s="1499"/>
      <c r="DZ6" s="1499"/>
      <c r="EA6" s="1552"/>
      <c r="EB6" s="1499"/>
      <c r="EC6" s="1499"/>
      <c r="ED6" s="1499"/>
      <c r="EE6" s="1499"/>
      <c r="EF6" s="1499"/>
      <c r="EG6" s="1499"/>
      <c r="EH6" s="1499"/>
      <c r="EI6" s="1499"/>
      <c r="EJ6" s="1499"/>
      <c r="EK6" s="1499"/>
      <c r="EL6" s="1499"/>
      <c r="EM6" s="1552"/>
      <c r="EN6" s="1499"/>
      <c r="EO6" s="1499"/>
      <c r="EP6" s="1499"/>
      <c r="EQ6" s="1499"/>
      <c r="ER6" s="1499"/>
      <c r="ES6" s="1499"/>
      <c r="ET6" s="1499"/>
      <c r="EU6" s="1499"/>
      <c r="EV6" s="1499"/>
      <c r="EW6" s="1499"/>
      <c r="EX6" s="1499"/>
      <c r="EY6" s="1552"/>
      <c r="EZ6" s="1496"/>
      <c r="FA6" s="1659"/>
      <c r="FB6" s="1500"/>
      <c r="FC6" s="1500"/>
      <c r="FD6" s="1500"/>
      <c r="FE6" s="1500"/>
      <c r="FF6" s="1500"/>
      <c r="FG6" s="1500"/>
      <c r="FH6" s="1500"/>
      <c r="FI6" s="1500"/>
      <c r="FJ6" s="1500"/>
      <c r="FK6" s="1500"/>
      <c r="FL6" s="1500"/>
      <c r="FM6" s="1591"/>
      <c r="FN6" s="1500"/>
      <c r="FO6" s="1500"/>
      <c r="FP6" s="1500"/>
      <c r="FQ6" s="1481"/>
      <c r="FR6" s="1481"/>
      <c r="FS6" s="1481"/>
      <c r="FT6" s="1481"/>
      <c r="FU6" s="1481"/>
      <c r="FV6" s="1481"/>
      <c r="FW6" s="1481"/>
      <c r="FX6" s="1481"/>
      <c r="FY6" s="1481"/>
      <c r="FZ6" s="1481"/>
      <c r="GA6" s="1481"/>
      <c r="GB6" s="1481"/>
      <c r="GC6" s="1481"/>
      <c r="GD6" s="1481"/>
      <c r="GE6" s="1481"/>
      <c r="GF6" s="1481"/>
      <c r="GG6" s="1481"/>
      <c r="GH6" s="1481"/>
      <c r="GI6" s="1481"/>
      <c r="GJ6" s="1481"/>
      <c r="GK6" s="1481"/>
      <c r="GL6" s="1481"/>
      <c r="GM6" s="1481"/>
      <c r="GN6" s="1481"/>
      <c r="GO6" s="1481"/>
      <c r="GP6" s="1481"/>
      <c r="GQ6" s="1481"/>
      <c r="GR6" s="1481"/>
      <c r="GS6" s="1481"/>
      <c r="GT6" s="1481"/>
      <c r="GU6" s="1481"/>
      <c r="GV6" s="1481"/>
      <c r="GW6" s="1481"/>
      <c r="GX6" s="1481"/>
      <c r="GY6" s="1481"/>
      <c r="GZ6" s="1481"/>
      <c r="HA6" s="1481"/>
      <c r="HB6" s="1481"/>
      <c r="HC6" s="1481"/>
      <c r="HD6" s="1481"/>
      <c r="HE6" s="1481"/>
      <c r="HF6" s="1481"/>
      <c r="HG6" s="1481"/>
      <c r="HH6" s="1481"/>
      <c r="HI6" s="1481"/>
      <c r="HJ6" s="1481"/>
      <c r="HK6" s="1481"/>
      <c r="HL6" s="1481"/>
      <c r="HM6" s="1481"/>
    </row>
    <row r="7" spans="1:221" s="1583" customFormat="1" ht="13.8">
      <c r="A7" s="1558"/>
      <c r="B7" s="1556"/>
      <c r="C7" s="1557" t="s">
        <v>32</v>
      </c>
      <c r="D7" s="1559">
        <v>45.354991523505902</v>
      </c>
      <c r="E7" s="1560">
        <v>49.3347963832042</v>
      </c>
      <c r="F7" s="1560">
        <v>46.82747578860905</v>
      </c>
      <c r="G7" s="1560">
        <v>51.648411919542788</v>
      </c>
      <c r="H7" s="1560">
        <v>50.745314250653571</v>
      </c>
      <c r="I7" s="1560">
        <v>48.656137536849421</v>
      </c>
      <c r="J7" s="1561">
        <v>45.436904984132909</v>
      </c>
      <c r="K7" s="1562">
        <v>49.672226040848372</v>
      </c>
      <c r="L7" s="1563">
        <v>48.779385025189647</v>
      </c>
      <c r="M7" s="1563">
        <v>49.267541524415961</v>
      </c>
      <c r="N7" s="1563">
        <v>47.806372344295177</v>
      </c>
      <c r="O7" s="1563">
        <v>48.650531140362432</v>
      </c>
      <c r="P7" s="1563">
        <v>50.857958974485641</v>
      </c>
      <c r="Q7" s="1563">
        <v>49.680798395352738</v>
      </c>
      <c r="R7" s="1563">
        <v>48.466501241295788</v>
      </c>
      <c r="S7" s="1563">
        <v>53.225324283559587</v>
      </c>
      <c r="T7" s="1563">
        <v>51.618410031653269</v>
      </c>
      <c r="U7" s="1563">
        <v>50.622973255328041</v>
      </c>
      <c r="V7" s="1564">
        <v>48.117804555363428</v>
      </c>
      <c r="W7" s="1559">
        <v>50.220688554175055</v>
      </c>
      <c r="X7" s="1560">
        <v>55.163374571006109</v>
      </c>
      <c r="Y7" s="1560">
        <v>53.105907068387332</v>
      </c>
      <c r="Z7" s="1560">
        <v>54.542482331139354</v>
      </c>
      <c r="AA7" s="1560">
        <v>54.238855886132228</v>
      </c>
      <c r="AB7" s="1560">
        <v>55.407459508644223</v>
      </c>
      <c r="AC7" s="1560">
        <v>54.137631897711969</v>
      </c>
      <c r="AD7" s="1560">
        <v>53.205026785925014</v>
      </c>
      <c r="AE7" s="1560">
        <v>56.830067733540865</v>
      </c>
      <c r="AF7" s="1560">
        <v>58.041173192967463</v>
      </c>
      <c r="AG7" s="1560">
        <v>57.683805096100542</v>
      </c>
      <c r="AH7" s="1561">
        <v>54.356085771795556</v>
      </c>
      <c r="AI7" s="1565">
        <v>52.023622431541959</v>
      </c>
      <c r="AJ7" s="1566">
        <v>54.125815199835564</v>
      </c>
      <c r="AK7" s="1566">
        <v>55.570077161494453</v>
      </c>
      <c r="AL7" s="1566">
        <v>54.485315605338954</v>
      </c>
      <c r="AM7" s="1566">
        <v>51.944736813366809</v>
      </c>
      <c r="AN7" s="1566">
        <v>53.012039696870211</v>
      </c>
      <c r="AO7" s="1566">
        <v>52.398791307605848</v>
      </c>
      <c r="AP7" s="1566">
        <v>54.051287487139106</v>
      </c>
      <c r="AQ7" s="1566">
        <v>54.584326860617786</v>
      </c>
      <c r="AR7" s="1566">
        <v>55.582602263713831</v>
      </c>
      <c r="AS7" s="1566">
        <v>54.996763255394796</v>
      </c>
      <c r="AT7" s="1567">
        <v>49.568027358116879</v>
      </c>
      <c r="AU7" s="1562">
        <v>54.361183610307464</v>
      </c>
      <c r="AV7" s="1563">
        <v>57.175844978501239</v>
      </c>
      <c r="AW7" s="1563">
        <v>57.809979575452765</v>
      </c>
      <c r="AX7" s="1563">
        <v>55.572790644753489</v>
      </c>
      <c r="AY7" s="1563">
        <v>57.034168207024045</v>
      </c>
      <c r="AZ7" s="1563">
        <v>57.073838299418625</v>
      </c>
      <c r="BA7" s="1563">
        <v>56.928096618020177</v>
      </c>
      <c r="BB7" s="1563">
        <v>56.272585844345151</v>
      </c>
      <c r="BC7" s="1563">
        <v>55.960112151417015</v>
      </c>
      <c r="BD7" s="1563">
        <v>57.745355501786932</v>
      </c>
      <c r="BE7" s="1563">
        <v>56.623313324637223</v>
      </c>
      <c r="BF7" s="1563">
        <v>58.677996762649087</v>
      </c>
      <c r="BG7" s="1568">
        <v>56.835504663623723</v>
      </c>
      <c r="BH7" s="1569">
        <v>60.819767119101591</v>
      </c>
      <c r="BI7" s="1569">
        <v>60.487809366493728</v>
      </c>
      <c r="BJ7" s="1569">
        <v>56.430534546236672</v>
      </c>
      <c r="BK7" s="1569">
        <v>57.471709478153038</v>
      </c>
      <c r="BL7" s="1569">
        <v>57.902127121876788</v>
      </c>
      <c r="BM7" s="1569">
        <v>58.395446760729492</v>
      </c>
      <c r="BN7" s="1569">
        <v>58.91830801239184</v>
      </c>
      <c r="BO7" s="1569">
        <v>58.663322941842708</v>
      </c>
      <c r="BP7" s="1569">
        <v>59.090717132344096</v>
      </c>
      <c r="BQ7" s="1569">
        <v>63.98615201058697</v>
      </c>
      <c r="BR7" s="1570">
        <v>63.04941535829925</v>
      </c>
      <c r="BS7" s="1571">
        <v>64.615701571230247</v>
      </c>
      <c r="BT7" s="1572">
        <v>67.684043029606514</v>
      </c>
      <c r="BU7" s="1572">
        <v>69.390421062646666</v>
      </c>
      <c r="BV7" s="1572">
        <v>67.991833200707873</v>
      </c>
      <c r="BW7" s="1572">
        <v>64.593272089421774</v>
      </c>
      <c r="BX7" s="1572">
        <v>65.704860083398074</v>
      </c>
      <c r="BY7" s="1572">
        <v>63.623985286347207</v>
      </c>
      <c r="BZ7" s="1572">
        <v>62.87087391491719</v>
      </c>
      <c r="CA7" s="1572">
        <v>64.484068985212929</v>
      </c>
      <c r="CB7" s="1572">
        <v>67.372563528183491</v>
      </c>
      <c r="CC7" s="1572">
        <v>68.917867435158499</v>
      </c>
      <c r="CD7" s="1572">
        <v>72.284458979225306</v>
      </c>
      <c r="CE7" s="1573">
        <v>72.052204875053135</v>
      </c>
      <c r="CF7" s="1573">
        <v>77.429037031946251</v>
      </c>
      <c r="CG7" s="1573">
        <v>83.138671907819727</v>
      </c>
      <c r="CH7" s="1573">
        <v>64.885820169183376</v>
      </c>
      <c r="CI7" s="1573">
        <v>68.055627421854794</v>
      </c>
      <c r="CJ7" s="1573">
        <v>69.668789306847017</v>
      </c>
      <c r="CK7" s="1573">
        <v>69.414229199820483</v>
      </c>
      <c r="CL7" s="1573">
        <v>67.770541532123957</v>
      </c>
      <c r="CM7" s="1573">
        <v>69.036603635927506</v>
      </c>
      <c r="CN7" s="1573">
        <v>69.265451512985507</v>
      </c>
      <c r="CO7" s="1573">
        <v>71.053971990524133</v>
      </c>
      <c r="CP7" s="1574">
        <v>67.601332781163109</v>
      </c>
      <c r="CQ7" s="1575">
        <v>73.150548651246822</v>
      </c>
      <c r="CR7" s="1575">
        <v>78.246934422113284</v>
      </c>
      <c r="CS7" s="1575">
        <v>74.874992850834772</v>
      </c>
      <c r="CT7" s="1575">
        <v>76.380986934580733</v>
      </c>
      <c r="CU7" s="1575">
        <v>71.947872033180602</v>
      </c>
      <c r="CV7" s="1575">
        <v>70.926206923419414</v>
      </c>
      <c r="CW7" s="1575">
        <v>74.11</v>
      </c>
      <c r="CX7" s="1576">
        <v>73.43063050155753</v>
      </c>
      <c r="CY7" s="1575">
        <v>77.032264384045192</v>
      </c>
      <c r="CZ7" s="1575">
        <v>75.382922767109491</v>
      </c>
      <c r="DA7" s="1575">
        <v>76.067921016795268</v>
      </c>
      <c r="DB7" s="1577">
        <v>73.00996187002653</v>
      </c>
      <c r="DC7" s="1578">
        <v>74.887463449437405</v>
      </c>
      <c r="DD7" s="1579">
        <v>75.889696820629652</v>
      </c>
      <c r="DE7" s="1579">
        <v>75.805428580432363</v>
      </c>
      <c r="DF7" s="1579">
        <v>74.846309357172245</v>
      </c>
      <c r="DG7" s="1579">
        <v>75.644117994165981</v>
      </c>
      <c r="DH7" s="1579">
        <v>74.618137449640315</v>
      </c>
      <c r="DI7" s="1579">
        <v>74.404552851794776</v>
      </c>
      <c r="DJ7" s="1579">
        <v>72.840954712051854</v>
      </c>
      <c r="DK7" s="1579">
        <v>71.692456458545564</v>
      </c>
      <c r="DL7" s="1579">
        <v>73.199285360025243</v>
      </c>
      <c r="DM7" s="1579">
        <v>73.904639274426273</v>
      </c>
      <c r="DN7" s="1580">
        <v>69.394878505961017</v>
      </c>
      <c r="DO7" s="1581">
        <v>70.000101467607905</v>
      </c>
      <c r="DP7" s="1582">
        <v>74.416049326974615</v>
      </c>
      <c r="DQ7" s="1582">
        <v>74.335870169531347</v>
      </c>
      <c r="DR7" s="1582">
        <v>76.535392079290403</v>
      </c>
      <c r="DS7" s="1582">
        <v>74.696368188024977</v>
      </c>
      <c r="DT7" s="1582">
        <v>75.516376215795617</v>
      </c>
      <c r="DU7" s="1582">
        <v>72.855751649356591</v>
      </c>
      <c r="DV7" s="1582">
        <v>73.48265070980959</v>
      </c>
      <c r="DW7" s="1582">
        <v>72.657848010902725</v>
      </c>
      <c r="DX7" s="1582">
        <v>92.992497789072431</v>
      </c>
      <c r="DY7" s="1582">
        <v>74.054377321753392</v>
      </c>
      <c r="DZ7" s="1582">
        <v>70.00282204455624</v>
      </c>
      <c r="EA7" s="1581">
        <v>69.174173177259334</v>
      </c>
      <c r="EB7" s="1582">
        <v>71.664320366568319</v>
      </c>
      <c r="EC7" s="1582"/>
      <c r="ED7" s="1582"/>
      <c r="EE7" s="1582"/>
      <c r="EF7" s="1582"/>
      <c r="EG7" s="1582"/>
      <c r="EH7" s="1582"/>
      <c r="EI7" s="1582"/>
      <c r="EJ7" s="1582"/>
      <c r="EK7" s="1582"/>
      <c r="EL7" s="1582"/>
      <c r="EM7" s="1581"/>
      <c r="EN7" s="1582"/>
      <c r="EO7" s="1582"/>
      <c r="EP7" s="1582"/>
      <c r="EQ7" s="1582"/>
      <c r="ER7" s="1582"/>
      <c r="ES7" s="1582"/>
      <c r="ET7" s="1582"/>
      <c r="EU7" s="1582"/>
      <c r="EV7" s="1582"/>
      <c r="EW7" s="1582"/>
      <c r="EX7" s="1582"/>
      <c r="EY7" s="1581"/>
      <c r="EZ7" s="1582"/>
      <c r="FA7" s="1581">
        <v>48.286290340928261</v>
      </c>
      <c r="FB7" s="1582">
        <v>49.779483393362504</v>
      </c>
      <c r="FC7" s="1582">
        <v>54.815508419813391</v>
      </c>
      <c r="FD7" s="1582">
        <v>53.558617307014607</v>
      </c>
      <c r="FE7" s="1582">
        <v>56.79727347708026</v>
      </c>
      <c r="FF7" s="1582">
        <v>59.405705592675915</v>
      </c>
      <c r="FG7" s="1582">
        <v>66.535870535674064</v>
      </c>
      <c r="FH7" s="1582">
        <v>70.816867591603753</v>
      </c>
      <c r="FI7" s="1582">
        <v>74.546770196242463</v>
      </c>
      <c r="FJ7" s="1582">
        <v>74.014241640131232</v>
      </c>
      <c r="FK7" s="1582">
        <v>75.128842081056305</v>
      </c>
      <c r="FL7" s="1582">
        <v>74.830703976826754</v>
      </c>
      <c r="FM7" s="1592">
        <f>AVERAGE(FH7:FL7)</f>
        <v>73.867485097172107</v>
      </c>
      <c r="FN7" s="1582">
        <v>76.849999999999994</v>
      </c>
      <c r="FO7" s="1582">
        <v>72.569999999999993</v>
      </c>
      <c r="FP7" s="1582">
        <v>86.74</v>
      </c>
    </row>
    <row r="8" spans="1:221" ht="13.8">
      <c r="A8" s="1466"/>
      <c r="B8" s="1526" t="s">
        <v>1080</v>
      </c>
      <c r="C8" s="1486"/>
      <c r="D8" s="1502">
        <v>71.33647710948722</v>
      </c>
      <c r="E8" s="1503">
        <v>70.490242014091962</v>
      </c>
      <c r="F8" s="1503">
        <v>71.708327470981345</v>
      </c>
      <c r="G8" s="1503">
        <v>73.645144857087303</v>
      </c>
      <c r="H8" s="1503">
        <v>75.055960975070477</v>
      </c>
      <c r="I8" s="1503">
        <v>71.812964375579398</v>
      </c>
      <c r="J8" s="1504">
        <v>70.187425387982486</v>
      </c>
      <c r="K8" s="1505">
        <v>77.886178213909375</v>
      </c>
      <c r="L8" s="1506">
        <v>72.924844202442401</v>
      </c>
      <c r="M8" s="1506">
        <v>73.789467762051942</v>
      </c>
      <c r="N8" s="1506">
        <v>72.873163262272172</v>
      </c>
      <c r="O8" s="1506">
        <v>73.743567434843058</v>
      </c>
      <c r="P8" s="1506">
        <v>75.882909839268507</v>
      </c>
      <c r="Q8" s="1506">
        <v>75.652569041846732</v>
      </c>
      <c r="R8" s="1506">
        <v>74.273768203054559</v>
      </c>
      <c r="S8" s="1506">
        <v>79.086043663185094</v>
      </c>
      <c r="T8" s="1506">
        <v>75.693917243516879</v>
      </c>
      <c r="U8" s="1506">
        <v>77.258481077613851</v>
      </c>
      <c r="V8" s="1507">
        <v>74.094527770850405</v>
      </c>
      <c r="W8" s="1508">
        <v>77.92828943089431</v>
      </c>
      <c r="X8" s="1509">
        <v>84.285242587205019</v>
      </c>
      <c r="Y8" s="1509">
        <v>80.224511817629534</v>
      </c>
      <c r="Z8" s="1509">
        <v>84.562057590876691</v>
      </c>
      <c r="AA8" s="1509">
        <v>83.638698464248364</v>
      </c>
      <c r="AB8" s="1509">
        <v>86.839797100660917</v>
      </c>
      <c r="AC8" s="1509">
        <v>85.895596399294391</v>
      </c>
      <c r="AD8" s="1509">
        <v>85.096122680383857</v>
      </c>
      <c r="AE8" s="1509">
        <v>89.315293376776268</v>
      </c>
      <c r="AF8" s="1509">
        <v>90.151871206747074</v>
      </c>
      <c r="AG8" s="1509">
        <v>91.312529175784093</v>
      </c>
      <c r="AH8" s="1510">
        <v>87.057600411263294</v>
      </c>
      <c r="AI8" s="1511">
        <v>85.112451370079839</v>
      </c>
      <c r="AJ8" s="1512">
        <v>86.574065176445501</v>
      </c>
      <c r="AK8" s="1512">
        <v>88.788407967650144</v>
      </c>
      <c r="AL8" s="1512">
        <v>87.790396839844178</v>
      </c>
      <c r="AM8" s="1512">
        <v>82.882589811593704</v>
      </c>
      <c r="AN8" s="1512">
        <v>84.446737132047929</v>
      </c>
      <c r="AO8" s="1512">
        <v>84.207298224815162</v>
      </c>
      <c r="AP8" s="1512">
        <v>86.65053279424977</v>
      </c>
      <c r="AQ8" s="1512">
        <v>84.963856999644278</v>
      </c>
      <c r="AR8" s="1512">
        <v>84.028994268139243</v>
      </c>
      <c r="AS8" s="1512">
        <v>83.865880264826032</v>
      </c>
      <c r="AT8" s="1513">
        <v>80.461051942709688</v>
      </c>
      <c r="AU8" s="1514">
        <v>85.728614380938865</v>
      </c>
      <c r="AV8" s="1515">
        <v>90.280753148941699</v>
      </c>
      <c r="AW8" s="1515">
        <v>91.860443417325186</v>
      </c>
      <c r="AX8" s="1515">
        <v>86.910784196348402</v>
      </c>
      <c r="AY8" s="1515">
        <v>87.449161208151381</v>
      </c>
      <c r="AZ8" s="1515">
        <v>87.944618991060821</v>
      </c>
      <c r="BA8" s="1515">
        <v>87.519017916793203</v>
      </c>
      <c r="BB8" s="1515">
        <v>87.819405858511431</v>
      </c>
      <c r="BC8" s="1515">
        <v>88.295482903023711</v>
      </c>
      <c r="BD8" s="1515">
        <v>89.001148186412749</v>
      </c>
      <c r="BE8" s="1515">
        <v>84.313181739281376</v>
      </c>
      <c r="BF8" s="1515">
        <v>96.589581078781691</v>
      </c>
      <c r="BG8" s="1516">
        <v>92.663130653266322</v>
      </c>
      <c r="BH8" s="1517">
        <v>96.797805889539006</v>
      </c>
      <c r="BI8" s="1517">
        <v>94.051169419591659</v>
      </c>
      <c r="BJ8" s="1517">
        <v>85.050375000000003</v>
      </c>
      <c r="BK8" s="1517">
        <v>88.902906533929041</v>
      </c>
      <c r="BL8" s="1517">
        <v>90.620914313357929</v>
      </c>
      <c r="BM8" s="1517">
        <v>89.463033135089205</v>
      </c>
      <c r="BN8" s="1517">
        <v>89.582521158901173</v>
      </c>
      <c r="BO8" s="1517">
        <v>90.206482162667129</v>
      </c>
      <c r="BP8" s="1517">
        <v>90.606695358649802</v>
      </c>
      <c r="BQ8" s="1517">
        <v>100.43197780020182</v>
      </c>
      <c r="BR8" s="1518">
        <v>106.23732163270795</v>
      </c>
      <c r="BS8" s="1519">
        <v>101.45770756402621</v>
      </c>
      <c r="BT8" s="1520">
        <v>109.73148081880213</v>
      </c>
      <c r="BU8" s="1520">
        <v>111.57217206739263</v>
      </c>
      <c r="BV8" s="1520">
        <v>111.00217228464419</v>
      </c>
      <c r="BW8" s="1520">
        <v>97.950083572048044</v>
      </c>
      <c r="BX8" s="1520">
        <v>101.0746706448804</v>
      </c>
      <c r="BY8" s="1520">
        <v>97.412546260652562</v>
      </c>
      <c r="BZ8" s="1520">
        <v>93.939133452464191</v>
      </c>
      <c r="CA8" s="1520">
        <v>99.497902811223256</v>
      </c>
      <c r="CB8" s="1520">
        <v>101.99874827888347</v>
      </c>
      <c r="CC8" s="1520">
        <v>105.712516172313</v>
      </c>
      <c r="CD8" s="1520">
        <v>120.96230299098607</v>
      </c>
      <c r="CE8" s="1521">
        <v>118.99408496328746</v>
      </c>
      <c r="CF8" s="1521">
        <v>119.05724313692899</v>
      </c>
      <c r="CG8" s="1521">
        <v>133.76220129692663</v>
      </c>
      <c r="CH8" s="1521">
        <v>93.582938332646606</v>
      </c>
      <c r="CI8" s="1521">
        <v>101.06745787300525</v>
      </c>
      <c r="CJ8" s="1521">
        <v>105.44867786507722</v>
      </c>
      <c r="CK8" s="1521">
        <v>104.87666559476914</v>
      </c>
      <c r="CL8" s="1521">
        <v>102.62494207185554</v>
      </c>
      <c r="CM8" s="1521">
        <v>105.00206426721347</v>
      </c>
      <c r="CN8" s="1521">
        <v>101.89781502488094</v>
      </c>
      <c r="CO8" s="1521">
        <v>103.7504363501405</v>
      </c>
      <c r="CP8" s="1522">
        <v>96.812372108992164</v>
      </c>
      <c r="CQ8" s="1523">
        <v>108.69314618013104</v>
      </c>
      <c r="CR8" s="1523">
        <v>112.07490960963433</v>
      </c>
      <c r="CS8" s="1523">
        <v>108.49847760060744</v>
      </c>
      <c r="CT8" s="1523">
        <v>108.78172079315574</v>
      </c>
      <c r="CU8" s="1523">
        <v>101.25989325434526</v>
      </c>
      <c r="CV8" s="1523">
        <v>100.57504642256136</v>
      </c>
      <c r="CW8" s="1523">
        <v>108.4</v>
      </c>
      <c r="CX8" s="1524">
        <v>107.04784185195027</v>
      </c>
      <c r="CY8" s="1523">
        <v>112.09746422954962</v>
      </c>
      <c r="CZ8" s="1523">
        <v>108.22871213742908</v>
      </c>
      <c r="DA8" s="1523">
        <v>111.43007899699302</v>
      </c>
      <c r="DB8" s="1546">
        <v>113.34921602045162</v>
      </c>
      <c r="DC8" s="1549">
        <v>112.37369610559412</v>
      </c>
      <c r="DD8" s="1525">
        <v>111.54774801238864</v>
      </c>
      <c r="DE8" s="1525">
        <v>112.08139776826916</v>
      </c>
      <c r="DF8" s="1525">
        <v>112.40243807082199</v>
      </c>
      <c r="DG8" s="1525">
        <v>112.64917046964358</v>
      </c>
      <c r="DH8" s="1525">
        <v>108.97197743596068</v>
      </c>
      <c r="DI8" s="1525">
        <v>109.78592609406209</v>
      </c>
      <c r="DJ8" s="1525">
        <v>107.96697932129663</v>
      </c>
      <c r="DK8" s="1525">
        <v>111.45776919294795</v>
      </c>
      <c r="DL8" s="1525">
        <v>108.10286298508342</v>
      </c>
      <c r="DM8" s="1525">
        <v>106.91653734487078</v>
      </c>
      <c r="DN8" s="1550">
        <v>101.2218456639673</v>
      </c>
      <c r="DO8" s="1554">
        <v>101.11419785214237</v>
      </c>
      <c r="DP8" s="1479">
        <v>111.47152546664739</v>
      </c>
      <c r="DQ8" s="1479">
        <v>110.83597074421991</v>
      </c>
      <c r="DR8" s="1479">
        <v>109.16796027164686</v>
      </c>
      <c r="DS8" s="1479">
        <v>106.06299486030575</v>
      </c>
      <c r="DT8" s="1479">
        <v>107.08882835288779</v>
      </c>
      <c r="DU8" s="1479">
        <v>110.07546462999716</v>
      </c>
      <c r="DV8" s="1479">
        <v>108.27510240560066</v>
      </c>
      <c r="DW8" s="1479">
        <v>107.19257717157213</v>
      </c>
      <c r="DX8" s="1479">
        <v>147.23028819749928</v>
      </c>
      <c r="DY8" s="1479">
        <v>108.63387755739497</v>
      </c>
      <c r="DZ8" s="1479">
        <v>108.74382154515779</v>
      </c>
      <c r="EA8" s="1554">
        <v>102.93245795696556</v>
      </c>
      <c r="EB8" s="1479">
        <v>103.01290453692766</v>
      </c>
      <c r="EC8" s="1479"/>
      <c r="ED8" s="1653">
        <v>107.09</v>
      </c>
      <c r="EE8" s="1653">
        <v>101.22</v>
      </c>
      <c r="EF8" s="1653">
        <v>101.16</v>
      </c>
      <c r="EG8" s="1653">
        <v>101.38</v>
      </c>
      <c r="EH8" s="1653">
        <v>100.62</v>
      </c>
      <c r="EI8" s="1653">
        <v>95.51</v>
      </c>
      <c r="EJ8" s="1653">
        <v>101.84</v>
      </c>
      <c r="EK8" s="1653">
        <v>97.81</v>
      </c>
      <c r="EL8" s="1653">
        <v>100.91</v>
      </c>
      <c r="EM8" s="1655">
        <v>100.34</v>
      </c>
      <c r="EN8" s="1479"/>
      <c r="EO8" s="1479"/>
      <c r="EP8" s="1653">
        <v>102.39</v>
      </c>
      <c r="EQ8" s="1653">
        <v>100.52</v>
      </c>
      <c r="ER8" s="1653">
        <v>102.32</v>
      </c>
      <c r="ES8" s="1653">
        <v>103.55</v>
      </c>
      <c r="ET8" s="1653">
        <v>101.02</v>
      </c>
      <c r="EU8" s="1653">
        <v>96.59</v>
      </c>
      <c r="EV8" s="1653">
        <v>101.08</v>
      </c>
      <c r="EW8" s="1653">
        <v>100.01</v>
      </c>
      <c r="EX8" s="1653">
        <v>101.89</v>
      </c>
      <c r="EY8" s="1655">
        <v>99.3</v>
      </c>
      <c r="EZ8" s="1479"/>
      <c r="FA8" s="1554">
        <v>72.033791741468605</v>
      </c>
      <c r="FB8" s="1479">
        <v>75.322999796354281</v>
      </c>
      <c r="FC8" s="1479">
        <v>85.686550527563043</v>
      </c>
      <c r="FD8" s="1479">
        <v>85.012639471846839</v>
      </c>
      <c r="FE8" s="1479">
        <v>88.602935399599644</v>
      </c>
      <c r="FF8" s="1479">
        <v>92.869974859717217</v>
      </c>
      <c r="FG8" s="1479">
        <v>103.8996481503053</v>
      </c>
      <c r="FH8" s="1479">
        <v>107.48127913034415</v>
      </c>
      <c r="FI8" s="1479">
        <v>108.36970892473407</v>
      </c>
      <c r="FJ8" s="1479">
        <v>109.76973658136149</v>
      </c>
      <c r="FK8" s="1479">
        <v>111.32438408792268</v>
      </c>
      <c r="FL8" s="1479">
        <v>110.77102068584797</v>
      </c>
      <c r="FM8" s="1656">
        <f>AVERAGE(EM8:EX8)</f>
        <v>100.971</v>
      </c>
      <c r="FN8" s="1479">
        <v>97.01</v>
      </c>
      <c r="FO8" s="1479">
        <v>101.03</v>
      </c>
      <c r="FP8" s="1479">
        <v>118.27</v>
      </c>
    </row>
    <row r="9" spans="1:221" ht="13.8">
      <c r="A9" s="1466"/>
      <c r="B9" s="1526" t="s">
        <v>1081</v>
      </c>
      <c r="C9" s="1486"/>
      <c r="D9" s="1502">
        <v>37.088202834610684</v>
      </c>
      <c r="E9" s="1503">
        <v>39.389060566590686</v>
      </c>
      <c r="F9" s="1503">
        <v>39.960162093442101</v>
      </c>
      <c r="G9" s="1503">
        <v>39.833883540463276</v>
      </c>
      <c r="H9" s="1503">
        <v>38.663733963877853</v>
      </c>
      <c r="I9" s="1503">
        <v>37.820455731885573</v>
      </c>
      <c r="J9" s="1504">
        <v>38.026591424817873</v>
      </c>
      <c r="K9" s="1505">
        <v>39.115670327495799</v>
      </c>
      <c r="L9" s="1506">
        <v>39.035458224096658</v>
      </c>
      <c r="M9" s="1506">
        <v>39.657905179077559</v>
      </c>
      <c r="N9" s="1506">
        <v>38.701380115717406</v>
      </c>
      <c r="O9" s="1506">
        <v>38.929040123150259</v>
      </c>
      <c r="P9" s="1506">
        <v>41.113319220165408</v>
      </c>
      <c r="Q9" s="1506">
        <v>38.850298376094692</v>
      </c>
      <c r="R9" s="1506">
        <v>37.807750077491924</v>
      </c>
      <c r="S9" s="1506">
        <v>39.985659917311573</v>
      </c>
      <c r="T9" s="1506">
        <v>39.369929734212008</v>
      </c>
      <c r="U9" s="1506">
        <v>38.821406296723488</v>
      </c>
      <c r="V9" s="1507">
        <v>39.732985275935697</v>
      </c>
      <c r="W9" s="1508">
        <v>41.184396247952755</v>
      </c>
      <c r="X9" s="1509">
        <v>41.193009870918758</v>
      </c>
      <c r="Y9" s="1509">
        <v>42.98011144018875</v>
      </c>
      <c r="Z9" s="1509">
        <v>42.496053645524597</v>
      </c>
      <c r="AA9" s="1509">
        <v>42.375665496632202</v>
      </c>
      <c r="AB9" s="1509">
        <v>42.729588812073558</v>
      </c>
      <c r="AC9" s="1509">
        <v>42.320796452876877</v>
      </c>
      <c r="AD9" s="1509">
        <v>41.077562702088613</v>
      </c>
      <c r="AE9" s="1509">
        <v>44.422392138290313</v>
      </c>
      <c r="AF9" s="1509">
        <v>45.743995795312223</v>
      </c>
      <c r="AG9" s="1509">
        <v>43.858075562839652</v>
      </c>
      <c r="AH9" s="1510">
        <v>45.171011993259995</v>
      </c>
      <c r="AI9" s="1511">
        <v>45.353731998421786</v>
      </c>
      <c r="AJ9" s="1512">
        <v>46.64545110058512</v>
      </c>
      <c r="AK9" s="1512">
        <v>45.698235325678716</v>
      </c>
      <c r="AL9" s="1512">
        <v>46.843268603220451</v>
      </c>
      <c r="AM9" s="1512">
        <v>46.262460794371982</v>
      </c>
      <c r="AN9" s="1512">
        <v>43.970774557325157</v>
      </c>
      <c r="AO9" s="1512">
        <v>44.266863300935924</v>
      </c>
      <c r="AP9" s="1512">
        <v>42.205949704428733</v>
      </c>
      <c r="AQ9" s="1512">
        <v>44.129989562624267</v>
      </c>
      <c r="AR9" s="1512">
        <v>44.285184550130857</v>
      </c>
      <c r="AS9" s="1512">
        <v>44.131755565651979</v>
      </c>
      <c r="AT9" s="1513">
        <v>43.135526447605706</v>
      </c>
      <c r="AU9" s="1514">
        <v>50.452490679921901</v>
      </c>
      <c r="AV9" s="1515">
        <v>51.158929034416417</v>
      </c>
      <c r="AW9" s="1515">
        <v>50.635239220983905</v>
      </c>
      <c r="AX9" s="1515">
        <v>52.58417037154652</v>
      </c>
      <c r="AY9" s="1515">
        <v>51.715962751805399</v>
      </c>
      <c r="AZ9" s="1515">
        <v>52.093950891233185</v>
      </c>
      <c r="BA9" s="1515">
        <v>51.873263615513629</v>
      </c>
      <c r="BB9" s="1515">
        <v>50.641704190815886</v>
      </c>
      <c r="BC9" s="1515">
        <v>50.767297801258643</v>
      </c>
      <c r="BD9" s="1515">
        <v>52.660421647318202</v>
      </c>
      <c r="BE9" s="1515">
        <v>52.883366654157136</v>
      </c>
      <c r="BF9" s="1515">
        <v>52.231014481316343</v>
      </c>
      <c r="BG9" s="1516">
        <v>51.308446025614955</v>
      </c>
      <c r="BH9" s="1517">
        <v>52.120542773561048</v>
      </c>
      <c r="BI9" s="1517">
        <v>52.651957015985801</v>
      </c>
      <c r="BJ9" s="1517">
        <v>54.359690401289036</v>
      </c>
      <c r="BK9" s="1517">
        <v>51.480584647969629</v>
      </c>
      <c r="BL9" s="1517">
        <v>51.649307862472334</v>
      </c>
      <c r="BM9" s="1517">
        <v>52.82551788824869</v>
      </c>
      <c r="BN9" s="1517">
        <v>52.479359710263765</v>
      </c>
      <c r="BO9" s="1517">
        <v>51.356539785022534</v>
      </c>
      <c r="BP9" s="1517">
        <v>53.957462525364917</v>
      </c>
      <c r="BQ9" s="1517">
        <v>53.647813947664957</v>
      </c>
      <c r="BR9" s="1518">
        <v>54.527160373100635</v>
      </c>
      <c r="BS9" s="1519">
        <v>55.995320569743896</v>
      </c>
      <c r="BT9" s="1520">
        <v>54.970999790253785</v>
      </c>
      <c r="BU9" s="1520">
        <v>56.062980933638741</v>
      </c>
      <c r="BV9" s="1520">
        <v>57.919853674398432</v>
      </c>
      <c r="BW9" s="1520">
        <v>57.836098651715375</v>
      </c>
      <c r="BX9" s="1520">
        <v>57.304254791856188</v>
      </c>
      <c r="BY9" s="1520">
        <v>57.049547902979732</v>
      </c>
      <c r="BZ9" s="1520">
        <v>57.821687282566671</v>
      </c>
      <c r="CA9" s="1520">
        <v>56.199089269031283</v>
      </c>
      <c r="CB9" s="1520">
        <v>58.235704063219458</v>
      </c>
      <c r="CC9" s="1520">
        <v>57.923976273032068</v>
      </c>
      <c r="CD9" s="1520">
        <v>58.767539447731757</v>
      </c>
      <c r="CE9" s="1521">
        <v>58.689370039148088</v>
      </c>
      <c r="CF9" s="1521">
        <v>67.630018196089637</v>
      </c>
      <c r="CG9" s="1521">
        <v>67.790611763282115</v>
      </c>
      <c r="CH9" s="1521">
        <v>63.9756612660765</v>
      </c>
      <c r="CI9" s="1521">
        <v>64.218452351018357</v>
      </c>
      <c r="CJ9" s="1521">
        <v>64.009552709782184</v>
      </c>
      <c r="CK9" s="1521">
        <v>64.458894449237846</v>
      </c>
      <c r="CL9" s="1521">
        <v>66.039017733011789</v>
      </c>
      <c r="CM9" s="1521">
        <v>65.080399900919247</v>
      </c>
      <c r="CN9" s="1521">
        <v>69.290249375142011</v>
      </c>
      <c r="CO9" s="1521">
        <v>69.488685626655524</v>
      </c>
      <c r="CP9" s="1522">
        <v>68.814460768657526</v>
      </c>
      <c r="CQ9" s="1523">
        <v>71.136236284331773</v>
      </c>
      <c r="CR9" s="1523">
        <v>74.782857187686318</v>
      </c>
      <c r="CS9" s="1523">
        <v>72.581744927358557</v>
      </c>
      <c r="CT9" s="1523">
        <v>70.882274943126404</v>
      </c>
      <c r="CU9" s="1523">
        <v>70.482900397929555</v>
      </c>
      <c r="CV9" s="1523">
        <v>68.754788689292155</v>
      </c>
      <c r="CW9" s="1523">
        <v>69.16</v>
      </c>
      <c r="CX9" s="1524">
        <v>71.73968587316611</v>
      </c>
      <c r="CY9" s="1523">
        <v>71.052733398377953</v>
      </c>
      <c r="CZ9" s="1523">
        <v>71.09240955432567</v>
      </c>
      <c r="DA9" s="1523">
        <v>71.273436103282364</v>
      </c>
      <c r="DB9" s="1546">
        <v>70.592560520826737</v>
      </c>
      <c r="DC9" s="1549">
        <v>68.931104879800301</v>
      </c>
      <c r="DD9" s="1525">
        <v>68.809852471605836</v>
      </c>
      <c r="DE9" s="1525">
        <v>71.913666808484777</v>
      </c>
      <c r="DF9" s="1525">
        <v>72.048210936177412</v>
      </c>
      <c r="DG9" s="1525">
        <v>69.935311821590687</v>
      </c>
      <c r="DH9" s="1525">
        <v>72.850873170580769</v>
      </c>
      <c r="DI9" s="1525">
        <v>71.327732397674566</v>
      </c>
      <c r="DJ9" s="1525">
        <v>70.490790224319483</v>
      </c>
      <c r="DK9" s="1525">
        <v>70.398065801173743</v>
      </c>
      <c r="DL9" s="1525">
        <v>70.848325754580216</v>
      </c>
      <c r="DM9" s="1525">
        <v>69.586032186084253</v>
      </c>
      <c r="DN9" s="1550">
        <v>71.183818124333072</v>
      </c>
      <c r="DO9" s="1554">
        <v>74.186986663202561</v>
      </c>
      <c r="DP9" s="1479">
        <v>71.904446254808789</v>
      </c>
      <c r="DQ9" s="1479">
        <v>74.798922550595606</v>
      </c>
      <c r="DR9" s="1479">
        <v>74.822508783344176</v>
      </c>
      <c r="DS9" s="1479">
        <v>72.701001975850716</v>
      </c>
      <c r="DT9" s="1479">
        <v>74.179148058818953</v>
      </c>
      <c r="DU9" s="1479">
        <v>69.442780667211537</v>
      </c>
      <c r="DV9" s="1479">
        <v>73.021821295606856</v>
      </c>
      <c r="DW9" s="1479">
        <v>72.471291060958947</v>
      </c>
      <c r="DX9" s="1479">
        <v>82.185629410700273</v>
      </c>
      <c r="DY9" s="1479">
        <v>68.228066501964278</v>
      </c>
      <c r="DZ9" s="1479">
        <v>70.357165418283543</v>
      </c>
      <c r="EA9" s="1554">
        <v>68.25330895948899</v>
      </c>
      <c r="EB9" s="1479">
        <v>69.081195289007667</v>
      </c>
      <c r="EC9" s="1479"/>
      <c r="ED9" s="1653">
        <v>67.53</v>
      </c>
      <c r="EE9" s="1653">
        <v>66.14</v>
      </c>
      <c r="EF9" s="1653">
        <v>64.73</v>
      </c>
      <c r="EG9" s="1653">
        <v>64.81</v>
      </c>
      <c r="EH9" s="1653">
        <v>64.92</v>
      </c>
      <c r="EI9" s="1653">
        <v>66.58</v>
      </c>
      <c r="EJ9" s="1653">
        <v>64.92</v>
      </c>
      <c r="EK9" s="1653">
        <v>64.739999999999995</v>
      </c>
      <c r="EL9" s="1653">
        <v>67.680000000000007</v>
      </c>
      <c r="EM9" s="1655">
        <v>66.02</v>
      </c>
      <c r="EN9" s="1479"/>
      <c r="EO9" s="1479"/>
      <c r="EP9" s="1653">
        <v>64.8</v>
      </c>
      <c r="EQ9" s="1653">
        <v>66.56</v>
      </c>
      <c r="ER9" s="1653">
        <v>63.83</v>
      </c>
      <c r="ES9" s="1653">
        <v>65.06</v>
      </c>
      <c r="ET9" s="1653">
        <v>64.78</v>
      </c>
      <c r="EU9" s="1653">
        <v>64.709999999999994</v>
      </c>
      <c r="EV9" s="1653">
        <v>64.81</v>
      </c>
      <c r="EW9" s="1653">
        <v>64.569999999999993</v>
      </c>
      <c r="EX9" s="1653">
        <v>65.38</v>
      </c>
      <c r="EY9" s="1655">
        <v>64.22</v>
      </c>
      <c r="EZ9" s="1479"/>
      <c r="FA9" s="1554">
        <v>38.683155736526871</v>
      </c>
      <c r="FB9" s="1479">
        <v>39.233737813697665</v>
      </c>
      <c r="FC9" s="1479">
        <v>42.971202652693087</v>
      </c>
      <c r="FD9" s="1479">
        <v>44.694139268646495</v>
      </c>
      <c r="FE9" s="1479">
        <v>51.676991153507117</v>
      </c>
      <c r="FF9" s="1479">
        <v>52.724840462576353</v>
      </c>
      <c r="FG9" s="1479">
        <v>57.17989566432805</v>
      </c>
      <c r="FH9" s="1479">
        <v>65.881004587108848</v>
      </c>
      <c r="FI9" s="1479">
        <v>71.127635656641971</v>
      </c>
      <c r="FJ9" s="1479">
        <v>70.751485187846001</v>
      </c>
      <c r="FK9" s="1479">
        <v>73.191647386778854</v>
      </c>
      <c r="FL9" s="1479">
        <v>72.461903330985947</v>
      </c>
      <c r="FM9" s="1656">
        <f>AVERAGE(EM9:EX9)</f>
        <v>65.051999999999992</v>
      </c>
      <c r="FN9" s="1479">
        <v>78.28</v>
      </c>
      <c r="FO9" s="1479">
        <v>73.77</v>
      </c>
      <c r="FP9" s="1479">
        <v>83.98</v>
      </c>
    </row>
    <row r="10" spans="1:221" ht="13.8">
      <c r="A10" s="1466"/>
      <c r="B10" s="1526" t="s">
        <v>1082</v>
      </c>
      <c r="C10" s="1486"/>
      <c r="D10" s="1502">
        <v>16.503053596317102</v>
      </c>
      <c r="E10" s="1503">
        <v>17.887368507202094</v>
      </c>
      <c r="F10" s="1503">
        <v>14.844819673589186</v>
      </c>
      <c r="G10" s="1503">
        <v>16.48463787136857</v>
      </c>
      <c r="H10" s="1503">
        <v>16.934588907100935</v>
      </c>
      <c r="I10" s="1503">
        <v>16.55610495907559</v>
      </c>
      <c r="J10" s="1504">
        <v>17.284830359386781</v>
      </c>
      <c r="K10" s="1505">
        <v>18.598571911523234</v>
      </c>
      <c r="L10" s="1506">
        <v>18.605147282113581</v>
      </c>
      <c r="M10" s="1506">
        <v>16.514681569343068</v>
      </c>
      <c r="N10" s="1506">
        <v>16.937954493219944</v>
      </c>
      <c r="O10" s="1506">
        <v>18.827039813502765</v>
      </c>
      <c r="P10" s="1506">
        <v>16.617794388327727</v>
      </c>
      <c r="Q10" s="1506">
        <v>17.991263338332974</v>
      </c>
      <c r="R10" s="1506">
        <v>18.375218246334057</v>
      </c>
      <c r="S10" s="1506">
        <v>19.201465971092194</v>
      </c>
      <c r="T10" s="1506">
        <v>19.857018185363945</v>
      </c>
      <c r="U10" s="1506">
        <v>18.563722437300115</v>
      </c>
      <c r="V10" s="1507">
        <v>20.03620617857835</v>
      </c>
      <c r="W10" s="1508">
        <v>18.524224072672215</v>
      </c>
      <c r="X10" s="1509">
        <v>19.296633057436665</v>
      </c>
      <c r="Y10" s="1509">
        <v>19.890283985732992</v>
      </c>
      <c r="Z10" s="1509">
        <v>19.25203916950187</v>
      </c>
      <c r="AA10" s="1509">
        <v>19.455093112244899</v>
      </c>
      <c r="AB10" s="1509">
        <v>18.211947974667407</v>
      </c>
      <c r="AC10" s="1509">
        <v>18.573978837182839</v>
      </c>
      <c r="AD10" s="1509">
        <v>19.136274853118554</v>
      </c>
      <c r="AE10" s="1509">
        <v>19.243881932021459</v>
      </c>
      <c r="AF10" s="1509">
        <v>18.463602406618204</v>
      </c>
      <c r="AG10" s="1509">
        <v>18.871866250699942</v>
      </c>
      <c r="AH10" s="1510">
        <v>19.088402343405864</v>
      </c>
      <c r="AI10" s="1511">
        <v>19.070360854267236</v>
      </c>
      <c r="AJ10" s="1512">
        <v>18.759991372264107</v>
      </c>
      <c r="AK10" s="1512">
        <v>18.699757254464281</v>
      </c>
      <c r="AL10" s="1512">
        <v>19.18543076641668</v>
      </c>
      <c r="AM10" s="1512">
        <v>19.027831102130168</v>
      </c>
      <c r="AN10" s="1512">
        <v>19.415351821737787</v>
      </c>
      <c r="AO10" s="1512">
        <v>19.877017795525909</v>
      </c>
      <c r="AP10" s="1512">
        <v>19.878862706992191</v>
      </c>
      <c r="AQ10" s="1512">
        <v>20.374260041291294</v>
      </c>
      <c r="AR10" s="1512">
        <v>19.907633023255809</v>
      </c>
      <c r="AS10" s="1512">
        <v>19.906287130924202</v>
      </c>
      <c r="AT10" s="1513">
        <v>20.481775545086922</v>
      </c>
      <c r="AU10" s="1514">
        <v>20.57619067814581</v>
      </c>
      <c r="AV10" s="1515">
        <v>19.788169206471164</v>
      </c>
      <c r="AW10" s="1515">
        <v>19.0350938086304</v>
      </c>
      <c r="AX10" s="1515">
        <v>19.203278241536967</v>
      </c>
      <c r="AY10" s="1515">
        <v>21.115955135675048</v>
      </c>
      <c r="AZ10" s="1515">
        <v>20.205115271277524</v>
      </c>
      <c r="BA10" s="1515">
        <v>20.780756002186447</v>
      </c>
      <c r="BB10" s="1515">
        <v>20.101113818452138</v>
      </c>
      <c r="BC10" s="1515">
        <v>19.591108296118176</v>
      </c>
      <c r="BD10" s="1515">
        <v>19.269224738675948</v>
      </c>
      <c r="BE10" s="1515">
        <v>19.373558808016885</v>
      </c>
      <c r="BF10" s="1515">
        <v>19.635488521089162</v>
      </c>
      <c r="BG10" s="1516">
        <v>19.558390402075236</v>
      </c>
      <c r="BH10" s="1517">
        <v>20.203698500180693</v>
      </c>
      <c r="BI10" s="1517">
        <v>19.089524494421209</v>
      </c>
      <c r="BJ10" s="1517">
        <v>19.815904608932325</v>
      </c>
      <c r="BK10" s="1517">
        <v>19.235406737880037</v>
      </c>
      <c r="BL10" s="1517">
        <v>19.987525576771738</v>
      </c>
      <c r="BM10" s="1517">
        <v>21.42086093536782</v>
      </c>
      <c r="BN10" s="1517">
        <v>21.906470114455274</v>
      </c>
      <c r="BO10" s="1517">
        <v>20.97549043268403</v>
      </c>
      <c r="BP10" s="1517">
        <v>21.279173566691515</v>
      </c>
      <c r="BQ10" s="1517">
        <v>21.482979109184079</v>
      </c>
      <c r="BR10" s="1518">
        <v>21.587334509112281</v>
      </c>
      <c r="BS10" s="1519">
        <v>23.172753792298717</v>
      </c>
      <c r="BT10" s="1520">
        <v>22.873522299132578</v>
      </c>
      <c r="BU10" s="1520">
        <v>23.160712894429285</v>
      </c>
      <c r="BV10" s="1520">
        <v>23.084810245516557</v>
      </c>
      <c r="BW10" s="1520">
        <v>24.944565896082661</v>
      </c>
      <c r="BX10" s="1520">
        <v>24.351881802310455</v>
      </c>
      <c r="BY10" s="1520">
        <v>26.542717968422522</v>
      </c>
      <c r="BZ10" s="1520">
        <v>25.358131362181215</v>
      </c>
      <c r="CA10" s="1520">
        <v>25.417599653379547</v>
      </c>
      <c r="CB10" s="1520">
        <v>26.368949943545363</v>
      </c>
      <c r="CC10" s="1520">
        <v>24.737891628638263</v>
      </c>
      <c r="CD10" s="1520">
        <v>25.50156407227545</v>
      </c>
      <c r="CE10" s="1521">
        <v>24.977685408902904</v>
      </c>
      <c r="CF10" s="1521">
        <v>24.439318691750085</v>
      </c>
      <c r="CG10" s="1521">
        <v>25.776061776061777</v>
      </c>
      <c r="CH10" s="1521">
        <v>25.005250264570996</v>
      </c>
      <c r="CI10" s="1521">
        <v>26.01821304072255</v>
      </c>
      <c r="CJ10" s="1521">
        <v>24.393467655147678</v>
      </c>
      <c r="CK10" s="1521">
        <v>25.042202305231108</v>
      </c>
      <c r="CL10" s="1521">
        <v>25.833980719492114</v>
      </c>
      <c r="CM10" s="1521">
        <v>24.425810795603741</v>
      </c>
      <c r="CN10" s="1521">
        <v>25.892359107383975</v>
      </c>
      <c r="CO10" s="1521">
        <v>27.256322035790017</v>
      </c>
      <c r="CP10" s="1522">
        <v>27.67553031238424</v>
      </c>
      <c r="CQ10" s="1523">
        <v>30.325119948991787</v>
      </c>
      <c r="CR10" s="1523">
        <v>30.021281302349557</v>
      </c>
      <c r="CS10" s="1523">
        <v>29.38892597798079</v>
      </c>
      <c r="CT10" s="1523">
        <v>30.678596441281137</v>
      </c>
      <c r="CU10" s="1523">
        <v>28.266561394312674</v>
      </c>
      <c r="CV10" s="1523">
        <v>29.029856368683081</v>
      </c>
      <c r="CW10" s="1523">
        <v>29.41</v>
      </c>
      <c r="CX10" s="1524">
        <v>29.218240248589417</v>
      </c>
      <c r="CY10" s="1523">
        <v>29.972333939761469</v>
      </c>
      <c r="CZ10" s="1523">
        <v>33.231304483552506</v>
      </c>
      <c r="DA10" s="1523">
        <v>30.858015870073039</v>
      </c>
      <c r="DB10" s="1546">
        <v>30.009258177096015</v>
      </c>
      <c r="DC10" s="1549">
        <v>32.206025609149677</v>
      </c>
      <c r="DD10" s="1525">
        <v>31.448877666603742</v>
      </c>
      <c r="DE10" s="1525">
        <v>31.74823930657622</v>
      </c>
      <c r="DF10" s="1525">
        <v>29.973099897013388</v>
      </c>
      <c r="DG10" s="1525">
        <v>30.970817939824151</v>
      </c>
      <c r="DH10" s="1525">
        <v>31.193080619327276</v>
      </c>
      <c r="DI10" s="1525">
        <v>29.536045952782459</v>
      </c>
      <c r="DJ10" s="1525">
        <v>28.592900823753901</v>
      </c>
      <c r="DK10" s="1525">
        <v>25.856757706303064</v>
      </c>
      <c r="DL10" s="1525">
        <v>27.463579310061949</v>
      </c>
      <c r="DM10" s="1525">
        <v>28.267501105509862</v>
      </c>
      <c r="DN10" s="1550">
        <v>30.205370404327493</v>
      </c>
      <c r="DO10" s="1554">
        <v>29.143818268233662</v>
      </c>
      <c r="DP10" s="1479">
        <v>28.574189259522118</v>
      </c>
      <c r="DQ10" s="1479">
        <v>29.07471611448986</v>
      </c>
      <c r="DR10" s="1479">
        <v>29.359257704515205</v>
      </c>
      <c r="DS10" s="1479">
        <v>27.901933002993704</v>
      </c>
      <c r="DT10" s="1479">
        <v>29.785882238442827</v>
      </c>
      <c r="DU10" s="1479">
        <v>28.097399934613051</v>
      </c>
      <c r="DV10" s="1479">
        <v>30.495817130601019</v>
      </c>
      <c r="DW10" s="1479">
        <v>28.72605286151158</v>
      </c>
      <c r="DX10" s="1479">
        <v>32.501984625378945</v>
      </c>
      <c r="DY10" s="1479">
        <v>28.960498127340831</v>
      </c>
      <c r="DZ10" s="1479">
        <v>28.537690602632189</v>
      </c>
      <c r="EA10" s="1554">
        <v>30.072559254095506</v>
      </c>
      <c r="EB10" s="1479">
        <v>31.286264111063069</v>
      </c>
      <c r="EC10" s="1479"/>
      <c r="ED10" s="1479"/>
      <c r="EE10" s="1479"/>
      <c r="EF10" s="1479"/>
      <c r="EG10" s="1479"/>
      <c r="EH10" s="1479"/>
      <c r="EI10" s="1479"/>
      <c r="EJ10" s="1479"/>
      <c r="EK10" s="1479"/>
      <c r="EL10" s="1479"/>
      <c r="EM10" s="1554"/>
      <c r="EN10" s="1479"/>
      <c r="EO10" s="1479"/>
      <c r="EP10" s="1479"/>
      <c r="EQ10" s="1479"/>
      <c r="ER10" s="1479"/>
      <c r="ES10" s="1479"/>
      <c r="ET10" s="1479"/>
      <c r="EU10" s="1479"/>
      <c r="EV10" s="1479"/>
      <c r="EW10" s="1479"/>
      <c r="EX10" s="1479"/>
      <c r="EY10" s="1554"/>
      <c r="EZ10" s="1479"/>
      <c r="FA10" s="1554">
        <v>16.642200553434321</v>
      </c>
      <c r="FB10" s="1479">
        <v>18.318993743242942</v>
      </c>
      <c r="FC10" s="1479">
        <v>18.992010550809084</v>
      </c>
      <c r="FD10" s="1479">
        <v>19.543735233633136</v>
      </c>
      <c r="FE10" s="1479">
        <v>19.886163350331515</v>
      </c>
      <c r="FF10" s="1479">
        <v>20.574926165884836</v>
      </c>
      <c r="FG10" s="1479">
        <v>24.67920254920412</v>
      </c>
      <c r="FH10" s="1479">
        <v>25.571024828160251</v>
      </c>
      <c r="FI10" s="1479">
        <v>30.034124512722617</v>
      </c>
      <c r="FJ10" s="1479">
        <v>29.809169797596006</v>
      </c>
      <c r="FK10" s="1479">
        <v>29.263269989189585</v>
      </c>
      <c r="FL10" s="1479">
        <v>29.566671308973152</v>
      </c>
      <c r="FM10" s="1592">
        <v>33</v>
      </c>
      <c r="FN10" s="1479">
        <v>41.45</v>
      </c>
      <c r="FO10" s="1479">
        <v>53.37</v>
      </c>
      <c r="FP10" s="1479">
        <v>60.18</v>
      </c>
    </row>
    <row r="11" spans="1:221" ht="27.6" customHeight="1">
      <c r="A11" s="1466"/>
      <c r="B11" s="1501"/>
      <c r="C11" s="1486"/>
      <c r="D11" s="1527"/>
      <c r="E11" s="1487"/>
      <c r="F11" s="1487"/>
      <c r="G11" s="1487"/>
      <c r="H11" s="1487"/>
      <c r="I11" s="1487"/>
      <c r="J11" s="1528"/>
      <c r="K11" s="1529"/>
      <c r="L11" s="1530"/>
      <c r="M11" s="1530"/>
      <c r="N11" s="1530"/>
      <c r="O11" s="1530"/>
      <c r="P11" s="1530"/>
      <c r="Q11" s="1530"/>
      <c r="R11" s="1530"/>
      <c r="S11" s="1530"/>
      <c r="T11" s="1530"/>
      <c r="U11" s="1530"/>
      <c r="V11" s="1531"/>
      <c r="W11" s="1532"/>
      <c r="X11" s="1489"/>
      <c r="Y11" s="1489"/>
      <c r="Z11" s="1489"/>
      <c r="AA11" s="1489"/>
      <c r="AB11" s="1489"/>
      <c r="AC11" s="1489"/>
      <c r="AD11" s="1489"/>
      <c r="AE11" s="1489"/>
      <c r="AF11" s="1489"/>
      <c r="AG11" s="1489"/>
      <c r="AH11" s="1533"/>
      <c r="AI11" s="1534"/>
      <c r="AJ11" s="1491"/>
      <c r="AK11" s="1491"/>
      <c r="AL11" s="1491"/>
      <c r="AM11" s="1491"/>
      <c r="AN11" s="1491"/>
      <c r="AO11" s="1491"/>
      <c r="AP11" s="1491"/>
      <c r="AQ11" s="1491"/>
      <c r="AR11" s="1491"/>
      <c r="AS11" s="1491"/>
      <c r="AT11" s="1535"/>
      <c r="AU11" s="1536"/>
      <c r="AV11" s="1537"/>
      <c r="AW11" s="1537"/>
      <c r="AX11" s="1537"/>
      <c r="AY11" s="1537"/>
      <c r="AZ11" s="1537"/>
      <c r="BA11" s="1537"/>
      <c r="BB11" s="1537"/>
      <c r="BC11" s="1537"/>
      <c r="BD11" s="1537"/>
      <c r="BE11" s="1537"/>
      <c r="BF11" s="1537"/>
      <c r="BG11" s="1538"/>
      <c r="BH11" s="1539"/>
      <c r="BI11" s="1539"/>
      <c r="BJ11" s="1539"/>
      <c r="BK11" s="1539"/>
      <c r="BL11" s="1539"/>
      <c r="BM11" s="1539"/>
      <c r="BN11" s="1539"/>
      <c r="BO11" s="1539"/>
      <c r="BP11" s="1539"/>
      <c r="BQ11" s="1539"/>
      <c r="BR11" s="1539"/>
      <c r="BS11" s="1540"/>
      <c r="BT11" s="1541"/>
      <c r="BU11" s="1541"/>
      <c r="BV11" s="1541"/>
      <c r="BW11" s="1541"/>
      <c r="BX11" s="1541"/>
      <c r="BY11" s="1541"/>
      <c r="BZ11" s="1541"/>
      <c r="CA11" s="1541"/>
      <c r="CB11" s="1541"/>
      <c r="CC11" s="1541"/>
      <c r="CD11" s="1541"/>
      <c r="CE11" s="1542"/>
      <c r="CF11" s="1542"/>
      <c r="CG11" s="1542"/>
      <c r="CH11" s="1542"/>
      <c r="CI11" s="1542"/>
      <c r="CJ11" s="1542"/>
      <c r="CK11" s="1542"/>
      <c r="CL11" s="1542"/>
      <c r="CM11" s="1542"/>
      <c r="CN11" s="1542"/>
      <c r="CO11" s="1542"/>
      <c r="CP11" s="1543"/>
      <c r="CQ11" s="1544"/>
      <c r="CR11" s="1544"/>
      <c r="CS11" s="1465"/>
      <c r="CT11" s="1465"/>
      <c r="CU11" s="1465"/>
      <c r="CV11" s="1465"/>
      <c r="CW11" s="1465"/>
      <c r="CX11" s="1465"/>
      <c r="CY11" s="1465"/>
      <c r="DC11" s="1022"/>
      <c r="DF11" s="1479"/>
      <c r="DG11" s="1479"/>
      <c r="DH11" s="1479"/>
      <c r="DI11" s="1479"/>
      <c r="DJ11" s="1481"/>
      <c r="DK11" s="1481"/>
      <c r="DL11" s="1481"/>
      <c r="DM11" s="1481"/>
      <c r="DN11" s="1481"/>
      <c r="DO11" s="1553"/>
      <c r="DP11" s="1481"/>
      <c r="DQ11" s="1481"/>
      <c r="DR11" s="1481"/>
      <c r="DS11" s="1481"/>
      <c r="DT11" s="1481"/>
      <c r="DU11" s="1481"/>
      <c r="DV11" s="1481"/>
      <c r="DW11" s="1481"/>
      <c r="DX11" s="1481"/>
      <c r="DY11" s="1481"/>
      <c r="DZ11" s="1481"/>
      <c r="EA11" s="1481"/>
      <c r="EB11" s="1481"/>
      <c r="EC11" s="1481"/>
      <c r="ED11" s="1654" t="s">
        <v>1088</v>
      </c>
      <c r="EE11" s="1654" t="s">
        <v>1088</v>
      </c>
      <c r="EF11" s="1654" t="s">
        <v>1089</v>
      </c>
      <c r="EG11" s="1654" t="s">
        <v>1089</v>
      </c>
      <c r="EH11" s="1654" t="s">
        <v>1090</v>
      </c>
      <c r="EI11" s="1654" t="s">
        <v>1091</v>
      </c>
      <c r="EJ11" s="1654" t="s">
        <v>1092</v>
      </c>
      <c r="EK11" s="1654" t="s">
        <v>1086</v>
      </c>
      <c r="EL11" s="1654" t="s">
        <v>1086</v>
      </c>
      <c r="EM11" s="1654" t="s">
        <v>1087</v>
      </c>
      <c r="EN11" s="1481"/>
      <c r="EO11" s="1481"/>
      <c r="EP11" s="1654" t="s">
        <v>1088</v>
      </c>
      <c r="EQ11" s="1654" t="s">
        <v>1088</v>
      </c>
      <c r="ER11" s="1654" t="s">
        <v>1089</v>
      </c>
      <c r="ES11" s="1654" t="s">
        <v>1089</v>
      </c>
      <c r="ET11" s="1654" t="s">
        <v>1090</v>
      </c>
      <c r="EU11" s="1654" t="s">
        <v>1091</v>
      </c>
      <c r="EV11" s="1654" t="s">
        <v>1092</v>
      </c>
      <c r="EW11" s="1654" t="s">
        <v>1092</v>
      </c>
      <c r="EX11" s="1654" t="s">
        <v>1087</v>
      </c>
      <c r="EY11" s="1654" t="s">
        <v>1087</v>
      </c>
      <c r="EZ11" s="1481"/>
      <c r="FA11" s="5657" t="s">
        <v>319</v>
      </c>
      <c r="FB11" s="5658"/>
      <c r="FC11" s="5658"/>
      <c r="FD11" s="5658"/>
      <c r="FE11" s="5658"/>
      <c r="FF11" s="5658"/>
      <c r="FG11" s="5658"/>
      <c r="FH11" s="5658"/>
      <c r="FI11" s="5658"/>
      <c r="FJ11" s="5658"/>
      <c r="FK11" s="5658"/>
      <c r="FL11" s="5659"/>
      <c r="FM11" s="1593"/>
      <c r="FN11" s="5662" t="s">
        <v>1606</v>
      </c>
      <c r="FO11" s="5662"/>
      <c r="FP11" s="5073" t="s">
        <v>2032</v>
      </c>
    </row>
    <row r="12" spans="1:221" ht="13.8">
      <c r="CR12" s="2"/>
      <c r="FA12" s="1022" t="s">
        <v>1083</v>
      </c>
      <c r="FB12" s="1023"/>
      <c r="FC12" s="1023"/>
      <c r="FD12" s="1023"/>
      <c r="FE12" s="1023"/>
      <c r="FF12" s="1023"/>
      <c r="FG12" s="1023"/>
      <c r="FH12" s="1023"/>
      <c r="FI12" s="1023"/>
      <c r="FJ12" s="1023"/>
      <c r="FK12" s="1023"/>
      <c r="FL12" s="1023"/>
      <c r="FM12" s="1023"/>
      <c r="FN12" s="1023"/>
    </row>
    <row r="13" spans="1:221" customFormat="1" ht="14.4"/>
    <row r="14" spans="1:221" customFormat="1" ht="14.4"/>
    <row r="15" spans="1:221" customFormat="1" ht="14.4"/>
    <row r="16" spans="1:221" customFormat="1" ht="14.4"/>
    <row r="17" customFormat="1" ht="14.4"/>
    <row r="18" customFormat="1" ht="14.4"/>
    <row r="19" customFormat="1" ht="14.4"/>
    <row r="20" customFormat="1" ht="14.4"/>
    <row r="21" customFormat="1" ht="14.4"/>
    <row r="22" customFormat="1" ht="14.4"/>
    <row r="23" customFormat="1" ht="12.75" customHeight="1"/>
    <row r="24" customFormat="1" ht="12.75" customHeight="1"/>
    <row r="25" customFormat="1" ht="12.75" customHeight="1"/>
    <row r="26" customFormat="1" ht="12.75" customHeight="1"/>
    <row r="27" customFormat="1" ht="12.75" customHeight="1"/>
    <row r="28" customFormat="1" ht="12.75" customHeight="1"/>
    <row r="29" customFormat="1" ht="12.75" customHeight="1"/>
    <row r="30" customFormat="1" ht="12.75" customHeight="1"/>
    <row r="31" customFormat="1" ht="12.75" customHeight="1"/>
    <row r="32" customFormat="1" ht="12.75" customHeight="1"/>
    <row r="33" customFormat="1" ht="12.75" customHeight="1"/>
    <row r="34" customFormat="1" ht="12.75" customHeight="1"/>
    <row r="35" customFormat="1" ht="12.75" customHeight="1"/>
    <row r="36" customFormat="1" ht="12.75" customHeight="1"/>
    <row r="37" customFormat="1" ht="12.75" customHeight="1"/>
    <row r="38" customFormat="1" ht="12.75" customHeight="1"/>
    <row r="39" customFormat="1" ht="12.75" customHeight="1"/>
    <row r="40" customFormat="1" ht="12.75" customHeight="1"/>
    <row r="41" customFormat="1" ht="12.75" customHeight="1"/>
    <row r="42" customFormat="1" ht="12.75" customHeight="1"/>
    <row r="43" customFormat="1" ht="12.75" customHeight="1"/>
    <row r="44" customFormat="1" ht="12.75" customHeight="1"/>
    <row r="45" customFormat="1" ht="12.75" customHeight="1"/>
    <row r="46" customFormat="1" ht="12.75" customHeight="1"/>
    <row r="47" customFormat="1" ht="12.75" customHeight="1"/>
    <row r="48" customFormat="1" ht="12.75" customHeight="1"/>
    <row r="49" customFormat="1" ht="12.75" customHeight="1"/>
    <row r="50" customFormat="1" ht="12.75" customHeight="1"/>
    <row r="51" customFormat="1" ht="12.75" customHeight="1"/>
    <row r="52" customFormat="1" ht="12.75" customHeight="1"/>
    <row r="53" customFormat="1" ht="12.75" customHeight="1"/>
    <row r="54" customFormat="1" ht="12.75" customHeight="1"/>
    <row r="55" customFormat="1" ht="12.75" customHeight="1"/>
    <row r="56" customFormat="1" ht="12.75" customHeight="1"/>
    <row r="57" customFormat="1" ht="12.75" customHeight="1"/>
    <row r="58" customFormat="1" ht="12.75" customHeight="1"/>
    <row r="59" customFormat="1" ht="12.75" customHeight="1"/>
    <row r="60" customFormat="1" ht="12.75" customHeight="1"/>
    <row r="61" customFormat="1" ht="12.75" customHeight="1"/>
    <row r="62" customFormat="1" ht="12.75" customHeight="1"/>
    <row r="63" customFormat="1" ht="12.75" customHeight="1"/>
    <row r="64" customFormat="1" ht="12.75" customHeight="1"/>
  </sheetData>
  <mergeCells count="3">
    <mergeCell ref="FA11:FL11"/>
    <mergeCell ref="FA3:FN3"/>
    <mergeCell ref="FN11:FO11"/>
  </mergeCells>
  <phoneticPr fontId="11" type="noConversion"/>
  <pageMargins left="0.70866141732283472" right="0.70866141732283472" top="0.74803149606299213" bottom="0.74803149606299213" header="0.31496062992125984" footer="0.31496062992125984"/>
  <pageSetup scale="16" orientation="landscape" verticalDpi="597"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9" tint="0.39997558519241921"/>
  </sheetPr>
  <dimension ref="A1:IK9"/>
  <sheetViews>
    <sheetView showGridLines="0" workbookViewId="0">
      <selection activeCell="Q14" activeCellId="5" sqref="Q17:Q20 Q23 Q26 Q27 Q28 Q14"/>
    </sheetView>
  </sheetViews>
  <sheetFormatPr baseColWidth="10" defaultColWidth="11.44140625" defaultRowHeight="13.8"/>
  <cols>
    <col min="1" max="1" width="3" style="2" customWidth="1"/>
    <col min="2" max="2" width="19.44140625" style="2" customWidth="1"/>
    <col min="3" max="3" width="4.88671875" style="2" bestFit="1" customWidth="1"/>
    <col min="4" max="130" width="11.44140625" style="2" hidden="1" customWidth="1"/>
    <col min="131" max="155" width="6" style="2" hidden="1" customWidth="1"/>
    <col min="156" max="156" width="4.33203125" style="2" customWidth="1"/>
    <col min="157" max="165" width="11.44140625" style="2"/>
    <col min="166" max="166" width="8.33203125" style="2" bestFit="1" customWidth="1"/>
    <col min="167" max="16384" width="11.44140625" style="2"/>
  </cols>
  <sheetData>
    <row r="1" spans="1:245" ht="14.4" thickBot="1">
      <c r="A1" s="1466"/>
      <c r="B1" s="1680" t="s">
        <v>1094</v>
      </c>
      <c r="C1" s="1681"/>
      <c r="D1" s="1682"/>
      <c r="E1" s="1682"/>
      <c r="F1" s="1682"/>
      <c r="G1" s="1682"/>
      <c r="H1" s="1683"/>
      <c r="I1" s="1683"/>
      <c r="J1" s="1684"/>
      <c r="K1" s="1684"/>
      <c r="L1" s="1684"/>
      <c r="M1" s="1684"/>
      <c r="N1" s="1684"/>
      <c r="O1" s="1684"/>
      <c r="P1" s="1684"/>
      <c r="Q1" s="1684"/>
      <c r="R1" s="1684"/>
      <c r="S1" s="1684"/>
      <c r="T1" s="1684"/>
      <c r="U1" s="1684"/>
      <c r="V1" s="1684"/>
      <c r="W1" s="1684"/>
      <c r="X1" s="1684"/>
      <c r="Y1" s="1684"/>
      <c r="Z1" s="1684"/>
      <c r="AA1" s="1684"/>
      <c r="AB1" s="1684"/>
      <c r="AC1" s="1684"/>
      <c r="AD1" s="1684"/>
      <c r="AE1" s="1684"/>
      <c r="AF1" s="1684"/>
      <c r="AG1" s="1684"/>
      <c r="AH1" s="1684"/>
      <c r="AI1" s="1685"/>
      <c r="AJ1" s="1685"/>
      <c r="AK1" s="1685"/>
      <c r="AL1" s="1685"/>
      <c r="AM1" s="1685"/>
      <c r="AN1" s="1685"/>
      <c r="AO1" s="1685"/>
      <c r="AP1" s="1685"/>
      <c r="AQ1" s="1685"/>
      <c r="AR1" s="1685"/>
      <c r="AS1" s="1685"/>
      <c r="AT1" s="1685"/>
      <c r="AU1" s="1684"/>
      <c r="AV1" s="1684"/>
      <c r="AW1" s="1684"/>
      <c r="AX1" s="1684"/>
      <c r="AY1" s="1684"/>
      <c r="AZ1" s="1684"/>
      <c r="BA1" s="1684"/>
      <c r="BB1" s="1684"/>
      <c r="BC1" s="1684"/>
      <c r="BD1" s="1684"/>
      <c r="BE1" s="1684"/>
      <c r="BF1" s="1684"/>
      <c r="BG1" s="1684"/>
      <c r="BH1" s="1684"/>
      <c r="BI1" s="1684"/>
      <c r="BJ1" s="1684"/>
      <c r="BK1" s="1684"/>
      <c r="BL1" s="1684"/>
      <c r="BM1" s="1684"/>
      <c r="BN1" s="1684"/>
      <c r="BO1" s="1684"/>
      <c r="BP1" s="1684"/>
      <c r="BQ1" s="1684"/>
      <c r="BR1" s="1684"/>
      <c r="BS1" s="1684"/>
      <c r="BT1" s="1684"/>
      <c r="BU1" s="1684"/>
      <c r="BV1" s="1684"/>
      <c r="BW1" s="1684"/>
      <c r="BX1" s="1684"/>
      <c r="BY1" s="1684"/>
      <c r="BZ1" s="1684"/>
      <c r="CA1" s="1684"/>
      <c r="CB1" s="1684"/>
      <c r="CC1" s="1684"/>
      <c r="CD1" s="1684"/>
      <c r="CE1" s="1684"/>
      <c r="CF1" s="1684"/>
      <c r="CG1" s="1684"/>
      <c r="CH1" s="1684"/>
      <c r="CI1" s="1684"/>
      <c r="CJ1" s="1684"/>
      <c r="CK1" s="1684"/>
      <c r="CL1" s="1684"/>
      <c r="CM1" s="1684"/>
      <c r="CN1" s="1684"/>
      <c r="CO1" s="1684"/>
      <c r="CP1" s="1684"/>
      <c r="CQ1" s="1684"/>
      <c r="CR1" s="1684"/>
      <c r="CS1" s="1684"/>
      <c r="CT1" s="1684"/>
      <c r="CU1" s="1684"/>
      <c r="CV1" s="1684"/>
      <c r="CW1" s="1684"/>
      <c r="CX1" s="1684"/>
      <c r="CY1" s="1684"/>
      <c r="CZ1" s="1684"/>
      <c r="DA1" s="1684"/>
      <c r="DB1" s="1684"/>
      <c r="DC1" s="1684"/>
      <c r="DD1" s="1684"/>
      <c r="DE1" s="1684"/>
      <c r="DF1" s="1684"/>
      <c r="DG1" s="1684"/>
      <c r="DH1" s="1684"/>
      <c r="DI1" s="1684"/>
      <c r="DJ1" s="1684"/>
      <c r="DK1" s="1684"/>
      <c r="DL1" s="1684"/>
      <c r="DM1" s="1684"/>
      <c r="DN1" s="1684"/>
      <c r="DO1" s="1684"/>
      <c r="DP1" s="1684"/>
      <c r="DQ1" s="1684"/>
      <c r="DR1" s="1684"/>
      <c r="DS1" s="1684"/>
      <c r="DT1" s="1684"/>
      <c r="DU1" s="1684"/>
      <c r="DV1" s="1684"/>
      <c r="DW1" s="1684"/>
      <c r="DX1" s="1684"/>
      <c r="DY1" s="1684"/>
      <c r="DZ1" s="1684"/>
      <c r="EA1" s="1684"/>
      <c r="EB1" s="1684"/>
      <c r="EC1" s="1684"/>
      <c r="ED1" s="1684"/>
      <c r="EE1" s="1684"/>
      <c r="EF1" s="1684"/>
      <c r="EG1" s="1684"/>
      <c r="EH1" s="1684"/>
      <c r="EI1" s="1684"/>
      <c r="EJ1" s="1684"/>
      <c r="EK1" s="1684"/>
      <c r="EL1" s="1684"/>
      <c r="EM1" s="1684"/>
      <c r="EN1" s="1684"/>
      <c r="EO1" s="1684"/>
      <c r="EP1" s="1684"/>
      <c r="EQ1" s="1684"/>
      <c r="ER1" s="1684"/>
      <c r="ES1" s="1684"/>
      <c r="ET1" s="1684"/>
      <c r="EU1" s="1684"/>
      <c r="EV1" s="1684"/>
      <c r="EW1" s="1684"/>
      <c r="EX1" s="1684"/>
      <c r="EY1" s="1684"/>
      <c r="EZ1" s="1684"/>
      <c r="FA1" s="1686"/>
      <c r="FB1" s="1684" t="s">
        <v>147</v>
      </c>
      <c r="FC1" s="1684"/>
      <c r="FD1" s="1684"/>
      <c r="FE1" s="1684"/>
      <c r="FF1" s="1684"/>
      <c r="FG1" s="1684"/>
      <c r="FH1" s="1684"/>
      <c r="FI1" s="1684"/>
      <c r="FJ1" s="1684"/>
    </row>
    <row r="2" spans="1:245">
      <c r="A2" s="1466"/>
      <c r="B2" s="1687" t="s">
        <v>179</v>
      </c>
      <c r="C2" s="1688"/>
      <c r="D2" s="1484"/>
      <c r="E2" s="1484"/>
      <c r="F2" s="1484"/>
      <c r="G2" s="1689">
        <v>2006</v>
      </c>
      <c r="H2" s="1689"/>
      <c r="I2" s="1689"/>
      <c r="J2" s="1690"/>
      <c r="K2" s="1691"/>
      <c r="L2" s="1692"/>
      <c r="M2" s="1693"/>
      <c r="N2" s="1694"/>
      <c r="O2" s="1695"/>
      <c r="P2" s="1692">
        <v>2007</v>
      </c>
      <c r="Q2" s="1695"/>
      <c r="R2" s="1695"/>
      <c r="S2" s="1695"/>
      <c r="T2" s="1695"/>
      <c r="U2" s="1695"/>
      <c r="V2" s="1696"/>
      <c r="W2" s="1667"/>
      <c r="X2" s="1483"/>
      <c r="Y2" s="1483"/>
      <c r="Z2" s="1483"/>
      <c r="AA2" s="1483"/>
      <c r="AB2" s="1483">
        <v>2008</v>
      </c>
      <c r="AC2" s="1483"/>
      <c r="AD2" s="1483"/>
      <c r="AE2" s="1483"/>
      <c r="AF2" s="1483"/>
      <c r="AG2" s="1483"/>
      <c r="AH2" s="1697"/>
      <c r="AI2" s="1698"/>
      <c r="AJ2" s="1699"/>
      <c r="AK2" s="1699"/>
      <c r="AL2" s="1699"/>
      <c r="AM2" s="1699"/>
      <c r="AN2" s="1699">
        <v>2009</v>
      </c>
      <c r="AO2" s="1699"/>
      <c r="AP2" s="1699"/>
      <c r="AQ2" s="1699"/>
      <c r="AR2" s="1699"/>
      <c r="AS2" s="1699"/>
      <c r="AT2" s="1699"/>
      <c r="AU2" s="1668"/>
      <c r="AV2" s="1669"/>
      <c r="AW2" s="1669"/>
      <c r="AX2" s="1669"/>
      <c r="AY2" s="1669"/>
      <c r="AZ2" s="1669">
        <v>2010</v>
      </c>
      <c r="BA2" s="1669"/>
      <c r="BB2" s="1669"/>
      <c r="BC2" s="1669"/>
      <c r="BD2" s="1669"/>
      <c r="BE2" s="1669"/>
      <c r="BF2" s="1670"/>
      <c r="BG2" s="1671"/>
      <c r="BH2" s="1672"/>
      <c r="BI2" s="1672"/>
      <c r="BJ2" s="1672"/>
      <c r="BK2" s="1672"/>
      <c r="BL2" s="1672">
        <v>2011</v>
      </c>
      <c r="BM2" s="1672"/>
      <c r="BN2" s="1672"/>
      <c r="BO2" s="1672"/>
      <c r="BP2" s="1672"/>
      <c r="BQ2" s="1672"/>
      <c r="BR2" s="1673"/>
      <c r="BS2" s="1674"/>
      <c r="BT2" s="1675"/>
      <c r="BU2" s="1675"/>
      <c r="BV2" s="1675"/>
      <c r="BW2" s="1675"/>
      <c r="BX2" s="1675">
        <v>2012</v>
      </c>
      <c r="BY2" s="1675"/>
      <c r="BZ2" s="1675"/>
      <c r="CA2" s="1675"/>
      <c r="CB2" s="1675"/>
      <c r="CC2" s="1675"/>
      <c r="CD2" s="1676"/>
      <c r="CE2" s="1677"/>
      <c r="CF2" s="1678"/>
      <c r="CG2" s="1678"/>
      <c r="CH2" s="1678"/>
      <c r="CI2" s="1678"/>
      <c r="CJ2" s="1678">
        <v>2013</v>
      </c>
      <c r="CK2" s="1678"/>
      <c r="CL2" s="1678"/>
      <c r="CM2" s="1678"/>
      <c r="CN2" s="1678"/>
      <c r="CO2" s="1678"/>
      <c r="CP2" s="1679"/>
      <c r="CQ2" s="1700">
        <v>2014</v>
      </c>
      <c r="CR2" s="1701"/>
      <c r="CS2" s="1702"/>
      <c r="CT2" s="1702"/>
      <c r="CU2" s="1702"/>
      <c r="CV2" s="1702"/>
      <c r="CW2" s="1702"/>
      <c r="CX2" s="1702"/>
      <c r="CY2" s="1702"/>
      <c r="CZ2" s="1703"/>
      <c r="DA2" s="1703"/>
      <c r="DB2" s="1704"/>
      <c r="DC2" s="1705">
        <v>2015</v>
      </c>
      <c r="DD2" s="1706"/>
      <c r="DE2" s="1706"/>
      <c r="DF2" s="1706"/>
      <c r="DG2" s="1706"/>
      <c r="DH2" s="1706"/>
      <c r="DI2" s="1706"/>
      <c r="DJ2" s="1706"/>
      <c r="DK2" s="1706"/>
      <c r="DL2" s="1706"/>
      <c r="DM2" s="1706"/>
      <c r="DN2" s="1707"/>
      <c r="DO2" s="1708">
        <v>2016</v>
      </c>
      <c r="DP2" s="1709"/>
      <c r="DQ2" s="1709"/>
      <c r="DR2" s="1709"/>
      <c r="DS2" s="1709"/>
      <c r="DT2" s="1709"/>
      <c r="DU2" s="1709"/>
      <c r="DV2" s="1709"/>
      <c r="DW2" s="1709"/>
      <c r="DX2" s="1709"/>
      <c r="DY2" s="1709"/>
      <c r="DZ2" s="1709"/>
      <c r="EA2" s="1827">
        <v>2017</v>
      </c>
      <c r="EB2" s="1710"/>
      <c r="EC2" s="1711"/>
      <c r="ED2" s="1711"/>
      <c r="EE2" s="1711"/>
      <c r="EF2" s="1711"/>
      <c r="EG2" s="1711"/>
      <c r="EH2" s="1711"/>
      <c r="EI2" s="1711"/>
      <c r="EJ2" s="1711"/>
      <c r="EK2" s="1711"/>
      <c r="EL2" s="1711"/>
      <c r="EM2" s="1776">
        <v>2018</v>
      </c>
      <c r="EN2" s="1823"/>
      <c r="EO2" s="1823"/>
      <c r="EP2" s="1823"/>
      <c r="EQ2" s="1823"/>
      <c r="ER2" s="1823"/>
      <c r="ES2" s="1823"/>
      <c r="ET2" s="1823"/>
      <c r="EU2" s="1823"/>
      <c r="EV2" s="1823"/>
      <c r="EW2" s="1823"/>
      <c r="EX2" s="1823"/>
      <c r="EY2" s="1778">
        <v>2019</v>
      </c>
      <c r="EZ2" s="1712"/>
      <c r="FA2" s="1713">
        <v>2006</v>
      </c>
      <c r="FB2" s="1713">
        <v>2007</v>
      </c>
      <c r="FC2" s="1713">
        <v>2008</v>
      </c>
      <c r="FD2" s="1713">
        <v>2009</v>
      </c>
      <c r="FE2" s="1713">
        <v>2010</v>
      </c>
      <c r="FF2" s="1713">
        <v>2011</v>
      </c>
      <c r="FG2" s="1713">
        <v>2012</v>
      </c>
      <c r="FH2" s="1713">
        <v>2013</v>
      </c>
      <c r="FI2" s="1713">
        <v>2014</v>
      </c>
      <c r="FJ2" s="1713">
        <v>2015</v>
      </c>
      <c r="FK2" s="1713">
        <v>2016</v>
      </c>
      <c r="FL2" s="1714" t="s">
        <v>581</v>
      </c>
      <c r="FM2" s="1715" t="s">
        <v>820</v>
      </c>
      <c r="FN2" s="1715" t="s">
        <v>875</v>
      </c>
    </row>
    <row r="3" spans="1:245" s="51" customFormat="1" ht="14.4" thickBot="1">
      <c r="A3" s="160"/>
      <c r="B3" s="571" t="s">
        <v>148</v>
      </c>
      <c r="C3" s="572"/>
      <c r="D3" s="1716" t="s">
        <v>41</v>
      </c>
      <c r="E3" s="1716" t="s">
        <v>42</v>
      </c>
      <c r="F3" s="1716" t="s">
        <v>43</v>
      </c>
      <c r="G3" s="1717" t="s">
        <v>44</v>
      </c>
      <c r="H3" s="1717" t="s">
        <v>45</v>
      </c>
      <c r="I3" s="1717" t="s">
        <v>46</v>
      </c>
      <c r="J3" s="1718" t="s">
        <v>47</v>
      </c>
      <c r="K3" s="1719" t="s">
        <v>36</v>
      </c>
      <c r="L3" s="1720" t="s">
        <v>37</v>
      </c>
      <c r="M3" s="1720" t="s">
        <v>38</v>
      </c>
      <c r="N3" s="1720" t="s">
        <v>39</v>
      </c>
      <c r="O3" s="1720" t="s">
        <v>40</v>
      </c>
      <c r="P3" s="1720" t="s">
        <v>41</v>
      </c>
      <c r="Q3" s="1720" t="s">
        <v>42</v>
      </c>
      <c r="R3" s="1720" t="s">
        <v>43</v>
      </c>
      <c r="S3" s="1720" t="s">
        <v>44</v>
      </c>
      <c r="T3" s="1720" t="s">
        <v>45</v>
      </c>
      <c r="U3" s="1720" t="s">
        <v>46</v>
      </c>
      <c r="V3" s="1721" t="s">
        <v>47</v>
      </c>
      <c r="W3" s="1722" t="s">
        <v>36</v>
      </c>
      <c r="X3" s="1717" t="s">
        <v>37</v>
      </c>
      <c r="Y3" s="1717" t="s">
        <v>38</v>
      </c>
      <c r="Z3" s="1717" t="s">
        <v>39</v>
      </c>
      <c r="AA3" s="1717" t="s">
        <v>40</v>
      </c>
      <c r="AB3" s="1717" t="s">
        <v>41</v>
      </c>
      <c r="AC3" s="1717" t="s">
        <v>42</v>
      </c>
      <c r="AD3" s="1717" t="s">
        <v>43</v>
      </c>
      <c r="AE3" s="1717" t="s">
        <v>44</v>
      </c>
      <c r="AF3" s="1717" t="s">
        <v>45</v>
      </c>
      <c r="AG3" s="1717" t="s">
        <v>46</v>
      </c>
      <c r="AH3" s="1718" t="s">
        <v>47</v>
      </c>
      <c r="AI3" s="1723" t="s">
        <v>36</v>
      </c>
      <c r="AJ3" s="1723" t="s">
        <v>37</v>
      </c>
      <c r="AK3" s="1723" t="s">
        <v>38</v>
      </c>
      <c r="AL3" s="1723" t="s">
        <v>39</v>
      </c>
      <c r="AM3" s="1723" t="s">
        <v>40</v>
      </c>
      <c r="AN3" s="1723" t="s">
        <v>41</v>
      </c>
      <c r="AO3" s="1723" t="s">
        <v>42</v>
      </c>
      <c r="AP3" s="1723" t="s">
        <v>43</v>
      </c>
      <c r="AQ3" s="1723" t="s">
        <v>44</v>
      </c>
      <c r="AR3" s="1723" t="s">
        <v>45</v>
      </c>
      <c r="AS3" s="1723" t="s">
        <v>46</v>
      </c>
      <c r="AT3" s="1723" t="s">
        <v>47</v>
      </c>
      <c r="AU3" s="1724" t="s">
        <v>36</v>
      </c>
      <c r="AV3" s="1725" t="s">
        <v>37</v>
      </c>
      <c r="AW3" s="1725" t="s">
        <v>38</v>
      </c>
      <c r="AX3" s="1725" t="s">
        <v>39</v>
      </c>
      <c r="AY3" s="1725" t="s">
        <v>40</v>
      </c>
      <c r="AZ3" s="1725" t="s">
        <v>41</v>
      </c>
      <c r="BA3" s="1725" t="s">
        <v>42</v>
      </c>
      <c r="BB3" s="1725" t="s">
        <v>43</v>
      </c>
      <c r="BC3" s="1725" t="s">
        <v>44</v>
      </c>
      <c r="BD3" s="1725" t="s">
        <v>45</v>
      </c>
      <c r="BE3" s="1725" t="s">
        <v>46</v>
      </c>
      <c r="BF3" s="1726" t="s">
        <v>47</v>
      </c>
      <c r="BG3" s="1727" t="s">
        <v>36</v>
      </c>
      <c r="BH3" s="1728" t="s">
        <v>37</v>
      </c>
      <c r="BI3" s="1728" t="s">
        <v>38</v>
      </c>
      <c r="BJ3" s="1728" t="s">
        <v>39</v>
      </c>
      <c r="BK3" s="1728" t="s">
        <v>40</v>
      </c>
      <c r="BL3" s="1728" t="s">
        <v>41</v>
      </c>
      <c r="BM3" s="1728" t="s">
        <v>42</v>
      </c>
      <c r="BN3" s="1728" t="s">
        <v>43</v>
      </c>
      <c r="BO3" s="1728" t="s">
        <v>44</v>
      </c>
      <c r="BP3" s="1728" t="s">
        <v>45</v>
      </c>
      <c r="BQ3" s="1728" t="s">
        <v>46</v>
      </c>
      <c r="BR3" s="1729" t="s">
        <v>47</v>
      </c>
      <c r="BS3" s="1730" t="s">
        <v>36</v>
      </c>
      <c r="BT3" s="1731" t="s">
        <v>37</v>
      </c>
      <c r="BU3" s="1731" t="s">
        <v>38</v>
      </c>
      <c r="BV3" s="1731" t="s">
        <v>39</v>
      </c>
      <c r="BW3" s="1731" t="s">
        <v>40</v>
      </c>
      <c r="BX3" s="1731" t="s">
        <v>41</v>
      </c>
      <c r="BY3" s="1731" t="s">
        <v>42</v>
      </c>
      <c r="BZ3" s="1731" t="s">
        <v>43</v>
      </c>
      <c r="CA3" s="1731" t="s">
        <v>44</v>
      </c>
      <c r="CB3" s="1731" t="s">
        <v>45</v>
      </c>
      <c r="CC3" s="1731" t="s">
        <v>46</v>
      </c>
      <c r="CD3" s="1732" t="s">
        <v>47</v>
      </c>
      <c r="CE3" s="1733" t="s">
        <v>36</v>
      </c>
      <c r="CF3" s="1734" t="s">
        <v>37</v>
      </c>
      <c r="CG3" s="1734" t="s">
        <v>38</v>
      </c>
      <c r="CH3" s="1734" t="s">
        <v>39</v>
      </c>
      <c r="CI3" s="1734" t="s">
        <v>40</v>
      </c>
      <c r="CJ3" s="1734" t="s">
        <v>41</v>
      </c>
      <c r="CK3" s="1734" t="s">
        <v>42</v>
      </c>
      <c r="CL3" s="1734" t="s">
        <v>43</v>
      </c>
      <c r="CM3" s="1734" t="s">
        <v>44</v>
      </c>
      <c r="CN3" s="1734" t="s">
        <v>45</v>
      </c>
      <c r="CO3" s="1734" t="s">
        <v>46</v>
      </c>
      <c r="CP3" s="1735" t="s">
        <v>47</v>
      </c>
      <c r="CQ3" s="1736" t="s">
        <v>36</v>
      </c>
      <c r="CR3" s="1737" t="s">
        <v>37</v>
      </c>
      <c r="CS3" s="1738" t="s">
        <v>38</v>
      </c>
      <c r="CT3" s="1738" t="s">
        <v>39</v>
      </c>
      <c r="CU3" s="1738" t="s">
        <v>40</v>
      </c>
      <c r="CV3" s="1738" t="s">
        <v>41</v>
      </c>
      <c r="CW3" s="1738" t="s">
        <v>42</v>
      </c>
      <c r="CX3" s="1738" t="s">
        <v>43</v>
      </c>
      <c r="CY3" s="1738" t="s">
        <v>44</v>
      </c>
      <c r="CZ3" s="1738" t="s">
        <v>45</v>
      </c>
      <c r="DA3" s="1738" t="s">
        <v>46</v>
      </c>
      <c r="DB3" s="1739" t="s">
        <v>47</v>
      </c>
      <c r="DC3" s="1740" t="s">
        <v>36</v>
      </c>
      <c r="DD3" s="1741" t="s">
        <v>37</v>
      </c>
      <c r="DE3" s="1741" t="s">
        <v>38</v>
      </c>
      <c r="DF3" s="1741" t="s">
        <v>39</v>
      </c>
      <c r="DG3" s="1741" t="s">
        <v>40</v>
      </c>
      <c r="DH3" s="1742" t="s">
        <v>41</v>
      </c>
      <c r="DI3" s="1742" t="s">
        <v>42</v>
      </c>
      <c r="DJ3" s="1742" t="s">
        <v>43</v>
      </c>
      <c r="DK3" s="1742" t="s">
        <v>44</v>
      </c>
      <c r="DL3" s="1742" t="s">
        <v>45</v>
      </c>
      <c r="DM3" s="1742" t="s">
        <v>46</v>
      </c>
      <c r="DN3" s="1743" t="s">
        <v>47</v>
      </c>
      <c r="DO3" s="1740" t="s">
        <v>36</v>
      </c>
      <c r="DP3" s="1741" t="s">
        <v>37</v>
      </c>
      <c r="DQ3" s="1741" t="s">
        <v>38</v>
      </c>
      <c r="DR3" s="1741" t="s">
        <v>39</v>
      </c>
      <c r="DS3" s="1741" t="s">
        <v>40</v>
      </c>
      <c r="DT3" s="1742" t="s">
        <v>41</v>
      </c>
      <c r="DU3" s="1742" t="s">
        <v>42</v>
      </c>
      <c r="DV3" s="1742" t="s">
        <v>43</v>
      </c>
      <c r="DW3" s="1742" t="s">
        <v>44</v>
      </c>
      <c r="DX3" s="1742" t="s">
        <v>184</v>
      </c>
      <c r="DY3" s="1742" t="s">
        <v>46</v>
      </c>
      <c r="DZ3" s="1742" t="s">
        <v>47</v>
      </c>
      <c r="EA3" s="1828" t="s">
        <v>36</v>
      </c>
      <c r="EB3" s="1742" t="s">
        <v>37</v>
      </c>
      <c r="EC3" s="1772" t="s">
        <v>38</v>
      </c>
      <c r="ED3" s="1772" t="s">
        <v>39</v>
      </c>
      <c r="EE3" s="1772" t="s">
        <v>40</v>
      </c>
      <c r="EF3" s="1772" t="s">
        <v>41</v>
      </c>
      <c r="EG3" s="1772" t="s">
        <v>42</v>
      </c>
      <c r="EH3" s="1772" t="s">
        <v>43</v>
      </c>
      <c r="EI3" s="1772" t="s">
        <v>44</v>
      </c>
      <c r="EJ3" s="1772" t="s">
        <v>45</v>
      </c>
      <c r="EK3" s="1772" t="s">
        <v>46</v>
      </c>
      <c r="EL3" s="1772" t="s">
        <v>47</v>
      </c>
      <c r="EM3" s="1775" t="s">
        <v>36</v>
      </c>
      <c r="EN3" s="1773" t="s">
        <v>37</v>
      </c>
      <c r="EO3" s="1772" t="s">
        <v>38</v>
      </c>
      <c r="EP3" s="1772" t="s">
        <v>39</v>
      </c>
      <c r="EQ3" s="1772" t="s">
        <v>40</v>
      </c>
      <c r="ER3" s="1772" t="s">
        <v>41</v>
      </c>
      <c r="ES3" s="1772" t="s">
        <v>42</v>
      </c>
      <c r="ET3" s="1772" t="s">
        <v>43</v>
      </c>
      <c r="EU3" s="1772" t="s">
        <v>44</v>
      </c>
      <c r="EV3" s="1772" t="s">
        <v>45</v>
      </c>
      <c r="EW3" s="1772" t="s">
        <v>46</v>
      </c>
      <c r="EX3" s="1772" t="s">
        <v>47</v>
      </c>
      <c r="EY3" s="1774" t="s">
        <v>36</v>
      </c>
      <c r="EZ3" s="573"/>
      <c r="FA3" s="574" t="s">
        <v>149</v>
      </c>
      <c r="FB3" s="574" t="s">
        <v>48</v>
      </c>
      <c r="FC3" s="574" t="s">
        <v>48</v>
      </c>
      <c r="FD3" s="574" t="s">
        <v>48</v>
      </c>
      <c r="FE3" s="574" t="s">
        <v>48</v>
      </c>
      <c r="FF3" s="574" t="s">
        <v>48</v>
      </c>
      <c r="FG3" s="574" t="s">
        <v>48</v>
      </c>
      <c r="FH3" s="574" t="s">
        <v>48</v>
      </c>
      <c r="FI3" s="574" t="s">
        <v>48</v>
      </c>
      <c r="FJ3" s="574" t="s">
        <v>48</v>
      </c>
      <c r="FK3" s="574" t="s">
        <v>48</v>
      </c>
      <c r="FL3" s="580" t="s">
        <v>579</v>
      </c>
      <c r="FM3" s="1666" t="s">
        <v>579</v>
      </c>
      <c r="FN3" s="1666" t="s">
        <v>579</v>
      </c>
      <c r="GI3" s="161"/>
      <c r="GJ3" s="161"/>
      <c r="GK3" s="161"/>
    </row>
    <row r="4" spans="1:245" ht="14.4" thickBot="1">
      <c r="A4" s="1744"/>
      <c r="B4" s="1745"/>
      <c r="C4" s="1746" t="s">
        <v>32</v>
      </c>
      <c r="D4" s="1747">
        <v>23.060772973509934</v>
      </c>
      <c r="E4" s="1747">
        <v>23.1781896947478</v>
      </c>
      <c r="F4" s="1747">
        <v>23.08074115188716</v>
      </c>
      <c r="G4" s="1747">
        <v>24.455241414345863</v>
      </c>
      <c r="H4" s="1747">
        <v>25.030611278150964</v>
      </c>
      <c r="I4" s="1747">
        <v>25.796187687687688</v>
      </c>
      <c r="J4" s="1748">
        <v>19.135151070464609</v>
      </c>
      <c r="K4" s="1749">
        <v>23.464971240755961</v>
      </c>
      <c r="L4" s="1747">
        <v>24.724818163139517</v>
      </c>
      <c r="M4" s="1747">
        <v>25.54286683107275</v>
      </c>
      <c r="N4" s="1747">
        <v>24.308234689683509</v>
      </c>
      <c r="O4" s="1747">
        <v>24.452591450883684</v>
      </c>
      <c r="P4" s="1747">
        <v>28.211313193588165</v>
      </c>
      <c r="Q4" s="1747">
        <v>27.369103476316322</v>
      </c>
      <c r="R4" s="1747">
        <v>26.165411430887719</v>
      </c>
      <c r="S4" s="1747">
        <v>27.659391850800741</v>
      </c>
      <c r="T4" s="1747">
        <v>27.72550780458139</v>
      </c>
      <c r="U4" s="1747">
        <v>29.463336035670871</v>
      </c>
      <c r="V4" s="1748">
        <v>21.295787953795376</v>
      </c>
      <c r="W4" s="1749">
        <v>24.0320510708402</v>
      </c>
      <c r="X4" s="1747">
        <v>28.641027369281034</v>
      </c>
      <c r="Y4" s="1747">
        <v>26.815120506535941</v>
      </c>
      <c r="Z4" s="1747">
        <v>29.055733251634017</v>
      </c>
      <c r="AA4" s="1747">
        <v>28.982830536225929</v>
      </c>
      <c r="AB4" s="1747">
        <v>31.156252558329911</v>
      </c>
      <c r="AC4" s="1747">
        <v>31.868219402374123</v>
      </c>
      <c r="AD4" s="1747">
        <v>29.768610315186248</v>
      </c>
      <c r="AE4" s="1747">
        <v>31.882566516577974</v>
      </c>
      <c r="AF4" s="1747">
        <v>32.303923092656987</v>
      </c>
      <c r="AG4" s="1747">
        <v>34.035334287466753</v>
      </c>
      <c r="AH4" s="1748">
        <v>26.165044953003672</v>
      </c>
      <c r="AI4" s="1750">
        <v>24.595185333600476</v>
      </c>
      <c r="AJ4" s="1750">
        <v>26.320523790483815</v>
      </c>
      <c r="AK4" s="1750">
        <v>28.273368787073018</v>
      </c>
      <c r="AL4" s="1750">
        <v>25.271174064225804</v>
      </c>
      <c r="AM4" s="1750">
        <v>25.045729442970817</v>
      </c>
      <c r="AN4" s="1750">
        <v>26.331070118222588</v>
      </c>
      <c r="AO4" s="1750">
        <v>27.586663269465951</v>
      </c>
      <c r="AP4" s="1750">
        <v>28.203305937949455</v>
      </c>
      <c r="AQ4" s="1750">
        <v>27.043379211175019</v>
      </c>
      <c r="AR4" s="1750">
        <v>29.134449672667763</v>
      </c>
      <c r="AS4" s="1750">
        <v>29.963187397708676</v>
      </c>
      <c r="AT4" s="1750">
        <v>23.120124769891582</v>
      </c>
      <c r="AU4" s="1751">
        <v>25.464977086918427</v>
      </c>
      <c r="AV4" s="1752">
        <v>30.979174917491761</v>
      </c>
      <c r="AW4" s="1752">
        <v>30.665536788973025</v>
      </c>
      <c r="AX4" s="1752">
        <v>28.292234022011957</v>
      </c>
      <c r="AY4" s="1752">
        <v>29.596329407221479</v>
      </c>
      <c r="AZ4" s="1752">
        <v>30.328354894767326</v>
      </c>
      <c r="BA4" s="1752">
        <v>30.468107742807479</v>
      </c>
      <c r="BB4" s="1752">
        <v>29.335865997296757</v>
      </c>
      <c r="BC4" s="1752">
        <v>28.582195404518242</v>
      </c>
      <c r="BD4" s="1752">
        <v>32.406043637767915</v>
      </c>
      <c r="BE4" s="1752">
        <v>31.57161421123768</v>
      </c>
      <c r="BF4" s="1753">
        <v>28.901778335586027</v>
      </c>
      <c r="BG4" s="1754">
        <v>26.758179185170881</v>
      </c>
      <c r="BH4" s="1755">
        <v>32.939839737401044</v>
      </c>
      <c r="BI4" s="1755">
        <v>32.388356825642013</v>
      </c>
      <c r="BJ4" s="1755">
        <v>28.707041899980705</v>
      </c>
      <c r="BK4" s="1755">
        <v>30.018007337323809</v>
      </c>
      <c r="BL4" s="1755">
        <v>31.262817146167208</v>
      </c>
      <c r="BM4" s="1755">
        <v>32.068968912917555</v>
      </c>
      <c r="BN4" s="1755">
        <v>32.102488897470558</v>
      </c>
      <c r="BO4" s="1755">
        <v>32.338210079165847</v>
      </c>
      <c r="BP4" s="1755">
        <v>33.514801305432897</v>
      </c>
      <c r="BQ4" s="1755">
        <v>39.294993280860048</v>
      </c>
      <c r="BR4" s="1756">
        <v>31.95689767709732</v>
      </c>
      <c r="BS4" s="1757">
        <v>34.30469955845652</v>
      </c>
      <c r="BT4" s="1758">
        <v>37.820005759262827</v>
      </c>
      <c r="BU4" s="1758">
        <v>40.648878863505495</v>
      </c>
      <c r="BV4" s="1758">
        <v>36.633033211748902</v>
      </c>
      <c r="BW4" s="1758">
        <v>37.972658053807656</v>
      </c>
      <c r="BX4" s="1758">
        <v>40.748262027001324</v>
      </c>
      <c r="BY4" s="1758">
        <v>38.095198038476063</v>
      </c>
      <c r="BZ4" s="1758">
        <v>37.279453036589977</v>
      </c>
      <c r="CA4" s="1758">
        <v>38.32809694454923</v>
      </c>
      <c r="CB4" s="1758">
        <v>40.439628442097337</v>
      </c>
      <c r="CC4" s="1758">
        <v>44.503198792908336</v>
      </c>
      <c r="CD4" s="1759">
        <v>34.527600905318742</v>
      </c>
      <c r="CE4" s="1757">
        <v>37.120479064503954</v>
      </c>
      <c r="CF4" s="1758">
        <v>45.53382308562805</v>
      </c>
      <c r="CG4" s="1758">
        <v>50.571961523953235</v>
      </c>
      <c r="CH4" s="1758">
        <v>37.469941531497554</v>
      </c>
      <c r="CI4" s="1758">
        <v>38.46745944926441</v>
      </c>
      <c r="CJ4" s="1758">
        <v>41.452355714824598</v>
      </c>
      <c r="CK4" s="1758">
        <v>41.399796303281796</v>
      </c>
      <c r="CL4" s="1758">
        <v>37.963738822652758</v>
      </c>
      <c r="CM4" s="1758">
        <v>42.893820789865877</v>
      </c>
      <c r="CN4" s="1758">
        <v>41.92702123695976</v>
      </c>
      <c r="CO4" s="1758">
        <v>44.328079359165415</v>
      </c>
      <c r="CP4" s="1759">
        <v>34.333057004470916</v>
      </c>
      <c r="CQ4" s="1760">
        <v>37.953165052160962</v>
      </c>
      <c r="CR4" s="1761">
        <v>47.686626304023861</v>
      </c>
      <c r="CS4" s="1761">
        <v>43.072304519032443</v>
      </c>
      <c r="CT4" s="1761">
        <v>41.450525131282824</v>
      </c>
      <c r="CU4" s="1761">
        <v>40.093342085521364</v>
      </c>
      <c r="CV4" s="1761">
        <v>39.84246061515379</v>
      </c>
      <c r="CW4" s="1761">
        <v>42.72</v>
      </c>
      <c r="CX4" s="1761">
        <v>40.92895180948809</v>
      </c>
      <c r="CY4" s="1761">
        <v>46.331953549353813</v>
      </c>
      <c r="CZ4" s="1761">
        <v>44.331766248361113</v>
      </c>
      <c r="DA4" s="1761">
        <v>48.645898539872697</v>
      </c>
      <c r="DB4" s="1762">
        <v>37.623448146761497</v>
      </c>
      <c r="DC4" s="1763">
        <v>39.07872519655561</v>
      </c>
      <c r="DD4" s="1747">
        <v>39.194721078247845</v>
      </c>
      <c r="DE4" s="1747">
        <v>43.579614376637949</v>
      </c>
      <c r="DF4" s="1747">
        <v>40.136302882815428</v>
      </c>
      <c r="DG4" s="1747">
        <v>41.028940471733428</v>
      </c>
      <c r="DH4" s="1747">
        <v>41.490192775594238</v>
      </c>
      <c r="DI4" s="1747">
        <v>40.795545573647765</v>
      </c>
      <c r="DJ4" s="1747">
        <v>35.1780330358838</v>
      </c>
      <c r="DK4" s="1747">
        <v>36.523030187962789</v>
      </c>
      <c r="DL4" s="1747">
        <v>39.77643820011393</v>
      </c>
      <c r="DM4" s="1747">
        <v>40.83435839028094</v>
      </c>
      <c r="DN4" s="1764">
        <v>30.795355450236968</v>
      </c>
      <c r="DO4" s="1763">
        <v>30.90305229852969</v>
      </c>
      <c r="DP4" s="1747">
        <v>33.854531918853525</v>
      </c>
      <c r="DQ4" s="1747">
        <v>34.20158198399406</v>
      </c>
      <c r="DR4" s="1747">
        <v>34.207593523171411</v>
      </c>
      <c r="DS4" s="1747">
        <v>32.515559277870835</v>
      </c>
      <c r="DT4" s="1747">
        <v>36.128270984552394</v>
      </c>
      <c r="DU4" s="1747">
        <v>33.486916061790431</v>
      </c>
      <c r="DV4" s="1747">
        <v>33.155611390284768</v>
      </c>
      <c r="DW4" s="1747">
        <v>34.732793597617722</v>
      </c>
      <c r="DX4" s="1747">
        <v>54.906846511627897</v>
      </c>
      <c r="DY4" s="1747">
        <v>35.869030336869535</v>
      </c>
      <c r="DZ4" s="1747">
        <v>28.069086171598748</v>
      </c>
      <c r="EA4" s="1763">
        <v>31.310183956002284</v>
      </c>
      <c r="EB4" s="1747">
        <v>35.703394652000753</v>
      </c>
      <c r="EC4" s="1765"/>
      <c r="ED4" s="1765"/>
      <c r="EE4" s="1765"/>
      <c r="EF4" s="1765"/>
      <c r="EG4" s="1765"/>
      <c r="EH4" s="1765"/>
      <c r="EI4" s="1765"/>
      <c r="EJ4" s="1765"/>
      <c r="EK4" s="1765"/>
      <c r="EL4" s="1765"/>
      <c r="EM4" s="1777"/>
      <c r="EN4" s="1824"/>
      <c r="EO4" s="1824"/>
      <c r="EP4" s="1824"/>
      <c r="EQ4" s="1824"/>
      <c r="ER4" s="1824"/>
      <c r="ES4" s="1824"/>
      <c r="ET4" s="1824"/>
      <c r="EU4" s="1824"/>
      <c r="EV4" s="1824"/>
      <c r="EW4" s="1824"/>
      <c r="EX4" s="1824"/>
      <c r="EY4" s="1779"/>
      <c r="EZ4" s="573"/>
      <c r="FA4" s="1766">
        <v>23.372746793996534</v>
      </c>
      <c r="FB4" s="1766">
        <v>25.869116141136971</v>
      </c>
      <c r="FC4" s="1766">
        <v>29.544555946458292</v>
      </c>
      <c r="FD4" s="1766">
        <v>26.734118218920994</v>
      </c>
      <c r="FE4" s="1766">
        <v>29.70919481210553</v>
      </c>
      <c r="FF4" s="1766">
        <v>31.931546736957173</v>
      </c>
      <c r="FG4" s="1766">
        <v>38.432941346668819</v>
      </c>
      <c r="FH4" s="1766">
        <v>41.07665565909705</v>
      </c>
      <c r="FI4" s="1766">
        <v>42.556703500084367</v>
      </c>
      <c r="FJ4" s="1766">
        <v>39.038581514153336</v>
      </c>
      <c r="FK4" s="1766">
        <v>35.169239504730086</v>
      </c>
      <c r="FL4" s="1767">
        <v>35.357239037281737</v>
      </c>
      <c r="FM4" s="1768">
        <v>33</v>
      </c>
      <c r="FN4" s="1768">
        <v>34</v>
      </c>
      <c r="FO4" s="1594"/>
      <c r="FP4" s="1594"/>
      <c r="FQ4" s="1594"/>
      <c r="FR4" s="1594"/>
      <c r="FS4" s="1594"/>
      <c r="FT4" s="1594"/>
      <c r="FU4" s="1594"/>
      <c r="FV4" s="1594"/>
      <c r="FW4" s="1594"/>
      <c r="FX4" s="1595"/>
      <c r="FY4" s="1595"/>
      <c r="FZ4" s="1595"/>
      <c r="GA4" s="1595"/>
      <c r="GB4" s="1595"/>
      <c r="GC4" s="1595"/>
      <c r="GD4" s="1595"/>
      <c r="GE4" s="1595"/>
      <c r="GF4" s="1595"/>
      <c r="GG4" s="1595"/>
      <c r="GH4" s="1595"/>
      <c r="GL4" s="1594"/>
      <c r="GM4" s="1595"/>
      <c r="GN4" s="1595"/>
      <c r="GO4" s="1595"/>
      <c r="GP4" s="1595"/>
      <c r="GQ4" s="1595"/>
      <c r="GR4" s="1595"/>
      <c r="GS4" s="1595"/>
      <c r="GT4" s="1595"/>
      <c r="GU4" s="1595"/>
      <c r="GV4" s="1595"/>
      <c r="GW4" s="1595"/>
      <c r="GX4" s="1595"/>
      <c r="GY4" s="1595"/>
      <c r="GZ4" s="1595"/>
      <c r="HA4" s="1595"/>
      <c r="HB4" s="1595"/>
      <c r="HC4" s="1595"/>
      <c r="HD4" s="1595"/>
      <c r="HE4" s="1595"/>
      <c r="HF4" s="1595"/>
      <c r="HG4" s="1595"/>
      <c r="HH4" s="1595"/>
      <c r="HI4" s="1595"/>
      <c r="HJ4" s="1595"/>
      <c r="HK4" s="1595"/>
      <c r="HL4" s="1595"/>
      <c r="HM4" s="1595"/>
      <c r="HN4" s="1595"/>
      <c r="HO4" s="1595"/>
      <c r="HP4" s="1595"/>
      <c r="HQ4" s="1595"/>
      <c r="HR4" s="1595"/>
      <c r="HS4" s="1595"/>
      <c r="HT4" s="1595"/>
      <c r="HU4" s="1595"/>
      <c r="HV4" s="1595"/>
      <c r="HW4" s="1595"/>
      <c r="HX4" s="1595"/>
      <c r="HY4" s="1595"/>
      <c r="HZ4" s="1595"/>
      <c r="IA4" s="1595"/>
      <c r="IB4" s="1595"/>
      <c r="IC4" s="1595"/>
      <c r="ID4" s="1595"/>
      <c r="IE4" s="1595"/>
      <c r="IF4" s="1595"/>
      <c r="IG4" s="1595"/>
      <c r="IH4" s="1595"/>
      <c r="II4" s="1595"/>
      <c r="IJ4" s="1595"/>
      <c r="IK4" s="1595"/>
    </row>
    <row r="5" spans="1:245">
      <c r="A5" s="160"/>
      <c r="B5" s="1526" t="s">
        <v>1080</v>
      </c>
      <c r="C5" s="1780"/>
      <c r="D5" s="1781">
        <v>47.679746816948445</v>
      </c>
      <c r="E5" s="1781">
        <v>49.785466561762391</v>
      </c>
      <c r="F5" s="1781">
        <v>47.654692613370727</v>
      </c>
      <c r="G5" s="1781">
        <v>52.667835915772741</v>
      </c>
      <c r="H5" s="1781">
        <v>52.362469968956667</v>
      </c>
      <c r="I5" s="1781">
        <v>54.020690775054796</v>
      </c>
      <c r="J5" s="1782">
        <v>38.279392325145508</v>
      </c>
      <c r="K5" s="1783">
        <v>50.032098360655738</v>
      </c>
      <c r="L5" s="1784">
        <v>51.395111801242237</v>
      </c>
      <c r="M5" s="1784">
        <v>54.527354037267081</v>
      </c>
      <c r="N5" s="1784">
        <v>50.743149068322985</v>
      </c>
      <c r="O5" s="1784">
        <v>49.945372670807451</v>
      </c>
      <c r="P5" s="1784">
        <v>60.3105900621118</v>
      </c>
      <c r="Q5" s="1784">
        <v>55.721690734055358</v>
      </c>
      <c r="R5" s="1784">
        <v>52.353605970149253</v>
      </c>
      <c r="S5" s="1784">
        <v>58.464119402985069</v>
      </c>
      <c r="T5" s="1784">
        <v>56.438005970149256</v>
      </c>
      <c r="U5" s="1784">
        <v>59.924847761194023</v>
      </c>
      <c r="V5" s="1785">
        <v>42.192817610062889</v>
      </c>
      <c r="W5" s="1786">
        <v>48.616213836477989</v>
      </c>
      <c r="X5" s="1781">
        <v>60.675938650306747</v>
      </c>
      <c r="Y5" s="1781">
        <v>54.881018404907969</v>
      </c>
      <c r="Z5" s="1781">
        <v>60.654920245398777</v>
      </c>
      <c r="AA5" s="1781">
        <v>60.215638820638823</v>
      </c>
      <c r="AB5" s="1781">
        <v>65.371375921375929</v>
      </c>
      <c r="AC5" s="1781">
        <v>65.608409090909092</v>
      </c>
      <c r="AD5" s="1781">
        <v>60.969858722358723</v>
      </c>
      <c r="AE5" s="1781">
        <v>66.789895577395583</v>
      </c>
      <c r="AF5" s="1781">
        <v>67.991038083538086</v>
      </c>
      <c r="AG5" s="1781">
        <v>71.770374692874697</v>
      </c>
      <c r="AH5" s="1782">
        <v>52.009883292383286</v>
      </c>
      <c r="AI5" s="1787">
        <v>45.859829612220913</v>
      </c>
      <c r="AJ5" s="1787">
        <v>51.11854876615746</v>
      </c>
      <c r="AK5" s="1787">
        <v>59.243773234200752</v>
      </c>
      <c r="AL5" s="1787">
        <v>49.800161090458481</v>
      </c>
      <c r="AM5" s="1787">
        <v>48.093215613382903</v>
      </c>
      <c r="AN5" s="1787">
        <v>52.554182156133834</v>
      </c>
      <c r="AO5" s="1787">
        <v>54.0116935483871</v>
      </c>
      <c r="AP5" s="1787">
        <v>58.807139256458726</v>
      </c>
      <c r="AQ5" s="1787">
        <v>55.183919344675481</v>
      </c>
      <c r="AR5" s="1787">
        <v>61.085419029615629</v>
      </c>
      <c r="AS5" s="1787">
        <v>62.524725897920604</v>
      </c>
      <c r="AT5" s="1787">
        <v>43.734851921865157</v>
      </c>
      <c r="AU5" s="1788">
        <v>49.991906543988421</v>
      </c>
      <c r="AV5" s="1789">
        <v>63.223787396562699</v>
      </c>
      <c r="AW5" s="1789">
        <v>63.255143220878423</v>
      </c>
      <c r="AX5" s="1789">
        <v>55.447428389560791</v>
      </c>
      <c r="AY5" s="1789">
        <v>59.210509229789949</v>
      </c>
      <c r="AZ5" s="1789">
        <v>59.70238064926798</v>
      </c>
      <c r="BA5" s="1789">
        <v>59.176919159770847</v>
      </c>
      <c r="BB5" s="1789">
        <v>58.727625716104392</v>
      </c>
      <c r="BC5" s="1789">
        <v>56.816569064290256</v>
      </c>
      <c r="BD5" s="1789">
        <v>65.448561425843423</v>
      </c>
      <c r="BE5" s="1789">
        <v>61.837638446849141</v>
      </c>
      <c r="BF5" s="1790">
        <v>58.280082749840865</v>
      </c>
      <c r="BG5" s="1791">
        <v>53.010458306810946</v>
      </c>
      <c r="BH5" s="1792">
        <v>68.44998726925526</v>
      </c>
      <c r="BI5" s="1792">
        <v>67.345245066836412</v>
      </c>
      <c r="BJ5" s="1792">
        <v>55.148752387014632</v>
      </c>
      <c r="BK5" s="1792">
        <v>60.878376830044559</v>
      </c>
      <c r="BL5" s="1792">
        <v>63.59388287714831</v>
      </c>
      <c r="BM5" s="1792">
        <v>62.703176320814769</v>
      </c>
      <c r="BN5" s="1792">
        <v>63.681922342457035</v>
      </c>
      <c r="BO5" s="1792">
        <v>65.561998726925523</v>
      </c>
      <c r="BP5" s="1792">
        <v>66.139809038828773</v>
      </c>
      <c r="BQ5" s="1792">
        <v>82.360502864417569</v>
      </c>
      <c r="BR5" s="1793">
        <v>64.880070019096124</v>
      </c>
      <c r="BS5" s="1794">
        <v>69.957173774665819</v>
      </c>
      <c r="BT5" s="1795">
        <v>79.423761935073202</v>
      </c>
      <c r="BU5" s="1795">
        <v>86.889382558879689</v>
      </c>
      <c r="BV5" s="1795">
        <v>75.461623169955445</v>
      </c>
      <c r="BW5" s="1795">
        <v>76.529560789306174</v>
      </c>
      <c r="BX5" s="1795">
        <v>81.154626773596561</v>
      </c>
      <c r="BY5" s="1795">
        <v>73.017760641579272</v>
      </c>
      <c r="BZ5" s="1795">
        <v>72.183238741517584</v>
      </c>
      <c r="CA5" s="1795">
        <v>75.619858112276361</v>
      </c>
      <c r="CB5" s="1795">
        <v>81.079987661937068</v>
      </c>
      <c r="CC5" s="1795">
        <v>90.729265885256012</v>
      </c>
      <c r="CD5" s="1796">
        <v>70.501110425663171</v>
      </c>
      <c r="CE5" s="1797">
        <v>76.757686613201727</v>
      </c>
      <c r="CF5" s="1798">
        <v>94.689950647748304</v>
      </c>
      <c r="CG5" s="1798">
        <v>107.13884022208514</v>
      </c>
      <c r="CH5" s="1798">
        <v>70.057637260950031</v>
      </c>
      <c r="CI5" s="1798">
        <v>72.091363355953121</v>
      </c>
      <c r="CJ5" s="1798">
        <v>80.033528685996302</v>
      </c>
      <c r="CK5" s="1798">
        <v>77.883189389265866</v>
      </c>
      <c r="CL5" s="1798">
        <v>66.28036397285625</v>
      </c>
      <c r="CM5" s="1798">
        <v>80.029185687847004</v>
      </c>
      <c r="CN5" s="1798">
        <v>75.794867365823563</v>
      </c>
      <c r="CO5" s="1798">
        <v>80.479969154842692</v>
      </c>
      <c r="CP5" s="1799">
        <v>61.725508945095612</v>
      </c>
      <c r="CQ5" s="1800">
        <v>68.996952498457745</v>
      </c>
      <c r="CR5" s="1801">
        <v>90.012652683528685</v>
      </c>
      <c r="CS5" s="1801">
        <v>79.607402837754478</v>
      </c>
      <c r="CT5" s="1801">
        <v>78.20518198642813</v>
      </c>
      <c r="CU5" s="1801">
        <v>72.110857495373224</v>
      </c>
      <c r="CV5" s="1801">
        <v>71.305181986428124</v>
      </c>
      <c r="CW5" s="1801">
        <v>79.88</v>
      </c>
      <c r="CX5" s="1801">
        <v>72.157001850709435</v>
      </c>
      <c r="CY5" s="1801">
        <v>89.425416409623693</v>
      </c>
      <c r="CZ5" s="1801">
        <v>80.490746452806903</v>
      </c>
      <c r="DA5" s="1801">
        <v>90.818932757557064</v>
      </c>
      <c r="DB5" s="1802">
        <v>64.162837754472548</v>
      </c>
      <c r="DC5" s="1803">
        <v>72.552362739049968</v>
      </c>
      <c r="DD5" s="1804">
        <v>76.972424429364594</v>
      </c>
      <c r="DE5" s="1804">
        <v>79.760950030845152</v>
      </c>
      <c r="DF5" s="1804">
        <v>72.85033312769896</v>
      </c>
      <c r="DG5" s="1804">
        <v>77.61992597162245</v>
      </c>
      <c r="DH5" s="1804">
        <v>72.698766193707584</v>
      </c>
      <c r="DI5" s="1804">
        <v>72.189512646514501</v>
      </c>
      <c r="DJ5" s="1804">
        <v>62.62861576660459</v>
      </c>
      <c r="DK5" s="1804">
        <v>65.664556176288016</v>
      </c>
      <c r="DL5" s="1804">
        <v>73.581253879577901</v>
      </c>
      <c r="DM5" s="1804">
        <v>77.720049658597148</v>
      </c>
      <c r="DN5" s="1805">
        <v>51.636917339962707</v>
      </c>
      <c r="DO5" s="1806">
        <v>52.148213239601638</v>
      </c>
      <c r="DP5" s="1807">
        <v>62.262390158172231</v>
      </c>
      <c r="DQ5" s="1807">
        <v>60.431400117164614</v>
      </c>
      <c r="DR5" s="1807">
        <v>62.780374926772112</v>
      </c>
      <c r="DS5" s="1807">
        <v>60.835500878734628</v>
      </c>
      <c r="DT5" s="1807">
        <v>64.521148213239599</v>
      </c>
      <c r="DU5" s="1807">
        <v>58.689455184534268</v>
      </c>
      <c r="DV5" s="1807">
        <v>54.938605741066205</v>
      </c>
      <c r="DW5" s="1807">
        <v>61.232513181019335</v>
      </c>
      <c r="DX5" s="1807">
        <v>104.36502636203866</v>
      </c>
      <c r="DY5" s="1807">
        <v>67.923960164030461</v>
      </c>
      <c r="DZ5" s="1807">
        <v>47.208318687756297</v>
      </c>
      <c r="EA5" s="1829">
        <v>56.272682016179211</v>
      </c>
      <c r="EB5" s="1808">
        <v>65.911698817672686</v>
      </c>
      <c r="EC5" s="1809"/>
      <c r="ED5" s="1819">
        <v>60.4</v>
      </c>
      <c r="EE5" s="1819">
        <v>55.85</v>
      </c>
      <c r="EF5" s="1819">
        <v>59.81</v>
      </c>
      <c r="EG5" s="1819">
        <v>57.58</v>
      </c>
      <c r="EH5" s="1819">
        <v>55.13</v>
      </c>
      <c r="EI5" s="1819">
        <v>54.13</v>
      </c>
      <c r="EJ5" s="1819">
        <v>58.89</v>
      </c>
      <c r="EK5" s="1819">
        <v>63.49</v>
      </c>
      <c r="EL5" s="1819">
        <v>47.73</v>
      </c>
      <c r="EM5" s="1821">
        <v>50.89</v>
      </c>
      <c r="EN5" s="1819"/>
      <c r="EO5" s="1819"/>
      <c r="EP5" s="1819">
        <v>69.37</v>
      </c>
      <c r="EQ5" s="1819">
        <v>61.17</v>
      </c>
      <c r="ER5" s="1819">
        <v>57.58</v>
      </c>
      <c r="ES5" s="1819">
        <v>60.46</v>
      </c>
      <c r="ET5" s="1819">
        <v>55.47</v>
      </c>
      <c r="EU5" s="1819">
        <v>66.459999999999994</v>
      </c>
      <c r="EV5" s="1819">
        <v>68.3</v>
      </c>
      <c r="EW5" s="1819">
        <v>69.61</v>
      </c>
      <c r="EX5" s="1819">
        <v>48.88</v>
      </c>
      <c r="EY5" s="1821">
        <v>53.69</v>
      </c>
      <c r="EZ5" s="1811"/>
      <c r="FA5" s="1812">
        <v>48.929942462991697</v>
      </c>
      <c r="FB5" s="1813">
        <v>53.556042913642351</v>
      </c>
      <c r="FC5" s="1813">
        <v>61.270826662183765</v>
      </c>
      <c r="FD5" s="1813">
        <v>53.439986070370047</v>
      </c>
      <c r="FE5" s="1813">
        <v>59.241583621106351</v>
      </c>
      <c r="FF5" s="1813">
        <v>64.422916561303751</v>
      </c>
      <c r="FG5" s="1813">
        <v>77.670165122608381</v>
      </c>
      <c r="FH5" s="1813">
        <v>78.457957966078766</v>
      </c>
      <c r="FI5" s="1812">
        <v>78.09776372609501</v>
      </c>
      <c r="FJ5" s="1812">
        <v>71.281825096216892</v>
      </c>
      <c r="FK5" s="1812">
        <v>63.111408904510832</v>
      </c>
      <c r="FL5" s="1814">
        <v>63.759223690850689</v>
      </c>
      <c r="FM5" s="1815">
        <f>AVERAGE(EM5:EX5)</f>
        <v>60.818999999999996</v>
      </c>
      <c r="FN5" s="1815">
        <f>AVERAGE(EN5:EY5)</f>
        <v>61.099000000000004</v>
      </c>
      <c r="FO5" s="1769"/>
      <c r="FP5" s="1769"/>
      <c r="FQ5" s="1769"/>
      <c r="FR5" s="1769"/>
      <c r="FS5" s="1769"/>
      <c r="FT5" s="1769"/>
      <c r="FU5" s="1769"/>
      <c r="FV5" s="1769"/>
      <c r="FW5" s="1769"/>
      <c r="FX5" s="1770"/>
      <c r="FY5" s="1770"/>
      <c r="FZ5" s="1770"/>
      <c r="GA5" s="1770"/>
      <c r="GB5" s="1770"/>
      <c r="GC5" s="1770"/>
      <c r="GD5" s="1770"/>
      <c r="GE5" s="1770"/>
      <c r="GF5" s="1770"/>
      <c r="GG5" s="1770"/>
      <c r="GH5" s="1770"/>
      <c r="GI5" s="161"/>
      <c r="GJ5" s="161"/>
      <c r="GK5" s="161"/>
      <c r="GL5" s="1769"/>
      <c r="GM5" s="1770"/>
      <c r="GN5" s="1770"/>
      <c r="GO5" s="1770"/>
      <c r="GP5" s="1770"/>
      <c r="GQ5" s="1770"/>
      <c r="GR5" s="1770"/>
      <c r="GS5" s="1770"/>
      <c r="GT5" s="1770"/>
      <c r="GU5" s="1770"/>
      <c r="GV5" s="1770"/>
      <c r="GW5" s="1770"/>
      <c r="GX5" s="1770"/>
      <c r="GY5" s="1770"/>
      <c r="GZ5" s="1770"/>
      <c r="HA5" s="1770"/>
      <c r="HB5" s="1770"/>
      <c r="HC5" s="1770"/>
      <c r="HD5" s="1770"/>
      <c r="HE5" s="1770"/>
      <c r="HF5" s="1770"/>
      <c r="HG5" s="1770"/>
      <c r="HH5" s="1770"/>
      <c r="HI5" s="1770"/>
      <c r="HJ5" s="1770"/>
      <c r="HK5" s="1770"/>
      <c r="HL5" s="1770"/>
      <c r="HM5" s="1770"/>
      <c r="HN5" s="1770"/>
      <c r="HO5" s="1770"/>
      <c r="HP5" s="1770"/>
      <c r="HQ5" s="1770"/>
      <c r="HR5" s="1770"/>
      <c r="HS5" s="1770"/>
      <c r="HT5" s="1770"/>
      <c r="HU5" s="1770"/>
      <c r="HV5" s="1770"/>
      <c r="HW5" s="1770"/>
      <c r="HX5" s="1770"/>
      <c r="HY5" s="1770"/>
      <c r="HZ5" s="1770"/>
      <c r="IA5" s="1770"/>
      <c r="IB5" s="1770"/>
      <c r="IC5" s="1770"/>
      <c r="ID5" s="1770"/>
      <c r="IE5" s="1770"/>
      <c r="IF5" s="1770"/>
      <c r="IG5" s="1770"/>
      <c r="IH5" s="1770"/>
      <c r="II5" s="1770"/>
      <c r="IJ5" s="1770"/>
      <c r="IK5" s="1770"/>
    </row>
    <row r="6" spans="1:245">
      <c r="A6" s="160"/>
      <c r="B6" s="1526" t="s">
        <v>1081</v>
      </c>
      <c r="C6" s="1780"/>
      <c r="D6" s="1781">
        <v>16.966722058943091</v>
      </c>
      <c r="E6" s="1781">
        <v>17.498018949804713</v>
      </c>
      <c r="F6" s="1781">
        <v>18.449165790310349</v>
      </c>
      <c r="G6" s="1781">
        <v>17.425036498213377</v>
      </c>
      <c r="H6" s="1781">
        <v>19.2775558119701</v>
      </c>
      <c r="I6" s="1781">
        <v>18.837458398335933</v>
      </c>
      <c r="J6" s="1782">
        <v>15.456523216582928</v>
      </c>
      <c r="K6" s="1783">
        <v>17.663753462603875</v>
      </c>
      <c r="L6" s="1784">
        <v>18.801721752498079</v>
      </c>
      <c r="M6" s="1784">
        <v>18.470989583333335</v>
      </c>
      <c r="N6" s="1784">
        <v>18.08337053571428</v>
      </c>
      <c r="O6" s="1784">
        <v>18.815133928571427</v>
      </c>
      <c r="P6" s="1784">
        <v>20.711912202380951</v>
      </c>
      <c r="Q6" s="1784">
        <v>21.283325859491775</v>
      </c>
      <c r="R6" s="1784">
        <v>20.554373134328362</v>
      </c>
      <c r="S6" s="1784">
        <v>18.820868263473052</v>
      </c>
      <c r="T6" s="1784">
        <v>21.780187125748501</v>
      </c>
      <c r="U6" s="1784">
        <v>22.674468562874257</v>
      </c>
      <c r="V6" s="1785">
        <v>17.07140718562874</v>
      </c>
      <c r="W6" s="1786">
        <v>20.037178143712573</v>
      </c>
      <c r="X6" s="1781">
        <v>21.003413173652692</v>
      </c>
      <c r="Y6" s="1781">
        <v>20.673308383233529</v>
      </c>
      <c r="Z6" s="1781">
        <v>21.464326347305384</v>
      </c>
      <c r="AA6" s="1781">
        <v>21.70078313253012</v>
      </c>
      <c r="AB6" s="1781">
        <v>23.736980421686752</v>
      </c>
      <c r="AC6" s="1781">
        <v>24.924277108433731</v>
      </c>
      <c r="AD6" s="1781">
        <v>22.835474397590364</v>
      </c>
      <c r="AE6" s="1781">
        <v>23.544103915662657</v>
      </c>
      <c r="AF6" s="1781">
        <v>24.78524417731029</v>
      </c>
      <c r="AG6" s="1781">
        <v>25.46710743801653</v>
      </c>
      <c r="AH6" s="1782">
        <v>22.139134036144572</v>
      </c>
      <c r="AI6" s="1787">
        <v>21.812514705882354</v>
      </c>
      <c r="AJ6" s="1787">
        <v>21.981757352941177</v>
      </c>
      <c r="AK6" s="1787">
        <v>20.474090909090915</v>
      </c>
      <c r="AL6" s="1787">
        <v>21.749441132637845</v>
      </c>
      <c r="AM6" s="1787">
        <v>22.560553914327912</v>
      </c>
      <c r="AN6" s="1787">
        <v>21.805158204562176</v>
      </c>
      <c r="AO6" s="1787">
        <v>23.351383370125092</v>
      </c>
      <c r="AP6" s="1787">
        <v>20.860126206384557</v>
      </c>
      <c r="AQ6" s="1787">
        <v>21.955830860534125</v>
      </c>
      <c r="AR6" s="1787">
        <v>23.142690058479531</v>
      </c>
      <c r="AS6" s="1787">
        <v>23.668757309941522</v>
      </c>
      <c r="AT6" s="1787">
        <v>20.320958302852961</v>
      </c>
      <c r="AU6" s="1788">
        <v>22.604015270514786</v>
      </c>
      <c r="AV6" s="1789">
        <v>26.970537037037037</v>
      </c>
      <c r="AW6" s="1789">
        <v>26.869592592592593</v>
      </c>
      <c r="AX6" s="1789">
        <v>26.811092896174863</v>
      </c>
      <c r="AY6" s="1789">
        <v>26.649993928354586</v>
      </c>
      <c r="AZ6" s="1789">
        <v>28.983703703703704</v>
      </c>
      <c r="BA6" s="1789">
        <v>29.680771098967814</v>
      </c>
      <c r="BB6" s="1789">
        <v>26.696442015786282</v>
      </c>
      <c r="BC6" s="1789">
        <v>26.448785670916813</v>
      </c>
      <c r="BD6" s="1789">
        <v>29.941244687310256</v>
      </c>
      <c r="BE6" s="1789">
        <v>31.372301153612625</v>
      </c>
      <c r="BF6" s="1790">
        <v>25.926721311475411</v>
      </c>
      <c r="BG6" s="1791">
        <v>24.716788099574977</v>
      </c>
      <c r="BH6" s="1792">
        <v>28.590686095931993</v>
      </c>
      <c r="BI6" s="1792">
        <v>29.029265330904675</v>
      </c>
      <c r="BJ6" s="1792">
        <v>28.67691560412872</v>
      </c>
      <c r="BK6" s="1792">
        <v>27.611220400728595</v>
      </c>
      <c r="BL6" s="1792">
        <v>27.88006071645416</v>
      </c>
      <c r="BM6" s="1792">
        <v>30.885488767455982</v>
      </c>
      <c r="BN6" s="1792">
        <v>30.082422586520941</v>
      </c>
      <c r="BO6" s="1792">
        <v>29.30012143290832</v>
      </c>
      <c r="BP6" s="1792">
        <v>31.712176505664878</v>
      </c>
      <c r="BQ6" s="1792">
        <v>34.068050089445443</v>
      </c>
      <c r="BR6" s="1793">
        <v>27.887871198568874</v>
      </c>
      <c r="BS6" s="1794">
        <v>30.323792486583191</v>
      </c>
      <c r="BT6" s="1795">
        <v>32.335336911150861</v>
      </c>
      <c r="BU6" s="1795">
        <v>33.427608825283244</v>
      </c>
      <c r="BV6" s="1795">
        <v>31.864269528920698</v>
      </c>
      <c r="BW6" s="1795">
        <v>33.33532498509242</v>
      </c>
      <c r="BX6" s="1795">
        <v>36.309326177698267</v>
      </c>
      <c r="BY6" s="1795">
        <v>34.625266549502051</v>
      </c>
      <c r="BZ6" s="1795">
        <v>33.921857059168133</v>
      </c>
      <c r="CA6" s="1795">
        <v>34.064704159343876</v>
      </c>
      <c r="CB6" s="1795">
        <v>35.372214411247811</v>
      </c>
      <c r="CC6" s="1795">
        <v>39.47244288224956</v>
      </c>
      <c r="CD6" s="1796">
        <v>29.279332161687169</v>
      </c>
      <c r="CE6" s="1797">
        <v>30.880497949619215</v>
      </c>
      <c r="CF6" s="1798">
        <v>39.658816637375516</v>
      </c>
      <c r="CG6" s="1798">
        <v>42.342390158172229</v>
      </c>
      <c r="CH6" s="1798">
        <v>37.397065026362043</v>
      </c>
      <c r="CI6" s="1798">
        <v>38.61048623315758</v>
      </c>
      <c r="CJ6" s="1798">
        <v>40.799420035149382</v>
      </c>
      <c r="CK6" s="1798">
        <v>42.353573520796729</v>
      </c>
      <c r="CL6" s="1798">
        <v>42.347794698251541</v>
      </c>
      <c r="CM6" s="1798">
        <v>44.456965595036671</v>
      </c>
      <c r="CN6" s="1798">
        <v>44.385504794134235</v>
      </c>
      <c r="CO6" s="1798">
        <v>46.855279187817267</v>
      </c>
      <c r="CP6" s="1799">
        <v>35.280028200789623</v>
      </c>
      <c r="CQ6" s="1800">
        <v>37.981082910321483</v>
      </c>
      <c r="CR6" s="1801">
        <v>48.003107727016364</v>
      </c>
      <c r="CS6" s="1801">
        <v>43.472453044962997</v>
      </c>
      <c r="CT6" s="1801">
        <v>41.372396129766649</v>
      </c>
      <c r="CU6" s="1801">
        <v>43.261809903244163</v>
      </c>
      <c r="CV6" s="1801">
        <v>42.623278315310188</v>
      </c>
      <c r="CW6" s="1801">
        <v>42.65</v>
      </c>
      <c r="CX6" s="1801">
        <v>44.541718838929988</v>
      </c>
      <c r="CY6" s="1801">
        <v>44.216676152532727</v>
      </c>
      <c r="CZ6" s="1801">
        <v>44.813716562322142</v>
      </c>
      <c r="DA6" s="1801">
        <v>47.927426136363636</v>
      </c>
      <c r="DB6" s="1802">
        <v>41.379761363636376</v>
      </c>
      <c r="DC6" s="1803">
        <v>37.34382954545454</v>
      </c>
      <c r="DD6" s="1804">
        <v>34.54869318181818</v>
      </c>
      <c r="DE6" s="1804">
        <v>43.373068181818184</v>
      </c>
      <c r="DF6" s="1804">
        <v>40.736164772727271</v>
      </c>
      <c r="DG6" s="1804">
        <v>38.964715909090913</v>
      </c>
      <c r="DH6" s="1804">
        <v>44.373713962690786</v>
      </c>
      <c r="DI6" s="1804">
        <v>44.292707744488396</v>
      </c>
      <c r="DJ6" s="1804">
        <v>37.216311239193089</v>
      </c>
      <c r="DK6" s="1804">
        <v>38.027031700288184</v>
      </c>
      <c r="DL6" s="1804">
        <v>39.978213256484153</v>
      </c>
      <c r="DM6" s="1804">
        <v>38.884070294784578</v>
      </c>
      <c r="DN6" s="1805">
        <v>32.895186862967158</v>
      </c>
      <c r="DO6" s="1806">
        <v>32.587499999999991</v>
      </c>
      <c r="DP6" s="1807">
        <v>32.297169811320749</v>
      </c>
      <c r="DQ6" s="1807">
        <v>34.522169811320751</v>
      </c>
      <c r="DR6" s="1807">
        <v>33.908667452830187</v>
      </c>
      <c r="DS6" s="1807">
        <v>31.496639150943402</v>
      </c>
      <c r="DT6" s="1807">
        <v>37.479716981132079</v>
      </c>
      <c r="DU6" s="1807">
        <v>35.56462264150943</v>
      </c>
      <c r="DV6" s="1807">
        <v>37.299587264150937</v>
      </c>
      <c r="DW6" s="1807">
        <v>35.481132075471699</v>
      </c>
      <c r="DX6" s="1807">
        <v>51.774028268551241</v>
      </c>
      <c r="DY6" s="1807">
        <v>33.110377358490567</v>
      </c>
      <c r="DZ6" s="1807">
        <v>29.660318396226419</v>
      </c>
      <c r="EA6" s="1829">
        <v>30.897818396226413</v>
      </c>
      <c r="EB6" s="1808">
        <v>34.832783018867921</v>
      </c>
      <c r="EC6" s="1809"/>
      <c r="ED6" s="1819">
        <v>34.11</v>
      </c>
      <c r="EE6" s="1819">
        <v>33.049999999999997</v>
      </c>
      <c r="EF6" s="1819">
        <v>38.020000000000003</v>
      </c>
      <c r="EG6" s="1819">
        <v>36.71</v>
      </c>
      <c r="EH6" s="1819">
        <v>33.229999999999997</v>
      </c>
      <c r="EI6" s="1819">
        <v>38.450000000000003</v>
      </c>
      <c r="EJ6" s="1819">
        <v>37.479999999999997</v>
      </c>
      <c r="EK6" s="1819">
        <v>40.43</v>
      </c>
      <c r="EL6" s="1819">
        <v>27.79</v>
      </c>
      <c r="EM6" s="1821">
        <v>30.39</v>
      </c>
      <c r="EN6" s="1819"/>
      <c r="EO6" s="1819"/>
      <c r="EP6" s="1819">
        <v>36.53</v>
      </c>
      <c r="EQ6" s="1819">
        <v>36.31</v>
      </c>
      <c r="ER6" s="1819">
        <v>36.71</v>
      </c>
      <c r="ES6" s="1819">
        <v>37.4</v>
      </c>
      <c r="ET6" s="1819">
        <v>32.36</v>
      </c>
      <c r="EU6" s="1819">
        <v>37.44</v>
      </c>
      <c r="EV6" s="1819">
        <v>36.869999999999997</v>
      </c>
      <c r="EW6" s="1819">
        <v>38.24</v>
      </c>
      <c r="EX6" s="1819">
        <v>25.5</v>
      </c>
      <c r="EY6" s="1821">
        <v>29.9</v>
      </c>
      <c r="EZ6" s="1811"/>
      <c r="FA6" s="1816">
        <v>17.688690556855139</v>
      </c>
      <c r="FB6" s="1817">
        <v>19.549551906671834</v>
      </c>
      <c r="FC6" s="1817">
        <v>22.68956026182321</v>
      </c>
      <c r="FD6" s="1817">
        <v>21.973248989387827</v>
      </c>
      <c r="FE6" s="1817">
        <v>27.413134128704503</v>
      </c>
      <c r="FF6" s="1817">
        <v>29.209036934005614</v>
      </c>
      <c r="FG6" s="1817">
        <v>33.689439094335256</v>
      </c>
      <c r="FH6" s="1817">
        <v>40.46763159931325</v>
      </c>
      <c r="FI6" s="1816">
        <v>43.520285590367223</v>
      </c>
      <c r="FJ6" s="1816">
        <v>39.249211161470001</v>
      </c>
      <c r="FK6" s="1816">
        <v>35.431827434328959</v>
      </c>
      <c r="FL6" s="1818">
        <v>35.502321734643424</v>
      </c>
      <c r="FM6" s="1815">
        <f>AVERAGE(EM6:EX6)</f>
        <v>34.774999999999999</v>
      </c>
      <c r="FN6" s="1815">
        <f>AVERAGE(EN6:EY6)</f>
        <v>34.725999999999999</v>
      </c>
      <c r="FO6" s="1769"/>
      <c r="FP6" s="1769"/>
      <c r="FQ6" s="1769"/>
      <c r="FR6" s="1769"/>
      <c r="FS6" s="1769"/>
      <c r="FT6" s="1769"/>
      <c r="FU6" s="1769"/>
      <c r="FV6" s="1769"/>
      <c r="FW6" s="1769"/>
      <c r="FX6" s="1770"/>
      <c r="FY6" s="1770"/>
      <c r="FZ6" s="1770"/>
      <c r="GA6" s="1770"/>
      <c r="GB6" s="1770"/>
      <c r="GC6" s="1770"/>
      <c r="GD6" s="1770"/>
      <c r="GE6" s="1770"/>
      <c r="GF6" s="1770"/>
      <c r="GG6" s="1770"/>
      <c r="GH6" s="1770"/>
      <c r="GI6" s="161"/>
      <c r="GJ6" s="161"/>
      <c r="GK6" s="161"/>
      <c r="GL6" s="1769"/>
      <c r="GM6" s="1770"/>
      <c r="GN6" s="1770"/>
      <c r="GO6" s="1770"/>
      <c r="GP6" s="1770"/>
      <c r="GQ6" s="1770"/>
      <c r="GR6" s="1770"/>
      <c r="GS6" s="1770"/>
      <c r="GT6" s="1770"/>
      <c r="GU6" s="1770"/>
      <c r="GV6" s="1770"/>
      <c r="GW6" s="1770"/>
      <c r="GX6" s="1770"/>
      <c r="GY6" s="1770"/>
      <c r="GZ6" s="1770"/>
      <c r="HA6" s="1770"/>
      <c r="HB6" s="1770"/>
      <c r="HC6" s="1770"/>
      <c r="HD6" s="1770"/>
      <c r="HE6" s="1770"/>
      <c r="HF6" s="1770"/>
      <c r="HG6" s="1770"/>
      <c r="HH6" s="1770"/>
      <c r="HI6" s="1770"/>
      <c r="HJ6" s="1770"/>
      <c r="HK6" s="1770"/>
      <c r="HL6" s="1770"/>
      <c r="HM6" s="1770"/>
      <c r="HN6" s="1770"/>
      <c r="HO6" s="1770"/>
      <c r="HP6" s="1770"/>
      <c r="HQ6" s="1770"/>
      <c r="HR6" s="1770"/>
      <c r="HS6" s="1770"/>
      <c r="HT6" s="1770"/>
      <c r="HU6" s="1770"/>
      <c r="HV6" s="1770"/>
      <c r="HW6" s="1770"/>
      <c r="HX6" s="1770"/>
      <c r="HY6" s="1770"/>
      <c r="HZ6" s="1770"/>
      <c r="IA6" s="1770"/>
      <c r="IB6" s="1770"/>
      <c r="IC6" s="1770"/>
      <c r="ID6" s="1770"/>
      <c r="IE6" s="1770"/>
      <c r="IF6" s="1770"/>
      <c r="IG6" s="1770"/>
      <c r="IH6" s="1770"/>
      <c r="II6" s="1770"/>
      <c r="IJ6" s="1770"/>
      <c r="IK6" s="1770"/>
    </row>
    <row r="7" spans="1:245">
      <c r="A7" s="160"/>
      <c r="B7" s="1526" t="s">
        <v>1082</v>
      </c>
      <c r="C7" s="1780"/>
      <c r="D7" s="1781">
        <v>6.7731461258450336</v>
      </c>
      <c r="E7" s="1781">
        <v>5.2588134614459188</v>
      </c>
      <c r="F7" s="1781">
        <v>5.4800206845604533</v>
      </c>
      <c r="G7" s="1781">
        <v>4.7550421614159353</v>
      </c>
      <c r="H7" s="1781">
        <v>5.3146800743395728</v>
      </c>
      <c r="I7" s="1781">
        <v>5.9421168135476066</v>
      </c>
      <c r="J7" s="1782">
        <v>5.659672481895984</v>
      </c>
      <c r="K7" s="1783">
        <v>6.541374407582941</v>
      </c>
      <c r="L7" s="1784">
        <v>6.7119222903885483</v>
      </c>
      <c r="M7" s="1784">
        <v>6.1075000000000017</v>
      </c>
      <c r="N7" s="1784">
        <v>6.4243462343096249</v>
      </c>
      <c r="O7" s="1784">
        <v>6.949121338912132</v>
      </c>
      <c r="P7" s="1784">
        <v>6.4536558577405856</v>
      </c>
      <c r="Q7" s="1784">
        <v>7.056842105263156</v>
      </c>
      <c r="R7" s="1784">
        <v>7.2251120375195406</v>
      </c>
      <c r="S7" s="1784">
        <v>6.9571800208116565</v>
      </c>
      <c r="T7" s="1784">
        <v>6.8355567117585849</v>
      </c>
      <c r="U7" s="1784">
        <v>7.6468486739469581</v>
      </c>
      <c r="V7" s="1785">
        <v>6.9448491155046819</v>
      </c>
      <c r="W7" s="1786">
        <v>6.5441398963730579</v>
      </c>
      <c r="X7" s="1781">
        <v>6.8726062176165792</v>
      </c>
      <c r="Y7" s="1781">
        <v>7.363331606217618</v>
      </c>
      <c r="Z7" s="1781">
        <v>7.6233212435233169</v>
      </c>
      <c r="AA7" s="1781">
        <v>7.6478808290155431</v>
      </c>
      <c r="AB7" s="1781">
        <v>7.4000725388601039</v>
      </c>
      <c r="AC7" s="1781">
        <v>8.1855906735751294</v>
      </c>
      <c r="AD7" s="1781">
        <v>8.2202020725388607</v>
      </c>
      <c r="AE7" s="1781">
        <v>8.1749740932642503</v>
      </c>
      <c r="AF7" s="1781">
        <v>7.3861709844559602</v>
      </c>
      <c r="AG7" s="1781">
        <v>8.1407505175983434</v>
      </c>
      <c r="AH7" s="1782">
        <v>7.2130392156862762</v>
      </c>
      <c r="AI7" s="1787">
        <v>7.7947744945567683</v>
      </c>
      <c r="AJ7" s="1787">
        <v>7.6063402061855685</v>
      </c>
      <c r="AK7" s="1787">
        <v>7.8286704604242079</v>
      </c>
      <c r="AL7" s="1787">
        <v>7.2351577858251428</v>
      </c>
      <c r="AM7" s="1787">
        <v>7.5425142265907921</v>
      </c>
      <c r="AN7" s="1787">
        <v>7.6174702534919811</v>
      </c>
      <c r="AO7" s="1787">
        <v>8.547178294573639</v>
      </c>
      <c r="AP7" s="1787">
        <v>8.1945007759958592</v>
      </c>
      <c r="AQ7" s="1787">
        <v>7.4877547853078052</v>
      </c>
      <c r="AR7" s="1787">
        <v>7.143005690636314</v>
      </c>
      <c r="AS7" s="1787">
        <v>7.6846663217796172</v>
      </c>
      <c r="AT7" s="1787">
        <v>8.1903514211886321</v>
      </c>
      <c r="AU7" s="1788">
        <v>8.0879896640826843</v>
      </c>
      <c r="AV7" s="1789">
        <v>8.4473928571428551</v>
      </c>
      <c r="AW7" s="1789">
        <v>7.6814336734693924</v>
      </c>
      <c r="AX7" s="1789">
        <v>7.7815910249872502</v>
      </c>
      <c r="AY7" s="1789">
        <v>8.3463233044365133</v>
      </c>
      <c r="AZ7" s="1789">
        <v>7.9255226925038222</v>
      </c>
      <c r="BA7" s="1789">
        <v>8.13011728709842</v>
      </c>
      <c r="BB7" s="1789">
        <v>8.0062774094849569</v>
      </c>
      <c r="BC7" s="1789">
        <v>7.7548240693523711</v>
      </c>
      <c r="BD7" s="1789">
        <v>8.0050892401835796</v>
      </c>
      <c r="BE7" s="1789">
        <v>7.492238653748089</v>
      </c>
      <c r="BF7" s="1790">
        <v>7.8648597654258019</v>
      </c>
      <c r="BG7" s="1791">
        <v>7.441422743498217</v>
      </c>
      <c r="BH7" s="1792">
        <v>8.1446404895461502</v>
      </c>
      <c r="BI7" s="1792">
        <v>7.2048546659867441</v>
      </c>
      <c r="BJ7" s="1792">
        <v>7.5493115757266711</v>
      </c>
      <c r="BK7" s="1792">
        <v>7.3164966853646094</v>
      </c>
      <c r="BL7" s="1792">
        <v>8.2027944926058112</v>
      </c>
      <c r="BM7" s="1792">
        <v>8.5212136664966867</v>
      </c>
      <c r="BN7" s="1792">
        <v>8.5001223865374786</v>
      </c>
      <c r="BO7" s="1792">
        <v>8.2735288118306993</v>
      </c>
      <c r="BP7" s="1792">
        <v>8.9197552269250391</v>
      </c>
      <c r="BQ7" s="1792">
        <v>9.2642274349821534</v>
      </c>
      <c r="BR7" s="1793">
        <v>9.0611575726670068</v>
      </c>
      <c r="BS7" s="1794">
        <v>9.14709841917389</v>
      </c>
      <c r="BT7" s="1795">
        <v>9.1806833248342681</v>
      </c>
      <c r="BU7" s="1795">
        <v>9.7800560938296801</v>
      </c>
      <c r="BV7" s="1795">
        <v>9.6047322794492604</v>
      </c>
      <c r="BW7" s="1795">
        <v>11.042970580492304</v>
      </c>
      <c r="BX7" s="1795">
        <v>11.143661397246305</v>
      </c>
      <c r="BY7" s="1795">
        <v>12.41824721377913</v>
      </c>
      <c r="BZ7" s="1795">
        <v>11.52078014184397</v>
      </c>
      <c r="CA7" s="1795">
        <v>11.391757852077003</v>
      </c>
      <c r="CB7" s="1795">
        <v>11.448774062816613</v>
      </c>
      <c r="CC7" s="1795">
        <v>10.893799392097264</v>
      </c>
      <c r="CD7" s="1796">
        <v>9.5254407294832841</v>
      </c>
      <c r="CE7" s="1797">
        <v>9.9673556231003033</v>
      </c>
      <c r="CF7" s="1798">
        <v>10.24838905775076</v>
      </c>
      <c r="CG7" s="1798">
        <v>11.237092198581561</v>
      </c>
      <c r="CH7" s="1798">
        <v>10.772750759878416</v>
      </c>
      <c r="CI7" s="1798">
        <v>10.732659574468085</v>
      </c>
      <c r="CJ7" s="1798">
        <v>10.33507092198581</v>
      </c>
      <c r="CK7" s="1798">
        <v>10.615764944275583</v>
      </c>
      <c r="CL7" s="1798">
        <v>10.773171225937185</v>
      </c>
      <c r="CM7" s="1798">
        <v>10.995197568389059</v>
      </c>
      <c r="CN7" s="1798">
        <v>11.907431610942247</v>
      </c>
      <c r="CO7" s="1798">
        <v>12.371170212765959</v>
      </c>
      <c r="CP7" s="1799">
        <v>10.98850557244174</v>
      </c>
      <c r="CQ7" s="1800">
        <v>12.435699088145896</v>
      </c>
      <c r="CR7" s="1801">
        <v>12.645283687943262</v>
      </c>
      <c r="CS7" s="1801">
        <v>12.419386189258315</v>
      </c>
      <c r="CT7" s="1801">
        <v>11.029836233367451</v>
      </c>
      <c r="CU7" s="1801">
        <v>10.683213920163771</v>
      </c>
      <c r="CV7" s="1801">
        <v>11.24114636642784</v>
      </c>
      <c r="CW7" s="1801">
        <v>11.97</v>
      </c>
      <c r="CX7" s="1801">
        <v>11.78915601023018</v>
      </c>
      <c r="CY7" s="1801">
        <v>12.605303416624171</v>
      </c>
      <c r="CZ7" s="1801">
        <v>14.010249872514024</v>
      </c>
      <c r="DA7" s="1801">
        <v>14.429694033656302</v>
      </c>
      <c r="DB7" s="1802">
        <v>12.314186639469661</v>
      </c>
      <c r="DC7" s="1803">
        <v>12.965849056603773</v>
      </c>
      <c r="DD7" s="1804">
        <v>12.136766955634878</v>
      </c>
      <c r="DE7" s="1804">
        <v>13.856807751147375</v>
      </c>
      <c r="DF7" s="1804">
        <v>12.555884752677205</v>
      </c>
      <c r="DG7" s="1804">
        <v>12.634778174400813</v>
      </c>
      <c r="DH7" s="1804">
        <v>12.975064004096263</v>
      </c>
      <c r="DI7" s="1804">
        <v>11.570711725550435</v>
      </c>
      <c r="DJ7" s="1804">
        <v>10.316345653305568</v>
      </c>
      <c r="DK7" s="1804">
        <v>10.725819885476314</v>
      </c>
      <c r="DL7" s="1804">
        <v>11.244612181155649</v>
      </c>
      <c r="DM7" s="1804">
        <v>11.260908610670892</v>
      </c>
      <c r="DN7" s="1805">
        <v>11.194105263157896</v>
      </c>
      <c r="DO7" s="1806">
        <v>11.044010152284264</v>
      </c>
      <c r="DP7" s="1807">
        <v>10.579949238578678</v>
      </c>
      <c r="DQ7" s="1807">
        <v>11.19751269035533</v>
      </c>
      <c r="DR7" s="1807">
        <v>9.7067005076142134</v>
      </c>
      <c r="DS7" s="1807">
        <v>8.8536040609137068</v>
      </c>
      <c r="DT7" s="1807">
        <v>10.36243654822335</v>
      </c>
      <c r="DU7" s="1807">
        <v>9.8602538071065986</v>
      </c>
      <c r="DV7" s="1807">
        <v>10.713096446700508</v>
      </c>
      <c r="DW7" s="1807">
        <v>11.126598984771574</v>
      </c>
      <c r="DX7" s="1807">
        <v>14.751725888324875</v>
      </c>
      <c r="DY7" s="1807">
        <v>10.468477157360406</v>
      </c>
      <c r="DZ7" s="1807">
        <v>10.115076142131979</v>
      </c>
      <c r="EA7" s="1829">
        <v>11.302385786802025</v>
      </c>
      <c r="EB7" s="1808">
        <v>11.810913705583761</v>
      </c>
      <c r="EC7" s="1809"/>
      <c r="ED7" s="1809"/>
      <c r="EE7" s="1809"/>
      <c r="EF7" s="1809"/>
      <c r="EG7" s="1809"/>
      <c r="EH7" s="1809"/>
      <c r="EI7" s="1809"/>
      <c r="EJ7" s="1809"/>
      <c r="EK7" s="1809"/>
      <c r="EL7" s="1809"/>
      <c r="EM7" s="1825"/>
      <c r="EN7" s="1826"/>
      <c r="EO7" s="1826"/>
      <c r="EP7" s="1826"/>
      <c r="EQ7" s="1826"/>
      <c r="ER7" s="1826"/>
      <c r="ES7" s="1826"/>
      <c r="ET7" s="1826"/>
      <c r="EU7" s="1826"/>
      <c r="EV7" s="1826"/>
      <c r="EW7" s="1826"/>
      <c r="EX7" s="1826"/>
      <c r="EY7" s="1810"/>
      <c r="EZ7" s="1811"/>
      <c r="FA7" s="1816">
        <v>5.5909781792077515</v>
      </c>
      <c r="FB7" s="1816">
        <v>6.8222240941871259</v>
      </c>
      <c r="FC7" s="1816">
        <v>7.5650896293696857</v>
      </c>
      <c r="FD7" s="1816">
        <v>7.7430761993422497</v>
      </c>
      <c r="FE7" s="1816">
        <v>7.9585789201286943</v>
      </c>
      <c r="FF7" s="1816">
        <v>8.1990726425572582</v>
      </c>
      <c r="FG7" s="1816">
        <v>10.599378352818976</v>
      </c>
      <c r="FH7" s="1816">
        <v>10.915238303423971</v>
      </c>
      <c r="FI7" s="1816">
        <v>12.297762954816738</v>
      </c>
      <c r="FJ7" s="1816">
        <v>11.962430341432258</v>
      </c>
      <c r="FK7" s="1816">
        <v>10.731620135363791</v>
      </c>
      <c r="FL7" s="1818">
        <v>10.855731810490694</v>
      </c>
      <c r="FM7" s="1815"/>
      <c r="FN7" s="1815"/>
      <c r="FO7" s="1769"/>
      <c r="FP7" s="1769"/>
      <c r="FQ7" s="1769"/>
      <c r="FR7" s="1769"/>
      <c r="FS7" s="1769"/>
      <c r="FT7" s="1769"/>
      <c r="FU7" s="1769"/>
      <c r="FV7" s="1769"/>
      <c r="FW7" s="1769"/>
      <c r="FX7" s="1770"/>
      <c r="FY7" s="1770"/>
      <c r="FZ7" s="1770"/>
      <c r="GA7" s="1770"/>
      <c r="GB7" s="1770"/>
      <c r="GC7" s="1770"/>
      <c r="GD7" s="1770"/>
      <c r="GE7" s="1770"/>
      <c r="GF7" s="1770"/>
      <c r="GG7" s="1770"/>
      <c r="GH7" s="1770"/>
      <c r="GI7" s="161"/>
      <c r="GJ7" s="161"/>
      <c r="GK7" s="161"/>
      <c r="GL7" s="1769"/>
      <c r="GM7" s="1770"/>
      <c r="GN7" s="1770"/>
      <c r="GO7" s="1770"/>
      <c r="GP7" s="1770"/>
      <c r="GQ7" s="1770"/>
      <c r="GR7" s="1770"/>
      <c r="GS7" s="1770"/>
      <c r="GT7" s="1770"/>
      <c r="GU7" s="1770"/>
      <c r="GV7" s="1770"/>
      <c r="GW7" s="1770"/>
      <c r="GX7" s="1770"/>
      <c r="GY7" s="1770"/>
      <c r="GZ7" s="1770"/>
      <c r="HA7" s="1770"/>
      <c r="HB7" s="1770"/>
      <c r="HC7" s="1770"/>
      <c r="HD7" s="1770"/>
      <c r="HE7" s="1770"/>
      <c r="HF7" s="1770"/>
      <c r="HG7" s="1770"/>
      <c r="HH7" s="1770"/>
      <c r="HI7" s="1770"/>
      <c r="HJ7" s="1770"/>
      <c r="HK7" s="1770"/>
      <c r="HL7" s="1770"/>
      <c r="HM7" s="1770"/>
      <c r="HN7" s="1770"/>
      <c r="HO7" s="1770"/>
      <c r="HP7" s="1770"/>
      <c r="HQ7" s="1770"/>
      <c r="HR7" s="1770"/>
      <c r="HS7" s="1770"/>
      <c r="HT7" s="1770"/>
      <c r="HU7" s="1770"/>
      <c r="HV7" s="1770"/>
      <c r="HW7" s="1770"/>
      <c r="HX7" s="1770"/>
      <c r="HY7" s="1770"/>
      <c r="HZ7" s="1770"/>
      <c r="IA7" s="1770"/>
      <c r="IB7" s="1770"/>
      <c r="IC7" s="1770"/>
      <c r="ID7" s="1770"/>
      <c r="IE7" s="1770"/>
      <c r="IF7" s="1770"/>
      <c r="IG7" s="1770"/>
      <c r="IH7" s="1770"/>
      <c r="II7" s="1770"/>
      <c r="IJ7" s="1770"/>
      <c r="IK7" s="1770"/>
    </row>
    <row r="8" spans="1:245" ht="27.6">
      <c r="EA8" s="1022"/>
      <c r="ED8" s="1820" t="s">
        <v>1088</v>
      </c>
      <c r="EE8" s="1820" t="s">
        <v>1088</v>
      </c>
      <c r="EF8" s="1820" t="s">
        <v>1089</v>
      </c>
      <c r="EG8" s="1820" t="s">
        <v>1089</v>
      </c>
      <c r="EH8" s="1820" t="s">
        <v>1090</v>
      </c>
      <c r="EI8" s="1820" t="s">
        <v>1091</v>
      </c>
      <c r="EJ8" s="1820" t="s">
        <v>1092</v>
      </c>
      <c r="EK8" s="1820" t="s">
        <v>1092</v>
      </c>
      <c r="EL8" s="1820" t="s">
        <v>1087</v>
      </c>
      <c r="EM8" s="1822" t="s">
        <v>1087</v>
      </c>
      <c r="EN8" s="1820"/>
      <c r="EO8" s="1820"/>
      <c r="EP8" s="1820" t="s">
        <v>1088</v>
      </c>
      <c r="EQ8" s="1820" t="s">
        <v>1088</v>
      </c>
      <c r="ER8" s="1820" t="s">
        <v>1089</v>
      </c>
      <c r="ES8" s="1820" t="s">
        <v>1089</v>
      </c>
      <c r="ET8" s="1820" t="s">
        <v>1090</v>
      </c>
      <c r="EU8" s="1820" t="s">
        <v>1091</v>
      </c>
      <c r="EV8" s="1820" t="s">
        <v>1092</v>
      </c>
      <c r="EW8" s="1820" t="s">
        <v>1092</v>
      </c>
      <c r="EX8" s="1820" t="s">
        <v>1087</v>
      </c>
      <c r="EY8" s="1822" t="s">
        <v>1087</v>
      </c>
      <c r="FA8" s="5663" t="s">
        <v>510</v>
      </c>
      <c r="FB8" s="5663"/>
      <c r="FC8" s="5663"/>
      <c r="FD8" s="5663"/>
      <c r="FE8" s="5663"/>
      <c r="FF8" s="5663"/>
      <c r="FG8" s="5663"/>
      <c r="FH8" s="5663"/>
      <c r="FI8" s="5663"/>
      <c r="FJ8" s="5663"/>
      <c r="FK8" s="5663"/>
      <c r="FL8" s="5664"/>
      <c r="FM8" s="1771"/>
      <c r="FN8" s="1771"/>
    </row>
    <row r="9" spans="1:245">
      <c r="FA9" s="2" t="s">
        <v>1083</v>
      </c>
    </row>
  </sheetData>
  <mergeCells count="1">
    <mergeCell ref="FA8:FL8"/>
  </mergeCells>
  <pageMargins left="0.7" right="0.7" top="0.75" bottom="0.75" header="0.3" footer="0.3"/>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00B0F0"/>
    <pageSetUpPr fitToPage="1"/>
  </sheetPr>
  <dimension ref="A1:K32"/>
  <sheetViews>
    <sheetView showGridLines="0" topLeftCell="J1" zoomScaleNormal="100" workbookViewId="0">
      <selection activeCell="E8" sqref="E8"/>
    </sheetView>
  </sheetViews>
  <sheetFormatPr baseColWidth="10" defaultRowHeight="14.4"/>
  <cols>
    <col min="1" max="1" width="2.33203125" style="256" customWidth="1"/>
    <col min="2" max="2" width="47.44140625" style="48" customWidth="1"/>
    <col min="3" max="3" width="14" style="48" bestFit="1" customWidth="1"/>
    <col min="4" max="4" width="14.109375" style="48" customWidth="1"/>
    <col min="5" max="5" width="34.6640625" style="48" customWidth="1"/>
    <col min="6" max="6" width="13.33203125" style="48" bestFit="1" customWidth="1"/>
    <col min="7" max="7" width="11.5546875" style="48"/>
    <col min="8" max="8" width="11.6640625" style="48" bestFit="1" customWidth="1"/>
    <col min="9" max="16384" width="11.5546875" style="48"/>
  </cols>
  <sheetData>
    <row r="1" spans="1:9" s="428" customFormat="1" ht="21">
      <c r="B1" s="594" t="s">
        <v>899</v>
      </c>
    </row>
    <row r="2" spans="1:9" ht="15" thickBot="1"/>
    <row r="3" spans="1:9" ht="15" thickBot="1">
      <c r="B3" s="2984"/>
      <c r="C3" s="3893" t="s">
        <v>535</v>
      </c>
      <c r="D3" s="3892" t="s">
        <v>1590</v>
      </c>
      <c r="E3" s="3892" t="s">
        <v>1589</v>
      </c>
      <c r="F3" s="5669" t="s">
        <v>478</v>
      </c>
      <c r="G3" s="5670"/>
    </row>
    <row r="4" spans="1:9" s="393" customFormat="1" ht="13.95" customHeight="1">
      <c r="A4" s="394"/>
      <c r="B4" s="5665" t="s">
        <v>199</v>
      </c>
      <c r="C4" s="3879">
        <v>2008</v>
      </c>
      <c r="D4" s="3880">
        <v>2509</v>
      </c>
      <c r="E4" s="3900" t="s">
        <v>1591</v>
      </c>
      <c r="F4" s="3881">
        <v>0</v>
      </c>
      <c r="G4" s="3882"/>
    </row>
    <row r="5" spans="1:9" s="393" customFormat="1" ht="15" customHeight="1">
      <c r="A5" s="394"/>
      <c r="B5" s="5666"/>
      <c r="C5" s="406">
        <v>2009</v>
      </c>
      <c r="D5" s="407">
        <v>2982</v>
      </c>
      <c r="E5" s="3901" t="s">
        <v>1592</v>
      </c>
      <c r="F5" s="3883">
        <f>D5/D4-1</f>
        <v>0.18852132323634918</v>
      </c>
      <c r="G5" s="3884"/>
    </row>
    <row r="6" spans="1:9" s="393" customFormat="1" ht="15" customHeight="1">
      <c r="A6" s="394"/>
      <c r="B6" s="5666"/>
      <c r="C6" s="406">
        <v>2010</v>
      </c>
      <c r="D6" s="407">
        <v>2685</v>
      </c>
      <c r="E6" s="3901" t="s">
        <v>1593</v>
      </c>
      <c r="F6" s="3883">
        <f t="shared" ref="F6:F12" si="0">D6/D5-1</f>
        <v>-9.9597585513078513E-2</v>
      </c>
      <c r="G6" s="3884"/>
    </row>
    <row r="7" spans="1:9" s="393" customFormat="1" ht="15" customHeight="1">
      <c r="A7" s="394"/>
      <c r="B7" s="5666"/>
      <c r="C7" s="406">
        <v>2011</v>
      </c>
      <c r="D7" s="407">
        <v>2891</v>
      </c>
      <c r="E7" s="3901" t="s">
        <v>1594</v>
      </c>
      <c r="F7" s="3883">
        <f t="shared" si="0"/>
        <v>7.6722532588454406E-2</v>
      </c>
      <c r="G7" s="3884"/>
    </row>
    <row r="8" spans="1:9" s="393" customFormat="1" ht="15" customHeight="1">
      <c r="A8" s="394"/>
      <c r="B8" s="5666"/>
      <c r="C8" s="406">
        <v>2012</v>
      </c>
      <c r="D8" s="407">
        <v>3464</v>
      </c>
      <c r="E8" s="3901" t="s">
        <v>1595</v>
      </c>
      <c r="F8" s="3883">
        <f t="shared" si="0"/>
        <v>0.19820131442407463</v>
      </c>
      <c r="G8" s="3884"/>
    </row>
    <row r="9" spans="1:9" s="393" customFormat="1" ht="15" customHeight="1">
      <c r="A9" s="394"/>
      <c r="B9" s="5666"/>
      <c r="C9" s="406">
        <v>2013</v>
      </c>
      <c r="D9" s="407">
        <v>4450</v>
      </c>
      <c r="E9" s="3901" t="s">
        <v>1596</v>
      </c>
      <c r="F9" s="3883">
        <f t="shared" si="0"/>
        <v>0.28464203233256358</v>
      </c>
      <c r="G9" s="3884"/>
    </row>
    <row r="10" spans="1:9" s="393" customFormat="1" ht="15" customHeight="1">
      <c r="A10" s="394"/>
      <c r="B10" s="5666"/>
      <c r="C10" s="406">
        <v>2014</v>
      </c>
      <c r="D10" s="407">
        <v>4869</v>
      </c>
      <c r="E10" s="3901" t="s">
        <v>1597</v>
      </c>
      <c r="F10" s="3883">
        <f t="shared" si="0"/>
        <v>9.4157303370786538E-2</v>
      </c>
      <c r="G10" s="3884"/>
    </row>
    <row r="11" spans="1:9" s="393" customFormat="1" ht="15" customHeight="1">
      <c r="A11" s="394"/>
      <c r="B11" s="5666"/>
      <c r="C11" s="3902">
        <v>2015</v>
      </c>
      <c r="D11" s="3903">
        <v>5220</v>
      </c>
      <c r="E11" s="3904" t="s">
        <v>567</v>
      </c>
      <c r="F11" s="3905">
        <f t="shared" si="0"/>
        <v>7.2088724584103536E-2</v>
      </c>
      <c r="G11" s="3906" t="s">
        <v>393</v>
      </c>
      <c r="H11" s="388"/>
      <c r="I11" s="389"/>
    </row>
    <row r="12" spans="1:9" s="393" customFormat="1" ht="15.75" customHeight="1">
      <c r="A12" s="394"/>
      <c r="B12" s="5666"/>
      <c r="C12" s="3902">
        <v>2016</v>
      </c>
      <c r="D12" s="3903">
        <v>5109</v>
      </c>
      <c r="E12" s="3904" t="s">
        <v>766</v>
      </c>
      <c r="F12" s="3905">
        <f t="shared" si="0"/>
        <v>-2.1264367816091978E-2</v>
      </c>
      <c r="G12" s="3906" t="s">
        <v>530</v>
      </c>
      <c r="H12" s="388"/>
      <c r="I12" s="389"/>
    </row>
    <row r="13" spans="1:9" s="393" customFormat="1" ht="15.75" customHeight="1">
      <c r="A13" s="394"/>
      <c r="B13" s="5666"/>
      <c r="C13" s="3902">
        <v>2017</v>
      </c>
      <c r="D13" s="3903">
        <v>5231</v>
      </c>
      <c r="E13" s="3904" t="s">
        <v>766</v>
      </c>
      <c r="F13" s="3905">
        <f>D13/D12-1</f>
        <v>2.3879428459581131E-2</v>
      </c>
      <c r="G13" s="3906" t="s">
        <v>578</v>
      </c>
      <c r="H13" s="388"/>
      <c r="I13" s="389"/>
    </row>
    <row r="14" spans="1:9" s="393" customFormat="1" ht="15.75" customHeight="1">
      <c r="A14" s="394"/>
      <c r="B14" s="5666"/>
      <c r="C14" s="3902">
        <v>2018</v>
      </c>
      <c r="D14" s="3903">
        <v>4381</v>
      </c>
      <c r="E14" s="3904" t="s">
        <v>891</v>
      </c>
      <c r="F14" s="3907">
        <f>D14/D13-1</f>
        <v>-0.16249283119862357</v>
      </c>
      <c r="G14" s="3906" t="s">
        <v>846</v>
      </c>
      <c r="H14" s="388"/>
      <c r="I14" s="389"/>
    </row>
    <row r="15" spans="1:9" s="393" customFormat="1" ht="15.75" customHeight="1">
      <c r="A15" s="394"/>
      <c r="B15" s="5666"/>
      <c r="C15" s="3902">
        <v>2019</v>
      </c>
      <c r="D15" s="3908">
        <v>4752</v>
      </c>
      <c r="E15" s="3904" t="s">
        <v>1398</v>
      </c>
      <c r="F15" s="3907">
        <f>D15/D14-1</f>
        <v>8.4683862131933241E-2</v>
      </c>
      <c r="G15" s="3906" t="s">
        <v>881</v>
      </c>
      <c r="H15" s="388"/>
      <c r="I15" s="389"/>
    </row>
    <row r="16" spans="1:9" s="393" customFormat="1" ht="13.8">
      <c r="A16" s="394"/>
      <c r="B16" s="3885"/>
      <c r="C16" s="3902">
        <v>2020</v>
      </c>
      <c r="D16" s="3908">
        <v>4776</v>
      </c>
      <c r="E16" s="3904" t="s">
        <v>1400</v>
      </c>
      <c r="F16" s="3907">
        <f>D16/D15-1</f>
        <v>5.050505050504972E-3</v>
      </c>
      <c r="G16" s="3906" t="s">
        <v>882</v>
      </c>
      <c r="H16" s="388"/>
      <c r="I16" s="389"/>
    </row>
    <row r="17" spans="1:11" s="393" customFormat="1" thickBot="1">
      <c r="A17" s="394"/>
      <c r="B17" s="3886"/>
      <c r="C17" s="3887">
        <v>2021</v>
      </c>
      <c r="D17" s="3888">
        <v>4858</v>
      </c>
      <c r="E17" s="3889" t="s">
        <v>1443</v>
      </c>
      <c r="F17" s="3890">
        <f>D17/D16-1</f>
        <v>1.7169179229480802E-2</v>
      </c>
      <c r="G17" s="3891" t="s">
        <v>883</v>
      </c>
      <c r="H17" s="388"/>
      <c r="I17" s="389"/>
    </row>
    <row r="18" spans="1:11" s="393" customFormat="1" ht="13.8">
      <c r="A18" s="394"/>
      <c r="B18" s="3878" t="s">
        <v>1444</v>
      </c>
      <c r="E18" s="408"/>
    </row>
    <row r="19" spans="1:11" s="393" customFormat="1" ht="13.8">
      <c r="A19" s="394"/>
      <c r="B19" s="708"/>
      <c r="E19" s="408"/>
    </row>
    <row r="20" spans="1:11" s="393" customFormat="1" ht="13.8">
      <c r="A20" s="394"/>
      <c r="B20" s="708"/>
      <c r="E20" s="408"/>
    </row>
    <row r="21" spans="1:11" s="393" customFormat="1" thickBot="1">
      <c r="A21" s="394"/>
      <c r="B21" s="708"/>
      <c r="E21" s="408"/>
    </row>
    <row r="22" spans="1:11" s="393" customFormat="1" thickBot="1">
      <c r="A22" s="394"/>
      <c r="B22" s="5667" t="s">
        <v>552</v>
      </c>
      <c r="C22" s="401" t="s">
        <v>190</v>
      </c>
      <c r="D22" s="402" t="s">
        <v>191</v>
      </c>
      <c r="E22" s="2215">
        <f>C17</f>
        <v>2021</v>
      </c>
      <c r="F22" s="403" t="s">
        <v>192</v>
      </c>
    </row>
    <row r="23" spans="1:11" s="393" customFormat="1" thickBot="1">
      <c r="A23" s="394"/>
      <c r="B23" s="5668"/>
      <c r="C23" s="404">
        <v>4123</v>
      </c>
      <c r="D23" s="1085">
        <v>735</v>
      </c>
      <c r="E23" s="409"/>
      <c r="F23" s="2217">
        <f>SUM(C23:D23)</f>
        <v>4858</v>
      </c>
    </row>
    <row r="24" spans="1:11" s="393" customFormat="1" ht="13.8">
      <c r="A24" s="394"/>
      <c r="C24" s="405">
        <f>C23/F23</f>
        <v>0.84870317002881845</v>
      </c>
      <c r="D24" s="405">
        <f>D23/F23</f>
        <v>0.15129682997118155</v>
      </c>
      <c r="E24" s="405"/>
      <c r="F24" s="394"/>
    </row>
    <row r="25" spans="1:11" s="393" customFormat="1" ht="13.8">
      <c r="A25" s="394"/>
      <c r="B25" s="393" t="s">
        <v>893</v>
      </c>
    </row>
    <row r="26" spans="1:11" s="393" customFormat="1" ht="13.8">
      <c r="A26" s="394"/>
      <c r="C26" s="405"/>
      <c r="D26" s="405"/>
    </row>
    <row r="27" spans="1:11">
      <c r="B27" s="2216" t="s">
        <v>830</v>
      </c>
      <c r="C27" s="393"/>
      <c r="D27" s="393"/>
    </row>
    <row r="32" spans="1:11">
      <c r="K32" s="708"/>
    </row>
  </sheetData>
  <mergeCells count="3">
    <mergeCell ref="B4:B15"/>
    <mergeCell ref="B22:B23"/>
    <mergeCell ref="F3:G3"/>
  </mergeCells>
  <phoneticPr fontId="11" type="noConversion"/>
  <hyperlinks>
    <hyperlink ref="B27" r:id="rId1" xr:uid="{00000000-0004-0000-1900-000000000000}"/>
  </hyperlinks>
  <pageMargins left="0.70866141732283472" right="0.70866141732283472" top="0.74803149606299213" bottom="0.74803149606299213" header="0.31496062992125984" footer="0.31496062992125984"/>
  <pageSetup scale="52" orientation="landscape" verticalDpi="597" r:id="rId2"/>
  <drawing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00B0F0"/>
    <pageSetUpPr fitToPage="1"/>
  </sheetPr>
  <dimension ref="A1:R64"/>
  <sheetViews>
    <sheetView topLeftCell="E1" zoomScaleNormal="100" workbookViewId="0">
      <selection activeCell="J9" sqref="J9"/>
    </sheetView>
  </sheetViews>
  <sheetFormatPr baseColWidth="10" defaultColWidth="12.33203125" defaultRowHeight="21.6" customHeight="1"/>
  <cols>
    <col min="1" max="1" width="26.44140625" customWidth="1"/>
    <col min="2" max="8" width="12.33203125" customWidth="1"/>
    <col min="10" max="10" width="4.33203125" bestFit="1" customWidth="1"/>
  </cols>
  <sheetData>
    <row r="1" spans="1:18" ht="21.6" customHeight="1">
      <c r="A1" s="730"/>
      <c r="B1" s="730"/>
      <c r="C1" s="730"/>
      <c r="D1" s="730"/>
      <c r="E1" s="730"/>
      <c r="F1" s="730"/>
      <c r="G1" s="730"/>
      <c r="H1" s="730"/>
      <c r="I1" s="730"/>
      <c r="J1" s="730"/>
      <c r="K1" s="730"/>
      <c r="L1" s="730"/>
      <c r="M1" s="730"/>
      <c r="N1" s="730"/>
      <c r="O1" s="730"/>
      <c r="P1" s="730"/>
      <c r="Q1" s="730"/>
      <c r="R1" s="730"/>
    </row>
    <row r="2" spans="1:18" ht="21.6" customHeight="1">
      <c r="A2" s="392"/>
      <c r="B2" s="392"/>
      <c r="C2" s="392"/>
      <c r="D2" s="392"/>
      <c r="E2" s="392"/>
      <c r="F2" s="392"/>
      <c r="G2" s="392"/>
      <c r="H2" s="392"/>
      <c r="I2" s="392"/>
      <c r="J2" s="392"/>
      <c r="K2" s="392"/>
      <c r="L2" s="392"/>
      <c r="M2" s="392"/>
      <c r="N2" s="392"/>
      <c r="O2" s="392"/>
      <c r="P2" s="1077"/>
      <c r="Q2" s="1077"/>
      <c r="R2" s="1077"/>
    </row>
    <row r="3" spans="1:18" ht="21.6" customHeight="1">
      <c r="A3" s="390"/>
      <c r="B3" s="390"/>
      <c r="C3" s="390"/>
      <c r="D3" s="390"/>
      <c r="E3" s="390"/>
      <c r="F3" s="390"/>
      <c r="G3" s="390"/>
      <c r="H3" s="390"/>
      <c r="I3" s="390"/>
      <c r="J3" s="390"/>
      <c r="K3" s="390"/>
      <c r="L3" s="390"/>
      <c r="M3" s="390"/>
      <c r="N3" s="390"/>
      <c r="O3" s="390"/>
      <c r="P3" s="132"/>
      <c r="Q3" s="132"/>
      <c r="R3" s="132"/>
    </row>
    <row r="4" spans="1:18" ht="21.6" customHeight="1">
      <c r="A4" s="391"/>
      <c r="B4" s="391"/>
      <c r="C4" s="391"/>
      <c r="D4" s="391"/>
      <c r="E4" s="391"/>
      <c r="F4" s="391"/>
      <c r="G4" s="391"/>
      <c r="H4" s="391"/>
      <c r="I4" s="391"/>
      <c r="J4" s="391"/>
      <c r="K4" s="391"/>
      <c r="L4" s="391"/>
      <c r="M4" s="391"/>
      <c r="N4" s="391"/>
      <c r="O4" s="391"/>
      <c r="P4" s="135"/>
      <c r="Q4" s="135"/>
      <c r="R4" s="135"/>
    </row>
    <row r="5" spans="1:18" ht="12.6" customHeight="1">
      <c r="A5" s="392"/>
      <c r="B5" s="392"/>
      <c r="C5" s="392"/>
      <c r="D5" s="392"/>
      <c r="E5" s="392"/>
      <c r="F5" s="392"/>
      <c r="G5" s="392"/>
      <c r="H5" s="392"/>
      <c r="I5" s="392"/>
      <c r="J5" s="392"/>
      <c r="K5" s="392"/>
      <c r="L5" s="392"/>
      <c r="M5" s="392"/>
      <c r="N5" s="392"/>
      <c r="O5" s="392"/>
      <c r="P5" s="37"/>
      <c r="Q5" s="37"/>
      <c r="R5" s="37"/>
    </row>
    <row r="6" spans="1:18" ht="12.6" customHeight="1">
      <c r="A6" s="392"/>
      <c r="B6" s="392"/>
      <c r="C6" s="392"/>
      <c r="D6" s="392"/>
      <c r="E6" s="392"/>
      <c r="F6" s="392"/>
      <c r="G6" s="392"/>
      <c r="H6" s="392"/>
      <c r="I6" s="392"/>
      <c r="J6" s="392"/>
      <c r="K6" s="392"/>
      <c r="L6" s="392"/>
      <c r="M6" s="392"/>
      <c r="N6" s="392"/>
      <c r="O6" s="392"/>
      <c r="P6" s="37"/>
      <c r="Q6" s="37"/>
      <c r="R6" s="37"/>
    </row>
    <row r="7" spans="1:18" ht="12.6" customHeight="1">
      <c r="A7" s="392"/>
      <c r="B7" s="392"/>
      <c r="C7" s="392"/>
      <c r="D7" s="392"/>
      <c r="E7" s="392"/>
      <c r="F7" s="392"/>
      <c r="G7" s="392"/>
      <c r="H7" s="392"/>
      <c r="I7" s="392"/>
      <c r="J7" s="392"/>
      <c r="K7" s="392"/>
      <c r="L7" s="392"/>
      <c r="M7" s="392"/>
      <c r="N7" s="392"/>
      <c r="O7" s="392"/>
      <c r="P7" s="37"/>
      <c r="Q7" s="37"/>
      <c r="R7" s="37"/>
    </row>
    <row r="8" spans="1:18" ht="12.6" customHeight="1">
      <c r="A8" s="2106" t="s">
        <v>301</v>
      </c>
      <c r="B8" s="2106" t="s">
        <v>564</v>
      </c>
      <c r="C8" s="2106" t="s">
        <v>565</v>
      </c>
      <c r="D8" s="2106" t="s">
        <v>765</v>
      </c>
      <c r="E8" s="2106" t="s">
        <v>892</v>
      </c>
      <c r="F8" s="2106">
        <v>2019</v>
      </c>
      <c r="G8" s="2106">
        <v>2020</v>
      </c>
      <c r="H8" s="3008">
        <v>2021</v>
      </c>
      <c r="I8" s="393"/>
      <c r="J8" s="393"/>
      <c r="K8" s="393"/>
      <c r="L8" s="393"/>
      <c r="M8" s="393"/>
      <c r="N8" s="392"/>
      <c r="O8" s="392"/>
      <c r="P8" s="37"/>
      <c r="Q8" s="37"/>
      <c r="R8" s="37"/>
    </row>
    <row r="9" spans="1:18" ht="12.6" customHeight="1">
      <c r="A9" s="694" t="s">
        <v>276</v>
      </c>
      <c r="B9" s="694">
        <v>713</v>
      </c>
      <c r="C9" s="694">
        <v>721</v>
      </c>
      <c r="D9" s="694">
        <v>653</v>
      </c>
      <c r="E9" s="694">
        <v>684</v>
      </c>
      <c r="F9" s="694">
        <v>736</v>
      </c>
      <c r="G9" s="694">
        <v>737</v>
      </c>
      <c r="H9" s="3009">
        <v>735</v>
      </c>
      <c r="I9" s="392" t="s">
        <v>276</v>
      </c>
      <c r="J9" s="405">
        <f t="shared" ref="J9:J14" si="0">H9/$H$15</f>
        <v>0.15129682997118155</v>
      </c>
      <c r="K9" s="393"/>
      <c r="L9" s="393"/>
      <c r="M9" s="393"/>
      <c r="N9" s="392"/>
      <c r="O9" s="392"/>
      <c r="P9" s="37"/>
      <c r="Q9" s="37"/>
      <c r="R9" s="37"/>
    </row>
    <row r="10" spans="1:18" ht="12.6" customHeight="1">
      <c r="A10" s="694" t="s">
        <v>267</v>
      </c>
      <c r="B10" s="694">
        <v>189</v>
      </c>
      <c r="C10" s="694">
        <v>184</v>
      </c>
      <c r="D10" s="694">
        <v>197</v>
      </c>
      <c r="E10" s="694">
        <v>174</v>
      </c>
      <c r="F10" s="694">
        <v>205</v>
      </c>
      <c r="G10" s="694">
        <v>212</v>
      </c>
      <c r="H10" s="3009">
        <v>61</v>
      </c>
      <c r="I10" s="392" t="s">
        <v>267</v>
      </c>
      <c r="J10" s="405">
        <f t="shared" si="0"/>
        <v>1.2556607657472211E-2</v>
      </c>
      <c r="K10" s="393"/>
      <c r="L10" s="393"/>
      <c r="M10" s="393"/>
      <c r="N10" s="392"/>
      <c r="O10" s="392"/>
      <c r="P10" s="37"/>
      <c r="Q10" s="37"/>
      <c r="R10" s="37"/>
    </row>
    <row r="11" spans="1:18" ht="12.6" customHeight="1">
      <c r="A11" s="694" t="s">
        <v>268</v>
      </c>
      <c r="B11" s="694">
        <v>102</v>
      </c>
      <c r="C11" s="694">
        <v>110</v>
      </c>
      <c r="D11" s="694">
        <v>125</v>
      </c>
      <c r="E11" s="694">
        <v>93</v>
      </c>
      <c r="F11" s="694">
        <v>103</v>
      </c>
      <c r="G11" s="694">
        <v>103</v>
      </c>
      <c r="H11" s="3009">
        <v>106</v>
      </c>
      <c r="I11" s="392" t="s">
        <v>268</v>
      </c>
      <c r="J11" s="405">
        <f t="shared" si="0"/>
        <v>2.1819678880197611E-2</v>
      </c>
      <c r="K11" s="393"/>
      <c r="L11" s="393"/>
      <c r="M11" s="393"/>
      <c r="N11" s="392"/>
      <c r="O11" s="392"/>
      <c r="P11" s="37"/>
      <c r="Q11" s="37"/>
      <c r="R11" s="37"/>
    </row>
    <row r="12" spans="1:18" ht="12.6" customHeight="1">
      <c r="A12" s="694" t="s">
        <v>303</v>
      </c>
      <c r="B12" s="694">
        <v>3486</v>
      </c>
      <c r="C12" s="694">
        <v>3434</v>
      </c>
      <c r="D12" s="694">
        <v>3517</v>
      </c>
      <c r="E12" s="694">
        <v>2786</v>
      </c>
      <c r="F12" s="694">
        <v>2978</v>
      </c>
      <c r="G12" s="694">
        <v>2989</v>
      </c>
      <c r="H12" s="3009">
        <v>3199</v>
      </c>
      <c r="I12" s="392" t="s">
        <v>303</v>
      </c>
      <c r="J12" s="405">
        <f t="shared" si="0"/>
        <v>0.65850144092219021</v>
      </c>
      <c r="K12" s="393"/>
      <c r="L12" s="393"/>
      <c r="M12" s="393"/>
      <c r="N12" s="392"/>
      <c r="O12" s="392"/>
      <c r="P12" s="37"/>
      <c r="Q12" s="37"/>
      <c r="R12" s="37"/>
    </row>
    <row r="13" spans="1:18" ht="12.6" customHeight="1">
      <c r="A13" s="694" t="s">
        <v>772</v>
      </c>
      <c r="B13" s="694">
        <v>722</v>
      </c>
      <c r="C13" s="694">
        <v>660</v>
      </c>
      <c r="D13" s="694">
        <v>739</v>
      </c>
      <c r="E13" s="694">
        <v>644</v>
      </c>
      <c r="F13" s="694">
        <v>730</v>
      </c>
      <c r="G13" s="694">
        <v>735</v>
      </c>
      <c r="H13" s="3009">
        <v>756</v>
      </c>
      <c r="I13" s="392" t="s">
        <v>772</v>
      </c>
      <c r="J13" s="405">
        <f t="shared" si="0"/>
        <v>0.15561959654178675</v>
      </c>
      <c r="K13" s="393"/>
      <c r="L13" s="393"/>
      <c r="M13" s="393"/>
      <c r="N13" s="392"/>
      <c r="O13" s="392"/>
      <c r="P13" s="392"/>
      <c r="Q13" s="392"/>
      <c r="R13" s="392"/>
    </row>
    <row r="14" spans="1:18" ht="12.6" customHeight="1">
      <c r="A14" s="694" t="s">
        <v>1445</v>
      </c>
      <c r="B14" s="694"/>
      <c r="C14" s="694"/>
      <c r="D14" s="694"/>
      <c r="E14" s="694"/>
      <c r="F14" s="694"/>
      <c r="G14" s="694"/>
      <c r="H14" s="3009">
        <v>1</v>
      </c>
      <c r="I14" s="392" t="s">
        <v>1445</v>
      </c>
      <c r="J14" s="405">
        <f t="shared" si="0"/>
        <v>2.0584602717167559E-4</v>
      </c>
      <c r="K14" s="393"/>
      <c r="L14" s="393"/>
      <c r="M14" s="393"/>
      <c r="N14" s="392"/>
      <c r="O14" s="392"/>
      <c r="P14" s="392"/>
      <c r="Q14" s="392"/>
      <c r="R14" s="392"/>
    </row>
    <row r="15" spans="1:18" ht="12.6" customHeight="1">
      <c r="A15" s="2107" t="s">
        <v>53</v>
      </c>
      <c r="B15" s="2107">
        <f>SUM(B9:B14)</f>
        <v>5212</v>
      </c>
      <c r="C15" s="2107">
        <f t="shared" ref="C15:H15" si="1">SUM(C9:C14)</f>
        <v>5109</v>
      </c>
      <c r="D15" s="2107">
        <f t="shared" si="1"/>
        <v>5231</v>
      </c>
      <c r="E15" s="2107">
        <f t="shared" si="1"/>
        <v>4381</v>
      </c>
      <c r="F15" s="3163">
        <f t="shared" si="1"/>
        <v>4752</v>
      </c>
      <c r="G15" s="3163">
        <f t="shared" si="1"/>
        <v>4776</v>
      </c>
      <c r="H15" s="3010">
        <f t="shared" si="1"/>
        <v>4858</v>
      </c>
      <c r="I15" s="392"/>
      <c r="J15" s="405"/>
      <c r="K15" s="393"/>
      <c r="L15" s="393"/>
      <c r="M15" s="393"/>
      <c r="N15" s="392"/>
      <c r="O15" s="392"/>
      <c r="P15" s="392"/>
      <c r="Q15" s="392"/>
      <c r="R15" s="392"/>
    </row>
    <row r="16" spans="1:18" ht="12.6" customHeight="1">
      <c r="A16" s="2218"/>
      <c r="B16" s="2218"/>
      <c r="C16" s="2218"/>
      <c r="D16" s="2218"/>
      <c r="E16" s="2218"/>
      <c r="F16" s="2218"/>
      <c r="G16" s="2218"/>
      <c r="H16" s="392"/>
      <c r="I16" s="392"/>
      <c r="J16" s="392"/>
      <c r="K16" s="393"/>
      <c r="L16" s="393"/>
      <c r="M16" s="393"/>
      <c r="N16" s="392"/>
      <c r="O16" s="392"/>
      <c r="P16" s="392"/>
      <c r="Q16" s="392"/>
      <c r="R16" s="392"/>
    </row>
    <row r="17" spans="1:18" ht="12.6" customHeight="1">
      <c r="A17" s="2218"/>
      <c r="B17" s="2218"/>
      <c r="C17" s="2218"/>
      <c r="D17" s="2218"/>
      <c r="E17" s="2218"/>
      <c r="F17" s="2218"/>
      <c r="G17" s="2218"/>
      <c r="H17" s="400"/>
      <c r="I17" s="393"/>
      <c r="J17" s="393"/>
      <c r="K17" s="393"/>
      <c r="L17" s="393"/>
      <c r="M17" s="393"/>
      <c r="N17" s="392"/>
      <c r="O17" s="392"/>
      <c r="P17" s="392"/>
      <c r="Q17" s="392"/>
      <c r="R17" s="392"/>
    </row>
    <row r="18" spans="1:18" ht="12.6" customHeight="1">
      <c r="A18" s="2346" t="s">
        <v>1444</v>
      </c>
      <c r="B18" s="2346"/>
      <c r="C18" s="2346"/>
      <c r="D18" s="2346"/>
      <c r="E18" s="2346"/>
      <c r="F18" s="2346"/>
      <c r="G18" s="2346"/>
      <c r="H18" s="2347"/>
      <c r="I18" s="2348"/>
      <c r="J18" s="2348"/>
      <c r="K18" s="2348"/>
      <c r="L18" s="2348"/>
      <c r="M18" s="2348"/>
      <c r="N18" s="2348"/>
      <c r="O18" s="2348"/>
      <c r="P18" s="2348"/>
      <c r="Q18" s="2348"/>
      <c r="R18" s="2348"/>
    </row>
    <row r="19" spans="1:18" ht="12.6" customHeight="1">
      <c r="A19" s="400"/>
      <c r="B19" s="400"/>
      <c r="C19" s="400"/>
      <c r="D19" s="400"/>
      <c r="E19" s="400"/>
      <c r="F19" s="400"/>
      <c r="G19" s="400"/>
      <c r="H19" s="400"/>
      <c r="I19" s="392"/>
      <c r="J19" s="392"/>
      <c r="K19" s="392"/>
      <c r="L19" s="392"/>
      <c r="M19" s="392"/>
      <c r="N19" s="392"/>
      <c r="O19" s="392"/>
      <c r="P19" s="392"/>
      <c r="Q19" s="392"/>
      <c r="R19" s="392"/>
    </row>
    <row r="20" spans="1:18" ht="12.6" customHeight="1">
      <c r="A20" s="400"/>
      <c r="B20" s="400"/>
      <c r="C20" s="400"/>
      <c r="D20" s="400"/>
      <c r="E20" s="400"/>
      <c r="F20" s="400"/>
      <c r="G20" s="400"/>
      <c r="H20" s="400"/>
      <c r="I20" s="392"/>
      <c r="J20" s="392"/>
      <c r="K20" s="392"/>
      <c r="L20" s="392"/>
      <c r="M20" s="392"/>
      <c r="N20" s="392"/>
      <c r="O20" s="392"/>
      <c r="P20" s="392"/>
      <c r="Q20" s="392"/>
      <c r="R20" s="392"/>
    </row>
    <row r="21" spans="1:18" ht="12.6" customHeight="1">
      <c r="A21" s="568"/>
      <c r="B21" s="568"/>
      <c r="C21" s="568"/>
      <c r="D21" s="568"/>
      <c r="E21" s="568"/>
      <c r="F21" s="568"/>
      <c r="G21" s="568"/>
      <c r="H21" s="568"/>
      <c r="I21" s="568"/>
      <c r="J21" s="568"/>
      <c r="K21" s="568"/>
      <c r="L21" s="568"/>
      <c r="M21" s="568"/>
      <c r="N21" s="568"/>
      <c r="O21" s="568"/>
      <c r="P21" s="568"/>
      <c r="Q21" s="392"/>
      <c r="R21" s="392"/>
    </row>
    <row r="22" spans="1:18" ht="12.6" customHeight="1">
      <c r="A22" s="400"/>
      <c r="B22" s="400"/>
      <c r="C22" s="400"/>
      <c r="D22" s="400"/>
      <c r="E22" s="400"/>
      <c r="F22" s="400"/>
      <c r="G22" s="400"/>
      <c r="H22" s="400"/>
      <c r="I22" s="392"/>
      <c r="J22" s="392"/>
      <c r="K22" s="392"/>
      <c r="L22" s="392"/>
      <c r="M22" s="392"/>
      <c r="N22" s="392"/>
      <c r="O22" s="392"/>
      <c r="P22" s="37"/>
      <c r="Q22" s="37"/>
      <c r="R22" s="37"/>
    </row>
    <row r="23" spans="1:18" ht="12.6" customHeight="1">
      <c r="A23" s="400" t="s">
        <v>301</v>
      </c>
      <c r="B23" s="400" t="s">
        <v>566</v>
      </c>
      <c r="C23" s="400"/>
      <c r="D23" s="400"/>
      <c r="E23" s="400"/>
      <c r="F23" s="400"/>
      <c r="G23" s="400"/>
      <c r="H23" s="400"/>
      <c r="I23" s="392"/>
      <c r="J23" s="392"/>
      <c r="K23" s="392"/>
      <c r="L23" s="392"/>
      <c r="M23" s="392"/>
      <c r="N23" s="392"/>
      <c r="O23" s="392"/>
      <c r="P23" s="37"/>
      <c r="Q23" s="37"/>
      <c r="R23" s="37"/>
    </row>
    <row r="24" spans="1:18" ht="12.6" customHeight="1">
      <c r="A24" s="400"/>
      <c r="B24" s="400"/>
      <c r="C24" s="400"/>
      <c r="D24" s="400"/>
      <c r="E24" s="400"/>
      <c r="F24" s="400"/>
      <c r="G24" s="400"/>
      <c r="H24" s="400"/>
      <c r="I24" s="392"/>
      <c r="J24" s="392"/>
      <c r="K24" s="392"/>
      <c r="L24" s="392"/>
      <c r="M24" s="392"/>
      <c r="N24" s="392"/>
      <c r="O24" s="392"/>
      <c r="P24" s="37"/>
      <c r="Q24" s="37"/>
      <c r="R24" s="37"/>
    </row>
    <row r="25" spans="1:18" ht="12.6" customHeight="1">
      <c r="A25" s="2106" t="s">
        <v>302</v>
      </c>
      <c r="B25" s="2106" t="s">
        <v>564</v>
      </c>
      <c r="C25" s="2106" t="s">
        <v>565</v>
      </c>
      <c r="D25" s="2106" t="s">
        <v>765</v>
      </c>
      <c r="E25" s="2106" t="s">
        <v>892</v>
      </c>
      <c r="F25" s="2106">
        <v>2019</v>
      </c>
      <c r="G25" s="2106">
        <v>2020</v>
      </c>
      <c r="H25" s="3008">
        <v>2021</v>
      </c>
      <c r="I25" s="392"/>
      <c r="J25" s="392"/>
      <c r="K25" s="392"/>
      <c r="L25" s="392"/>
      <c r="M25" s="392"/>
      <c r="N25" s="392"/>
      <c r="O25" s="392"/>
      <c r="P25" s="37"/>
      <c r="Q25" s="37"/>
      <c r="R25" s="37"/>
    </row>
    <row r="26" spans="1:18" ht="12.6" customHeight="1">
      <c r="A26" s="695" t="s">
        <v>197</v>
      </c>
      <c r="B26" s="695">
        <v>1</v>
      </c>
      <c r="C26" s="695">
        <v>1</v>
      </c>
      <c r="D26" s="695">
        <v>0</v>
      </c>
      <c r="E26" s="695"/>
      <c r="F26" s="695">
        <v>0</v>
      </c>
      <c r="G26" s="695">
        <v>0</v>
      </c>
      <c r="H26" s="3011">
        <v>0</v>
      </c>
      <c r="I26" s="392"/>
      <c r="J26" s="392"/>
      <c r="K26" s="392"/>
      <c r="L26" s="392"/>
      <c r="M26" s="392"/>
      <c r="N26" s="392"/>
      <c r="O26" s="392"/>
      <c r="P26" s="37"/>
      <c r="Q26" s="37"/>
      <c r="R26" s="37"/>
    </row>
    <row r="27" spans="1:18" ht="12.6" customHeight="1">
      <c r="A27" s="695" t="s">
        <v>269</v>
      </c>
      <c r="B27" s="695">
        <v>6</v>
      </c>
      <c r="C27" s="695">
        <v>6</v>
      </c>
      <c r="D27" s="695">
        <v>1</v>
      </c>
      <c r="E27" s="695"/>
      <c r="F27" s="695">
        <v>0</v>
      </c>
      <c r="G27" s="695">
        <v>0</v>
      </c>
      <c r="H27" s="3011">
        <v>0</v>
      </c>
      <c r="I27" s="392"/>
      <c r="J27" s="392"/>
      <c r="K27" s="392"/>
      <c r="L27" s="392"/>
      <c r="M27" s="392"/>
      <c r="N27" s="392"/>
      <c r="O27" s="392"/>
      <c r="P27" s="37"/>
      <c r="Q27" s="37"/>
      <c r="R27" s="37"/>
    </row>
    <row r="28" spans="1:18" ht="12.6" customHeight="1">
      <c r="A28" s="695" t="s">
        <v>272</v>
      </c>
      <c r="B28" s="695">
        <v>291</v>
      </c>
      <c r="C28" s="695">
        <v>273</v>
      </c>
      <c r="D28" s="695">
        <v>279</v>
      </c>
      <c r="E28" s="695">
        <v>168</v>
      </c>
      <c r="F28" s="695">
        <v>206</v>
      </c>
      <c r="G28" s="695">
        <v>206</v>
      </c>
      <c r="H28" s="3011">
        <v>187</v>
      </c>
      <c r="I28" s="2537">
        <f>H28/H12</f>
        <v>5.8455767427321038E-2</v>
      </c>
      <c r="J28" s="392"/>
      <c r="K28" s="392"/>
      <c r="L28" s="392"/>
      <c r="M28" s="392"/>
      <c r="N28" s="392"/>
      <c r="O28" s="392"/>
      <c r="P28" s="37"/>
      <c r="Q28" s="37"/>
      <c r="R28" s="37"/>
    </row>
    <row r="29" spans="1:18" ht="12.6" customHeight="1">
      <c r="A29" s="695" t="s">
        <v>283</v>
      </c>
      <c r="B29" s="695">
        <v>2</v>
      </c>
      <c r="C29" s="695">
        <v>2</v>
      </c>
      <c r="D29" s="695">
        <v>2</v>
      </c>
      <c r="E29" s="695">
        <v>1</v>
      </c>
      <c r="F29" s="695">
        <v>1</v>
      </c>
      <c r="G29" s="695">
        <v>1</v>
      </c>
      <c r="H29" s="3011">
        <v>1</v>
      </c>
      <c r="I29" s="392"/>
      <c r="J29" s="392"/>
      <c r="K29" s="392"/>
      <c r="L29" s="392"/>
      <c r="M29" s="392"/>
      <c r="N29" s="392"/>
      <c r="O29" s="392"/>
      <c r="P29" s="37"/>
      <c r="Q29" s="37"/>
      <c r="R29" s="37"/>
    </row>
    <row r="30" spans="1:18" ht="12.6" customHeight="1">
      <c r="A30" s="695" t="s">
        <v>277</v>
      </c>
      <c r="B30" s="695">
        <v>3</v>
      </c>
      <c r="C30" s="695">
        <v>2</v>
      </c>
      <c r="D30" s="695">
        <v>0</v>
      </c>
      <c r="E30" s="695"/>
      <c r="F30" s="695">
        <v>0</v>
      </c>
      <c r="G30" s="695">
        <v>0</v>
      </c>
      <c r="H30" s="3011">
        <v>0</v>
      </c>
      <c r="I30" s="392"/>
      <c r="J30" s="392"/>
      <c r="K30" s="392"/>
      <c r="L30" s="392"/>
      <c r="M30" s="392"/>
      <c r="N30" s="392"/>
      <c r="O30" s="392"/>
      <c r="P30" s="37"/>
      <c r="Q30" s="37"/>
      <c r="R30" s="37"/>
    </row>
    <row r="31" spans="1:18" ht="12.6" customHeight="1">
      <c r="A31" s="695" t="s">
        <v>273</v>
      </c>
      <c r="B31" s="695">
        <v>355</v>
      </c>
      <c r="C31" s="695">
        <v>357</v>
      </c>
      <c r="D31" s="695">
        <v>364</v>
      </c>
      <c r="E31" s="695">
        <v>319</v>
      </c>
      <c r="F31" s="695">
        <v>361</v>
      </c>
      <c r="G31" s="695">
        <v>364</v>
      </c>
      <c r="H31" s="3011">
        <v>410</v>
      </c>
      <c r="I31" s="392"/>
      <c r="J31" s="392"/>
      <c r="K31" s="392"/>
      <c r="L31" s="392"/>
      <c r="M31" s="392"/>
      <c r="N31" s="392"/>
      <c r="O31" s="392"/>
      <c r="P31" s="37"/>
      <c r="Q31" s="37"/>
      <c r="R31" s="37"/>
    </row>
    <row r="32" spans="1:18" ht="12.6" customHeight="1">
      <c r="A32" s="695" t="s">
        <v>764</v>
      </c>
      <c r="B32" s="695">
        <v>0</v>
      </c>
      <c r="C32" s="695">
        <v>0</v>
      </c>
      <c r="D32" s="695">
        <v>2</v>
      </c>
      <c r="E32" s="695">
        <v>3</v>
      </c>
      <c r="F32" s="695">
        <v>4</v>
      </c>
      <c r="G32" s="695">
        <v>4</v>
      </c>
      <c r="H32" s="3011">
        <v>5</v>
      </c>
      <c r="I32" s="392"/>
      <c r="J32" s="392"/>
      <c r="K32" s="392"/>
      <c r="L32" s="392"/>
      <c r="M32" s="392"/>
      <c r="N32" s="392"/>
      <c r="O32" s="392"/>
      <c r="P32" s="37"/>
      <c r="Q32" s="37"/>
      <c r="R32" s="37"/>
    </row>
    <row r="33" spans="1:18" ht="12.6" customHeight="1">
      <c r="A33" s="695" t="s">
        <v>389</v>
      </c>
      <c r="B33" s="695">
        <v>0</v>
      </c>
      <c r="C33" s="695">
        <v>0</v>
      </c>
      <c r="D33" s="695">
        <v>6</v>
      </c>
      <c r="E33" s="695">
        <v>4</v>
      </c>
      <c r="F33" s="695">
        <v>7</v>
      </c>
      <c r="G33" s="695">
        <v>7</v>
      </c>
      <c r="H33" s="3011">
        <v>9</v>
      </c>
      <c r="I33" s="392"/>
      <c r="J33" s="392"/>
      <c r="K33" s="392"/>
      <c r="L33" s="392"/>
      <c r="M33" s="392"/>
      <c r="N33" s="392"/>
      <c r="O33" s="392"/>
      <c r="P33" s="37"/>
      <c r="Q33" s="37"/>
      <c r="R33" s="37"/>
    </row>
    <row r="34" spans="1:18" ht="12.6" customHeight="1">
      <c r="A34" s="695" t="s">
        <v>299</v>
      </c>
      <c r="B34" s="695">
        <v>0</v>
      </c>
      <c r="C34" s="695">
        <v>0</v>
      </c>
      <c r="D34" s="695">
        <v>0</v>
      </c>
      <c r="E34" s="695"/>
      <c r="F34" s="695"/>
      <c r="G34" s="695" t="s">
        <v>390</v>
      </c>
      <c r="H34" s="3011">
        <v>0</v>
      </c>
      <c r="I34" s="392"/>
      <c r="J34" s="392"/>
      <c r="K34" s="392"/>
      <c r="L34" s="392"/>
      <c r="M34" s="392"/>
      <c r="N34" s="392"/>
      <c r="O34" s="392"/>
      <c r="P34" s="37"/>
      <c r="Q34" s="37"/>
      <c r="R34" s="37"/>
    </row>
    <row r="35" spans="1:18" ht="12.6" customHeight="1">
      <c r="A35" s="695" t="s">
        <v>284</v>
      </c>
      <c r="B35" s="695">
        <v>4</v>
      </c>
      <c r="C35" s="695">
        <v>4</v>
      </c>
      <c r="D35" s="695">
        <v>6</v>
      </c>
      <c r="E35" s="695">
        <v>5</v>
      </c>
      <c r="F35" s="695">
        <v>4</v>
      </c>
      <c r="G35" s="695">
        <v>4</v>
      </c>
      <c r="H35" s="3011">
        <v>4</v>
      </c>
      <c r="I35" s="392"/>
      <c r="J35" s="392"/>
      <c r="K35" s="392"/>
      <c r="L35" s="392"/>
      <c r="M35" s="392"/>
      <c r="N35" s="392"/>
      <c r="O35" s="392"/>
      <c r="P35" s="37"/>
      <c r="Q35" s="37"/>
      <c r="R35" s="37"/>
    </row>
    <row r="36" spans="1:18" ht="12.6" customHeight="1">
      <c r="A36" s="695" t="s">
        <v>285</v>
      </c>
      <c r="B36" s="695">
        <v>5</v>
      </c>
      <c r="C36" s="695">
        <v>5</v>
      </c>
      <c r="D36" s="695">
        <v>5</v>
      </c>
      <c r="E36" s="695">
        <v>5</v>
      </c>
      <c r="F36" s="695">
        <v>5</v>
      </c>
      <c r="G36" s="695">
        <v>5</v>
      </c>
      <c r="H36" s="3011">
        <v>5</v>
      </c>
      <c r="I36" s="395"/>
      <c r="J36" s="395"/>
      <c r="K36" s="395"/>
      <c r="L36" s="395"/>
      <c r="M36" s="395"/>
      <c r="N36" s="395"/>
      <c r="O36" s="395"/>
      <c r="P36" s="136"/>
      <c r="Q36" s="136"/>
      <c r="R36" s="136"/>
    </row>
    <row r="37" spans="1:18" ht="12.6" customHeight="1">
      <c r="A37" s="695" t="s">
        <v>286</v>
      </c>
      <c r="B37" s="695">
        <v>133</v>
      </c>
      <c r="C37" s="695">
        <v>130</v>
      </c>
      <c r="D37" s="695">
        <v>144</v>
      </c>
      <c r="E37" s="695">
        <v>128</v>
      </c>
      <c r="F37" s="695">
        <v>150</v>
      </c>
      <c r="G37" s="695">
        <v>154</v>
      </c>
      <c r="H37" s="3011">
        <v>147</v>
      </c>
      <c r="I37" s="390"/>
      <c r="J37" s="390"/>
      <c r="K37" s="390"/>
      <c r="L37" s="392"/>
      <c r="M37" s="392"/>
      <c r="N37" s="392"/>
      <c r="O37" s="392"/>
      <c r="P37" s="37"/>
      <c r="Q37" s="37"/>
      <c r="R37" s="37"/>
    </row>
    <row r="38" spans="1:18" ht="12.6" customHeight="1">
      <c r="A38" s="695" t="s">
        <v>293</v>
      </c>
      <c r="B38" s="695">
        <v>259</v>
      </c>
      <c r="C38" s="695">
        <v>246</v>
      </c>
      <c r="D38" s="695">
        <v>299</v>
      </c>
      <c r="E38" s="695">
        <v>309</v>
      </c>
      <c r="F38" s="695">
        <v>357</v>
      </c>
      <c r="G38" s="695">
        <v>357</v>
      </c>
      <c r="H38" s="3011">
        <v>364</v>
      </c>
      <c r="I38" s="410"/>
      <c r="J38" s="411"/>
      <c r="K38" s="390"/>
      <c r="L38" s="392"/>
      <c r="M38" s="392"/>
      <c r="N38" s="392"/>
      <c r="O38" s="392"/>
      <c r="P38" s="37"/>
      <c r="Q38" s="37"/>
      <c r="R38" s="37"/>
    </row>
    <row r="39" spans="1:18" ht="12.6" customHeight="1">
      <c r="A39" s="695" t="s">
        <v>274</v>
      </c>
      <c r="B39" s="695">
        <v>578</v>
      </c>
      <c r="C39" s="695">
        <v>567</v>
      </c>
      <c r="D39" s="695">
        <v>580</v>
      </c>
      <c r="E39" s="695">
        <v>404</v>
      </c>
      <c r="F39" s="695">
        <v>356</v>
      </c>
      <c r="G39" s="695">
        <v>352</v>
      </c>
      <c r="H39" s="3011">
        <v>298</v>
      </c>
      <c r="I39" s="412"/>
      <c r="J39" s="413"/>
      <c r="K39" s="390"/>
      <c r="L39" s="392"/>
      <c r="M39" s="392"/>
      <c r="N39" s="392"/>
      <c r="O39" s="392"/>
      <c r="P39" s="37"/>
      <c r="Q39" s="37"/>
      <c r="R39" s="37"/>
    </row>
    <row r="40" spans="1:18" ht="12.6" customHeight="1">
      <c r="A40" s="695" t="s">
        <v>763</v>
      </c>
      <c r="B40" s="695">
        <v>0</v>
      </c>
      <c r="C40" s="695">
        <v>0</v>
      </c>
      <c r="D40" s="695">
        <v>3</v>
      </c>
      <c r="E40" s="695">
        <v>6</v>
      </c>
      <c r="F40" s="695">
        <v>6</v>
      </c>
      <c r="G40" s="695">
        <v>6</v>
      </c>
      <c r="H40" s="3011">
        <v>6</v>
      </c>
      <c r="I40" s="412"/>
      <c r="J40" s="413"/>
      <c r="K40" s="390"/>
      <c r="L40" s="392"/>
      <c r="M40" s="392"/>
      <c r="N40" s="392"/>
      <c r="O40" s="392"/>
      <c r="P40" s="37"/>
      <c r="Q40" s="37"/>
      <c r="R40" s="37"/>
    </row>
    <row r="41" spans="1:18" ht="12.6" customHeight="1">
      <c r="A41" s="695" t="s">
        <v>278</v>
      </c>
      <c r="B41" s="695">
        <v>407</v>
      </c>
      <c r="C41" s="695">
        <v>450</v>
      </c>
      <c r="D41" s="695">
        <v>474</v>
      </c>
      <c r="E41" s="695">
        <v>504</v>
      </c>
      <c r="F41" s="695">
        <v>540</v>
      </c>
      <c r="G41" s="695">
        <v>541</v>
      </c>
      <c r="H41" s="3011">
        <v>540</v>
      </c>
      <c r="I41" s="414"/>
      <c r="J41" s="415"/>
      <c r="K41" s="390"/>
      <c r="L41" s="392"/>
      <c r="M41" s="392"/>
      <c r="N41" s="392"/>
      <c r="O41" s="392"/>
      <c r="P41" s="37"/>
      <c r="Q41" s="37"/>
      <c r="R41" s="37"/>
    </row>
    <row r="42" spans="1:18" ht="21.6" customHeight="1">
      <c r="A42" s="695" t="s">
        <v>279</v>
      </c>
      <c r="B42" s="695">
        <v>28</v>
      </c>
      <c r="C42" s="695">
        <v>32</v>
      </c>
      <c r="D42" s="695">
        <v>25</v>
      </c>
      <c r="E42" s="695">
        <v>27</v>
      </c>
      <c r="F42" s="695">
        <v>30</v>
      </c>
      <c r="G42" s="695">
        <v>30</v>
      </c>
      <c r="H42" s="3011">
        <v>28</v>
      </c>
      <c r="I42" s="416"/>
      <c r="J42" s="417"/>
      <c r="K42" s="390"/>
      <c r="L42" s="392"/>
      <c r="M42" s="392"/>
      <c r="N42" s="392"/>
      <c r="O42" s="392"/>
      <c r="P42" s="37"/>
      <c r="Q42" s="37"/>
      <c r="R42" s="37"/>
    </row>
    <row r="43" spans="1:18" ht="21.6" customHeight="1">
      <c r="A43" s="695" t="s">
        <v>280</v>
      </c>
      <c r="B43" s="695">
        <v>92</v>
      </c>
      <c r="C43" s="695">
        <v>104</v>
      </c>
      <c r="D43" s="695">
        <v>123</v>
      </c>
      <c r="E43" s="695">
        <v>132</v>
      </c>
      <c r="F43" s="695">
        <v>143</v>
      </c>
      <c r="G43" s="695">
        <v>143</v>
      </c>
      <c r="H43" s="3011">
        <v>140</v>
      </c>
      <c r="I43" s="390"/>
      <c r="J43" s="390"/>
      <c r="K43" s="390"/>
      <c r="L43" s="392"/>
      <c r="M43" s="392"/>
      <c r="N43" s="392"/>
      <c r="O43" s="392"/>
      <c r="P43" s="37"/>
      <c r="Q43" s="37"/>
      <c r="R43" s="37"/>
    </row>
    <row r="44" spans="1:18" ht="21.6" customHeight="1">
      <c r="A44" s="695" t="s">
        <v>294</v>
      </c>
      <c r="B44" s="695">
        <v>105</v>
      </c>
      <c r="C44" s="695">
        <v>100</v>
      </c>
      <c r="D44" s="695">
        <v>105</v>
      </c>
      <c r="E44" s="695">
        <v>65</v>
      </c>
      <c r="F44" s="695">
        <v>69</v>
      </c>
      <c r="G44" s="695">
        <v>71</v>
      </c>
      <c r="H44" s="3011">
        <v>72</v>
      </c>
      <c r="I44" s="390"/>
      <c r="J44" s="390"/>
      <c r="K44" s="390"/>
      <c r="L44" s="392"/>
      <c r="M44" s="392"/>
      <c r="N44" s="392"/>
      <c r="O44" s="392"/>
      <c r="P44" s="37"/>
      <c r="Q44" s="37"/>
      <c r="R44" s="37"/>
    </row>
    <row r="45" spans="1:18" ht="21.6" customHeight="1">
      <c r="A45" s="695" t="s">
        <v>762</v>
      </c>
      <c r="B45" s="695">
        <v>0</v>
      </c>
      <c r="C45" s="695">
        <v>0</v>
      </c>
      <c r="D45" s="695">
        <v>7</v>
      </c>
      <c r="E45" s="695">
        <v>6</v>
      </c>
      <c r="F45" s="695">
        <v>6</v>
      </c>
      <c r="G45" s="695">
        <v>6</v>
      </c>
      <c r="H45" s="3011">
        <v>6</v>
      </c>
      <c r="I45" s="390"/>
      <c r="J45" s="390"/>
      <c r="K45" s="390"/>
      <c r="L45" s="392"/>
      <c r="M45" s="392"/>
      <c r="N45" s="392"/>
      <c r="O45" s="392"/>
      <c r="P45" s="37"/>
      <c r="Q45" s="37"/>
      <c r="R45" s="37"/>
    </row>
    <row r="46" spans="1:18" ht="21.6" customHeight="1">
      <c r="A46" s="695" t="s">
        <v>295</v>
      </c>
      <c r="B46" s="695">
        <v>72</v>
      </c>
      <c r="C46" s="695">
        <v>73</v>
      </c>
      <c r="D46" s="695">
        <v>81</v>
      </c>
      <c r="E46" s="695">
        <v>59</v>
      </c>
      <c r="F46" s="695">
        <v>66</v>
      </c>
      <c r="G46" s="695">
        <v>66</v>
      </c>
      <c r="H46" s="3011">
        <v>68</v>
      </c>
      <c r="I46" s="390"/>
      <c r="J46" s="390"/>
      <c r="K46" s="390"/>
      <c r="L46" s="392"/>
      <c r="M46" s="392"/>
      <c r="N46" s="392"/>
      <c r="O46" s="392"/>
      <c r="P46" s="37"/>
      <c r="Q46" s="37"/>
      <c r="R46" s="37"/>
    </row>
    <row r="47" spans="1:18" ht="21.6" customHeight="1">
      <c r="A47" s="695" t="s">
        <v>281</v>
      </c>
      <c r="B47" s="695">
        <v>41</v>
      </c>
      <c r="C47" s="695">
        <v>37</v>
      </c>
      <c r="D47" s="695">
        <v>0</v>
      </c>
      <c r="E47" s="695"/>
      <c r="F47" s="695">
        <v>0</v>
      </c>
      <c r="G47" s="695">
        <v>0</v>
      </c>
      <c r="H47" s="3011">
        <v>0</v>
      </c>
      <c r="I47" s="392"/>
      <c r="J47" s="392"/>
      <c r="K47" s="392"/>
      <c r="L47" s="392"/>
      <c r="M47" s="392"/>
      <c r="N47" s="392"/>
      <c r="O47" s="392"/>
      <c r="P47" s="37"/>
      <c r="Q47" s="37"/>
      <c r="R47" s="37"/>
    </row>
    <row r="48" spans="1:18" ht="21.6" customHeight="1">
      <c r="A48" s="695" t="s">
        <v>296</v>
      </c>
      <c r="B48" s="695">
        <v>286</v>
      </c>
      <c r="C48" s="695">
        <v>241</v>
      </c>
      <c r="D48" s="695">
        <v>254</v>
      </c>
      <c r="E48" s="695">
        <v>211</v>
      </c>
      <c r="F48" s="695">
        <v>238</v>
      </c>
      <c r="G48" s="695">
        <v>241</v>
      </c>
      <c r="H48" s="3011">
        <v>252</v>
      </c>
      <c r="I48" s="392"/>
      <c r="J48" s="392"/>
      <c r="K48" s="392"/>
      <c r="L48" s="392"/>
      <c r="M48" s="392"/>
      <c r="N48" s="392"/>
      <c r="O48" s="392"/>
      <c r="P48" s="37"/>
      <c r="Q48" s="37"/>
      <c r="R48" s="37"/>
    </row>
    <row r="49" spans="1:18" ht="21.6" customHeight="1">
      <c r="A49" s="695" t="s">
        <v>287</v>
      </c>
      <c r="B49" s="695">
        <v>2</v>
      </c>
      <c r="C49" s="695">
        <v>2</v>
      </c>
      <c r="D49" s="695">
        <v>2</v>
      </c>
      <c r="E49" s="695">
        <v>1</v>
      </c>
      <c r="F49" s="695">
        <v>3</v>
      </c>
      <c r="G49" s="695">
        <v>3</v>
      </c>
      <c r="H49" s="3011">
        <v>4</v>
      </c>
      <c r="I49" s="392"/>
      <c r="J49" s="392"/>
      <c r="K49" s="392"/>
      <c r="L49" s="392"/>
      <c r="M49" s="392"/>
      <c r="N49" s="392"/>
      <c r="O49" s="392"/>
      <c r="P49" s="37"/>
      <c r="Q49" s="37"/>
      <c r="R49" s="37"/>
    </row>
    <row r="50" spans="1:18" ht="21.6" customHeight="1">
      <c r="A50" s="695" t="s">
        <v>282</v>
      </c>
      <c r="B50" s="695">
        <v>134</v>
      </c>
      <c r="C50" s="695">
        <v>88</v>
      </c>
      <c r="D50" s="695">
        <v>12</v>
      </c>
      <c r="E50" s="695">
        <v>2</v>
      </c>
      <c r="F50" s="695">
        <v>0</v>
      </c>
      <c r="G50" s="695">
        <v>0</v>
      </c>
      <c r="H50" s="3011">
        <v>0</v>
      </c>
      <c r="I50" s="392"/>
      <c r="J50" s="392"/>
      <c r="K50" s="392"/>
      <c r="L50" s="392"/>
      <c r="M50" s="392"/>
      <c r="N50" s="392"/>
      <c r="O50" s="392"/>
      <c r="P50" s="37"/>
      <c r="Q50" s="37"/>
      <c r="R50" s="37"/>
    </row>
    <row r="51" spans="1:18" ht="21.6" customHeight="1">
      <c r="A51" s="695" t="s">
        <v>288</v>
      </c>
      <c r="B51" s="695">
        <v>4</v>
      </c>
      <c r="C51" s="695">
        <v>4</v>
      </c>
      <c r="D51" s="695">
        <v>4</v>
      </c>
      <c r="E51" s="695">
        <v>2</v>
      </c>
      <c r="F51" s="695">
        <v>1</v>
      </c>
      <c r="G51" s="695">
        <v>1</v>
      </c>
      <c r="H51" s="3011">
        <v>1</v>
      </c>
      <c r="I51" s="392"/>
      <c r="J51" s="392"/>
      <c r="K51" s="392"/>
      <c r="L51" s="392"/>
      <c r="M51" s="392"/>
      <c r="N51" s="392"/>
      <c r="O51" s="392"/>
      <c r="P51" s="37"/>
      <c r="Q51" s="37"/>
      <c r="R51" s="37"/>
    </row>
    <row r="52" spans="1:18" ht="21.6" customHeight="1">
      <c r="A52" s="695" t="s">
        <v>289</v>
      </c>
      <c r="B52" s="695">
        <v>2</v>
      </c>
      <c r="C52" s="695">
        <v>2</v>
      </c>
      <c r="D52" s="695">
        <v>1</v>
      </c>
      <c r="E52" s="695">
        <v>1</v>
      </c>
      <c r="F52" s="695">
        <v>1</v>
      </c>
      <c r="G52" s="695">
        <v>1</v>
      </c>
      <c r="H52" s="3011">
        <v>1</v>
      </c>
      <c r="I52" s="392"/>
      <c r="J52" s="392"/>
      <c r="K52" s="392"/>
      <c r="L52" s="392"/>
      <c r="M52" s="392"/>
      <c r="N52" s="392"/>
      <c r="O52" s="392"/>
      <c r="P52" s="37"/>
      <c r="Q52" s="37"/>
      <c r="R52" s="37"/>
    </row>
    <row r="53" spans="1:18" ht="21.6" customHeight="1">
      <c r="A53" s="695" t="s">
        <v>271</v>
      </c>
      <c r="B53" s="695">
        <v>1</v>
      </c>
      <c r="C53" s="695">
        <v>1</v>
      </c>
      <c r="D53" s="695">
        <v>0</v>
      </c>
      <c r="E53" s="695"/>
      <c r="F53" s="695">
        <v>0</v>
      </c>
      <c r="G53" s="695">
        <v>0</v>
      </c>
      <c r="H53" s="3011">
        <v>1</v>
      </c>
      <c r="I53" s="392"/>
      <c r="J53" s="392"/>
      <c r="K53" s="392"/>
      <c r="L53" s="392"/>
      <c r="M53" s="392"/>
      <c r="N53" s="392"/>
      <c r="O53" s="392"/>
      <c r="P53" s="37"/>
      <c r="Q53" s="37"/>
      <c r="R53" s="37"/>
    </row>
    <row r="54" spans="1:18" ht="21.6" customHeight="1">
      <c r="A54" s="695" t="s">
        <v>297</v>
      </c>
      <c r="B54" s="695">
        <v>23</v>
      </c>
      <c r="C54" s="695">
        <v>23</v>
      </c>
      <c r="D54" s="695">
        <v>29</v>
      </c>
      <c r="E54" s="695">
        <v>14</v>
      </c>
      <c r="F54" s="695">
        <v>15</v>
      </c>
      <c r="G54" s="695">
        <v>15</v>
      </c>
      <c r="H54" s="3011">
        <v>15</v>
      </c>
      <c r="I54" s="392"/>
      <c r="J54" s="392"/>
      <c r="K54" s="392"/>
      <c r="L54" s="392"/>
      <c r="M54" s="392"/>
      <c r="N54" s="392"/>
      <c r="O54" s="392"/>
      <c r="P54" s="37"/>
      <c r="Q54" s="37"/>
      <c r="R54" s="37"/>
    </row>
    <row r="55" spans="1:18" ht="21.6" customHeight="1">
      <c r="A55" s="695" t="s">
        <v>275</v>
      </c>
      <c r="B55" s="695">
        <v>2262</v>
      </c>
      <c r="C55" s="695">
        <v>2237</v>
      </c>
      <c r="D55" s="695">
        <v>2294</v>
      </c>
      <c r="E55" s="695">
        <v>1895</v>
      </c>
      <c r="F55" s="695">
        <v>2055</v>
      </c>
      <c r="G55" s="695">
        <v>2067</v>
      </c>
      <c r="H55" s="3011">
        <v>2157</v>
      </c>
      <c r="I55" s="392"/>
      <c r="J55" s="392"/>
      <c r="K55" s="392"/>
      <c r="L55" s="392"/>
      <c r="M55" s="392"/>
      <c r="N55" s="392"/>
      <c r="O55" s="392"/>
      <c r="P55" s="37"/>
      <c r="Q55" s="37"/>
      <c r="R55" s="37"/>
    </row>
    <row r="56" spans="1:18" ht="21.6" customHeight="1">
      <c r="A56" s="695" t="s">
        <v>290</v>
      </c>
      <c r="B56" s="695">
        <v>3</v>
      </c>
      <c r="C56" s="695">
        <v>2</v>
      </c>
      <c r="D56" s="695">
        <v>1</v>
      </c>
      <c r="E56" s="695">
        <v>1</v>
      </c>
      <c r="F56" s="695">
        <v>1</v>
      </c>
      <c r="G56" s="695">
        <v>1</v>
      </c>
      <c r="H56" s="3011">
        <v>0</v>
      </c>
      <c r="I56" s="392"/>
      <c r="J56" s="392"/>
      <c r="K56" s="392"/>
      <c r="L56" s="392"/>
      <c r="M56" s="392"/>
      <c r="N56" s="392"/>
      <c r="O56" s="392"/>
      <c r="P56" s="37"/>
      <c r="Q56" s="37"/>
      <c r="R56" s="37"/>
    </row>
    <row r="57" spans="1:18" ht="21.6" customHeight="1">
      <c r="A57" s="695" t="s">
        <v>300</v>
      </c>
      <c r="B57" s="695">
        <v>0</v>
      </c>
      <c r="C57" s="695">
        <v>0</v>
      </c>
      <c r="D57" s="695">
        <v>0</v>
      </c>
      <c r="E57" s="695"/>
      <c r="F57" s="695"/>
      <c r="G57" s="695" t="s">
        <v>390</v>
      </c>
      <c r="H57" s="3011">
        <v>0</v>
      </c>
      <c r="I57" s="392"/>
      <c r="J57" s="392"/>
      <c r="K57" s="392"/>
      <c r="L57" s="392"/>
      <c r="M57" s="392"/>
      <c r="N57" s="392"/>
      <c r="O57" s="392"/>
      <c r="P57" s="37"/>
      <c r="Q57" s="37"/>
      <c r="R57" s="37"/>
    </row>
    <row r="58" spans="1:18" ht="21.6" customHeight="1">
      <c r="A58" s="695" t="s">
        <v>291</v>
      </c>
      <c r="B58" s="695">
        <v>28</v>
      </c>
      <c r="C58" s="695">
        <v>28</v>
      </c>
      <c r="D58" s="695">
        <v>27</v>
      </c>
      <c r="E58" s="695">
        <v>27</v>
      </c>
      <c r="F58" s="695">
        <v>36</v>
      </c>
      <c r="G58" s="695">
        <v>39</v>
      </c>
      <c r="H58" s="3011">
        <v>42</v>
      </c>
      <c r="I58" s="392"/>
      <c r="J58" s="392"/>
      <c r="K58" s="392"/>
      <c r="L58" s="392"/>
      <c r="M58" s="392"/>
      <c r="N58" s="392"/>
      <c r="O58" s="392"/>
      <c r="P58" s="37"/>
      <c r="Q58" s="37"/>
      <c r="R58" s="37"/>
    </row>
    <row r="59" spans="1:18" ht="21.6" customHeight="1">
      <c r="A59" s="695" t="s">
        <v>292</v>
      </c>
      <c r="B59" s="695">
        <v>6</v>
      </c>
      <c r="C59" s="695">
        <v>5</v>
      </c>
      <c r="D59" s="695">
        <v>5</v>
      </c>
      <c r="E59" s="695">
        <v>3</v>
      </c>
      <c r="F59" s="695">
        <v>3</v>
      </c>
      <c r="G59" s="695">
        <v>3</v>
      </c>
      <c r="H59" s="3011">
        <v>3</v>
      </c>
      <c r="I59" s="392"/>
      <c r="J59" s="392"/>
      <c r="K59" s="392"/>
      <c r="L59" s="392"/>
      <c r="M59" s="392"/>
      <c r="N59" s="392"/>
      <c r="O59" s="392"/>
      <c r="P59" s="37"/>
      <c r="Q59" s="37"/>
      <c r="R59" s="37"/>
    </row>
    <row r="60" spans="1:18" ht="21.6" customHeight="1">
      <c r="A60" s="695" t="s">
        <v>298</v>
      </c>
      <c r="B60" s="695">
        <v>29</v>
      </c>
      <c r="C60" s="695">
        <v>29</v>
      </c>
      <c r="D60" s="695">
        <v>73</v>
      </c>
      <c r="E60" s="695">
        <v>18</v>
      </c>
      <c r="F60" s="695">
        <v>22</v>
      </c>
      <c r="G60" s="695">
        <v>22</v>
      </c>
      <c r="H60" s="3011">
        <v>23</v>
      </c>
      <c r="I60" s="392"/>
      <c r="J60" s="392"/>
      <c r="K60" s="392"/>
      <c r="L60" s="392"/>
      <c r="M60" s="392"/>
      <c r="N60" s="392"/>
      <c r="O60" s="392"/>
      <c r="P60" s="37"/>
      <c r="Q60" s="37"/>
      <c r="R60" s="37"/>
    </row>
    <row r="61" spans="1:18" ht="21.6" customHeight="1">
      <c r="A61" s="695" t="s">
        <v>563</v>
      </c>
      <c r="B61" s="695">
        <v>50</v>
      </c>
      <c r="C61" s="695">
        <v>58</v>
      </c>
      <c r="D61" s="695">
        <v>23</v>
      </c>
      <c r="E61" s="695">
        <v>61</v>
      </c>
      <c r="F61" s="695">
        <v>66</v>
      </c>
      <c r="G61" s="695">
        <v>66</v>
      </c>
      <c r="H61" s="3011">
        <v>68</v>
      </c>
      <c r="I61" s="392"/>
      <c r="J61" s="392"/>
      <c r="K61" s="392"/>
      <c r="L61" s="392"/>
      <c r="M61" s="392"/>
      <c r="N61" s="392"/>
      <c r="O61" s="392"/>
      <c r="P61" s="37"/>
      <c r="Q61" s="37"/>
      <c r="R61" s="37"/>
    </row>
    <row r="62" spans="1:18" ht="21.6" customHeight="1">
      <c r="A62" s="695" t="s">
        <v>1445</v>
      </c>
      <c r="B62" s="695"/>
      <c r="C62" s="695"/>
      <c r="D62" s="695"/>
      <c r="E62" s="695"/>
      <c r="F62" s="695"/>
      <c r="G62" s="695"/>
      <c r="H62" s="3011">
        <v>1</v>
      </c>
      <c r="I62" s="392"/>
      <c r="J62" s="392"/>
      <c r="K62" s="392"/>
      <c r="L62" s="392"/>
      <c r="M62" s="392"/>
      <c r="N62" s="392"/>
      <c r="O62" s="392"/>
      <c r="P62" s="2345"/>
      <c r="Q62" s="2345"/>
      <c r="R62" s="2345"/>
    </row>
    <row r="63" spans="1:18" ht="21.6" customHeight="1">
      <c r="A63" s="2107" t="s">
        <v>53</v>
      </c>
      <c r="B63" s="2349">
        <f t="shared" ref="B63:G63" si="2">SUM(B26:B62)</f>
        <v>5212</v>
      </c>
      <c r="C63" s="2349">
        <f t="shared" si="2"/>
        <v>5109</v>
      </c>
      <c r="D63" s="2349">
        <f t="shared" si="2"/>
        <v>5231</v>
      </c>
      <c r="E63" s="2349">
        <f t="shared" si="2"/>
        <v>4381</v>
      </c>
      <c r="F63" s="2349">
        <f t="shared" si="2"/>
        <v>4752</v>
      </c>
      <c r="G63" s="2349">
        <f t="shared" si="2"/>
        <v>4776</v>
      </c>
      <c r="H63" s="3012">
        <f>SUM(H26:H62)</f>
        <v>4858</v>
      </c>
      <c r="I63" s="392"/>
      <c r="J63" s="392"/>
      <c r="K63" s="392"/>
      <c r="L63" s="392"/>
      <c r="M63" s="392"/>
      <c r="N63" s="392"/>
      <c r="O63" s="392"/>
      <c r="P63" s="37"/>
      <c r="Q63" s="37"/>
      <c r="R63" s="37"/>
    </row>
    <row r="64" spans="1:18" ht="21.6" customHeight="1">
      <c r="A64" s="2363" t="s">
        <v>1444</v>
      </c>
    </row>
  </sheetData>
  <printOptions horizontalCentered="1"/>
  <pageMargins left="0.51181102362204722" right="0.51181102362204722" top="0.19685039370078741" bottom="0.51181102362204722" header="0" footer="0"/>
  <pageSetup paperSize="9" scale="51" orientation="landscape" verticalDpi="597"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00B0F0"/>
    <pageSetUpPr fitToPage="1"/>
  </sheetPr>
  <dimension ref="A1:Z33"/>
  <sheetViews>
    <sheetView showGridLines="0" workbookViewId="0">
      <selection activeCell="B1" sqref="B1:Q12"/>
    </sheetView>
  </sheetViews>
  <sheetFormatPr baseColWidth="10" defaultRowHeight="14.4"/>
  <cols>
    <col min="1" max="1" width="2.33203125" style="45" customWidth="1"/>
    <col min="2" max="2" width="14.6640625" customWidth="1"/>
    <col min="3" max="3" width="59.109375" customWidth="1"/>
    <col min="4" max="11" width="5" customWidth="1"/>
    <col min="12" max="12" width="8" customWidth="1"/>
    <col min="13" max="14" width="5" customWidth="1"/>
    <col min="15" max="16" width="8" bestFit="1" customWidth="1"/>
    <col min="17" max="17" width="8" customWidth="1"/>
    <col min="18" max="18" width="5" style="329" customWidth="1"/>
    <col min="19" max="19" width="10.88671875" style="229" hidden="1" customWidth="1"/>
    <col min="20" max="21" width="10.88671875" style="329" hidden="1" customWidth="1"/>
    <col min="22" max="22" width="10.6640625" style="329" hidden="1" customWidth="1"/>
    <col min="23" max="25" width="10.6640625" style="329" customWidth="1"/>
    <col min="26" max="26" width="5.5546875" style="329" customWidth="1"/>
  </cols>
  <sheetData>
    <row r="1" spans="1:26" s="730" customFormat="1" ht="21">
      <c r="B1" s="1091" t="s">
        <v>898</v>
      </c>
      <c r="H1" s="428"/>
      <c r="I1" s="428"/>
    </row>
    <row r="2" spans="1:26" ht="15" thickBot="1"/>
    <row r="3" spans="1:26" s="2" customFormat="1" ht="21" thickBot="1">
      <c r="A3" s="226">
        <v>3</v>
      </c>
      <c r="B3" s="5671" t="s">
        <v>193</v>
      </c>
      <c r="C3" s="227" t="s">
        <v>194</v>
      </c>
      <c r="D3" s="418">
        <v>2008</v>
      </c>
      <c r="E3" s="418">
        <v>2009</v>
      </c>
      <c r="F3" s="418">
        <v>2010</v>
      </c>
      <c r="G3" s="418">
        <v>2011</v>
      </c>
      <c r="H3" s="418">
        <v>2012</v>
      </c>
      <c r="I3" s="418">
        <v>2013</v>
      </c>
      <c r="J3" s="402">
        <v>2014</v>
      </c>
      <c r="K3" s="402">
        <v>2015</v>
      </c>
      <c r="L3" s="402">
        <v>2016</v>
      </c>
      <c r="M3" s="402">
        <v>2017</v>
      </c>
      <c r="N3" s="2108">
        <v>2018</v>
      </c>
      <c r="O3" s="402">
        <v>2019</v>
      </c>
      <c r="P3" s="402">
        <v>2020</v>
      </c>
      <c r="Q3" s="3015">
        <v>2021</v>
      </c>
      <c r="R3" s="2220"/>
      <c r="S3" s="421" t="s">
        <v>550</v>
      </c>
      <c r="T3" s="424" t="s">
        <v>551</v>
      </c>
      <c r="U3" s="424" t="s">
        <v>767</v>
      </c>
      <c r="V3" s="424" t="s">
        <v>894</v>
      </c>
      <c r="W3" s="424" t="s">
        <v>1363</v>
      </c>
      <c r="X3" s="424" t="s">
        <v>1399</v>
      </c>
      <c r="Y3" s="3017" t="s">
        <v>1447</v>
      </c>
      <c r="Z3" s="2220"/>
    </row>
    <row r="4" spans="1:26">
      <c r="B4" s="5672"/>
      <c r="C4" s="396" t="s">
        <v>772</v>
      </c>
      <c r="D4" s="419">
        <v>456</v>
      </c>
      <c r="E4" s="420">
        <v>522</v>
      </c>
      <c r="F4" s="420">
        <v>464</v>
      </c>
      <c r="G4" s="420">
        <v>513</v>
      </c>
      <c r="H4" s="420">
        <v>564</v>
      </c>
      <c r="I4" s="420">
        <v>631</v>
      </c>
      <c r="J4" s="420">
        <v>679</v>
      </c>
      <c r="K4" s="420">
        <v>722</v>
      </c>
      <c r="L4" s="420">
        <v>660</v>
      </c>
      <c r="M4" s="420">
        <v>739</v>
      </c>
      <c r="N4" s="2109">
        <v>644</v>
      </c>
      <c r="O4" s="420">
        <v>730</v>
      </c>
      <c r="P4" s="420">
        <v>735</v>
      </c>
      <c r="Q4" s="3016">
        <v>756</v>
      </c>
      <c r="R4" s="426"/>
      <c r="S4" s="422">
        <f t="shared" ref="S4:S9" si="0">K4/$K$11</f>
        <v>0.13986826811313444</v>
      </c>
      <c r="T4" s="425">
        <f t="shared" ref="T4:T9" si="1">L4/$L$11</f>
        <v>0.13066719461492773</v>
      </c>
      <c r="U4" s="425">
        <f t="shared" ref="U4:U9" si="2">M4/$M$11</f>
        <v>0.14127317912445039</v>
      </c>
      <c r="V4" s="425">
        <f t="shared" ref="V4:V9" si="3">N4/$N$11</f>
        <v>0.14699840219128052</v>
      </c>
      <c r="W4" s="425">
        <f t="shared" ref="W4:W9" si="4">O4/$O$11</f>
        <v>0.15361952861952863</v>
      </c>
      <c r="X4" s="425">
        <f t="shared" ref="X4:X9" si="5">P4/$P$11</f>
        <v>0.15389447236180903</v>
      </c>
      <c r="Y4" s="3018">
        <f>Q4/$Q$11</f>
        <v>0.15561959654178675</v>
      </c>
      <c r="Z4" s="426"/>
    </row>
    <row r="5" spans="1:26">
      <c r="B5" s="5672"/>
      <c r="C5" s="396" t="s">
        <v>303</v>
      </c>
      <c r="D5" s="419">
        <v>1435</v>
      </c>
      <c r="E5" s="420">
        <v>1755</v>
      </c>
      <c r="F5" s="420">
        <v>1576</v>
      </c>
      <c r="G5" s="420">
        <v>1752</v>
      </c>
      <c r="H5" s="420">
        <v>2245</v>
      </c>
      <c r="I5" s="420">
        <v>3021</v>
      </c>
      <c r="J5" s="420">
        <v>3316</v>
      </c>
      <c r="K5" s="420">
        <v>3486</v>
      </c>
      <c r="L5" s="420">
        <v>3434</v>
      </c>
      <c r="M5" s="420">
        <v>3517</v>
      </c>
      <c r="N5" s="2109">
        <v>2786</v>
      </c>
      <c r="O5" s="420">
        <v>2978</v>
      </c>
      <c r="P5" s="420">
        <v>2989</v>
      </c>
      <c r="Q5" s="3016">
        <v>3199</v>
      </c>
      <c r="R5" s="426"/>
      <c r="S5" s="422">
        <f t="shared" si="0"/>
        <v>0.67531964354901197</v>
      </c>
      <c r="T5" s="425">
        <f t="shared" si="1"/>
        <v>0.67986537319342699</v>
      </c>
      <c r="U5" s="425">
        <f t="shared" si="2"/>
        <v>0.67233798508889309</v>
      </c>
      <c r="V5" s="425">
        <f t="shared" si="3"/>
        <v>0.63592787034923537</v>
      </c>
      <c r="W5" s="425">
        <f t="shared" si="4"/>
        <v>0.62668350168350173</v>
      </c>
      <c r="X5" s="425">
        <f t="shared" si="5"/>
        <v>0.62583752093802347</v>
      </c>
      <c r="Y5" s="3018">
        <f t="shared" ref="Y5:Y11" si="6">Q5/$Q$11</f>
        <v>0.65850144092219021</v>
      </c>
      <c r="Z5" s="426"/>
    </row>
    <row r="6" spans="1:26">
      <c r="B6" s="5672"/>
      <c r="C6" s="396" t="s">
        <v>276</v>
      </c>
      <c r="D6" s="419">
        <v>426</v>
      </c>
      <c r="E6" s="420">
        <v>476</v>
      </c>
      <c r="F6" s="420">
        <v>462</v>
      </c>
      <c r="G6" s="420">
        <v>475</v>
      </c>
      <c r="H6" s="420">
        <v>496</v>
      </c>
      <c r="I6" s="420">
        <v>585</v>
      </c>
      <c r="J6" s="420">
        <v>642</v>
      </c>
      <c r="K6" s="420">
        <v>713</v>
      </c>
      <c r="L6" s="420">
        <v>721</v>
      </c>
      <c r="M6" s="420">
        <v>653</v>
      </c>
      <c r="N6" s="2109">
        <v>684</v>
      </c>
      <c r="O6" s="420">
        <v>736</v>
      </c>
      <c r="P6" s="420">
        <v>737</v>
      </c>
      <c r="Q6" s="3016">
        <v>735</v>
      </c>
      <c r="R6" s="426"/>
      <c r="S6" s="422">
        <f t="shared" si="0"/>
        <v>0.1381247578457962</v>
      </c>
      <c r="T6" s="425">
        <f t="shared" si="1"/>
        <v>0.14274401108691348</v>
      </c>
      <c r="U6" s="425">
        <f t="shared" si="2"/>
        <v>0.12483272796788376</v>
      </c>
      <c r="V6" s="425">
        <f t="shared" si="3"/>
        <v>0.15612873773111161</v>
      </c>
      <c r="W6" s="425">
        <f t="shared" si="4"/>
        <v>0.15488215488215487</v>
      </c>
      <c r="X6" s="425">
        <f t="shared" si="5"/>
        <v>0.15431323283082077</v>
      </c>
      <c r="Y6" s="3018">
        <f t="shared" si="6"/>
        <v>0.15129682997118155</v>
      </c>
      <c r="Z6" s="426"/>
    </row>
    <row r="7" spans="1:26">
      <c r="B7" s="5672"/>
      <c r="C7" s="397" t="s">
        <v>266</v>
      </c>
      <c r="D7" s="419">
        <v>13</v>
      </c>
      <c r="E7" s="420">
        <v>12</v>
      </c>
      <c r="F7" s="420">
        <v>11</v>
      </c>
      <c r="G7" s="420">
        <v>10</v>
      </c>
      <c r="H7" s="420">
        <v>0</v>
      </c>
      <c r="I7" s="420">
        <v>0</v>
      </c>
      <c r="J7" s="420">
        <v>0</v>
      </c>
      <c r="K7" s="420">
        <v>0</v>
      </c>
      <c r="L7" s="420">
        <v>0</v>
      </c>
      <c r="M7" s="420">
        <v>0</v>
      </c>
      <c r="N7" s="2109"/>
      <c r="O7" s="420">
        <v>0</v>
      </c>
      <c r="P7" s="420">
        <v>0</v>
      </c>
      <c r="Q7" s="3016">
        <v>0</v>
      </c>
      <c r="R7" s="426"/>
      <c r="S7" s="422">
        <f t="shared" si="0"/>
        <v>0</v>
      </c>
      <c r="T7" s="425">
        <f t="shared" si="1"/>
        <v>0</v>
      </c>
      <c r="U7" s="425">
        <f t="shared" si="2"/>
        <v>0</v>
      </c>
      <c r="V7" s="425">
        <f t="shared" si="3"/>
        <v>0</v>
      </c>
      <c r="W7" s="425">
        <f t="shared" si="4"/>
        <v>0</v>
      </c>
      <c r="X7" s="425">
        <f t="shared" si="5"/>
        <v>0</v>
      </c>
      <c r="Y7" s="3018">
        <f t="shared" si="6"/>
        <v>0</v>
      </c>
      <c r="Z7" s="426"/>
    </row>
    <row r="8" spans="1:26">
      <c r="B8" s="5672"/>
      <c r="C8" s="396" t="s">
        <v>267</v>
      </c>
      <c r="D8" s="419">
        <v>85</v>
      </c>
      <c r="E8" s="420">
        <v>101</v>
      </c>
      <c r="F8" s="420">
        <v>85</v>
      </c>
      <c r="G8" s="420">
        <v>96</v>
      </c>
      <c r="H8" s="420">
        <v>100</v>
      </c>
      <c r="I8" s="420">
        <v>151</v>
      </c>
      <c r="J8" s="420">
        <v>171</v>
      </c>
      <c r="K8" s="420">
        <v>189</v>
      </c>
      <c r="L8" s="420">
        <v>184</v>
      </c>
      <c r="M8" s="420">
        <v>197</v>
      </c>
      <c r="N8" s="2109">
        <v>174</v>
      </c>
      <c r="O8" s="420">
        <v>205</v>
      </c>
      <c r="P8" s="420">
        <v>212</v>
      </c>
      <c r="Q8" s="3016">
        <v>61</v>
      </c>
      <c r="R8" s="426"/>
      <c r="S8" s="422">
        <f t="shared" si="0"/>
        <v>3.6613715614103058E-2</v>
      </c>
      <c r="T8" s="425">
        <f t="shared" si="1"/>
        <v>3.6428430013858641E-2</v>
      </c>
      <c r="U8" s="425">
        <f t="shared" si="2"/>
        <v>3.7660103230739823E-2</v>
      </c>
      <c r="V8" s="425">
        <f t="shared" si="3"/>
        <v>3.9716959598265239E-2</v>
      </c>
      <c r="W8" s="425">
        <f t="shared" si="4"/>
        <v>4.3139730639730638E-2</v>
      </c>
      <c r="X8" s="425">
        <f t="shared" si="5"/>
        <v>4.4388609715242881E-2</v>
      </c>
      <c r="Y8" s="3018">
        <f t="shared" si="6"/>
        <v>1.2556607657472211E-2</v>
      </c>
      <c r="Z8" s="426"/>
    </row>
    <row r="9" spans="1:26">
      <c r="B9" s="5673"/>
      <c r="C9" s="396" t="s">
        <v>268</v>
      </c>
      <c r="D9" s="419">
        <v>118</v>
      </c>
      <c r="E9" s="420">
        <v>148</v>
      </c>
      <c r="F9" s="420">
        <v>121</v>
      </c>
      <c r="G9" s="420">
        <v>78</v>
      </c>
      <c r="H9" s="420">
        <v>98</v>
      </c>
      <c r="I9" s="420">
        <v>100</v>
      </c>
      <c r="J9" s="420">
        <v>101</v>
      </c>
      <c r="K9" s="420">
        <v>52</v>
      </c>
      <c r="L9" s="420">
        <v>52</v>
      </c>
      <c r="M9" s="420">
        <v>125</v>
      </c>
      <c r="N9" s="2109">
        <v>93</v>
      </c>
      <c r="O9" s="420">
        <v>103</v>
      </c>
      <c r="P9" s="420">
        <v>103</v>
      </c>
      <c r="Q9" s="3016">
        <v>106</v>
      </c>
      <c r="R9" s="426"/>
      <c r="S9" s="422">
        <f t="shared" si="0"/>
        <v>1.0073614877954282E-2</v>
      </c>
      <c r="T9" s="425">
        <f t="shared" si="1"/>
        <v>1.0294991090873094E-2</v>
      </c>
      <c r="U9" s="425">
        <f t="shared" si="2"/>
        <v>2.3896004588032881E-2</v>
      </c>
      <c r="V9" s="425">
        <f t="shared" si="3"/>
        <v>2.1228030130107281E-2</v>
      </c>
      <c r="W9" s="425">
        <f t="shared" si="4"/>
        <v>2.1675084175084174E-2</v>
      </c>
      <c r="X9" s="425">
        <f t="shared" si="5"/>
        <v>2.1566164154103853E-2</v>
      </c>
      <c r="Y9" s="3018">
        <f t="shared" si="6"/>
        <v>2.1819678880197611E-2</v>
      </c>
      <c r="Z9" s="426"/>
    </row>
    <row r="10" spans="1:26" ht="15" thickBot="1">
      <c r="B10" s="5673"/>
      <c r="C10" s="396" t="s">
        <v>1446</v>
      </c>
      <c r="D10" s="419"/>
      <c r="E10" s="420"/>
      <c r="F10" s="420"/>
      <c r="G10" s="420"/>
      <c r="H10" s="420"/>
      <c r="I10" s="420"/>
      <c r="J10" s="420"/>
      <c r="K10" s="420"/>
      <c r="L10" s="420"/>
      <c r="M10" s="420"/>
      <c r="N10" s="2109"/>
      <c r="O10" s="420"/>
      <c r="P10" s="420"/>
      <c r="Q10" s="3016">
        <v>1</v>
      </c>
      <c r="R10" s="426"/>
      <c r="S10" s="2351"/>
      <c r="T10" s="2352"/>
      <c r="U10" s="2352"/>
      <c r="V10" s="2352"/>
      <c r="W10" s="2352"/>
      <c r="X10" s="2352"/>
      <c r="Y10" s="3019">
        <f t="shared" si="6"/>
        <v>2.0584602717167559E-4</v>
      </c>
      <c r="Z10" s="426"/>
    </row>
    <row r="11" spans="1:26" ht="15" thickBot="1">
      <c r="B11" s="5674"/>
      <c r="C11" s="46" t="s">
        <v>195</v>
      </c>
      <c r="D11" s="2110">
        <f t="shared" ref="D11:P11" si="7">SUM(D4:D10)</f>
        <v>2533</v>
      </c>
      <c r="E11" s="2110">
        <f t="shared" si="7"/>
        <v>3014</v>
      </c>
      <c r="F11" s="2110">
        <f t="shared" si="7"/>
        <v>2719</v>
      </c>
      <c r="G11" s="2110">
        <f t="shared" si="7"/>
        <v>2924</v>
      </c>
      <c r="H11" s="2110">
        <f t="shared" si="7"/>
        <v>3503</v>
      </c>
      <c r="I11" s="2110">
        <f t="shared" si="7"/>
        <v>4488</v>
      </c>
      <c r="J11" s="2110">
        <f t="shared" si="7"/>
        <v>4909</v>
      </c>
      <c r="K11" s="2110">
        <f t="shared" si="7"/>
        <v>5162</v>
      </c>
      <c r="L11" s="2110">
        <f t="shared" si="7"/>
        <v>5051</v>
      </c>
      <c r="M11" s="2110">
        <f t="shared" si="7"/>
        <v>5231</v>
      </c>
      <c r="N11" s="2110">
        <f t="shared" si="7"/>
        <v>4381</v>
      </c>
      <c r="O11" s="3164">
        <f t="shared" si="7"/>
        <v>4752</v>
      </c>
      <c r="P11" s="3164">
        <f t="shared" si="7"/>
        <v>4776</v>
      </c>
      <c r="Q11" s="2353">
        <f>SUM(Q4:Q10)</f>
        <v>4858</v>
      </c>
      <c r="R11" s="426"/>
      <c r="S11" s="423">
        <f>SUM(S4:S9)</f>
        <v>1</v>
      </c>
      <c r="T11" s="427">
        <f>SUM(T4:T9)</f>
        <v>0.99999999999999989</v>
      </c>
      <c r="U11" s="427">
        <f>M11/$M$11</f>
        <v>1</v>
      </c>
      <c r="V11" s="427">
        <f>N11/$N$11</f>
        <v>1</v>
      </c>
      <c r="W11" s="427">
        <f>O11/$O$11</f>
        <v>1</v>
      </c>
      <c r="X11" s="427">
        <f>P11/$P$11</f>
        <v>1</v>
      </c>
      <c r="Y11" s="2354">
        <f t="shared" si="6"/>
        <v>1</v>
      </c>
      <c r="Z11" s="426"/>
    </row>
    <row r="12" spans="1:26">
      <c r="K12" s="47">
        <f t="shared" ref="K12:Q12" si="8">K11/J11-1</f>
        <v>5.1537991444285947E-2</v>
      </c>
      <c r="L12" s="47">
        <f t="shared" si="8"/>
        <v>-2.15032932971716E-2</v>
      </c>
      <c r="M12" s="47">
        <f t="shared" si="8"/>
        <v>3.5636507622253122E-2</v>
      </c>
      <c r="N12" s="47">
        <f t="shared" si="8"/>
        <v>-0.16249283119862357</v>
      </c>
      <c r="O12" s="47">
        <f t="shared" si="8"/>
        <v>8.4683862131933241E-2</v>
      </c>
      <c r="P12" s="47">
        <f t="shared" si="8"/>
        <v>5.050505050504972E-3</v>
      </c>
      <c r="Q12" s="47">
        <f t="shared" si="8"/>
        <v>1.7169179229480802E-2</v>
      </c>
    </row>
    <row r="13" spans="1:26" ht="52.2">
      <c r="C13" s="708"/>
      <c r="O13" s="2350" t="s">
        <v>1400</v>
      </c>
      <c r="P13" s="2350" t="s">
        <v>1400</v>
      </c>
      <c r="Q13" s="2362" t="s">
        <v>1444</v>
      </c>
    </row>
    <row r="14" spans="1:26" ht="14.4" customHeight="1">
      <c r="C14" s="5675" t="s">
        <v>1448</v>
      </c>
      <c r="D14" s="5675"/>
      <c r="E14" s="5675"/>
      <c r="F14" s="5675"/>
      <c r="G14" s="5675"/>
      <c r="H14" s="5675"/>
      <c r="I14" s="5675"/>
      <c r="J14" s="5675"/>
      <c r="K14" s="5675"/>
      <c r="L14" s="5675"/>
      <c r="M14" s="5675"/>
      <c r="N14" s="5675"/>
      <c r="O14" s="5675"/>
      <c r="P14" s="5675"/>
      <c r="Q14" s="5675"/>
    </row>
    <row r="15" spans="1:26">
      <c r="C15" s="2355"/>
      <c r="D15" s="2355"/>
      <c r="E15" s="2355"/>
      <c r="F15" s="2355"/>
      <c r="G15" s="2355"/>
      <c r="H15" s="2355"/>
    </row>
    <row r="16" spans="1:26">
      <c r="C16" s="2355"/>
      <c r="D16" s="2355"/>
      <c r="E16" s="2355"/>
      <c r="F16" s="2355"/>
      <c r="G16" s="2355"/>
      <c r="H16" s="2355"/>
    </row>
    <row r="33" spans="3:3">
      <c r="C33">
        <f>'[7]Actividades económicas TUR'!J4</f>
        <v>679</v>
      </c>
    </row>
  </sheetData>
  <mergeCells count="2">
    <mergeCell ref="B3:B11"/>
    <mergeCell ref="C14:Q14"/>
  </mergeCells>
  <pageMargins left="0.70866141732283472" right="0.70866141732283472" top="0.74803149606299213" bottom="0.74803149606299213" header="0.31496062992125984" footer="0.31496062992125984"/>
  <pageSetup paperSize="9" scale="80" orientation="landscape" verticalDpi="597"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00B0F0"/>
    <pageSetUpPr fitToPage="1"/>
  </sheetPr>
  <dimension ref="A1:L17"/>
  <sheetViews>
    <sheetView showGridLines="0" topLeftCell="B1" zoomScale="80" zoomScaleNormal="80" workbookViewId="0">
      <selection activeCell="K6" sqref="K6"/>
    </sheetView>
  </sheetViews>
  <sheetFormatPr baseColWidth="10" defaultRowHeight="14.4"/>
  <cols>
    <col min="1" max="1" width="3.109375" customWidth="1"/>
    <col min="2" max="2" width="71.33203125" customWidth="1"/>
    <col min="3" max="5" width="11.109375" hidden="1" customWidth="1"/>
    <col min="6" max="6" width="0" hidden="1" customWidth="1"/>
  </cols>
  <sheetData>
    <row r="1" spans="1:12" ht="21">
      <c r="A1" s="730"/>
      <c r="B1" s="1091" t="s">
        <v>897</v>
      </c>
      <c r="C1" s="730"/>
      <c r="D1" s="730"/>
      <c r="E1" s="730"/>
      <c r="F1" s="730"/>
      <c r="G1" s="730"/>
      <c r="H1" s="730"/>
      <c r="I1" s="730"/>
      <c r="J1" s="428"/>
      <c r="K1" s="428"/>
      <c r="L1" s="730"/>
    </row>
    <row r="2" spans="1:12">
      <c r="C2" s="2214"/>
      <c r="D2" s="2214"/>
      <c r="E2" s="2214"/>
      <c r="F2" s="2214"/>
      <c r="G2" s="2214"/>
      <c r="H2" s="2214"/>
      <c r="I2" s="2344"/>
    </row>
    <row r="3" spans="1:12">
      <c r="C3" s="399">
        <v>2015</v>
      </c>
      <c r="D3" s="399">
        <v>2016</v>
      </c>
      <c r="E3" s="399">
        <v>2017</v>
      </c>
      <c r="F3" s="399">
        <v>2018</v>
      </c>
      <c r="G3" s="399">
        <v>2019</v>
      </c>
      <c r="H3" s="399">
        <v>2020</v>
      </c>
      <c r="I3" s="399">
        <v>2021</v>
      </c>
    </row>
    <row r="4" spans="1:12" ht="21">
      <c r="A4" s="1090"/>
      <c r="B4" s="1088" t="s">
        <v>555</v>
      </c>
      <c r="C4" s="1089">
        <f t="shared" ref="C4:I4" si="0">C5+C8</f>
        <v>102</v>
      </c>
      <c r="D4" s="1089">
        <f t="shared" si="0"/>
        <v>110</v>
      </c>
      <c r="E4" s="1089">
        <f t="shared" si="0"/>
        <v>125</v>
      </c>
      <c r="F4" s="1089">
        <f t="shared" si="0"/>
        <v>93</v>
      </c>
      <c r="G4" s="1089">
        <f>G5+G8</f>
        <v>103</v>
      </c>
      <c r="H4" s="1089">
        <f t="shared" si="0"/>
        <v>103</v>
      </c>
      <c r="I4" s="2356">
        <f t="shared" si="0"/>
        <v>106</v>
      </c>
      <c r="J4" s="1090"/>
      <c r="K4" s="1090"/>
      <c r="L4" s="1090"/>
    </row>
    <row r="5" spans="1:12">
      <c r="B5" s="2357" t="s">
        <v>561</v>
      </c>
      <c r="C5" s="2358">
        <f t="shared" ref="C5:H5" si="1">SUM(C6:C7)</f>
        <v>73</v>
      </c>
      <c r="D5" s="2358">
        <f t="shared" si="1"/>
        <v>81</v>
      </c>
      <c r="E5" s="2358">
        <f t="shared" si="1"/>
        <v>96</v>
      </c>
      <c r="F5" s="2358">
        <f t="shared" si="1"/>
        <v>75</v>
      </c>
      <c r="G5" s="2358">
        <f>SUM(G6:G7)</f>
        <v>81</v>
      </c>
      <c r="H5" s="2358">
        <f t="shared" si="1"/>
        <v>81</v>
      </c>
      <c r="I5" s="3014">
        <f t="shared" ref="I5" si="2">SUM(I6:I7)</f>
        <v>83</v>
      </c>
    </row>
    <row r="6" spans="1:12">
      <c r="B6" s="398" t="s">
        <v>562</v>
      </c>
      <c r="C6" s="1087">
        <v>23</v>
      </c>
      <c r="D6" s="1087">
        <v>23</v>
      </c>
      <c r="E6" s="1087">
        <v>23</v>
      </c>
      <c r="F6" s="1087">
        <v>14</v>
      </c>
      <c r="G6" s="1087">
        <v>15</v>
      </c>
      <c r="H6" s="1087">
        <v>15</v>
      </c>
      <c r="I6" s="3013">
        <v>15</v>
      </c>
    </row>
    <row r="7" spans="1:12">
      <c r="B7" s="398" t="s">
        <v>560</v>
      </c>
      <c r="C7" s="1087">
        <v>50</v>
      </c>
      <c r="D7" s="1087">
        <v>58</v>
      </c>
      <c r="E7" s="1087">
        <v>73</v>
      </c>
      <c r="F7" s="1087">
        <v>61</v>
      </c>
      <c r="G7" s="1087">
        <v>66</v>
      </c>
      <c r="H7" s="1087">
        <v>66</v>
      </c>
      <c r="I7" s="3013">
        <v>68</v>
      </c>
    </row>
    <row r="8" spans="1:12">
      <c r="B8" s="2357" t="s">
        <v>554</v>
      </c>
      <c r="C8" s="2358">
        <f>SUM(C10:C15)</f>
        <v>29</v>
      </c>
      <c r="D8" s="2358">
        <f>SUM(D10:D15)</f>
        <v>29</v>
      </c>
      <c r="E8" s="2358">
        <f>SUM(E10:E15)</f>
        <v>29</v>
      </c>
      <c r="F8" s="2358">
        <f>SUM(F9:F15)</f>
        <v>18</v>
      </c>
      <c r="G8" s="2358">
        <f>SUM(G9:G15)</f>
        <v>22</v>
      </c>
      <c r="H8" s="2358">
        <f>SUM(H9:H15)</f>
        <v>22</v>
      </c>
      <c r="I8" s="3014">
        <f>SUM(I9:I15)</f>
        <v>23</v>
      </c>
    </row>
    <row r="9" spans="1:12">
      <c r="B9" s="398" t="s">
        <v>896</v>
      </c>
      <c r="C9" s="1087">
        <v>0</v>
      </c>
      <c r="D9" s="1087">
        <v>0</v>
      </c>
      <c r="E9" s="1087">
        <v>0</v>
      </c>
      <c r="F9" s="1087">
        <v>1</v>
      </c>
      <c r="G9" s="1087">
        <v>1</v>
      </c>
      <c r="H9" s="1087">
        <v>1</v>
      </c>
      <c r="I9" s="3013">
        <v>1</v>
      </c>
    </row>
    <row r="10" spans="1:12">
      <c r="B10" s="398" t="s">
        <v>895</v>
      </c>
      <c r="C10" s="1087">
        <v>1</v>
      </c>
      <c r="D10" s="1087">
        <v>1</v>
      </c>
      <c r="E10" s="1087">
        <v>1</v>
      </c>
      <c r="F10" s="1087">
        <v>2</v>
      </c>
      <c r="G10" s="1087">
        <v>2</v>
      </c>
      <c r="H10" s="1087">
        <v>2</v>
      </c>
      <c r="I10" s="3013">
        <v>2</v>
      </c>
    </row>
    <row r="11" spans="1:12">
      <c r="B11" s="398" t="s">
        <v>559</v>
      </c>
      <c r="C11" s="1087">
        <v>5</v>
      </c>
      <c r="D11" s="1087">
        <v>5</v>
      </c>
      <c r="E11" s="1087">
        <v>3</v>
      </c>
      <c r="F11" s="1087">
        <v>2</v>
      </c>
      <c r="G11" s="1087">
        <v>3</v>
      </c>
      <c r="H11" s="1087">
        <v>3</v>
      </c>
      <c r="I11" s="3013">
        <v>3</v>
      </c>
    </row>
    <row r="12" spans="1:12">
      <c r="B12" s="398" t="s">
        <v>558</v>
      </c>
      <c r="C12" s="1087">
        <v>15</v>
      </c>
      <c r="D12" s="1087">
        <v>17</v>
      </c>
      <c r="E12" s="1087">
        <v>18</v>
      </c>
      <c r="F12" s="1087">
        <v>10</v>
      </c>
      <c r="G12" s="1087">
        <v>12</v>
      </c>
      <c r="H12" s="1087">
        <v>12</v>
      </c>
      <c r="I12" s="3013">
        <v>13</v>
      </c>
    </row>
    <row r="13" spans="1:12">
      <c r="B13" s="398" t="s">
        <v>557</v>
      </c>
      <c r="C13" s="1087">
        <v>1</v>
      </c>
      <c r="D13" s="1087">
        <v>1</v>
      </c>
      <c r="E13" s="1087">
        <v>2</v>
      </c>
      <c r="F13" s="1087">
        <v>2</v>
      </c>
      <c r="G13" s="1087">
        <v>4</v>
      </c>
      <c r="H13" s="1087">
        <v>4</v>
      </c>
      <c r="I13" s="3013">
        <v>4</v>
      </c>
    </row>
    <row r="14" spans="1:12">
      <c r="B14" s="398" t="s">
        <v>556</v>
      </c>
      <c r="C14" s="1087">
        <v>2</v>
      </c>
      <c r="D14" s="1087">
        <v>2</v>
      </c>
      <c r="E14" s="1087">
        <v>2</v>
      </c>
      <c r="F14" s="1087"/>
      <c r="G14" s="1087">
        <v>0</v>
      </c>
      <c r="H14" s="1087">
        <v>0</v>
      </c>
      <c r="I14" s="3013">
        <v>0</v>
      </c>
    </row>
    <row r="15" spans="1:12">
      <c r="B15" s="398" t="s">
        <v>553</v>
      </c>
      <c r="C15" s="1087">
        <v>5</v>
      </c>
      <c r="D15" s="1087">
        <v>3</v>
      </c>
      <c r="E15" s="1087">
        <v>3</v>
      </c>
      <c r="F15" s="1087">
        <v>1</v>
      </c>
      <c r="G15" s="1087">
        <v>0</v>
      </c>
      <c r="H15" s="1087">
        <v>0</v>
      </c>
      <c r="I15" s="3013">
        <v>0</v>
      </c>
    </row>
    <row r="16" spans="1:12" ht="57" customHeight="1">
      <c r="C16" s="2214"/>
      <c r="D16" s="2214"/>
      <c r="E16" s="2214"/>
      <c r="F16" s="1086"/>
      <c r="G16" s="2253" t="s">
        <v>1400</v>
      </c>
      <c r="H16" s="2253" t="s">
        <v>1400</v>
      </c>
      <c r="I16" s="2361" t="s">
        <v>1449</v>
      </c>
    </row>
    <row r="17" spans="2:9">
      <c r="B17" s="708"/>
      <c r="C17" s="2214"/>
      <c r="D17" s="2214"/>
      <c r="E17" s="2214"/>
      <c r="F17" s="1086"/>
      <c r="G17" s="1086"/>
      <c r="H17" s="1086"/>
      <c r="I17" s="1086"/>
    </row>
  </sheetData>
  <pageMargins left="0.70866141732283472" right="0.70866141732283472" top="0.74803149606299213" bottom="0.74803149606299213" header="0.31496062992125984" footer="0.31496062992125984"/>
  <pageSetup scale="69" orientation="landscape" verticalDpi="597"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rgb="FF00B0F0"/>
  </sheetPr>
  <dimension ref="B1:N16"/>
  <sheetViews>
    <sheetView workbookViewId="0">
      <selection activeCell="E2" sqref="E2"/>
    </sheetView>
  </sheetViews>
  <sheetFormatPr baseColWidth="10" defaultRowHeight="14.4"/>
  <cols>
    <col min="1" max="1" width="4.6640625" customWidth="1"/>
    <col min="2" max="2" width="23.33203125" customWidth="1"/>
    <col min="3" max="8" width="13.6640625" customWidth="1"/>
    <col min="9" max="10" width="2.21875" hidden="1" customWidth="1"/>
    <col min="11" max="11" width="12.33203125" bestFit="1" customWidth="1"/>
    <col min="12" max="12" width="13.109375" bestFit="1" customWidth="1"/>
    <col min="13" max="13" width="10.88671875" customWidth="1"/>
    <col min="14" max="14" width="9.6640625" customWidth="1"/>
  </cols>
  <sheetData>
    <row r="1" spans="2:14" s="730" customFormat="1" ht="21">
      <c r="B1" s="1091" t="s">
        <v>900</v>
      </c>
      <c r="H1" s="428"/>
      <c r="I1" s="428"/>
    </row>
    <row r="2" spans="2:14">
      <c r="B2" s="708"/>
    </row>
    <row r="3" spans="2:14">
      <c r="B3" s="708"/>
    </row>
    <row r="4" spans="2:14">
      <c r="B4" s="3020">
        <v>2021</v>
      </c>
      <c r="C4" s="2103"/>
      <c r="D4" s="2103"/>
      <c r="E4" s="2103"/>
      <c r="F4" s="2103"/>
      <c r="G4" s="2103"/>
      <c r="H4" s="2103"/>
      <c r="I4" s="2103"/>
      <c r="J4" s="2103"/>
      <c r="K4" s="2103"/>
    </row>
    <row r="5" spans="2:14">
      <c r="B5" s="2105" t="s">
        <v>1451</v>
      </c>
      <c r="C5" s="5676" t="s">
        <v>148</v>
      </c>
      <c r="D5" s="5677"/>
      <c r="E5" s="5677"/>
      <c r="F5" s="5677"/>
      <c r="G5" s="5677"/>
      <c r="H5" s="5678"/>
      <c r="I5" s="2105"/>
      <c r="J5" s="2105"/>
      <c r="K5" s="5679" t="s">
        <v>53</v>
      </c>
    </row>
    <row r="6" spans="2:14">
      <c r="B6" s="2105" t="s">
        <v>773</v>
      </c>
      <c r="C6" s="2105" t="s">
        <v>768</v>
      </c>
      <c r="D6" s="2105" t="s">
        <v>769</v>
      </c>
      <c r="E6" s="2105" t="s">
        <v>771</v>
      </c>
      <c r="F6" s="2105" t="s">
        <v>770</v>
      </c>
      <c r="G6" s="2105" t="s">
        <v>1067</v>
      </c>
      <c r="H6" s="2105" t="s">
        <v>1066</v>
      </c>
      <c r="I6" s="2105"/>
      <c r="J6" s="2105"/>
      <c r="K6" s="5680"/>
    </row>
    <row r="7" spans="2:14">
      <c r="B7" s="2359" t="s">
        <v>792</v>
      </c>
      <c r="C7" s="2359">
        <v>0</v>
      </c>
      <c r="D7" s="2359">
        <v>0</v>
      </c>
      <c r="E7" s="2359">
        <v>0</v>
      </c>
      <c r="F7" s="2359">
        <v>0</v>
      </c>
      <c r="G7" s="2359">
        <v>0</v>
      </c>
      <c r="H7" s="2359">
        <v>5</v>
      </c>
      <c r="I7" s="2359"/>
      <c r="J7" s="2359"/>
      <c r="K7" s="2359">
        <f t="shared" ref="K7:K14" si="0">SUM(C7:J7)</f>
        <v>5</v>
      </c>
    </row>
    <row r="8" spans="2:14" s="21" customFormat="1">
      <c r="B8" s="2359" t="s">
        <v>790</v>
      </c>
      <c r="C8" s="2359">
        <v>0</v>
      </c>
      <c r="D8" s="2359">
        <v>0</v>
      </c>
      <c r="E8" s="2359">
        <v>0</v>
      </c>
      <c r="F8" s="2359">
        <v>0</v>
      </c>
      <c r="G8" s="2359">
        <v>0</v>
      </c>
      <c r="H8" s="2359">
        <v>9</v>
      </c>
      <c r="I8" s="2359"/>
      <c r="J8" s="2359"/>
      <c r="K8" s="2359">
        <f t="shared" si="0"/>
        <v>9</v>
      </c>
      <c r="L8"/>
      <c r="M8"/>
      <c r="N8"/>
    </row>
    <row r="9" spans="2:14">
      <c r="B9" s="2359" t="s">
        <v>793</v>
      </c>
      <c r="C9" s="2359">
        <v>3</v>
      </c>
      <c r="D9" s="2359">
        <v>1</v>
      </c>
      <c r="E9" s="2359">
        <v>2</v>
      </c>
      <c r="F9" s="2359">
        <v>0</v>
      </c>
      <c r="G9" s="2359">
        <v>0</v>
      </c>
      <c r="H9" s="2359">
        <v>0</v>
      </c>
      <c r="I9" s="2359"/>
      <c r="J9" s="2359"/>
      <c r="K9" s="2359">
        <f t="shared" si="0"/>
        <v>6</v>
      </c>
    </row>
    <row r="10" spans="2:14">
      <c r="B10" s="2359" t="s">
        <v>198</v>
      </c>
      <c r="C10" s="2359">
        <v>0</v>
      </c>
      <c r="D10" s="2359">
        <v>0</v>
      </c>
      <c r="E10" s="2359">
        <v>23</v>
      </c>
      <c r="F10" s="2359">
        <v>284</v>
      </c>
      <c r="G10" s="2359">
        <v>233</v>
      </c>
      <c r="H10" s="2359">
        <v>0</v>
      </c>
      <c r="I10" s="2359"/>
      <c r="J10" s="2359"/>
      <c r="K10" s="2359">
        <f t="shared" si="0"/>
        <v>540</v>
      </c>
    </row>
    <row r="11" spans="2:14">
      <c r="B11" s="2359" t="s">
        <v>791</v>
      </c>
      <c r="C11" s="2359">
        <v>3</v>
      </c>
      <c r="D11" s="2359">
        <v>9</v>
      </c>
      <c r="E11" s="2359">
        <v>16</v>
      </c>
      <c r="F11" s="2359">
        <v>0</v>
      </c>
      <c r="G11" s="2359">
        <v>0</v>
      </c>
      <c r="H11" s="2359">
        <v>0</v>
      </c>
      <c r="I11" s="2359"/>
      <c r="J11" s="2359"/>
      <c r="K11" s="2359">
        <f t="shared" si="0"/>
        <v>28</v>
      </c>
    </row>
    <row r="12" spans="2:14">
      <c r="B12" s="2359" t="s">
        <v>270</v>
      </c>
      <c r="C12" s="2359">
        <v>12</v>
      </c>
      <c r="D12" s="2359">
        <v>27</v>
      </c>
      <c r="E12" s="2359">
        <v>65</v>
      </c>
      <c r="F12" s="2359">
        <v>36</v>
      </c>
      <c r="G12" s="2359">
        <v>0</v>
      </c>
      <c r="H12" s="2359">
        <v>0</v>
      </c>
      <c r="I12" s="2359"/>
      <c r="J12" s="2359"/>
      <c r="K12" s="2359">
        <f t="shared" si="0"/>
        <v>140</v>
      </c>
    </row>
    <row r="13" spans="2:14">
      <c r="B13" s="2359" t="s">
        <v>762</v>
      </c>
      <c r="C13" s="2359">
        <v>2</v>
      </c>
      <c r="D13" s="2359">
        <v>3</v>
      </c>
      <c r="E13" s="2359">
        <v>1</v>
      </c>
      <c r="F13" s="2359">
        <v>0</v>
      </c>
      <c r="G13" s="2359">
        <v>0</v>
      </c>
      <c r="H13" s="2359">
        <v>0</v>
      </c>
      <c r="I13" s="2359"/>
      <c r="J13" s="2359"/>
      <c r="K13" s="2359">
        <f t="shared" si="0"/>
        <v>6</v>
      </c>
    </row>
    <row r="14" spans="2:14">
      <c r="B14" s="2359" t="s">
        <v>271</v>
      </c>
      <c r="C14" s="2359">
        <v>0</v>
      </c>
      <c r="D14" s="2359">
        <v>0</v>
      </c>
      <c r="E14" s="2359">
        <v>0</v>
      </c>
      <c r="F14" s="2359">
        <v>0</v>
      </c>
      <c r="G14" s="2359">
        <v>0</v>
      </c>
      <c r="H14" s="2359">
        <v>1</v>
      </c>
      <c r="I14" s="2359"/>
      <c r="J14" s="2359"/>
      <c r="K14" s="2359">
        <f t="shared" si="0"/>
        <v>1</v>
      </c>
    </row>
    <row r="15" spans="2:14">
      <c r="B15" s="2104" t="s">
        <v>53</v>
      </c>
      <c r="C15" s="2104">
        <f>SUM(C7:C14)</f>
        <v>20</v>
      </c>
      <c r="D15" s="2104">
        <f>SUM(D7:D14)</f>
        <v>40</v>
      </c>
      <c r="E15" s="2104">
        <f>SUM(E7:E14)</f>
        <v>107</v>
      </c>
      <c r="F15" s="2104">
        <f t="shared" ref="F15" si="1">SUM(F7:F14)</f>
        <v>320</v>
      </c>
      <c r="G15" s="2104">
        <f>SUM(G7:G14)</f>
        <v>233</v>
      </c>
      <c r="H15" s="2104">
        <f>SUM(H7:H14)</f>
        <v>15</v>
      </c>
      <c r="I15" s="2104"/>
      <c r="J15" s="2104"/>
      <c r="K15" s="2360">
        <f>SUM(K7:K14)</f>
        <v>735</v>
      </c>
    </row>
    <row r="16" spans="2:14">
      <c r="B16" s="2361" t="s">
        <v>1450</v>
      </c>
      <c r="C16" s="582">
        <f>C15/$K$15</f>
        <v>2.7210884353741496E-2</v>
      </c>
      <c r="D16" s="582">
        <f>D15/$K$15</f>
        <v>5.4421768707482991E-2</v>
      </c>
      <c r="E16" s="582">
        <f t="shared" ref="E16:H16" si="2">E15/$K$15</f>
        <v>0.14557823129251701</v>
      </c>
      <c r="F16" s="582">
        <f t="shared" si="2"/>
        <v>0.43537414965986393</v>
      </c>
      <c r="G16" s="582">
        <f t="shared" si="2"/>
        <v>0.31700680272108844</v>
      </c>
      <c r="H16" s="582">
        <f t="shared" si="2"/>
        <v>2.0408163265306121E-2</v>
      </c>
      <c r="I16" s="582"/>
      <c r="J16" s="582"/>
      <c r="K16" s="582"/>
    </row>
  </sheetData>
  <mergeCells count="2">
    <mergeCell ref="C5:H5"/>
    <mergeCell ref="K5:K6"/>
  </mergeCells>
  <pageMargins left="0.7" right="0.7" top="0.75" bottom="0.75" header="0.3" footer="0.3"/>
  <pageSetup paperSize="9"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rgb="FF00B0F0"/>
  </sheetPr>
  <dimension ref="A1:G24"/>
  <sheetViews>
    <sheetView workbookViewId="0">
      <selection activeCell="G4" sqref="G4"/>
    </sheetView>
  </sheetViews>
  <sheetFormatPr baseColWidth="10" defaultRowHeight="14.4"/>
  <cols>
    <col min="1" max="1" width="4.44140625" style="730" customWidth="1"/>
    <col min="2" max="2" width="20.6640625" style="730" customWidth="1"/>
    <col min="3" max="3" width="17" style="730" bestFit="1" customWidth="1"/>
    <col min="4" max="4" width="14.109375" style="730" customWidth="1"/>
    <col min="5" max="5" width="14" style="730" customWidth="1"/>
    <col min="6" max="6" width="5.6640625" style="730" customWidth="1"/>
    <col min="7" max="7" width="9.6640625" style="2246" bestFit="1" customWidth="1"/>
  </cols>
  <sheetData>
    <row r="1" spans="1:7" ht="21">
      <c r="B1" s="1091" t="s">
        <v>902</v>
      </c>
      <c r="G1" s="456"/>
    </row>
    <row r="2" spans="1:7">
      <c r="C2" s="2246"/>
      <c r="D2" s="2247"/>
      <c r="E2" s="2247"/>
      <c r="G2" s="456"/>
    </row>
    <row r="3" spans="1:7">
      <c r="B3" s="3021">
        <v>2021</v>
      </c>
      <c r="C3" s="2246"/>
      <c r="D3" s="2247"/>
      <c r="E3" s="2247"/>
      <c r="G3" s="456"/>
    </row>
    <row r="4" spans="1:7" ht="28.8">
      <c r="B4" s="2248" t="s">
        <v>1364</v>
      </c>
      <c r="C4" s="2249" t="s">
        <v>1453</v>
      </c>
      <c r="D4" s="2249" t="s">
        <v>1454</v>
      </c>
      <c r="E4" s="2249" t="s">
        <v>1455</v>
      </c>
      <c r="G4" s="2247" t="s">
        <v>1452</v>
      </c>
    </row>
    <row r="5" spans="1:7">
      <c r="B5" s="428" t="s">
        <v>790</v>
      </c>
      <c r="C5" s="505">
        <f>SUM(C6)</f>
        <v>9</v>
      </c>
      <c r="D5" s="505">
        <f t="shared" ref="D5:E5" si="0">SUM(D6)</f>
        <v>34</v>
      </c>
      <c r="E5" s="505">
        <f t="shared" si="0"/>
        <v>53</v>
      </c>
    </row>
    <row r="6" spans="1:7" ht="15" thickBot="1">
      <c r="A6" s="2245"/>
      <c r="B6" s="2250" t="s">
        <v>1412</v>
      </c>
      <c r="C6" s="2251">
        <v>9</v>
      </c>
      <c r="D6" s="2251">
        <v>34</v>
      </c>
      <c r="E6" s="2251">
        <v>53</v>
      </c>
      <c r="F6" s="2245"/>
      <c r="G6" s="2365">
        <v>5</v>
      </c>
    </row>
    <row r="7" spans="1:7">
      <c r="B7" s="428" t="s">
        <v>793</v>
      </c>
      <c r="C7" s="505">
        <f>SUM(C8:C9)</f>
        <v>4</v>
      </c>
      <c r="D7" s="505">
        <f t="shared" ref="D7:E7" si="1">SUM(D8:D9)</f>
        <v>40</v>
      </c>
      <c r="E7" s="505">
        <f t="shared" si="1"/>
        <v>101</v>
      </c>
    </row>
    <row r="8" spans="1:7">
      <c r="B8" s="2252" t="s">
        <v>1413</v>
      </c>
      <c r="C8" s="428">
        <v>3</v>
      </c>
      <c r="D8" s="428">
        <v>34</v>
      </c>
      <c r="E8" s="428">
        <v>82</v>
      </c>
      <c r="G8" s="2246">
        <v>2.75</v>
      </c>
    </row>
    <row r="9" spans="1:7" ht="15" thickBot="1">
      <c r="A9" s="2245"/>
      <c r="B9" s="2250" t="s">
        <v>1414</v>
      </c>
      <c r="C9" s="2251">
        <v>1</v>
      </c>
      <c r="D9" s="2251">
        <v>6</v>
      </c>
      <c r="E9" s="2251">
        <v>19</v>
      </c>
      <c r="F9" s="2245"/>
      <c r="G9" s="2365">
        <v>1.5</v>
      </c>
    </row>
    <row r="10" spans="1:7">
      <c r="B10" s="428" t="s">
        <v>198</v>
      </c>
      <c r="C10" s="505">
        <f>SUM(C11)</f>
        <v>23</v>
      </c>
      <c r="D10" s="505">
        <f t="shared" ref="D10:E10" si="2">SUM(D11)</f>
        <v>288</v>
      </c>
      <c r="E10" s="505">
        <f t="shared" si="2"/>
        <v>593</v>
      </c>
    </row>
    <row r="11" spans="1:7" ht="15" thickBot="1">
      <c r="A11" s="2245"/>
      <c r="B11" s="2250" t="s">
        <v>1415</v>
      </c>
      <c r="C11" s="2251">
        <v>23</v>
      </c>
      <c r="D11" s="2251">
        <v>288</v>
      </c>
      <c r="E11" s="2251">
        <v>593</v>
      </c>
      <c r="F11" s="2245"/>
      <c r="G11" s="2365">
        <v>1.5</v>
      </c>
    </row>
    <row r="12" spans="1:7">
      <c r="B12" s="428" t="s">
        <v>791</v>
      </c>
      <c r="C12" s="505">
        <f>SUM(C13:C14)</f>
        <v>12</v>
      </c>
      <c r="D12" s="505">
        <f t="shared" ref="D12:E12" si="3">SUM(D13:D14)</f>
        <v>146</v>
      </c>
      <c r="E12" s="505">
        <f t="shared" si="3"/>
        <v>336</v>
      </c>
    </row>
    <row r="13" spans="1:7">
      <c r="B13" s="2252" t="s">
        <v>1413</v>
      </c>
      <c r="C13" s="428">
        <v>3</v>
      </c>
      <c r="D13" s="428">
        <v>59</v>
      </c>
      <c r="E13" s="428">
        <v>126</v>
      </c>
      <c r="G13" s="2246">
        <v>2.75</v>
      </c>
    </row>
    <row r="14" spans="1:7" ht="15" thickBot="1">
      <c r="A14" s="2245"/>
      <c r="B14" s="2250" t="s">
        <v>1414</v>
      </c>
      <c r="C14" s="2251">
        <v>9</v>
      </c>
      <c r="D14" s="2251">
        <v>87</v>
      </c>
      <c r="E14" s="2251">
        <v>210</v>
      </c>
      <c r="F14" s="2245"/>
      <c r="G14" s="2365">
        <v>1.5</v>
      </c>
    </row>
    <row r="15" spans="1:7">
      <c r="B15" s="428" t="s">
        <v>270</v>
      </c>
      <c r="C15" s="505">
        <f>SUM(C16:C17)</f>
        <v>39</v>
      </c>
      <c r="D15" s="505">
        <f t="shared" ref="D15:E15" si="4">SUM(D16:D17)</f>
        <v>3004</v>
      </c>
      <c r="E15" s="505">
        <f t="shared" si="4"/>
        <v>5984</v>
      </c>
    </row>
    <row r="16" spans="1:7">
      <c r="B16" s="2252" t="s">
        <v>1413</v>
      </c>
      <c r="C16" s="428">
        <v>12</v>
      </c>
      <c r="D16" s="428">
        <v>1698</v>
      </c>
      <c r="E16" s="428">
        <v>3451</v>
      </c>
      <c r="G16" s="2246">
        <v>2.75</v>
      </c>
    </row>
    <row r="17" spans="1:7" ht="15" thickBot="1">
      <c r="A17" s="2245"/>
      <c r="B17" s="2250" t="s">
        <v>1414</v>
      </c>
      <c r="C17" s="2251">
        <v>27</v>
      </c>
      <c r="D17" s="2251">
        <v>1306</v>
      </c>
      <c r="E17" s="2251">
        <v>2533</v>
      </c>
      <c r="F17" s="2245"/>
      <c r="G17" s="2365">
        <v>1.5</v>
      </c>
    </row>
    <row r="18" spans="1:7">
      <c r="B18" s="428" t="s">
        <v>762</v>
      </c>
      <c r="C18" s="505">
        <f>SUM(C19:C20)</f>
        <v>5</v>
      </c>
      <c r="D18" s="505">
        <f t="shared" ref="D18:E18" si="5">SUM(D19:D20)</f>
        <v>66</v>
      </c>
      <c r="E18" s="505">
        <f t="shared" si="5"/>
        <v>141</v>
      </c>
    </row>
    <row r="19" spans="1:7">
      <c r="B19" s="2252" t="s">
        <v>1413</v>
      </c>
      <c r="C19" s="428">
        <v>2</v>
      </c>
      <c r="D19" s="428">
        <v>31</v>
      </c>
      <c r="E19" s="428">
        <v>66</v>
      </c>
      <c r="G19" s="2246">
        <v>2.75</v>
      </c>
    </row>
    <row r="20" spans="1:7" ht="15" thickBot="1">
      <c r="A20" s="2245"/>
      <c r="B20" s="2250" t="s">
        <v>1414</v>
      </c>
      <c r="C20" s="2251">
        <v>3</v>
      </c>
      <c r="D20" s="2251">
        <v>35</v>
      </c>
      <c r="E20" s="2251">
        <v>75</v>
      </c>
      <c r="F20" s="2245"/>
      <c r="G20" s="2365">
        <v>1.5</v>
      </c>
    </row>
    <row r="21" spans="1:7">
      <c r="B21" s="428" t="s">
        <v>1416</v>
      </c>
      <c r="C21" s="2364">
        <f>SUM(C22)</f>
        <v>0</v>
      </c>
      <c r="D21" s="2364">
        <f t="shared" ref="D21" si="6">SUM(D22)</f>
        <v>0</v>
      </c>
      <c r="E21" s="2364">
        <f t="shared" ref="E21" si="7">SUM(E22)</f>
        <v>0</v>
      </c>
    </row>
    <row r="22" spans="1:7" ht="15" thickBot="1">
      <c r="A22" s="2245"/>
      <c r="B22" s="2250" t="s">
        <v>1412</v>
      </c>
      <c r="C22" s="2251"/>
      <c r="D22" s="2251"/>
      <c r="E22" s="2251"/>
      <c r="F22" s="2245"/>
      <c r="G22" s="2365">
        <v>5</v>
      </c>
    </row>
    <row r="23" spans="1:7">
      <c r="B23" s="431" t="s">
        <v>53</v>
      </c>
      <c r="C23" s="431">
        <f>SUM(C5+C7+C10+C12+C15+C18)</f>
        <v>92</v>
      </c>
      <c r="D23" s="431">
        <f t="shared" ref="D23:E23" si="8">SUM(D5+D7+D10+D12+D15+D18)</f>
        <v>3578</v>
      </c>
      <c r="E23" s="431">
        <f t="shared" si="8"/>
        <v>7208</v>
      </c>
    </row>
    <row r="24" spans="1:7">
      <c r="B24" s="2361" t="s">
        <v>1450</v>
      </c>
      <c r="C24" s="2254"/>
      <c r="D24" s="2254"/>
      <c r="E24" s="2254"/>
    </row>
  </sheetData>
  <pageMargins left="0.7" right="0.7" top="0.75" bottom="0.75" header="0.3" footer="0.3"/>
  <drawing r:id="rId1"/>
  <tableParts count="1">
    <tablePart r:id="rId2"/>
  </tablePart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rgb="FF00B0F0"/>
  </sheetPr>
  <dimension ref="A1:K20"/>
  <sheetViews>
    <sheetView workbookViewId="0">
      <selection activeCell="E3" sqref="E3"/>
    </sheetView>
  </sheetViews>
  <sheetFormatPr baseColWidth="10" defaultColWidth="11.5546875" defaultRowHeight="14.4"/>
  <cols>
    <col min="1" max="1" width="11.5546875" style="21"/>
    <col min="2" max="2" width="28.109375" style="21" bestFit="1" customWidth="1"/>
    <col min="3" max="4" width="13" style="21" customWidth="1"/>
    <col min="5" max="5" width="21.44140625" style="21" customWidth="1"/>
    <col min="6" max="16384" width="11.5546875" style="21"/>
  </cols>
  <sheetData>
    <row r="1" spans="1:11" ht="21">
      <c r="A1" s="2255"/>
      <c r="B1" s="2398" t="s">
        <v>901</v>
      </c>
      <c r="C1" s="2255"/>
      <c r="D1" s="2255"/>
      <c r="E1" s="2255"/>
      <c r="F1" s="2255"/>
      <c r="G1" s="2255"/>
      <c r="H1" s="2248"/>
      <c r="I1" s="2248"/>
      <c r="J1" s="2255"/>
      <c r="K1" s="2255"/>
    </row>
    <row r="3" spans="1:11" ht="15" thickBot="1">
      <c r="B3" s="3022">
        <v>2021</v>
      </c>
    </row>
    <row r="4" spans="1:11" ht="28.8">
      <c r="B4" s="2112" t="s">
        <v>1457</v>
      </c>
      <c r="C4" s="2113" t="s">
        <v>1487</v>
      </c>
      <c r="D4" s="2114" t="s">
        <v>1454</v>
      </c>
      <c r="E4" s="411"/>
      <c r="F4" s="2274"/>
      <c r="G4" s="5681" t="s">
        <v>871</v>
      </c>
      <c r="H4" s="5681"/>
      <c r="I4" s="5682" t="s">
        <v>872</v>
      </c>
      <c r="J4" s="5683"/>
    </row>
    <row r="5" spans="1:11">
      <c r="B5" s="2115" t="s">
        <v>781</v>
      </c>
      <c r="C5" s="2222">
        <v>3737</v>
      </c>
      <c r="D5" s="2222">
        <v>1742</v>
      </c>
      <c r="F5" s="2369"/>
      <c r="G5" s="2370"/>
      <c r="H5" s="2370"/>
      <c r="I5" s="2371"/>
      <c r="J5" s="2372"/>
    </row>
    <row r="6" spans="1:11">
      <c r="B6" s="2115" t="s">
        <v>777</v>
      </c>
      <c r="C6" s="2222">
        <v>2267</v>
      </c>
      <c r="D6" s="2222">
        <v>1051</v>
      </c>
      <c r="F6" s="2373" t="s">
        <v>743</v>
      </c>
      <c r="G6" s="2374">
        <f>SUM(C5:C6)</f>
        <v>6004</v>
      </c>
      <c r="H6" s="2375">
        <f>G6/C19</f>
        <v>0.20938099389712292</v>
      </c>
      <c r="I6" s="2376">
        <f>SUM(D5:D6)</f>
        <v>2793</v>
      </c>
      <c r="J6" s="2377">
        <f>I6/D19</f>
        <v>0.1782272988322379</v>
      </c>
    </row>
    <row r="7" spans="1:11">
      <c r="B7" s="2115" t="s">
        <v>784</v>
      </c>
      <c r="C7" s="2222">
        <v>217</v>
      </c>
      <c r="D7" s="2222">
        <v>87</v>
      </c>
      <c r="F7" s="2369"/>
      <c r="G7" s="2370"/>
      <c r="H7" s="2370"/>
      <c r="I7" s="2371"/>
      <c r="J7" s="2372"/>
    </row>
    <row r="8" spans="1:11" ht="15" thickBot="1">
      <c r="B8" s="2115" t="s">
        <v>774</v>
      </c>
      <c r="C8" s="2222">
        <v>7922</v>
      </c>
      <c r="D8" s="2222">
        <v>3635</v>
      </c>
      <c r="F8" s="2378" t="s">
        <v>651</v>
      </c>
      <c r="G8" s="2379">
        <f>SUM(C8:C11)</f>
        <v>9996</v>
      </c>
      <c r="H8" s="2380">
        <f>G8/C19</f>
        <v>0.34859633827375763</v>
      </c>
      <c r="I8" s="2381">
        <f>SUM(D8:D11)</f>
        <v>6729</v>
      </c>
      <c r="J8" s="2382">
        <f>I8/D19</f>
        <v>0.42939187033373749</v>
      </c>
    </row>
    <row r="9" spans="1:11">
      <c r="B9" s="2115" t="s">
        <v>782</v>
      </c>
      <c r="C9" s="2222">
        <v>533</v>
      </c>
      <c r="D9" s="2222">
        <v>253</v>
      </c>
    </row>
    <row r="10" spans="1:11">
      <c r="B10" s="2115" t="s">
        <v>785</v>
      </c>
      <c r="C10" s="2222">
        <v>152</v>
      </c>
      <c r="D10" s="2222">
        <v>60</v>
      </c>
    </row>
    <row r="11" spans="1:11">
      <c r="B11" s="2115" t="s">
        <v>779</v>
      </c>
      <c r="C11" s="2222">
        <v>1389</v>
      </c>
      <c r="D11" s="2222">
        <v>2781</v>
      </c>
    </row>
    <row r="12" spans="1:11" ht="15" thickBot="1">
      <c r="B12" s="2115" t="s">
        <v>778</v>
      </c>
      <c r="C12" s="2222">
        <v>1784</v>
      </c>
      <c r="D12" s="2222">
        <v>863</v>
      </c>
    </row>
    <row r="13" spans="1:11">
      <c r="B13" s="2115" t="s">
        <v>786</v>
      </c>
      <c r="C13" s="2222">
        <v>359</v>
      </c>
      <c r="D13" s="2222">
        <v>184</v>
      </c>
      <c r="F13" s="2366" t="s">
        <v>1456</v>
      </c>
      <c r="G13" s="2367"/>
      <c r="H13" s="2367"/>
      <c r="I13" s="2367"/>
      <c r="J13" s="2368"/>
    </row>
    <row r="14" spans="1:11">
      <c r="B14" s="2115" t="s">
        <v>780</v>
      </c>
      <c r="C14" s="2222">
        <v>1572</v>
      </c>
      <c r="D14" s="2222">
        <v>698</v>
      </c>
      <c r="F14" s="2383"/>
      <c r="G14" s="5684" t="s">
        <v>871</v>
      </c>
      <c r="H14" s="5684"/>
      <c r="I14" s="5685" t="s">
        <v>872</v>
      </c>
      <c r="J14" s="5686"/>
    </row>
    <row r="15" spans="1:11">
      <c r="B15" s="2115" t="s">
        <v>776</v>
      </c>
      <c r="C15" s="2222">
        <v>3603</v>
      </c>
      <c r="D15" s="2222">
        <v>1811</v>
      </c>
      <c r="F15" s="2384"/>
      <c r="G15" s="2385"/>
      <c r="H15" s="2385"/>
      <c r="I15" s="2386"/>
      <c r="J15" s="2387"/>
    </row>
    <row r="16" spans="1:11">
      <c r="B16" s="2115" t="s">
        <v>783</v>
      </c>
      <c r="C16" s="2222">
        <v>1889</v>
      </c>
      <c r="D16" s="2222">
        <v>925</v>
      </c>
      <c r="F16" s="2384" t="s">
        <v>743</v>
      </c>
      <c r="G16" s="2388">
        <f>SUM(C6)</f>
        <v>2267</v>
      </c>
      <c r="H16" s="2389">
        <f>(C6)/C$19</f>
        <v>7.905841325196164E-2</v>
      </c>
      <c r="I16" s="2390">
        <f>SUM(D6)</f>
        <v>1051</v>
      </c>
      <c r="J16" s="2391">
        <f>(D6)/D$19</f>
        <v>6.7066556058962418E-2</v>
      </c>
    </row>
    <row r="17" spans="2:10">
      <c r="B17" s="2115" t="s">
        <v>787</v>
      </c>
      <c r="C17" s="2222">
        <v>542</v>
      </c>
      <c r="D17" s="2222">
        <v>237</v>
      </c>
      <c r="F17" s="2384"/>
      <c r="G17" s="2385"/>
      <c r="H17" s="2392"/>
      <c r="I17" s="2386"/>
      <c r="J17" s="2387"/>
    </row>
    <row r="18" spans="2:10" ht="15" thickBot="1">
      <c r="B18" s="2115" t="s">
        <v>788</v>
      </c>
      <c r="C18" s="2222">
        <v>2709</v>
      </c>
      <c r="D18" s="2222">
        <v>1344</v>
      </c>
      <c r="F18" s="2393" t="s">
        <v>651</v>
      </c>
      <c r="G18" s="2394">
        <f>SUM(C8)</f>
        <v>7922</v>
      </c>
      <c r="H18" s="2395">
        <f>(C8)/C$19</f>
        <v>0.27626852659110723</v>
      </c>
      <c r="I18" s="2396">
        <f>SUM(D8)</f>
        <v>3635</v>
      </c>
      <c r="J18" s="2397">
        <f>(D8)/D$19</f>
        <v>0.23195711824388998</v>
      </c>
    </row>
    <row r="19" spans="2:10">
      <c r="B19" s="2118" t="s">
        <v>53</v>
      </c>
      <c r="C19" s="2223">
        <f>SUBTOTAL(109,C5:C18)</f>
        <v>28675</v>
      </c>
      <c r="D19" s="2223">
        <f>SUBTOTAL(109,D5:D18)</f>
        <v>15671</v>
      </c>
    </row>
    <row r="20" spans="2:10">
      <c r="B20" s="2361" t="s">
        <v>1450</v>
      </c>
      <c r="C20" s="2116"/>
      <c r="D20" s="2117"/>
    </row>
  </sheetData>
  <mergeCells count="4">
    <mergeCell ref="G4:H4"/>
    <mergeCell ref="I4:J4"/>
    <mergeCell ref="G14:H14"/>
    <mergeCell ref="I14:J14"/>
  </mergeCells>
  <pageMargins left="0.7" right="0.7" top="0.75" bottom="0.75" header="0.3" footer="0.3"/>
  <tableParts count="1">
    <tablePart r:id="rId1"/>
  </tableParts>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rgb="FF00B0F0"/>
  </sheetPr>
  <dimension ref="A1:W55"/>
  <sheetViews>
    <sheetView topLeftCell="A7" zoomScale="90" zoomScaleNormal="90" workbookViewId="0">
      <selection activeCell="A3" sqref="A3:K15"/>
    </sheetView>
  </sheetViews>
  <sheetFormatPr baseColWidth="10" defaultColWidth="12.6640625" defaultRowHeight="14.4"/>
  <cols>
    <col min="1" max="1" width="43.5546875" bestFit="1" customWidth="1"/>
    <col min="2" max="4" width="8.88671875" customWidth="1"/>
    <col min="5" max="5" width="10.6640625" customWidth="1"/>
    <col min="9" max="9" width="13.77734375" customWidth="1"/>
    <col min="10" max="11" width="14.5546875" customWidth="1"/>
    <col min="12" max="12" width="8" customWidth="1"/>
    <col min="13" max="18" width="12.77734375" customWidth="1"/>
  </cols>
  <sheetData>
    <row r="1" spans="1:23">
      <c r="A1" s="2420" t="s">
        <v>1102</v>
      </c>
      <c r="B1" s="2421"/>
      <c r="C1" s="2421"/>
      <c r="D1" s="2421"/>
      <c r="E1" s="2421"/>
      <c r="F1" s="2410"/>
      <c r="G1" s="2410"/>
      <c r="H1" s="2410"/>
      <c r="I1" s="2410"/>
      <c r="J1" s="2422"/>
      <c r="K1" s="2422"/>
      <c r="L1" s="2422"/>
      <c r="M1" s="2422"/>
      <c r="N1" s="2422"/>
      <c r="O1" s="2422"/>
      <c r="P1" s="2422"/>
      <c r="Q1" s="2422"/>
      <c r="R1" s="2422"/>
      <c r="S1" s="2422"/>
      <c r="T1" s="2422"/>
      <c r="U1" s="2422"/>
      <c r="V1" s="2422"/>
      <c r="W1" s="2422"/>
    </row>
    <row r="2" spans="1:23">
      <c r="A2" s="2420"/>
      <c r="B2" s="2421"/>
      <c r="C2" s="2421"/>
      <c r="D2" s="2421"/>
      <c r="E2" s="2421"/>
      <c r="F2" s="2410"/>
      <c r="G2" s="2410"/>
      <c r="H2" s="2410"/>
      <c r="I2" s="2410"/>
      <c r="J2" s="2422"/>
      <c r="K2" s="2422"/>
      <c r="L2" s="2422"/>
      <c r="M2" s="2422"/>
      <c r="N2" s="2422"/>
      <c r="O2" s="2422"/>
      <c r="P2" s="2422"/>
      <c r="Q2" s="2422"/>
      <c r="R2" s="2422"/>
      <c r="S2" s="2422"/>
      <c r="T2" s="2422"/>
      <c r="U2" s="2422"/>
      <c r="V2" s="2422"/>
      <c r="W2" s="2422"/>
    </row>
    <row r="3" spans="1:23" ht="15" thickBot="1">
      <c r="A3" s="2420" t="s">
        <v>1103</v>
      </c>
      <c r="B3" s="2421"/>
      <c r="C3" s="2421"/>
      <c r="D3" s="2421"/>
      <c r="E3" s="2421"/>
      <c r="F3" s="2410"/>
      <c r="G3" s="2410"/>
      <c r="H3" s="2410"/>
      <c r="I3" s="2410"/>
      <c r="J3" s="2422"/>
      <c r="K3" s="2422"/>
      <c r="L3" s="2422"/>
      <c r="M3" s="2422"/>
      <c r="N3" s="2422"/>
      <c r="O3" s="2422"/>
      <c r="P3" s="2422"/>
      <c r="Q3" s="2422"/>
      <c r="R3" s="2422"/>
      <c r="S3" s="2422"/>
      <c r="T3" s="2422"/>
      <c r="U3" s="2422"/>
      <c r="V3" s="2422"/>
      <c r="W3" s="2422"/>
    </row>
    <row r="4" spans="1:23" ht="15" thickBot="1">
      <c r="A4" s="2422"/>
      <c r="B4" s="5701">
        <v>2020</v>
      </c>
      <c r="C4" s="5702"/>
      <c r="D4" s="5702"/>
      <c r="E4" s="5703"/>
      <c r="F4" s="5704">
        <v>2021</v>
      </c>
      <c r="G4" s="5705"/>
      <c r="H4" s="5705"/>
      <c r="I4" s="5706"/>
      <c r="J4" s="2422"/>
      <c r="K4" s="2422"/>
      <c r="L4" s="2422"/>
      <c r="M4" s="2422"/>
      <c r="N4" s="2422"/>
      <c r="O4" s="2422"/>
      <c r="P4" s="2422"/>
      <c r="Q4" s="2422"/>
      <c r="R4" s="2422"/>
      <c r="S4" s="2422"/>
      <c r="T4" s="2422"/>
      <c r="U4" s="2422"/>
      <c r="V4" s="2422"/>
      <c r="W4" s="2422"/>
    </row>
    <row r="5" spans="1:23" ht="28.8" customHeight="1" thickBot="1">
      <c r="A5" s="2402" t="s">
        <v>1104</v>
      </c>
      <c r="B5" s="2403" t="s">
        <v>989</v>
      </c>
      <c r="C5" s="2404" t="s">
        <v>1105</v>
      </c>
      <c r="D5" s="2404" t="s">
        <v>151</v>
      </c>
      <c r="E5" s="2405" t="s">
        <v>1458</v>
      </c>
      <c r="F5" s="700" t="s">
        <v>989</v>
      </c>
      <c r="G5" s="701" t="s">
        <v>1105</v>
      </c>
      <c r="H5" s="701" t="s">
        <v>151</v>
      </c>
      <c r="I5" s="2401" t="s">
        <v>1458</v>
      </c>
      <c r="J5" s="2406"/>
      <c r="K5" s="2406"/>
      <c r="L5" s="2407"/>
      <c r="M5" s="2407"/>
      <c r="N5" s="2407"/>
      <c r="O5" s="2407"/>
      <c r="P5" s="2407"/>
      <c r="Q5" s="2407"/>
      <c r="R5" s="2407"/>
      <c r="S5" s="2407"/>
      <c r="T5" s="2407"/>
      <c r="U5" s="2407"/>
      <c r="V5" s="2407"/>
      <c r="W5" s="2407"/>
    </row>
    <row r="6" spans="1:23">
      <c r="A6" s="2408" t="s">
        <v>990</v>
      </c>
      <c r="B6" s="2409">
        <v>13138</v>
      </c>
      <c r="C6" s="2409">
        <v>15486</v>
      </c>
      <c r="D6" s="2409">
        <f>+B6+C6</f>
        <v>28624</v>
      </c>
      <c r="E6" s="2463">
        <f>D6/$D$11</f>
        <v>0.66575183160832652</v>
      </c>
      <c r="F6" s="3919">
        <v>8909</v>
      </c>
      <c r="G6" s="3920">
        <v>11075</v>
      </c>
      <c r="H6" s="3920">
        <f>+F6+G6</f>
        <v>19984</v>
      </c>
      <c r="I6" s="3921">
        <f>H6/$H$11</f>
        <v>0.65147514262428685</v>
      </c>
      <c r="J6" s="2423"/>
      <c r="K6" s="2423"/>
      <c r="L6" s="2422"/>
      <c r="M6" s="2422"/>
      <c r="N6" s="2422"/>
      <c r="O6" s="2422"/>
      <c r="P6" s="2422"/>
      <c r="Q6" s="2422"/>
      <c r="R6" s="2422"/>
      <c r="S6" s="2422"/>
      <c r="T6" s="2422"/>
      <c r="U6" s="2422"/>
      <c r="V6" s="2422"/>
      <c r="W6" s="2422"/>
    </row>
    <row r="7" spans="1:23">
      <c r="A7" s="2408" t="s">
        <v>789</v>
      </c>
      <c r="B7" s="2424">
        <v>2681</v>
      </c>
      <c r="C7" s="2424">
        <v>3759</v>
      </c>
      <c r="D7" s="2424">
        <f>SUM(B7:C7)</f>
        <v>6440</v>
      </c>
      <c r="E7" s="2464">
        <f>D7/$D$11</f>
        <v>0.14978485870450053</v>
      </c>
      <c r="F7" s="3922">
        <v>2109</v>
      </c>
      <c r="G7" s="3923">
        <v>3057</v>
      </c>
      <c r="H7" s="3923">
        <f>SUM(F7:G7)</f>
        <v>5166</v>
      </c>
      <c r="I7" s="3924">
        <f>H7/$H$11</f>
        <v>0.16841075794621027</v>
      </c>
      <c r="J7" s="2423"/>
      <c r="K7" s="2423"/>
      <c r="L7" s="2422"/>
      <c r="M7" s="2422"/>
      <c r="N7" s="2422"/>
      <c r="O7" s="2422"/>
      <c r="P7" s="2422"/>
      <c r="Q7" s="2422"/>
      <c r="R7" s="2422"/>
      <c r="S7" s="2422"/>
      <c r="T7" s="2422"/>
      <c r="U7" s="2422"/>
      <c r="V7" s="2422"/>
      <c r="W7" s="2422"/>
    </row>
    <row r="8" spans="1:23" ht="15" thickBot="1">
      <c r="A8" s="2408" t="s">
        <v>1106</v>
      </c>
      <c r="B8" s="2424">
        <v>2969</v>
      </c>
      <c r="C8" s="2424">
        <v>1986</v>
      </c>
      <c r="D8" s="2424">
        <f>SUM(B8:C8)</f>
        <v>4955</v>
      </c>
      <c r="E8" s="2464">
        <f>D8/$D$11</f>
        <v>0.11524595883242238</v>
      </c>
      <c r="F8" s="3922">
        <v>2601</v>
      </c>
      <c r="G8" s="3923">
        <v>1756</v>
      </c>
      <c r="H8" s="3923">
        <f>SUM(F8:G8)</f>
        <v>4357</v>
      </c>
      <c r="I8" s="3924">
        <f>H8/$H$11</f>
        <v>0.14203748981255093</v>
      </c>
      <c r="J8" s="2423"/>
      <c r="K8" s="2423"/>
      <c r="L8" s="2422"/>
      <c r="M8" s="2422"/>
      <c r="N8" s="2422"/>
      <c r="O8" s="2422"/>
      <c r="P8" s="2422"/>
      <c r="Q8" s="2422"/>
      <c r="R8" s="2422"/>
      <c r="S8" s="2422"/>
      <c r="T8" s="2422"/>
      <c r="U8" s="2422"/>
      <c r="V8" s="2422"/>
      <c r="W8" s="2422"/>
    </row>
    <row r="9" spans="1:23" ht="14.4" customHeight="1">
      <c r="A9" s="2408" t="s">
        <v>991</v>
      </c>
      <c r="B9" s="2424">
        <v>787</v>
      </c>
      <c r="C9" s="2424">
        <v>1391</v>
      </c>
      <c r="D9" s="2424">
        <f>SUM(B9:C9)</f>
        <v>2178</v>
      </c>
      <c r="E9" s="2464">
        <f>D9/$D$11</f>
        <v>5.0657053145714621E-2</v>
      </c>
      <c r="F9" s="3922">
        <v>189</v>
      </c>
      <c r="G9" s="3923">
        <v>243</v>
      </c>
      <c r="H9" s="3923">
        <f>SUM(F9:G9)</f>
        <v>432</v>
      </c>
      <c r="I9" s="3924">
        <f>H9/$H$11</f>
        <v>1.4083129584352079E-2</v>
      </c>
      <c r="J9" s="5707" t="s">
        <v>1465</v>
      </c>
      <c r="K9" s="5708"/>
      <c r="L9" s="2422"/>
      <c r="M9" s="2422"/>
      <c r="N9" s="2422"/>
      <c r="O9" s="2422"/>
      <c r="P9" s="2422"/>
      <c r="Q9" s="2422"/>
      <c r="R9" s="2422"/>
      <c r="S9" s="2422"/>
      <c r="T9" s="2422"/>
      <c r="U9" s="2422"/>
      <c r="V9" s="2422"/>
      <c r="W9" s="2422"/>
    </row>
    <row r="10" spans="1:23" ht="15" thickBot="1">
      <c r="A10" s="2425" t="s">
        <v>992</v>
      </c>
      <c r="B10" s="2426">
        <v>293</v>
      </c>
      <c r="C10" s="2426">
        <v>505</v>
      </c>
      <c r="D10" s="2426">
        <f>+B10+C10</f>
        <v>798</v>
      </c>
      <c r="E10" s="2465">
        <f>D10/$D$11</f>
        <v>1.8560297709035934E-2</v>
      </c>
      <c r="F10" s="3925">
        <v>240</v>
      </c>
      <c r="G10" s="3926">
        <v>496</v>
      </c>
      <c r="H10" s="3926">
        <f>+F10+G10</f>
        <v>736</v>
      </c>
      <c r="I10" s="3927">
        <f>H10/$H$11</f>
        <v>2.3993480032599837E-2</v>
      </c>
      <c r="J10" s="5709"/>
      <c r="K10" s="5710"/>
      <c r="L10" s="2422"/>
      <c r="M10" s="2422"/>
      <c r="N10" s="2422"/>
      <c r="O10" s="2422"/>
      <c r="P10" s="2422"/>
      <c r="Q10" s="2422"/>
      <c r="R10" s="2422"/>
      <c r="S10" s="2422"/>
      <c r="T10" s="2422"/>
      <c r="U10" s="2422"/>
      <c r="V10" s="2422"/>
      <c r="W10" s="2422"/>
    </row>
    <row r="11" spans="1:23" ht="30.6" customHeight="1" thickBot="1">
      <c r="A11" s="2427" t="s">
        <v>151</v>
      </c>
      <c r="B11" s="2428">
        <f>SUM(B6:B10)</f>
        <v>19868</v>
      </c>
      <c r="C11" s="2428">
        <f>SUM(C6:C10)</f>
        <v>23127</v>
      </c>
      <c r="D11" s="2429">
        <f>SUM(D6:D10)</f>
        <v>42995</v>
      </c>
      <c r="E11" s="2430" t="s">
        <v>1366</v>
      </c>
      <c r="F11" s="2431">
        <f>SUM(F6:F10)</f>
        <v>14048</v>
      </c>
      <c r="G11" s="2432">
        <f>SUM(G6:G10)</f>
        <v>16627</v>
      </c>
      <c r="H11" s="2433">
        <f>SUM(H6:H10)</f>
        <v>30675</v>
      </c>
      <c r="I11" s="2502" t="s">
        <v>1366</v>
      </c>
      <c r="J11" s="5687">
        <f>-D11+H11</f>
        <v>-12320</v>
      </c>
      <c r="K11" s="2504" t="s">
        <v>1442</v>
      </c>
      <c r="L11" s="2422"/>
      <c r="M11" s="2422"/>
      <c r="N11" s="2422"/>
      <c r="O11" s="2422"/>
      <c r="P11" s="2422"/>
      <c r="Q11" s="2422"/>
      <c r="R11" s="2422"/>
      <c r="S11" s="2422"/>
      <c r="T11" s="2422"/>
      <c r="U11" s="2422"/>
      <c r="V11" s="2422"/>
      <c r="W11" s="2422"/>
    </row>
    <row r="12" spans="1:23" ht="21" thickBot="1">
      <c r="A12" s="2435"/>
      <c r="B12" s="2436" t="s">
        <v>1367</v>
      </c>
      <c r="C12" s="2436">
        <v>4.5</v>
      </c>
      <c r="D12" s="2437">
        <f>D11*C12</f>
        <v>193477.5</v>
      </c>
      <c r="E12" s="2438" t="s">
        <v>1368</v>
      </c>
      <c r="F12" s="2439" t="s">
        <v>1367</v>
      </c>
      <c r="G12" s="2436">
        <f>G19</f>
        <v>4.5</v>
      </c>
      <c r="H12" s="2440">
        <f>H11*G12</f>
        <v>138037.5</v>
      </c>
      <c r="I12" s="2441" t="s">
        <v>1368</v>
      </c>
      <c r="J12" s="5688"/>
      <c r="K12" s="2503">
        <f>H11/D11-1</f>
        <v>-0.28654494708687062</v>
      </c>
      <c r="L12" s="2422"/>
      <c r="M12" s="2422"/>
      <c r="N12" s="2422"/>
      <c r="O12" s="2422"/>
      <c r="P12" s="2422"/>
      <c r="Q12" s="2422"/>
      <c r="R12" s="2422"/>
      <c r="S12" s="2422"/>
      <c r="T12" s="2422"/>
      <c r="U12" s="2422"/>
      <c r="V12" s="2422"/>
      <c r="W12" s="2422"/>
    </row>
    <row r="13" spans="1:23" ht="15" thickBot="1">
      <c r="A13" s="2442"/>
      <c r="B13" s="2443"/>
      <c r="C13" s="2443" t="s">
        <v>195</v>
      </c>
      <c r="D13" s="2444">
        <f>SUM(D11:D12)</f>
        <v>236472.5</v>
      </c>
      <c r="E13" s="2445"/>
      <c r="F13" s="2446"/>
      <c r="G13" s="2447" t="s">
        <v>195</v>
      </c>
      <c r="H13" s="2448">
        <f>SUM(H11:H12)</f>
        <v>168712.5</v>
      </c>
      <c r="I13" s="2449"/>
      <c r="J13" s="2422"/>
      <c r="K13" s="2422"/>
      <c r="L13" s="2422"/>
      <c r="M13" s="2422"/>
      <c r="N13" s="2422"/>
      <c r="O13" s="2422"/>
      <c r="P13" s="2422"/>
      <c r="Q13" s="2422"/>
      <c r="R13" s="2422"/>
      <c r="S13" s="2422"/>
      <c r="T13" s="2422"/>
      <c r="U13" s="2422"/>
      <c r="V13" s="2422"/>
      <c r="W13" s="2422"/>
    </row>
    <row r="14" spans="1:23">
      <c r="A14" s="2435"/>
      <c r="B14" s="5718" t="s">
        <v>1401</v>
      </c>
      <c r="C14" s="5718"/>
      <c r="D14" s="5718"/>
      <c r="E14" s="5719"/>
      <c r="F14" s="5717" t="s">
        <v>1600</v>
      </c>
      <c r="G14" s="5718"/>
      <c r="H14" s="5718"/>
      <c r="I14" s="5719"/>
      <c r="J14" s="2422"/>
      <c r="K14" s="2422"/>
      <c r="L14" s="2422"/>
      <c r="M14" s="2422"/>
      <c r="N14" s="2422"/>
      <c r="O14" s="2422"/>
      <c r="P14" s="2422"/>
      <c r="Q14" s="2422"/>
      <c r="R14" s="2422"/>
      <c r="S14" s="2422"/>
      <c r="T14" s="2422"/>
      <c r="U14" s="2422"/>
      <c r="V14" s="2422"/>
      <c r="W14" s="2422"/>
    </row>
    <row r="15" spans="1:23" ht="15" thickBot="1">
      <c r="A15" s="2442"/>
      <c r="B15" s="5696" t="s">
        <v>1400</v>
      </c>
      <c r="C15" s="5696"/>
      <c r="D15" s="5696"/>
      <c r="E15" s="5697"/>
      <c r="F15" s="5728" t="s">
        <v>1599</v>
      </c>
      <c r="G15" s="5729"/>
      <c r="H15" s="5729"/>
      <c r="I15" s="5730"/>
      <c r="J15" s="2422"/>
      <c r="K15" s="2422"/>
      <c r="L15" s="2422"/>
      <c r="M15" s="2422"/>
      <c r="N15" s="2422"/>
      <c r="O15" s="2422"/>
      <c r="P15" s="2422"/>
      <c r="Q15" s="2422"/>
      <c r="R15" s="2422"/>
      <c r="S15" s="2422"/>
      <c r="T15" s="2422"/>
      <c r="U15" s="2422"/>
      <c r="V15" s="2422"/>
      <c r="W15" s="2422"/>
    </row>
    <row r="16" spans="1:23">
      <c r="A16" s="2422"/>
      <c r="B16" s="2421"/>
      <c r="C16" s="2421"/>
      <c r="D16" s="2421"/>
      <c r="E16" s="2421"/>
      <c r="F16" s="2410"/>
      <c r="G16" s="2410"/>
      <c r="H16" s="2410"/>
      <c r="I16" s="2410"/>
      <c r="J16" s="2422"/>
      <c r="K16" s="2422"/>
      <c r="L16" s="2422"/>
      <c r="M16" s="2422"/>
      <c r="N16" s="2422"/>
      <c r="O16" s="2422"/>
      <c r="P16" s="2422"/>
      <c r="Q16" s="2422"/>
      <c r="R16" s="2422"/>
      <c r="S16" s="2422"/>
      <c r="T16" s="2422"/>
      <c r="U16" s="2422"/>
      <c r="V16" s="2422"/>
      <c r="W16" s="2422"/>
    </row>
    <row r="17" spans="1:23">
      <c r="A17" s="2417" t="s">
        <v>1460</v>
      </c>
      <c r="B17" s="2421"/>
      <c r="C17" s="2421"/>
      <c r="D17" s="2421"/>
      <c r="E17" s="2421"/>
      <c r="F17" s="2410"/>
      <c r="G17" s="2410"/>
      <c r="H17" s="2410"/>
      <c r="I17" s="2410"/>
      <c r="J17" s="2422"/>
      <c r="K17" s="2422"/>
      <c r="L17" s="2422"/>
      <c r="M17" s="2422"/>
      <c r="N17" s="2422"/>
      <c r="O17" s="2422"/>
      <c r="P17" s="2422"/>
      <c r="Q17" s="2422"/>
      <c r="R17" s="2422"/>
      <c r="S17" s="2422"/>
      <c r="T17" s="2422"/>
      <c r="U17" s="2422"/>
      <c r="V17" s="2422"/>
      <c r="W17" s="2422"/>
    </row>
    <row r="18" spans="1:23" ht="30.6">
      <c r="A18" s="2417" t="s">
        <v>1461</v>
      </c>
      <c r="B18" s="2466">
        <f>+D11</f>
        <v>42995</v>
      </c>
      <c r="C18" s="2467" t="s">
        <v>1107</v>
      </c>
      <c r="D18" s="2410"/>
      <c r="E18" s="2410"/>
      <c r="F18" s="2469">
        <f>+H11</f>
        <v>30675</v>
      </c>
      <c r="G18" s="2400" t="s">
        <v>1107</v>
      </c>
      <c r="H18" s="2410"/>
      <c r="I18" s="2410"/>
      <c r="J18" s="2422"/>
      <c r="K18" s="2422"/>
      <c r="L18" s="2422"/>
      <c r="M18" s="2422"/>
      <c r="N18" s="2422"/>
      <c r="O18" s="2422"/>
      <c r="P18" s="2422"/>
      <c r="Q18" s="2422"/>
      <c r="R18" s="2422"/>
      <c r="S18" s="2422"/>
      <c r="T18" s="2422"/>
      <c r="U18" s="2422"/>
      <c r="V18" s="2422"/>
      <c r="W18" s="2422"/>
    </row>
    <row r="19" spans="1:23">
      <c r="A19" s="2417" t="s">
        <v>1462</v>
      </c>
      <c r="B19" s="2468">
        <f>(B18*C19)</f>
        <v>193477.5</v>
      </c>
      <c r="C19" s="2467">
        <v>4.5</v>
      </c>
      <c r="D19" s="2410"/>
      <c r="E19" s="2410"/>
      <c r="F19" s="2470">
        <f>(F18*G19)</f>
        <v>138037.5</v>
      </c>
      <c r="G19" s="2275">
        <v>4.5</v>
      </c>
      <c r="H19" s="2410"/>
      <c r="I19" s="2410"/>
      <c r="J19" s="2422"/>
      <c r="K19" s="2422"/>
      <c r="L19" s="2422"/>
      <c r="M19" s="2422"/>
      <c r="N19" s="2422"/>
      <c r="O19" s="2422"/>
      <c r="P19" s="2422"/>
      <c r="Q19" s="2422"/>
      <c r="R19" s="2422"/>
      <c r="S19" s="2422"/>
      <c r="T19" s="2422"/>
      <c r="U19" s="2422"/>
      <c r="V19" s="2422"/>
      <c r="W19" s="2422"/>
    </row>
    <row r="20" spans="1:23">
      <c r="A20" s="2422"/>
      <c r="B20" s="2421"/>
      <c r="C20" s="2421"/>
      <c r="D20" s="2421"/>
      <c r="E20" s="2421"/>
      <c r="F20" s="2410"/>
      <c r="G20" s="2410"/>
      <c r="H20" s="2410"/>
      <c r="I20" s="2410"/>
      <c r="J20" s="2422"/>
      <c r="K20" s="2422"/>
      <c r="L20" s="2422"/>
      <c r="M20" s="2422"/>
      <c r="N20" s="2422"/>
      <c r="O20" s="2422"/>
      <c r="P20" s="2422"/>
      <c r="Q20" s="2422"/>
      <c r="R20" s="2422"/>
      <c r="S20" s="2422"/>
      <c r="T20" s="2422"/>
      <c r="U20" s="2422"/>
      <c r="V20" s="2422"/>
      <c r="W20" s="2422"/>
    </row>
    <row r="21" spans="1:23">
      <c r="A21" s="2422"/>
      <c r="B21" s="2421"/>
      <c r="C21" s="2421"/>
      <c r="D21" s="2421"/>
      <c r="E21" s="2421"/>
      <c r="F21" s="2410"/>
      <c r="G21" s="2410"/>
      <c r="H21" s="2410"/>
      <c r="I21" s="2410"/>
      <c r="J21" s="2422"/>
      <c r="K21" s="2422"/>
      <c r="L21" s="2422"/>
      <c r="M21" s="2422"/>
      <c r="N21" s="2422"/>
      <c r="O21" s="2422"/>
      <c r="P21" s="2422"/>
      <c r="Q21" s="2422"/>
      <c r="R21" s="2422"/>
      <c r="S21" s="2422"/>
      <c r="T21" s="2422"/>
      <c r="U21" s="2422"/>
      <c r="V21" s="2422"/>
      <c r="W21" s="2422"/>
    </row>
    <row r="22" spans="1:23" ht="15" thickBot="1">
      <c r="A22" s="2422"/>
      <c r="B22" s="2421"/>
      <c r="C22" s="2421"/>
      <c r="D22" s="2421"/>
      <c r="E22" s="2421"/>
      <c r="F22" s="2410"/>
      <c r="G22" s="2410"/>
      <c r="H22" s="2410"/>
      <c r="I22" s="2410"/>
      <c r="J22" s="2422"/>
      <c r="K22" s="2422"/>
      <c r="L22" s="2422"/>
      <c r="M22" s="2422"/>
      <c r="N22" s="2422"/>
      <c r="O22" s="2422"/>
      <c r="P22" s="2422"/>
      <c r="Q22" s="2422"/>
      <c r="R22" s="2422"/>
      <c r="S22" s="2422"/>
      <c r="T22" s="2422"/>
      <c r="U22" s="2422"/>
      <c r="V22" s="2422"/>
      <c r="W22" s="2422"/>
    </row>
    <row r="23" spans="1:23">
      <c r="A23" s="2450" t="s">
        <v>1102</v>
      </c>
      <c r="B23" s="2451"/>
      <c r="C23" s="2451"/>
      <c r="D23" s="2452"/>
      <c r="E23" s="2421"/>
      <c r="F23" s="2410"/>
      <c r="G23" s="2410"/>
      <c r="H23" s="2410"/>
      <c r="I23" s="2410"/>
      <c r="J23" s="2422"/>
      <c r="K23" s="2422"/>
      <c r="L23" s="2422"/>
      <c r="M23" s="2422"/>
      <c r="N23" s="2422"/>
      <c r="O23" s="2422"/>
      <c r="P23" s="2422"/>
      <c r="Q23" s="2422"/>
      <c r="R23" s="2422"/>
      <c r="S23" s="2422"/>
      <c r="T23" s="2422"/>
      <c r="U23" s="2422"/>
      <c r="V23" s="2422"/>
      <c r="W23" s="2422"/>
    </row>
    <row r="24" spans="1:23">
      <c r="A24" s="2453"/>
      <c r="B24" s="2454"/>
      <c r="C24" s="2454"/>
      <c r="D24" s="2455"/>
      <c r="E24" s="2421"/>
      <c r="F24" s="2410"/>
      <c r="G24" s="2410"/>
      <c r="H24" s="2410"/>
      <c r="I24" s="2410"/>
      <c r="J24" s="2422"/>
      <c r="K24" s="2422"/>
      <c r="L24" s="2422"/>
      <c r="M24" s="2422"/>
      <c r="N24" s="2422"/>
      <c r="O24" s="2422"/>
      <c r="P24" s="2422"/>
      <c r="Q24" s="2422"/>
      <c r="R24" s="2422"/>
      <c r="S24" s="2422"/>
      <c r="T24" s="2422"/>
      <c r="U24" s="2422"/>
      <c r="V24" s="2422"/>
      <c r="W24" s="2422"/>
    </row>
    <row r="25" spans="1:23" ht="15" thickBot="1">
      <c r="A25" s="2453" t="s">
        <v>1132</v>
      </c>
      <c r="B25" s="2454"/>
      <c r="C25" s="2454"/>
      <c r="D25" s="2455"/>
      <c r="E25" s="2421"/>
      <c r="F25" s="2410"/>
      <c r="G25" s="2410"/>
      <c r="H25" s="2410"/>
      <c r="I25" s="2410"/>
      <c r="J25" s="2422"/>
      <c r="K25" s="2422"/>
      <c r="L25" s="2422"/>
      <c r="M25" s="2422"/>
      <c r="N25" s="2422"/>
      <c r="O25" s="2422"/>
      <c r="P25" s="2422"/>
      <c r="Q25" s="2422"/>
      <c r="R25" s="2422"/>
      <c r="S25" s="2422"/>
      <c r="T25" s="2422"/>
      <c r="U25" s="2422"/>
      <c r="V25" s="2422"/>
      <c r="W25" s="2422"/>
    </row>
    <row r="26" spans="1:23" ht="15" thickBot="1">
      <c r="A26" s="2435"/>
      <c r="B26" s="5701">
        <v>2020</v>
      </c>
      <c r="C26" s="5702"/>
      <c r="D26" s="5702"/>
      <c r="E26" s="5703"/>
      <c r="F26" s="5704">
        <v>2021</v>
      </c>
      <c r="G26" s="5705"/>
      <c r="H26" s="5705"/>
      <c r="I26" s="5706"/>
      <c r="J26" s="2422"/>
      <c r="K26" s="2422"/>
      <c r="L26" s="2422"/>
      <c r="M26" s="2422"/>
      <c r="N26" s="2422"/>
      <c r="O26" s="2422"/>
      <c r="P26" s="2422"/>
      <c r="Q26" s="2422"/>
      <c r="R26" s="2422"/>
      <c r="S26" s="2422"/>
      <c r="T26" s="2422"/>
      <c r="U26" s="2422"/>
      <c r="V26" s="2422"/>
      <c r="W26" s="2422"/>
    </row>
    <row r="27" spans="1:23" ht="28.8">
      <c r="A27" s="2408" t="s">
        <v>1104</v>
      </c>
      <c r="B27" s="2456" t="s">
        <v>989</v>
      </c>
      <c r="C27" s="2456" t="s">
        <v>1105</v>
      </c>
      <c r="D27" s="2471" t="s">
        <v>151</v>
      </c>
      <c r="E27" s="2473" t="s">
        <v>1458</v>
      </c>
      <c r="F27" s="2408" t="s">
        <v>989</v>
      </c>
      <c r="G27" s="2417" t="s">
        <v>1105</v>
      </c>
      <c r="H27" s="2418" t="s">
        <v>151</v>
      </c>
      <c r="I27" s="2418" t="s">
        <v>1458</v>
      </c>
      <c r="J27" s="2422"/>
      <c r="K27" s="2422"/>
      <c r="L27" s="2422"/>
      <c r="M27" s="2422"/>
      <c r="N27" s="2422"/>
      <c r="O27" s="2422"/>
      <c r="P27" s="2422"/>
      <c r="Q27" s="2422"/>
      <c r="R27" s="2422"/>
      <c r="S27" s="2422"/>
      <c r="T27" s="2422"/>
      <c r="U27" s="2422"/>
      <c r="V27" s="2422"/>
      <c r="W27" s="2422"/>
    </row>
    <row r="28" spans="1:23">
      <c r="A28" s="2411" t="s">
        <v>990</v>
      </c>
      <c r="B28" s="2412">
        <v>1540</v>
      </c>
      <c r="C28" s="2412">
        <v>2157</v>
      </c>
      <c r="D28" s="2472">
        <f>+B28+C28</f>
        <v>3697</v>
      </c>
      <c r="E28" s="2413">
        <f>D28/$D$33</f>
        <v>0.5053307818480044</v>
      </c>
      <c r="F28" s="3928">
        <v>1627</v>
      </c>
      <c r="G28" s="3929">
        <v>2275</v>
      </c>
      <c r="H28" s="3930">
        <f>+F28+G28</f>
        <v>3902</v>
      </c>
      <c r="I28" s="2414">
        <f>H28/$H$33</f>
        <v>0.54558165548098436</v>
      </c>
      <c r="J28" s="2422"/>
      <c r="K28" s="2422"/>
      <c r="L28" s="2422"/>
      <c r="M28" s="2422"/>
      <c r="N28" s="2422"/>
      <c r="O28" s="2422"/>
      <c r="P28" s="2422"/>
      <c r="Q28" s="2422"/>
      <c r="R28" s="2422"/>
      <c r="S28" s="2422"/>
      <c r="T28" s="2422"/>
      <c r="U28" s="2422"/>
      <c r="V28" s="2422"/>
      <c r="W28" s="2422"/>
    </row>
    <row r="29" spans="1:23">
      <c r="A29" s="2411" t="s">
        <v>789</v>
      </c>
      <c r="B29" s="2412">
        <v>762</v>
      </c>
      <c r="C29" s="2412">
        <v>1295</v>
      </c>
      <c r="D29" s="2472">
        <f>SUM(B29:C29)</f>
        <v>2057</v>
      </c>
      <c r="E29" s="2413">
        <f t="shared" ref="E29:E32" si="0">D29/$D$33</f>
        <v>0.28116457080371787</v>
      </c>
      <c r="F29" s="3928">
        <v>701</v>
      </c>
      <c r="G29" s="3929">
        <v>1270</v>
      </c>
      <c r="H29" s="3930">
        <f>SUM(F29:G29)</f>
        <v>1971</v>
      </c>
      <c r="I29" s="2414">
        <f t="shared" ref="I29:I32" si="1">H29/$H$33</f>
        <v>0.27558724832214765</v>
      </c>
      <c r="J29" s="2422"/>
      <c r="K29" s="2422"/>
      <c r="L29" s="2422"/>
      <c r="M29" s="2422"/>
      <c r="N29" s="2422"/>
      <c r="O29" s="2422"/>
      <c r="P29" s="2422"/>
      <c r="Q29" s="2422"/>
      <c r="R29" s="2422"/>
      <c r="S29" s="2422"/>
      <c r="T29" s="2422"/>
      <c r="U29" s="2422"/>
      <c r="V29" s="2422"/>
      <c r="W29" s="2422"/>
    </row>
    <row r="30" spans="1:23" ht="15" thickBot="1">
      <c r="A30" s="2411" t="s">
        <v>1106</v>
      </c>
      <c r="B30" s="2412">
        <v>673</v>
      </c>
      <c r="C30" s="2412">
        <v>453</v>
      </c>
      <c r="D30" s="2472">
        <f>SUM(B30:C30)</f>
        <v>1126</v>
      </c>
      <c r="E30" s="2413">
        <f t="shared" si="0"/>
        <v>0.15390924002186987</v>
      </c>
      <c r="F30" s="3928">
        <v>699</v>
      </c>
      <c r="G30" s="3929">
        <v>483</v>
      </c>
      <c r="H30" s="3930">
        <f>SUM(F30:G30)</f>
        <v>1182</v>
      </c>
      <c r="I30" s="2414">
        <f t="shared" si="1"/>
        <v>0.16526845637583892</v>
      </c>
      <c r="J30" s="2422"/>
      <c r="K30" s="2422"/>
      <c r="L30" s="2422"/>
      <c r="M30" s="2422"/>
      <c r="N30" s="2422"/>
      <c r="O30" s="2422"/>
      <c r="P30" s="2422"/>
      <c r="Q30" s="2422"/>
      <c r="R30" s="2422"/>
      <c r="S30" s="2422"/>
      <c r="T30" s="2422"/>
      <c r="U30" s="2422"/>
      <c r="V30" s="2422"/>
      <c r="W30" s="2422"/>
    </row>
    <row r="31" spans="1:23" ht="14.4" customHeight="1">
      <c r="A31" s="2411" t="s">
        <v>991</v>
      </c>
      <c r="B31" s="2412">
        <v>123</v>
      </c>
      <c r="C31" s="2412">
        <v>239</v>
      </c>
      <c r="D31" s="2472">
        <f>SUM(B31:C31)</f>
        <v>362</v>
      </c>
      <c r="E31" s="2413">
        <f t="shared" si="0"/>
        <v>4.9480590486604699E-2</v>
      </c>
      <c r="F31" s="3928">
        <v>4</v>
      </c>
      <c r="G31" s="3929">
        <v>19</v>
      </c>
      <c r="H31" s="3930">
        <f>SUM(F31:G31)</f>
        <v>23</v>
      </c>
      <c r="I31" s="2414">
        <f t="shared" si="1"/>
        <v>3.2158836689038031E-3</v>
      </c>
      <c r="J31" s="5707" t="s">
        <v>1465</v>
      </c>
      <c r="K31" s="5708"/>
      <c r="L31" s="2422"/>
      <c r="M31" s="2422"/>
      <c r="N31" s="2422"/>
      <c r="O31" s="2422"/>
      <c r="P31" s="2422"/>
      <c r="Q31" s="2422"/>
      <c r="R31" s="2422"/>
      <c r="S31" s="2422"/>
      <c r="T31" s="2422"/>
      <c r="U31" s="2422"/>
      <c r="V31" s="2422"/>
      <c r="W31" s="2422"/>
    </row>
    <row r="32" spans="1:23" ht="15" thickBot="1">
      <c r="A32" s="2475" t="s">
        <v>992</v>
      </c>
      <c r="B32" s="2476">
        <v>23</v>
      </c>
      <c r="C32" s="2476">
        <v>51</v>
      </c>
      <c r="D32" s="2477">
        <f>+B32+C32</f>
        <v>74</v>
      </c>
      <c r="E32" s="2478">
        <f t="shared" si="0"/>
        <v>1.0114816839803172E-2</v>
      </c>
      <c r="F32" s="3931">
        <v>24</v>
      </c>
      <c r="G32" s="3932">
        <v>50</v>
      </c>
      <c r="H32" s="3933">
        <f>+F32+G32</f>
        <v>74</v>
      </c>
      <c r="I32" s="2479">
        <f t="shared" si="1"/>
        <v>1.034675615212528E-2</v>
      </c>
      <c r="J32" s="5709"/>
      <c r="K32" s="5710"/>
      <c r="L32" s="2422"/>
      <c r="M32" s="2422"/>
      <c r="N32" s="2422"/>
      <c r="O32" s="2422"/>
      <c r="P32" s="2422"/>
      <c r="Q32" s="2422"/>
      <c r="R32" s="2422"/>
      <c r="S32" s="2422"/>
      <c r="T32" s="2422"/>
      <c r="U32" s="2422"/>
      <c r="V32" s="2422"/>
      <c r="W32" s="2422"/>
    </row>
    <row r="33" spans="1:23" ht="15" thickBot="1">
      <c r="A33" s="2485" t="s">
        <v>151</v>
      </c>
      <c r="B33" s="2486">
        <f>SUM(B28:B32)</f>
        <v>3121</v>
      </c>
      <c r="C33" s="2487">
        <f>SUM(C28:C32)</f>
        <v>4195</v>
      </c>
      <c r="D33" s="2488">
        <f>SUM(B33:C33)</f>
        <v>7316</v>
      </c>
      <c r="E33" s="2489" t="s">
        <v>1366</v>
      </c>
      <c r="F33" s="2458">
        <f>SUM(F28:F32)</f>
        <v>3055</v>
      </c>
      <c r="G33" s="2459">
        <f>SUM(G28:G32)</f>
        <v>4097</v>
      </c>
      <c r="H33" s="2460">
        <f>SUM(F33:G33)</f>
        <v>7152</v>
      </c>
      <c r="I33" s="2461" t="s">
        <v>1366</v>
      </c>
      <c r="J33" s="5687">
        <f>-D33+H33</f>
        <v>-164</v>
      </c>
      <c r="K33" s="2504" t="s">
        <v>1442</v>
      </c>
      <c r="L33" s="2422"/>
      <c r="M33" s="2422"/>
      <c r="N33" s="2422"/>
      <c r="O33" s="2422"/>
      <c r="P33" s="2422"/>
      <c r="Q33" s="2422"/>
      <c r="R33" s="2422"/>
      <c r="S33" s="2422"/>
      <c r="T33" s="2422"/>
      <c r="U33" s="2422"/>
      <c r="V33" s="2422"/>
      <c r="W33" s="2422"/>
    </row>
    <row r="34" spans="1:23" ht="31.2" thickBot="1">
      <c r="A34" s="2422"/>
      <c r="B34" s="2399" t="s">
        <v>1357</v>
      </c>
      <c r="C34" s="2480">
        <v>4.5</v>
      </c>
      <c r="D34" s="2481">
        <f>D33*C34</f>
        <v>32922</v>
      </c>
      <c r="E34" s="2474" t="s">
        <v>1368</v>
      </c>
      <c r="F34" s="2482" t="s">
        <v>1357</v>
      </c>
      <c r="G34" s="2483">
        <f>G19</f>
        <v>4.5</v>
      </c>
      <c r="H34" s="2419">
        <f>H33*G34</f>
        <v>32184</v>
      </c>
      <c r="I34" s="2484" t="s">
        <v>1368</v>
      </c>
      <c r="J34" s="5688"/>
      <c r="K34" s="2503">
        <f>H33/D33-1</f>
        <v>-2.2416621104428658E-2</v>
      </c>
      <c r="L34" s="2422"/>
      <c r="M34" s="2422"/>
      <c r="N34" s="2422"/>
      <c r="O34" s="2422"/>
      <c r="P34" s="2422"/>
      <c r="Q34" s="2422"/>
      <c r="R34" s="2422"/>
      <c r="S34" s="2422"/>
      <c r="T34" s="2422"/>
      <c r="U34" s="2422"/>
      <c r="V34" s="2422"/>
      <c r="W34" s="2422"/>
    </row>
    <row r="35" spans="1:23" ht="15" thickBot="1">
      <c r="A35" s="2442"/>
      <c r="B35" s="2443"/>
      <c r="C35" s="2495" t="s">
        <v>195</v>
      </c>
      <c r="D35" s="2496">
        <f>SUM(D33:D34)</f>
        <v>40238</v>
      </c>
      <c r="E35" s="2445"/>
      <c r="F35" s="2446"/>
      <c r="G35" s="2497" t="s">
        <v>195</v>
      </c>
      <c r="H35" s="2498">
        <f>SUM(H33:H34)</f>
        <v>39336</v>
      </c>
      <c r="I35" s="2449"/>
      <c r="J35" s="2422"/>
      <c r="K35" s="2422"/>
      <c r="L35" s="2422"/>
      <c r="M35" s="2422"/>
      <c r="N35" s="2422"/>
      <c r="O35" s="2422"/>
      <c r="P35" s="2422"/>
      <c r="Q35" s="2422"/>
      <c r="R35" s="2422"/>
      <c r="S35" s="2422"/>
      <c r="T35" s="2422"/>
      <c r="U35" s="2422"/>
      <c r="V35" s="2422"/>
      <c r="W35" s="2422"/>
    </row>
    <row r="36" spans="1:23" ht="15" thickBot="1">
      <c r="A36" s="2462"/>
      <c r="B36" s="5723" t="s">
        <v>1400</v>
      </c>
      <c r="C36" s="5724"/>
      <c r="D36" s="5724"/>
      <c r="E36" s="5724"/>
      <c r="F36" s="5725" t="str">
        <f>F15</f>
        <v>Dato AL 30jul021; Dir. Calidad, email; (PiA)</v>
      </c>
      <c r="G36" s="5726"/>
      <c r="H36" s="5726"/>
      <c r="I36" s="5727"/>
      <c r="J36" s="2422"/>
      <c r="K36" s="2422"/>
      <c r="L36" s="2422"/>
      <c r="M36" s="2422"/>
      <c r="N36" s="2422"/>
      <c r="O36" s="2422"/>
      <c r="P36" s="2422"/>
      <c r="Q36" s="2422"/>
      <c r="R36" s="2422"/>
      <c r="S36" s="2422"/>
      <c r="T36" s="2422"/>
      <c r="U36" s="2422"/>
      <c r="V36" s="2422"/>
      <c r="W36" s="2422"/>
    </row>
    <row r="37" spans="1:23" ht="15" thickBot="1">
      <c r="A37" s="2422"/>
      <c r="B37" s="2421"/>
      <c r="C37" s="2421"/>
      <c r="D37" s="2421"/>
      <c r="E37" s="2421"/>
      <c r="F37" s="2410"/>
      <c r="G37" s="2410"/>
      <c r="H37" s="2410"/>
      <c r="I37" s="2410"/>
      <c r="J37" s="2422"/>
      <c r="K37" s="2422"/>
      <c r="L37" s="2422"/>
      <c r="M37" s="2422"/>
      <c r="N37" s="2422"/>
      <c r="O37" s="2422"/>
      <c r="P37" s="2422"/>
      <c r="Q37" s="2422"/>
      <c r="R37" s="2422"/>
      <c r="S37" s="2422"/>
      <c r="T37" s="2422"/>
      <c r="U37" s="2422"/>
      <c r="V37" s="2422"/>
      <c r="W37" s="2422"/>
    </row>
    <row r="38" spans="1:23" ht="28.2" customHeight="1">
      <c r="A38" s="5689" t="s">
        <v>1133</v>
      </c>
      <c r="B38" s="5733" t="s">
        <v>1459</v>
      </c>
      <c r="C38" s="5734"/>
      <c r="D38" s="5734"/>
      <c r="E38" s="2416">
        <f>D33/D11</f>
        <v>0.17015932085126179</v>
      </c>
      <c r="F38" s="5731" t="s">
        <v>1463</v>
      </c>
      <c r="G38" s="5732"/>
      <c r="H38" s="5732"/>
      <c r="I38" s="2501">
        <f>H35/H13</f>
        <v>0.23315403422982886</v>
      </c>
      <c r="J38" s="2422"/>
      <c r="K38" s="2422"/>
      <c r="L38" s="2422"/>
      <c r="M38" s="2422"/>
      <c r="N38" s="2422"/>
      <c r="O38" s="2422"/>
      <c r="P38" s="2422"/>
      <c r="Q38" s="2422"/>
      <c r="R38" s="2422"/>
      <c r="S38" s="2422"/>
      <c r="T38" s="2422"/>
      <c r="U38" s="2422"/>
      <c r="V38" s="2422"/>
      <c r="W38" s="2422"/>
    </row>
    <row r="39" spans="1:23" ht="15" thickBot="1">
      <c r="A39" s="5690"/>
      <c r="B39" s="5695" t="s">
        <v>1403</v>
      </c>
      <c r="C39" s="5696"/>
      <c r="D39" s="5696"/>
      <c r="E39" s="5697"/>
      <c r="F39" s="5698" t="str">
        <f>F36</f>
        <v>Dato AL 30jul021; Dir. Calidad, email; (PiA)</v>
      </c>
      <c r="G39" s="5699"/>
      <c r="H39" s="5699"/>
      <c r="I39" s="5700"/>
      <c r="J39" s="2422"/>
      <c r="K39" s="2422"/>
      <c r="L39" s="2422"/>
      <c r="M39" s="2422"/>
      <c r="N39" s="2422"/>
      <c r="O39" s="2422"/>
      <c r="P39" s="2422"/>
      <c r="Q39" s="2422"/>
      <c r="R39" s="2422"/>
      <c r="S39" s="2422"/>
      <c r="T39" s="2422"/>
      <c r="U39" s="2422"/>
      <c r="V39" s="2422"/>
      <c r="W39" s="2422"/>
    </row>
    <row r="40" spans="1:23">
      <c r="A40" s="2422"/>
      <c r="B40" s="2421"/>
      <c r="C40" s="2421"/>
      <c r="D40" s="2421"/>
      <c r="E40" s="2421"/>
      <c r="F40" s="2410"/>
      <c r="G40" s="2410"/>
      <c r="H40" s="2410"/>
      <c r="I40" s="2410"/>
      <c r="J40" s="2422"/>
      <c r="K40" s="2422"/>
      <c r="L40" s="2422"/>
      <c r="M40" s="2422"/>
      <c r="N40" s="2422"/>
      <c r="O40" s="2422"/>
      <c r="P40" s="2422"/>
      <c r="Q40" s="2422"/>
      <c r="R40" s="2422"/>
      <c r="S40" s="2422"/>
      <c r="T40" s="2422"/>
      <c r="U40" s="2422"/>
      <c r="V40" s="2422"/>
      <c r="W40" s="2422"/>
    </row>
    <row r="41" spans="1:23" ht="15" thickBot="1">
      <c r="A41" s="2422"/>
      <c r="B41" s="2421"/>
      <c r="C41" s="2421"/>
      <c r="D41" s="2421"/>
      <c r="E41" s="2421"/>
      <c r="F41" s="2410"/>
      <c r="G41" s="2410"/>
      <c r="H41" s="2410"/>
      <c r="I41" s="2410"/>
      <c r="J41" s="2422"/>
      <c r="K41" s="2422"/>
      <c r="L41" s="2422"/>
      <c r="M41" s="2422"/>
      <c r="N41" s="2422"/>
      <c r="O41" s="2422"/>
      <c r="P41" s="2422"/>
      <c r="Q41" s="2422"/>
      <c r="R41" s="2422"/>
      <c r="S41" s="2422"/>
      <c r="T41" s="2422"/>
      <c r="U41" s="2422"/>
      <c r="V41" s="2422"/>
      <c r="W41" s="2422"/>
    </row>
    <row r="42" spans="1:23">
      <c r="A42" s="5720" t="s">
        <v>1102</v>
      </c>
      <c r="B42" s="5721"/>
      <c r="C42" s="5721"/>
      <c r="D42" s="5722"/>
      <c r="E42" s="2421"/>
      <c r="F42" s="2410"/>
      <c r="G42" s="2410"/>
      <c r="H42" s="2410"/>
      <c r="I42" s="2410"/>
      <c r="J42" s="2422"/>
      <c r="K42" s="2422"/>
      <c r="L42" s="2422"/>
      <c r="M42" s="2422"/>
      <c r="N42" s="2422"/>
      <c r="O42" s="2422"/>
      <c r="P42" s="2422"/>
      <c r="Q42" s="2422"/>
      <c r="R42" s="2422"/>
      <c r="S42" s="2422"/>
      <c r="T42" s="2422"/>
      <c r="U42" s="2422"/>
      <c r="V42" s="2422"/>
      <c r="W42" s="2422"/>
    </row>
    <row r="43" spans="1:23">
      <c r="A43" s="2435"/>
      <c r="B43" s="413"/>
      <c r="C43" s="413"/>
      <c r="D43" s="2434"/>
      <c r="E43" s="2421"/>
      <c r="F43" s="2410"/>
      <c r="G43" s="2410"/>
      <c r="H43" s="2410"/>
      <c r="I43" s="2410"/>
      <c r="J43" s="2422"/>
      <c r="K43" s="2422"/>
      <c r="L43" s="2422"/>
      <c r="M43" s="2422"/>
      <c r="N43" s="2422"/>
      <c r="O43" s="2422"/>
      <c r="P43" s="2422"/>
      <c r="Q43" s="2422"/>
      <c r="R43" s="2422"/>
      <c r="S43" s="2422"/>
      <c r="T43" s="2422"/>
      <c r="U43" s="2422"/>
      <c r="V43" s="2422"/>
      <c r="W43" s="2422"/>
    </row>
    <row r="44" spans="1:23" ht="15" thickBot="1">
      <c r="A44" s="5711" t="s">
        <v>1140</v>
      </c>
      <c r="B44" s="5712"/>
      <c r="C44" s="5712"/>
      <c r="D44" s="5713"/>
      <c r="E44" s="2421"/>
      <c r="F44" s="2410"/>
      <c r="G44" s="2410"/>
      <c r="H44" s="2410"/>
      <c r="I44" s="2410"/>
      <c r="J44" s="2422"/>
      <c r="K44" s="2422"/>
      <c r="L44" s="2422"/>
      <c r="M44" s="2422"/>
      <c r="N44" s="2422"/>
      <c r="O44" s="2422"/>
      <c r="P44" s="2422"/>
      <c r="Q44" s="2422"/>
      <c r="R44" s="2422"/>
      <c r="S44" s="2422"/>
      <c r="T44" s="2422"/>
      <c r="U44" s="2422"/>
      <c r="V44" s="2422"/>
      <c r="W44" s="2422"/>
    </row>
    <row r="45" spans="1:23" ht="15" thickBot="1">
      <c r="A45" s="2435"/>
      <c r="B45" s="5714">
        <v>2020</v>
      </c>
      <c r="C45" s="5715"/>
      <c r="D45" s="5715"/>
      <c r="E45" s="5716"/>
      <c r="F45" s="5704">
        <v>2021</v>
      </c>
      <c r="G45" s="5705"/>
      <c r="H45" s="5705"/>
      <c r="I45" s="5706"/>
      <c r="J45" s="2422"/>
      <c r="K45" s="2422"/>
      <c r="L45" s="2422"/>
      <c r="M45" s="2422"/>
      <c r="N45" s="2422"/>
      <c r="O45" s="2422"/>
      <c r="P45" s="2422"/>
      <c r="Q45" s="2422"/>
      <c r="R45" s="2422"/>
      <c r="S45" s="2422"/>
      <c r="T45" s="2422"/>
      <c r="U45" s="2422"/>
      <c r="V45" s="2422"/>
      <c r="W45" s="2422"/>
    </row>
    <row r="46" spans="1:23" ht="21" thickBot="1">
      <c r="A46" s="2457"/>
      <c r="B46" s="2493" t="s">
        <v>465</v>
      </c>
      <c r="C46" s="2456" t="s">
        <v>466</v>
      </c>
      <c r="D46" s="2471" t="s">
        <v>32</v>
      </c>
      <c r="E46" s="2473" t="s">
        <v>1458</v>
      </c>
      <c r="F46" s="2417" t="s">
        <v>465</v>
      </c>
      <c r="G46" s="2417" t="s">
        <v>466</v>
      </c>
      <c r="H46" s="2418" t="s">
        <v>32</v>
      </c>
      <c r="I46" s="2473" t="s">
        <v>1458</v>
      </c>
      <c r="J46" s="2422"/>
      <c r="K46" s="2422"/>
      <c r="L46" s="2422"/>
      <c r="M46" s="2422"/>
      <c r="N46" s="2422"/>
      <c r="O46" s="2422"/>
      <c r="P46" s="2422"/>
      <c r="Q46" s="2422"/>
      <c r="R46" s="2422"/>
      <c r="S46" s="2422"/>
      <c r="T46" s="2422"/>
      <c r="U46" s="2422"/>
      <c r="V46" s="2422"/>
      <c r="W46" s="2422"/>
    </row>
    <row r="47" spans="1:23" ht="14.4" customHeight="1">
      <c r="A47" s="2457" t="s">
        <v>1138</v>
      </c>
      <c r="B47" s="2494">
        <v>1494</v>
      </c>
      <c r="C47" s="2412">
        <v>1612</v>
      </c>
      <c r="D47" s="2472">
        <f>SUM(B47:C47)</f>
        <v>3106</v>
      </c>
      <c r="E47" s="2413">
        <f>D47/$D$49</f>
        <v>0.61823248407643316</v>
      </c>
      <c r="F47" s="3934">
        <v>1387</v>
      </c>
      <c r="G47" s="3934">
        <v>1418</v>
      </c>
      <c r="H47" s="1855">
        <f>SUM(F47:G47)</f>
        <v>2805</v>
      </c>
      <c r="I47" s="2413">
        <f>H47/$H$49</f>
        <v>0.61004784688995217</v>
      </c>
      <c r="J47" s="5707" t="s">
        <v>1465</v>
      </c>
      <c r="K47" s="5708"/>
      <c r="L47" s="2422"/>
      <c r="M47" s="2422"/>
      <c r="N47" s="2422"/>
      <c r="O47" s="2422"/>
      <c r="P47" s="2422"/>
      <c r="Q47" s="2422"/>
      <c r="R47" s="2422"/>
      <c r="S47" s="2422"/>
      <c r="T47" s="2422"/>
      <c r="U47" s="2422"/>
      <c r="V47" s="2422"/>
      <c r="W47" s="2422"/>
    </row>
    <row r="48" spans="1:23" ht="15" thickBot="1">
      <c r="A48" s="2492" t="s">
        <v>1139</v>
      </c>
      <c r="B48" s="2494">
        <v>971</v>
      </c>
      <c r="C48" s="2412">
        <v>947</v>
      </c>
      <c r="D48" s="2472">
        <f>SUM(B48:C48)</f>
        <v>1918</v>
      </c>
      <c r="E48" s="2413">
        <f>D48/$D$49</f>
        <v>0.38176751592356689</v>
      </c>
      <c r="F48" s="3935">
        <v>920</v>
      </c>
      <c r="G48" s="3935">
        <v>873</v>
      </c>
      <c r="H48" s="2145">
        <f>SUM(F48:G48)</f>
        <v>1793</v>
      </c>
      <c r="I48" s="2413">
        <f>H48/$H$49</f>
        <v>0.38995215311004783</v>
      </c>
      <c r="J48" s="5709"/>
      <c r="K48" s="5710"/>
      <c r="L48" s="2422"/>
      <c r="M48" s="2422"/>
      <c r="N48" s="2422"/>
      <c r="O48" s="2422"/>
      <c r="P48" s="2422"/>
      <c r="Q48" s="2422"/>
      <c r="R48" s="2422"/>
      <c r="S48" s="2422"/>
      <c r="T48" s="2422"/>
      <c r="U48" s="2422"/>
      <c r="V48" s="2422"/>
      <c r="W48" s="2422"/>
    </row>
    <row r="49" spans="1:23" ht="15" thickBot="1">
      <c r="A49" s="2485" t="s">
        <v>32</v>
      </c>
      <c r="B49" s="2486">
        <f t="shared" ref="B49:C49" si="2">B47+B48</f>
        <v>2465</v>
      </c>
      <c r="C49" s="2487">
        <f t="shared" si="2"/>
        <v>2559</v>
      </c>
      <c r="D49" s="2488">
        <f>D47+D48</f>
        <v>5024</v>
      </c>
      <c r="E49" s="2489" t="s">
        <v>1366</v>
      </c>
      <c r="F49" s="2458">
        <f>SUM(F47:F48)</f>
        <v>2307</v>
      </c>
      <c r="G49" s="2459">
        <f t="shared" ref="G49:H49" si="3">SUM(G47:G48)</f>
        <v>2291</v>
      </c>
      <c r="H49" s="2460">
        <f t="shared" si="3"/>
        <v>4598</v>
      </c>
      <c r="I49" s="2461" t="s">
        <v>1366</v>
      </c>
      <c r="J49" s="5687">
        <f>-D49+H49</f>
        <v>-426</v>
      </c>
      <c r="K49" s="2504" t="s">
        <v>1442</v>
      </c>
      <c r="L49" s="2422"/>
      <c r="M49" s="2422"/>
      <c r="N49" s="2422"/>
      <c r="O49" s="2422"/>
      <c r="P49" s="2422"/>
      <c r="Q49" s="2422"/>
      <c r="R49" s="2422"/>
      <c r="S49" s="2422"/>
      <c r="T49" s="2422"/>
      <c r="U49" s="2422"/>
      <c r="V49" s="2422"/>
      <c r="W49" s="2422"/>
    </row>
    <row r="50" spans="1:23" ht="31.2" thickBot="1">
      <c r="A50" s="2435"/>
      <c r="B50" s="2399" t="s">
        <v>1357</v>
      </c>
      <c r="C50" s="2480">
        <v>4.5</v>
      </c>
      <c r="D50" s="2490">
        <f>D49*C50</f>
        <v>22608</v>
      </c>
      <c r="E50" s="2415" t="s">
        <v>1368</v>
      </c>
      <c r="F50" s="2482" t="s">
        <v>1357</v>
      </c>
      <c r="G50" s="2483">
        <f>G34</f>
        <v>4.5</v>
      </c>
      <c r="H50" s="2419">
        <f>H49*G50</f>
        <v>20691</v>
      </c>
      <c r="I50" s="2484" t="s">
        <v>1368</v>
      </c>
      <c r="J50" s="5688"/>
      <c r="K50" s="2503">
        <f>H49/D49-1</f>
        <v>-8.4792993630573243E-2</v>
      </c>
      <c r="L50" s="2422"/>
      <c r="M50" s="2422"/>
      <c r="N50" s="2422"/>
      <c r="O50" s="2422"/>
      <c r="P50" s="2422"/>
      <c r="Q50" s="2422"/>
      <c r="R50" s="2422"/>
      <c r="S50" s="2422"/>
      <c r="T50" s="2422"/>
      <c r="U50" s="2422"/>
      <c r="V50" s="2422"/>
      <c r="W50" s="2422"/>
    </row>
    <row r="51" spans="1:23" ht="15" thickBot="1">
      <c r="A51" s="2442"/>
      <c r="B51" s="2443"/>
      <c r="C51" s="2499" t="s">
        <v>195</v>
      </c>
      <c r="D51" s="2500">
        <f>SUM(D49:D50)</f>
        <v>27632</v>
      </c>
      <c r="E51" s="2445"/>
      <c r="F51" s="2446"/>
      <c r="G51" s="2497" t="s">
        <v>195</v>
      </c>
      <c r="H51" s="2498">
        <f>SUM(H49:H50)</f>
        <v>25289</v>
      </c>
      <c r="I51" s="2449"/>
      <c r="J51" s="2422"/>
      <c r="K51" s="2422"/>
      <c r="L51" s="2422"/>
      <c r="M51" s="2422"/>
      <c r="N51" s="2422"/>
      <c r="O51" s="2422"/>
      <c r="P51" s="2422"/>
      <c r="Q51" s="2422"/>
      <c r="R51" s="2422"/>
      <c r="S51" s="2422"/>
      <c r="T51" s="2422"/>
      <c r="U51" s="2422"/>
      <c r="V51" s="2422"/>
      <c r="W51" s="2422"/>
    </row>
    <row r="52" spans="1:23" ht="15" thickBot="1">
      <c r="A52" s="2422"/>
      <c r="B52" s="2422"/>
      <c r="C52" s="2422"/>
      <c r="D52" s="2422"/>
      <c r="E52" s="2422"/>
      <c r="F52" s="2422"/>
      <c r="G52" s="2422"/>
      <c r="H52" s="2422"/>
      <c r="I52" s="2422"/>
      <c r="J52" s="2422"/>
      <c r="K52" s="2422"/>
      <c r="L52" s="2422"/>
      <c r="M52" s="2422"/>
      <c r="N52" s="2422"/>
      <c r="O52" s="2422"/>
      <c r="P52" s="2422"/>
      <c r="Q52" s="2422"/>
      <c r="R52" s="2422"/>
      <c r="S52" s="2422"/>
      <c r="T52" s="2422"/>
      <c r="U52" s="2422"/>
      <c r="V52" s="2422"/>
      <c r="W52" s="2422"/>
    </row>
    <row r="53" spans="1:23" ht="28.2" customHeight="1">
      <c r="A53" s="5689" t="s">
        <v>1133</v>
      </c>
      <c r="B53" s="5691" t="s">
        <v>1402</v>
      </c>
      <c r="C53" s="5692"/>
      <c r="D53" s="5692"/>
      <c r="E53" s="2491">
        <f>D49/D11</f>
        <v>0.1168507966042563</v>
      </c>
      <c r="F53" s="5693" t="s">
        <v>1464</v>
      </c>
      <c r="G53" s="5694"/>
      <c r="H53" s="5694"/>
      <c r="I53" s="2491">
        <f>H51/H13</f>
        <v>0.14989405052974736</v>
      </c>
      <c r="J53" s="2422"/>
      <c r="K53" s="2422"/>
      <c r="L53" s="2422"/>
      <c r="M53" s="2422"/>
      <c r="N53" s="2422"/>
      <c r="O53" s="2422"/>
      <c r="P53" s="2422"/>
      <c r="Q53" s="2422"/>
      <c r="R53" s="2422"/>
      <c r="S53" s="2422"/>
      <c r="T53" s="2422"/>
      <c r="U53" s="2422"/>
      <c r="V53" s="2422"/>
      <c r="W53" s="2422"/>
    </row>
    <row r="54" spans="1:23" ht="15" thickBot="1">
      <c r="A54" s="5690"/>
      <c r="B54" s="5695" t="s">
        <v>1403</v>
      </c>
      <c r="C54" s="5696"/>
      <c r="D54" s="5696"/>
      <c r="E54" s="5697"/>
      <c r="F54" s="5698" t="str">
        <f>F39</f>
        <v>Dato AL 30jul021; Dir. Calidad, email; (PiA)</v>
      </c>
      <c r="G54" s="5699"/>
      <c r="H54" s="5699"/>
      <c r="I54" s="5700"/>
      <c r="J54" s="2422"/>
      <c r="K54" s="2422"/>
      <c r="L54" s="2422"/>
      <c r="M54" s="2422"/>
      <c r="N54" s="2422"/>
      <c r="O54" s="2422"/>
      <c r="P54" s="2422"/>
      <c r="Q54" s="2422"/>
      <c r="R54" s="2422"/>
      <c r="S54" s="2422"/>
      <c r="T54" s="2422"/>
      <c r="U54" s="2422"/>
      <c r="V54" s="2422"/>
      <c r="W54" s="2422"/>
    </row>
    <row r="55" spans="1:23">
      <c r="A55" s="2422"/>
      <c r="B55" s="2422"/>
      <c r="C55" s="2422"/>
      <c r="D55" s="2422"/>
      <c r="E55" s="2422"/>
      <c r="F55" s="2422"/>
      <c r="G55" s="2422"/>
      <c r="H55" s="2422"/>
      <c r="I55" s="2422"/>
      <c r="J55" s="2422"/>
      <c r="K55" s="2422"/>
      <c r="L55" s="2422"/>
      <c r="M55" s="2422"/>
      <c r="N55" s="2422"/>
      <c r="O55" s="2422"/>
      <c r="P55" s="2422"/>
      <c r="Q55" s="2422"/>
      <c r="R55" s="2422"/>
      <c r="S55" s="2422"/>
      <c r="T55" s="2422"/>
      <c r="U55" s="2422"/>
      <c r="V55" s="2422"/>
      <c r="W55" s="2422"/>
    </row>
  </sheetData>
  <mergeCells count="30">
    <mergeCell ref="F4:I4"/>
    <mergeCell ref="B4:E4"/>
    <mergeCell ref="F14:I14"/>
    <mergeCell ref="F45:I45"/>
    <mergeCell ref="J9:K10"/>
    <mergeCell ref="A42:D42"/>
    <mergeCell ref="A38:A39"/>
    <mergeCell ref="B36:E36"/>
    <mergeCell ref="F36:I36"/>
    <mergeCell ref="B15:E15"/>
    <mergeCell ref="B14:E14"/>
    <mergeCell ref="F15:I15"/>
    <mergeCell ref="B39:E39"/>
    <mergeCell ref="F39:I39"/>
    <mergeCell ref="F38:H38"/>
    <mergeCell ref="B38:D38"/>
    <mergeCell ref="B26:E26"/>
    <mergeCell ref="F26:I26"/>
    <mergeCell ref="J31:K32"/>
    <mergeCell ref="J47:K48"/>
    <mergeCell ref="J11:J12"/>
    <mergeCell ref="J33:J34"/>
    <mergeCell ref="A44:D44"/>
    <mergeCell ref="B45:E45"/>
    <mergeCell ref="J49:J50"/>
    <mergeCell ref="A53:A54"/>
    <mergeCell ref="B53:D53"/>
    <mergeCell ref="F53:H53"/>
    <mergeCell ref="B54:E54"/>
    <mergeCell ref="F54:I54"/>
  </mergeCells>
  <pageMargins left="0.7" right="0.7" top="0.75" bottom="0.75" header="0.3" footer="0.3"/>
  <pageSetup paperSize="9" orientation="portrait" r:id="rId1"/>
  <drawing r:id="rId2"/>
  <legacyDrawing r:id="rId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rgb="FF002060"/>
    <pageSetUpPr fitToPage="1"/>
  </sheetPr>
  <dimension ref="A2:AC132"/>
  <sheetViews>
    <sheetView showGridLines="0" topLeftCell="O1" zoomScaleNormal="100" workbookViewId="0">
      <selection activeCell="W15" sqref="W15"/>
    </sheetView>
  </sheetViews>
  <sheetFormatPr baseColWidth="10" defaultRowHeight="14.4"/>
  <cols>
    <col min="1" max="2" width="11.44140625" hidden="1" customWidth="1"/>
    <col min="3" max="3" width="30.6640625" style="210" hidden="1" customWidth="1"/>
    <col min="4" max="4" width="19" style="115" hidden="1" customWidth="1"/>
    <col min="5" max="5" width="19" style="621" hidden="1" customWidth="1"/>
    <col min="6" max="6" width="11.44140625" hidden="1" customWidth="1"/>
    <col min="7" max="7" width="25.33203125" hidden="1" customWidth="1"/>
    <col min="8" max="8" width="11.44140625" hidden="1" customWidth="1"/>
    <col min="9" max="9" width="32.88671875" style="210" hidden="1" customWidth="1"/>
    <col min="10" max="10" width="19" style="115" hidden="1" customWidth="1"/>
    <col min="11" max="11" width="19" style="621" hidden="1" customWidth="1"/>
    <col min="12" max="13" width="11.44140625" hidden="1" customWidth="1"/>
    <col min="14" max="14" width="22.88671875" hidden="1" customWidth="1"/>
    <col min="15" max="15" width="32.88671875" style="752" customWidth="1"/>
    <col min="16" max="16" width="19" style="115" hidden="1" customWidth="1"/>
    <col min="17" max="17" width="19" style="621" customWidth="1"/>
    <col min="18" max="18" width="18" style="747" customWidth="1"/>
    <col min="19" max="19" width="9.33203125" style="826" customWidth="1"/>
    <col min="20" max="20" width="19.44140625" customWidth="1"/>
    <col min="21" max="22" width="0" hidden="1" customWidth="1"/>
    <col min="24" max="24" width="16.88671875" customWidth="1"/>
    <col min="25" max="25" width="0" style="48" hidden="1" customWidth="1"/>
    <col min="26" max="26" width="33.6640625" hidden="1" customWidth="1"/>
    <col min="27" max="29" width="11.44140625" hidden="1" customWidth="1"/>
    <col min="30" max="30" width="11.44140625" customWidth="1"/>
  </cols>
  <sheetData>
    <row r="2" spans="3:29" ht="17.399999999999999">
      <c r="C2" s="622" t="s">
        <v>327</v>
      </c>
      <c r="I2" s="622" t="s">
        <v>396</v>
      </c>
      <c r="O2" s="748" t="s">
        <v>837</v>
      </c>
    </row>
    <row r="4" spans="3:29">
      <c r="C4" s="211" t="s">
        <v>328</v>
      </c>
      <c r="I4" s="211" t="s">
        <v>328</v>
      </c>
      <c r="O4" s="749" t="s">
        <v>328</v>
      </c>
      <c r="Z4" s="211" t="s">
        <v>626</v>
      </c>
      <c r="AA4" s="115"/>
      <c r="AB4" s="621"/>
    </row>
    <row r="5" spans="3:29">
      <c r="C5" s="211" t="s">
        <v>627</v>
      </c>
      <c r="I5" s="211" t="s">
        <v>397</v>
      </c>
      <c r="O5" s="750" t="s">
        <v>839</v>
      </c>
      <c r="Z5" s="623" t="str">
        <f>+O5</f>
        <v xml:space="preserve"> Datos de Diciembre 2016</v>
      </c>
      <c r="AA5" s="115"/>
      <c r="AB5" s="621"/>
    </row>
    <row r="6" spans="3:29" ht="15" thickBot="1">
      <c r="C6" s="212"/>
      <c r="D6" s="213"/>
      <c r="E6" s="214"/>
      <c r="I6" s="212"/>
      <c r="J6" s="213"/>
      <c r="K6" s="214"/>
      <c r="O6" s="751"/>
      <c r="P6" s="213"/>
      <c r="Q6" s="214"/>
      <c r="R6" s="214"/>
      <c r="S6" s="827"/>
      <c r="Z6" s="212"/>
      <c r="AA6" s="213"/>
      <c r="AB6" s="214"/>
    </row>
    <row r="7" spans="3:29" s="746" customFormat="1" ht="45" thickTop="1" thickBot="1">
      <c r="C7" s="753" t="s">
        <v>629</v>
      </c>
      <c r="D7" s="754" t="s">
        <v>329</v>
      </c>
      <c r="E7" s="755" t="s">
        <v>330</v>
      </c>
      <c r="I7" s="753" t="s">
        <v>629</v>
      </c>
      <c r="J7" s="754" t="s">
        <v>329</v>
      </c>
      <c r="K7" s="755" t="s">
        <v>330</v>
      </c>
      <c r="O7" s="842" t="s">
        <v>629</v>
      </c>
      <c r="P7" s="843" t="s">
        <v>329</v>
      </c>
      <c r="Q7" s="849" t="s">
        <v>834</v>
      </c>
      <c r="R7" s="774" t="s">
        <v>833</v>
      </c>
      <c r="S7" s="828"/>
      <c r="T7" s="823" t="s">
        <v>835</v>
      </c>
      <c r="U7" s="824" t="s">
        <v>829</v>
      </c>
      <c r="V7" s="824"/>
      <c r="W7" s="824" t="s">
        <v>836</v>
      </c>
      <c r="X7" s="825" t="s">
        <v>838</v>
      </c>
      <c r="Y7" s="806"/>
      <c r="Z7" s="753" t="s">
        <v>629</v>
      </c>
      <c r="AA7" s="754" t="s">
        <v>329</v>
      </c>
      <c r="AB7" s="755" t="s">
        <v>330</v>
      </c>
    </row>
    <row r="8" spans="3:29" ht="15" thickTop="1">
      <c r="C8" s="627"/>
      <c r="D8" s="628"/>
      <c r="E8" s="629"/>
      <c r="H8" s="215"/>
      <c r="I8" s="627"/>
      <c r="J8" s="628"/>
      <c r="K8" s="629"/>
      <c r="O8" s="844" t="s">
        <v>630</v>
      </c>
      <c r="P8" s="833">
        <f>+P10+P30+P32+P39+P46+P52+P57+P66</f>
        <v>115463.49827</v>
      </c>
      <c r="Q8" s="834">
        <f>+P8/$P$8*100</f>
        <v>100</v>
      </c>
      <c r="R8" s="850">
        <v>652912</v>
      </c>
      <c r="S8" s="756"/>
      <c r="T8" s="818" t="str">
        <f>O10</f>
        <v>CENTRO HISTÓRICO</v>
      </c>
      <c r="U8" s="819">
        <f>P10</f>
        <v>77851.341159999996</v>
      </c>
      <c r="V8" s="820">
        <f>Q10</f>
        <v>67.425067078733676</v>
      </c>
      <c r="W8" s="821">
        <f>V8/100</f>
        <v>0.6742506707873368</v>
      </c>
      <c r="X8" s="822">
        <f>$R$8*W8</f>
        <v>440226.35396510165</v>
      </c>
      <c r="Y8" s="807"/>
      <c r="Z8" s="216" t="s">
        <v>53</v>
      </c>
      <c r="AA8" s="630">
        <f>SUM(AA10:AA57)</f>
        <v>130212.27839000001</v>
      </c>
      <c r="AB8" s="631">
        <f>+AA8/$AA$8*100</f>
        <v>100</v>
      </c>
    </row>
    <row r="9" spans="3:29" ht="15" thickBot="1">
      <c r="C9" s="216" t="s">
        <v>631</v>
      </c>
      <c r="D9" s="630">
        <v>53209.455918000058</v>
      </c>
      <c r="E9" s="631">
        <v>53.583195501274659</v>
      </c>
      <c r="H9" s="215"/>
      <c r="I9" s="216" t="s">
        <v>631</v>
      </c>
      <c r="J9" s="630">
        <f>SUM(J10:J26)</f>
        <v>78800.937329999957</v>
      </c>
      <c r="K9" s="631">
        <f>+J9/$J$71*100</f>
        <v>67.199584159524619</v>
      </c>
      <c r="O9" s="859"/>
      <c r="P9" s="860"/>
      <c r="Q9" s="861"/>
      <c r="R9" s="862"/>
      <c r="S9" s="829"/>
      <c r="T9" s="811" t="str">
        <f>O32</f>
        <v>LA MARISCAL</v>
      </c>
      <c r="U9" s="808">
        <f>P32</f>
        <v>13408.424510000001</v>
      </c>
      <c r="V9" s="809">
        <f>Q32</f>
        <v>11.61269553659783</v>
      </c>
      <c r="W9" s="810">
        <f t="shared" ref="W9:W15" si="0">V9/100</f>
        <v>0.11612695536597829</v>
      </c>
      <c r="X9" s="812">
        <f t="shared" ref="X9:X15" si="1">$R$8*W9</f>
        <v>75820.682681911625</v>
      </c>
      <c r="Y9" s="807"/>
      <c r="Z9" s="633"/>
      <c r="AA9" s="634"/>
      <c r="AB9" s="635"/>
    </row>
    <row r="10" spans="3:29">
      <c r="C10" s="217" t="s">
        <v>590</v>
      </c>
      <c r="D10" s="218">
        <v>29411.041913000045</v>
      </c>
      <c r="E10" s="632">
        <v>29.617623062132186</v>
      </c>
      <c r="H10" s="215"/>
      <c r="I10" s="217" t="s">
        <v>590</v>
      </c>
      <c r="J10" s="218">
        <v>34698.041399999966</v>
      </c>
      <c r="K10" s="632">
        <v>29.617623062132186</v>
      </c>
      <c r="O10" s="855" t="s">
        <v>631</v>
      </c>
      <c r="P10" s="856">
        <f>SUM(P11:P28)</f>
        <v>77851.341159999996</v>
      </c>
      <c r="Q10" s="857">
        <f t="shared" ref="Q10:Q28" si="2">+P10/$P$8*100</f>
        <v>67.425067078733676</v>
      </c>
      <c r="R10" s="858">
        <f>$R$8*Q10/100</f>
        <v>440226.35396510159</v>
      </c>
      <c r="S10" s="756"/>
      <c r="T10" s="811" t="str">
        <f>O39</f>
        <v>LOS MIRADORES</v>
      </c>
      <c r="U10" s="808">
        <f>P39</f>
        <v>13587.847599999999</v>
      </c>
      <c r="V10" s="809">
        <f>Q39</f>
        <v>11.768089312716091</v>
      </c>
      <c r="W10" s="810">
        <f t="shared" si="0"/>
        <v>0.11768089312716092</v>
      </c>
      <c r="X10" s="812">
        <f t="shared" si="1"/>
        <v>76835.267293440891</v>
      </c>
      <c r="Y10" s="807"/>
      <c r="Z10" s="633" t="s">
        <v>590</v>
      </c>
      <c r="AA10" s="634">
        <v>34423.538739999996</v>
      </c>
      <c r="AB10" s="635">
        <f t="shared" ref="AB10:AB57" si="3">+AA10/$AA$8*100</f>
        <v>26.436476779015983</v>
      </c>
      <c r="AC10" s="1"/>
    </row>
    <row r="11" spans="3:29">
      <c r="C11" s="217" t="s">
        <v>632</v>
      </c>
      <c r="D11" s="218">
        <v>9514.6170919999986</v>
      </c>
      <c r="E11" s="632">
        <v>9.5814471124471456</v>
      </c>
      <c r="H11" s="215"/>
      <c r="I11" s="217" t="s">
        <v>633</v>
      </c>
      <c r="J11" s="218">
        <v>21634.895929999999</v>
      </c>
      <c r="K11" s="632">
        <v>5.5028585411434738</v>
      </c>
      <c r="O11" s="845" t="s">
        <v>832</v>
      </c>
      <c r="P11" s="835">
        <v>34423.538739999996</v>
      </c>
      <c r="Q11" s="837">
        <f t="shared" si="2"/>
        <v>29.813351626939234</v>
      </c>
      <c r="R11" s="851">
        <f t="shared" ref="R11:R72" si="4">$R$8*Q11/100</f>
        <v>194654.9503744815</v>
      </c>
      <c r="S11" s="757"/>
      <c r="T11" s="811" t="str">
        <f>O46</f>
        <v>IGLESIAS, MUSEOS, TEATROS</v>
      </c>
      <c r="U11" s="808">
        <f>P46</f>
        <v>2108.4892199999999</v>
      </c>
      <c r="V11" s="809">
        <f>Q46</f>
        <v>1.8261089015937364</v>
      </c>
      <c r="W11" s="810">
        <f t="shared" si="0"/>
        <v>1.8261089015937364E-2</v>
      </c>
      <c r="X11" s="812">
        <f t="shared" si="1"/>
        <v>11922.884151573697</v>
      </c>
      <c r="Y11" s="807"/>
      <c r="Z11" s="633" t="s">
        <v>401</v>
      </c>
      <c r="AA11" s="634">
        <v>14613.124340000006</v>
      </c>
      <c r="AB11" s="635">
        <f t="shared" si="3"/>
        <v>11.222539472224041</v>
      </c>
      <c r="AC11" s="1"/>
    </row>
    <row r="12" spans="3:29">
      <c r="C12" s="217" t="s">
        <v>633</v>
      </c>
      <c r="D12" s="218">
        <v>5464.4764319999995</v>
      </c>
      <c r="E12" s="632">
        <v>5.5028585411434738</v>
      </c>
      <c r="H12" s="215"/>
      <c r="I12" s="217" t="s">
        <v>634</v>
      </c>
      <c r="J12" s="218">
        <v>5166</v>
      </c>
      <c r="K12" s="632">
        <f t="shared" ref="K12:K26" si="5">+J12/$J$71*100</f>
        <v>4.4054431778432797</v>
      </c>
      <c r="O12" s="845" t="s">
        <v>632</v>
      </c>
      <c r="P12" s="835">
        <v>13025.641720000003</v>
      </c>
      <c r="Q12" s="837">
        <f t="shared" si="2"/>
        <v>11.281177095068456</v>
      </c>
      <c r="R12" s="851">
        <f t="shared" si="4"/>
        <v>73656.158994953352</v>
      </c>
      <c r="S12" s="757"/>
      <c r="T12" s="811" t="str">
        <f>O52</f>
        <v>PARQUES</v>
      </c>
      <c r="U12" s="808">
        <f>P52</f>
        <v>7255.2708399999992</v>
      </c>
      <c r="V12" s="809">
        <f>Q52</f>
        <v>6.2836055971855833</v>
      </c>
      <c r="W12" s="810">
        <f t="shared" si="0"/>
        <v>6.2836055971855834E-2</v>
      </c>
      <c r="X12" s="812">
        <f t="shared" si="1"/>
        <v>41026.414976696338</v>
      </c>
      <c r="Y12" s="807"/>
      <c r="Z12" s="633" t="s">
        <v>632</v>
      </c>
      <c r="AA12" s="634">
        <v>13025.641720000003</v>
      </c>
      <c r="AB12" s="635">
        <f t="shared" si="3"/>
        <v>10.003389757904998</v>
      </c>
      <c r="AC12" s="1"/>
    </row>
    <row r="13" spans="3:29">
      <c r="C13" s="217" t="s">
        <v>635</v>
      </c>
      <c r="D13" s="218">
        <v>2471.8032770000004</v>
      </c>
      <c r="E13" s="632">
        <v>2.4891650543522523</v>
      </c>
      <c r="H13" s="215"/>
      <c r="I13" s="217" t="s">
        <v>636</v>
      </c>
      <c r="J13" s="218">
        <v>4635</v>
      </c>
      <c r="K13" s="632">
        <f t="shared" si="5"/>
        <v>3.9526188790754166</v>
      </c>
      <c r="O13" s="845" t="s">
        <v>633</v>
      </c>
      <c r="P13" s="835">
        <v>10641.87535</v>
      </c>
      <c r="Q13" s="837">
        <f t="shared" si="2"/>
        <v>9.2166576532394888</v>
      </c>
      <c r="R13" s="851">
        <f t="shared" si="4"/>
        <v>60176.663816919012</v>
      </c>
      <c r="S13" s="757"/>
      <c r="T13" s="811" t="str">
        <f>O57</f>
        <v>CENTROS COMERCIALES</v>
      </c>
      <c r="U13" s="808">
        <f>P57</f>
        <v>695.36444000000006</v>
      </c>
      <c r="V13" s="809">
        <f>Q57</f>
        <v>0.6022374606855917</v>
      </c>
      <c r="W13" s="810">
        <f t="shared" si="0"/>
        <v>6.0223746068559167E-3</v>
      </c>
      <c r="X13" s="812">
        <f t="shared" si="1"/>
        <v>3932.0806493115101</v>
      </c>
      <c r="Y13" s="807"/>
      <c r="Z13" s="633" t="s">
        <v>633</v>
      </c>
      <c r="AA13" s="634">
        <v>10641.87535</v>
      </c>
      <c r="AB13" s="635">
        <f t="shared" si="3"/>
        <v>8.1727126516643995</v>
      </c>
      <c r="AC13" s="1"/>
    </row>
    <row r="14" spans="3:29">
      <c r="C14" s="217" t="s">
        <v>637</v>
      </c>
      <c r="D14" s="218">
        <v>1685.981712</v>
      </c>
      <c r="E14" s="632">
        <v>1.6978239323644131</v>
      </c>
      <c r="H14" s="215"/>
      <c r="I14" s="217" t="s">
        <v>638</v>
      </c>
      <c r="J14" s="218">
        <v>4409</v>
      </c>
      <c r="K14" s="632">
        <f t="shared" si="5"/>
        <v>3.7598913997504884</v>
      </c>
      <c r="O14" s="845" t="s">
        <v>639</v>
      </c>
      <c r="P14" s="835">
        <v>6572.1323199999988</v>
      </c>
      <c r="Q14" s="837">
        <f t="shared" si="2"/>
        <v>5.6919566949476241</v>
      </c>
      <c r="R14" s="851">
        <f t="shared" si="4"/>
        <v>37163.468296116429</v>
      </c>
      <c r="S14" s="757"/>
      <c r="T14" s="811" t="str">
        <f>O66</f>
        <v>BARRIOS TRADICIONALES</v>
      </c>
      <c r="U14" s="808">
        <f>P66</f>
        <v>556.76049999999998</v>
      </c>
      <c r="V14" s="809">
        <f>Q66</f>
        <v>0.48219611248748973</v>
      </c>
      <c r="W14" s="810">
        <f t="shared" si="0"/>
        <v>4.8219611248748974E-3</v>
      </c>
      <c r="X14" s="812">
        <f t="shared" si="1"/>
        <v>3148.3162819643189</v>
      </c>
      <c r="Y14" s="807"/>
      <c r="Z14" s="633" t="s">
        <v>640</v>
      </c>
      <c r="AA14" s="634">
        <v>9593.1551599999984</v>
      </c>
      <c r="AB14" s="635">
        <f t="shared" si="3"/>
        <v>7.3673199475608975</v>
      </c>
      <c r="AC14" s="1"/>
    </row>
    <row r="15" spans="3:29" ht="23.4" thickBot="1">
      <c r="C15" s="217" t="s">
        <v>636</v>
      </c>
      <c r="D15" s="218">
        <v>1214.540039</v>
      </c>
      <c r="E15" s="632">
        <v>1.2230708852605914</v>
      </c>
      <c r="H15" s="215"/>
      <c r="I15" s="217" t="s">
        <v>637</v>
      </c>
      <c r="J15" s="218">
        <v>3001</v>
      </c>
      <c r="K15" s="632">
        <f t="shared" si="5"/>
        <v>2.5591821480270389</v>
      </c>
      <c r="O15" s="845" t="s">
        <v>641</v>
      </c>
      <c r="P15" s="835">
        <v>2121.8373700000002</v>
      </c>
      <c r="Q15" s="837">
        <f t="shared" si="2"/>
        <v>1.8376693949098033</v>
      </c>
      <c r="R15" s="851">
        <f t="shared" si="4"/>
        <v>11998.363999693494</v>
      </c>
      <c r="S15" s="757"/>
      <c r="T15" s="813" t="str">
        <f>'perfil-Alrededor_parroquia'!M12</f>
        <v>Mitad del Mundo</v>
      </c>
      <c r="U15" s="814">
        <f>'perfil-Alrededor_parroquia'!O12</f>
        <v>30000</v>
      </c>
      <c r="V15" s="815">
        <f>'perfil-Alrededor_parroquia'!N12*100</f>
        <v>86.0930066613669</v>
      </c>
      <c r="W15" s="816">
        <f t="shared" si="0"/>
        <v>0.860930066613669</v>
      </c>
      <c r="X15" s="817">
        <f t="shared" si="1"/>
        <v>562111.57165286387</v>
      </c>
      <c r="Y15" s="807"/>
      <c r="Z15" s="633" t="s">
        <v>639</v>
      </c>
      <c r="AA15" s="634">
        <v>6572.1323199999988</v>
      </c>
      <c r="AB15" s="635">
        <f t="shared" si="3"/>
        <v>5.0472447001624099</v>
      </c>
      <c r="AC15" s="1"/>
    </row>
    <row r="16" spans="3:29">
      <c r="C16" s="217" t="s">
        <v>642</v>
      </c>
      <c r="D16" s="218">
        <v>967.48773800000004</v>
      </c>
      <c r="E16" s="632">
        <v>0.97428330577616074</v>
      </c>
      <c r="H16" s="215"/>
      <c r="I16" s="217" t="s">
        <v>643</v>
      </c>
      <c r="J16" s="218">
        <v>2289</v>
      </c>
      <c r="K16" s="632">
        <f t="shared" si="5"/>
        <v>1.9520053105077948</v>
      </c>
      <c r="O16" s="845"/>
      <c r="P16" s="835">
        <v>1898.9568399999998</v>
      </c>
      <c r="Q16" s="837"/>
      <c r="R16" s="851"/>
      <c r="S16" s="757"/>
      <c r="T16" s="48"/>
      <c r="U16" s="636"/>
      <c r="Z16" s="633" t="s">
        <v>645</v>
      </c>
      <c r="AA16" s="634">
        <v>6233.3370500000001</v>
      </c>
      <c r="AB16" s="635">
        <f t="shared" si="3"/>
        <v>4.7870578159537871</v>
      </c>
      <c r="AC16" s="1"/>
    </row>
    <row r="17" spans="3:29" ht="22.8">
      <c r="C17" s="217" t="s">
        <v>646</v>
      </c>
      <c r="D17" s="218">
        <v>1118.7420910000001</v>
      </c>
      <c r="E17" s="637">
        <v>1.1266000590184375</v>
      </c>
      <c r="H17" s="215"/>
      <c r="I17" s="217" t="s">
        <v>647</v>
      </c>
      <c r="J17" s="218">
        <v>1131</v>
      </c>
      <c r="K17" s="632">
        <f t="shared" si="5"/>
        <v>0.96449017308183305</v>
      </c>
      <c r="O17" s="845" t="s">
        <v>634</v>
      </c>
      <c r="P17" s="835">
        <v>1849.7313899999999</v>
      </c>
      <c r="Q17" s="837">
        <f t="shared" si="2"/>
        <v>1.6020053243792991</v>
      </c>
      <c r="R17" s="851">
        <f t="shared" si="4"/>
        <v>10459.685003511369</v>
      </c>
      <c r="S17" s="757"/>
      <c r="T17" s="48"/>
      <c r="U17" s="636"/>
      <c r="Z17" s="633" t="s">
        <v>648</v>
      </c>
      <c r="AA17" s="634">
        <v>5831.5777600000001</v>
      </c>
      <c r="AB17" s="635">
        <f t="shared" si="3"/>
        <v>4.4785160294436954</v>
      </c>
      <c r="AC17" s="1"/>
    </row>
    <row r="18" spans="3:29">
      <c r="C18" s="217" t="s">
        <v>649</v>
      </c>
      <c r="D18" s="218">
        <v>819.64702899999997</v>
      </c>
      <c r="E18" s="632">
        <v>0.82540417373613129</v>
      </c>
      <c r="H18" s="215"/>
      <c r="I18" s="217" t="s">
        <v>650</v>
      </c>
      <c r="J18" s="218">
        <v>789</v>
      </c>
      <c r="K18" s="632">
        <f t="shared" si="5"/>
        <v>0.67284062472287032</v>
      </c>
      <c r="O18" s="845" t="s">
        <v>636</v>
      </c>
      <c r="P18" s="835">
        <v>1700.3046200000003</v>
      </c>
      <c r="Q18" s="837">
        <f t="shared" si="2"/>
        <v>1.4725905983066663</v>
      </c>
      <c r="R18" s="851">
        <f t="shared" si="4"/>
        <v>9614.7207272160213</v>
      </c>
      <c r="S18" s="757"/>
      <c r="T18" s="48"/>
      <c r="U18" s="636"/>
      <c r="Z18" s="633" t="s">
        <v>651</v>
      </c>
      <c r="AA18" s="634">
        <v>3523.3727200000003</v>
      </c>
      <c r="AB18" s="635">
        <f t="shared" si="3"/>
        <v>2.7058682664680163</v>
      </c>
      <c r="AC18" s="1"/>
    </row>
    <row r="19" spans="3:29">
      <c r="C19" s="217" t="s">
        <v>652</v>
      </c>
      <c r="D19" s="218">
        <v>284.367187</v>
      </c>
      <c r="E19" s="632">
        <v>0.28636456269446559</v>
      </c>
      <c r="H19" s="215"/>
      <c r="I19" s="217" t="s">
        <v>653</v>
      </c>
      <c r="J19" s="218">
        <v>252</v>
      </c>
      <c r="K19" s="637">
        <f t="shared" si="5"/>
        <v>0.21489966721186729</v>
      </c>
      <c r="O19" s="845" t="s">
        <v>653</v>
      </c>
      <c r="P19" s="835">
        <v>1604.0196000000001</v>
      </c>
      <c r="Q19" s="837">
        <f t="shared" si="2"/>
        <v>1.3892005906915781</v>
      </c>
      <c r="R19" s="851">
        <f t="shared" si="4"/>
        <v>9070.257360696196</v>
      </c>
      <c r="S19" s="757"/>
      <c r="T19" s="48"/>
      <c r="U19" s="636"/>
      <c r="Z19" s="633" t="s">
        <v>654</v>
      </c>
      <c r="AA19" s="634">
        <v>3209.9230800000005</v>
      </c>
      <c r="AB19" s="635">
        <f t="shared" si="3"/>
        <v>2.4651462363525578</v>
      </c>
      <c r="AC19" s="1"/>
    </row>
    <row r="20" spans="3:29" ht="22.8">
      <c r="C20" s="217" t="s">
        <v>655</v>
      </c>
      <c r="D20" s="218">
        <v>169.15391700000001</v>
      </c>
      <c r="E20" s="632">
        <v>0.1703420425569738</v>
      </c>
      <c r="H20" s="215"/>
      <c r="I20" s="217" t="s">
        <v>656</v>
      </c>
      <c r="J20" s="218">
        <v>192</v>
      </c>
      <c r="K20" s="632">
        <f t="shared" si="5"/>
        <v>0.16373307978047033</v>
      </c>
      <c r="O20" s="845" t="s">
        <v>638</v>
      </c>
      <c r="P20" s="835">
        <v>1190.7258500000003</v>
      </c>
      <c r="Q20" s="837">
        <f t="shared" si="2"/>
        <v>1.0312573824981515</v>
      </c>
      <c r="R20" s="851">
        <f t="shared" si="4"/>
        <v>6733.2032012163309</v>
      </c>
      <c r="S20" s="757"/>
      <c r="T20" s="48"/>
      <c r="U20" s="636"/>
      <c r="Z20" s="633" t="s">
        <v>641</v>
      </c>
      <c r="AA20" s="634">
        <v>2121.8373700000002</v>
      </c>
      <c r="AB20" s="635">
        <f t="shared" si="3"/>
        <v>1.6295217288532999</v>
      </c>
      <c r="AC20" s="1"/>
    </row>
    <row r="21" spans="3:29">
      <c r="C21" s="217" t="s">
        <v>634</v>
      </c>
      <c r="D21" s="218">
        <v>69.149977000000007</v>
      </c>
      <c r="E21" s="632">
        <v>6.9635681714351083E-2</v>
      </c>
      <c r="H21" s="215"/>
      <c r="I21" s="217" t="s">
        <v>57</v>
      </c>
      <c r="J21" s="218">
        <v>176</v>
      </c>
      <c r="K21" s="632">
        <f t="shared" si="5"/>
        <v>0.15008865646543115</v>
      </c>
      <c r="O21" s="845" t="s">
        <v>650</v>
      </c>
      <c r="P21" s="835">
        <v>930.99568000000011</v>
      </c>
      <c r="Q21" s="837">
        <f t="shared" si="2"/>
        <v>0.80631168633307704</v>
      </c>
      <c r="R21" s="851">
        <f t="shared" si="4"/>
        <v>5264.5057574710199</v>
      </c>
      <c r="S21" s="757"/>
      <c r="T21" s="48"/>
      <c r="U21" s="636"/>
      <c r="Z21" s="633" t="s">
        <v>644</v>
      </c>
      <c r="AA21" s="634">
        <v>1898.9568399999998</v>
      </c>
      <c r="AB21" s="635">
        <f t="shared" si="3"/>
        <v>1.4583546678389396</v>
      </c>
      <c r="AC21" s="1"/>
    </row>
    <row r="22" spans="3:29">
      <c r="C22" s="217" t="s">
        <v>657</v>
      </c>
      <c r="D22" s="218">
        <v>18.447514000000002</v>
      </c>
      <c r="E22" s="632">
        <v>1.8577088078063072E-2</v>
      </c>
      <c r="H22" s="215"/>
      <c r="I22" s="217" t="s">
        <v>657</v>
      </c>
      <c r="J22" s="218">
        <v>151</v>
      </c>
      <c r="K22" s="632">
        <f t="shared" si="5"/>
        <v>0.12876924503568238</v>
      </c>
      <c r="O22" s="845" t="s">
        <v>658</v>
      </c>
      <c r="P22" s="835">
        <v>757.17714000000001</v>
      </c>
      <c r="Q22" s="837">
        <f t="shared" si="2"/>
        <v>0.65577186846479918</v>
      </c>
      <c r="R22" s="851">
        <f t="shared" si="4"/>
        <v>4281.6132218308894</v>
      </c>
      <c r="S22" s="757"/>
      <c r="T22" s="48"/>
      <c r="U22" s="636"/>
      <c r="Z22" s="633" t="s">
        <v>634</v>
      </c>
      <c r="AA22" s="634">
        <v>1849.7313899999999</v>
      </c>
      <c r="AB22" s="635">
        <f t="shared" si="3"/>
        <v>1.4205506676258688</v>
      </c>
      <c r="AC22" s="1"/>
    </row>
    <row r="23" spans="3:29">
      <c r="C23" s="217"/>
      <c r="D23" s="218"/>
      <c r="E23" s="632"/>
      <c r="H23" s="215"/>
      <c r="I23" s="217" t="s">
        <v>659</v>
      </c>
      <c r="J23" s="218">
        <v>144</v>
      </c>
      <c r="K23" s="632">
        <f t="shared" si="5"/>
        <v>0.12279980983535274</v>
      </c>
      <c r="O23" s="845" t="s">
        <v>57</v>
      </c>
      <c r="P23" s="835">
        <v>269.55577999999997</v>
      </c>
      <c r="Q23" s="837">
        <f t="shared" si="2"/>
        <v>0.23345540715358407</v>
      </c>
      <c r="R23" s="851">
        <f t="shared" si="4"/>
        <v>1524.2583679546087</v>
      </c>
      <c r="S23" s="757"/>
      <c r="T23" s="48"/>
      <c r="U23" s="636"/>
      <c r="Z23" s="633" t="s">
        <v>636</v>
      </c>
      <c r="AA23" s="634">
        <v>1700.3046200000003</v>
      </c>
      <c r="AB23" s="635">
        <f t="shared" si="3"/>
        <v>1.3057943851557547</v>
      </c>
      <c r="AC23" s="1"/>
    </row>
    <row r="24" spans="3:29">
      <c r="C24" s="216" t="s">
        <v>660</v>
      </c>
      <c r="D24" s="630">
        <v>9330.2738979999995</v>
      </c>
      <c r="E24" s="631">
        <v>9.3958091044462044</v>
      </c>
      <c r="H24" s="215"/>
      <c r="I24" s="217" t="s">
        <v>661</v>
      </c>
      <c r="J24" s="218">
        <v>47</v>
      </c>
      <c r="K24" s="632">
        <f t="shared" si="5"/>
        <v>4.0080493487927631E-2</v>
      </c>
      <c r="O24" s="845" t="s">
        <v>661</v>
      </c>
      <c r="P24" s="835">
        <v>256.52908000000002</v>
      </c>
      <c r="Q24" s="837">
        <f t="shared" si="2"/>
        <v>0.22217331350911618</v>
      </c>
      <c r="R24" s="851">
        <f t="shared" si="4"/>
        <v>1450.5962246986405</v>
      </c>
      <c r="S24" s="757"/>
      <c r="T24" s="48"/>
      <c r="U24" s="636"/>
      <c r="Z24" s="633" t="s">
        <v>662</v>
      </c>
      <c r="AA24" s="634">
        <v>1649.0301499999998</v>
      </c>
      <c r="AB24" s="635">
        <f t="shared" si="3"/>
        <v>1.2664167852596619</v>
      </c>
      <c r="AC24" s="1"/>
    </row>
    <row r="25" spans="3:29">
      <c r="C25" s="217" t="s">
        <v>651</v>
      </c>
      <c r="D25" s="218">
        <v>2506.5502699999997</v>
      </c>
      <c r="E25" s="632">
        <v>2.5241561078572845</v>
      </c>
      <c r="H25" s="215"/>
      <c r="I25" s="217" t="s">
        <v>663</v>
      </c>
      <c r="J25" s="218">
        <v>43</v>
      </c>
      <c r="K25" s="632">
        <f t="shared" si="5"/>
        <v>3.6669387659167836E-2</v>
      </c>
      <c r="O25" s="845" t="s">
        <v>657</v>
      </c>
      <c r="P25" s="835">
        <v>216.18635</v>
      </c>
      <c r="Q25" s="837">
        <f t="shared" si="2"/>
        <v>0.18723350083718193</v>
      </c>
      <c r="R25" s="851">
        <f t="shared" si="4"/>
        <v>1222.4699949860615</v>
      </c>
      <c r="S25" s="757"/>
      <c r="T25" s="48"/>
      <c r="U25" s="636"/>
      <c r="Z25" s="633" t="s">
        <v>653</v>
      </c>
      <c r="AA25" s="634">
        <v>1604.0196000000001</v>
      </c>
      <c r="AB25" s="635">
        <f t="shared" si="3"/>
        <v>1.2318497301735141</v>
      </c>
      <c r="AC25" s="1"/>
    </row>
    <row r="26" spans="3:29">
      <c r="C26" s="217" t="s">
        <v>664</v>
      </c>
      <c r="D26" s="218">
        <v>5482.0315639999999</v>
      </c>
      <c r="E26" s="632">
        <v>5.5205369791913341</v>
      </c>
      <c r="H26" s="215"/>
      <c r="I26" s="217" t="s">
        <v>665</v>
      </c>
      <c r="J26" s="218">
        <v>43</v>
      </c>
      <c r="K26" s="632">
        <f t="shared" si="5"/>
        <v>3.6669387659167836E-2</v>
      </c>
      <c r="O26" s="845" t="s">
        <v>659</v>
      </c>
      <c r="P26" s="835">
        <v>183.24587999999997</v>
      </c>
      <c r="Q26" s="837">
        <f t="shared" si="2"/>
        <v>0.15870459733646522</v>
      </c>
      <c r="R26" s="851">
        <f t="shared" si="4"/>
        <v>1036.2013605614618</v>
      </c>
      <c r="S26" s="757"/>
      <c r="T26" s="48"/>
      <c r="U26" s="636"/>
      <c r="Z26" s="633" t="s">
        <v>666</v>
      </c>
      <c r="AA26" s="634">
        <v>1443.1290200000003</v>
      </c>
      <c r="AB26" s="635">
        <f t="shared" si="3"/>
        <v>1.108289508365464</v>
      </c>
      <c r="AC26" s="1"/>
    </row>
    <row r="27" spans="3:29">
      <c r="C27" s="217" t="s">
        <v>654</v>
      </c>
      <c r="D27" s="218">
        <v>1341.6920639999998</v>
      </c>
      <c r="E27" s="632">
        <v>1.3511160173975869</v>
      </c>
      <c r="H27" s="215"/>
      <c r="I27" s="217"/>
      <c r="J27" s="218"/>
      <c r="K27" s="632"/>
      <c r="O27" s="845" t="s">
        <v>667</v>
      </c>
      <c r="P27" s="835">
        <v>152.77027000000001</v>
      </c>
      <c r="Q27" s="837">
        <f t="shared" si="2"/>
        <v>0.13231044640857997</v>
      </c>
      <c r="R27" s="851">
        <f t="shared" si="4"/>
        <v>863.87078185518772</v>
      </c>
      <c r="S27" s="757"/>
      <c r="T27" s="48"/>
      <c r="U27" s="636"/>
      <c r="Z27" s="633" t="s">
        <v>668</v>
      </c>
      <c r="AA27" s="634">
        <v>1251.3598500000001</v>
      </c>
      <c r="AB27" s="635">
        <f t="shared" si="3"/>
        <v>0.96101524792619064</v>
      </c>
      <c r="AC27" s="1"/>
    </row>
    <row r="28" spans="3:29">
      <c r="C28" s="217"/>
      <c r="D28" s="218"/>
      <c r="E28" s="632"/>
      <c r="H28" s="215"/>
      <c r="I28" s="216" t="s">
        <v>660</v>
      </c>
      <c r="J28" s="638">
        <v>11932</v>
      </c>
      <c r="K28" s="631">
        <f>+J28/$J$71*100</f>
        <v>10.175328687190479</v>
      </c>
      <c r="O28" s="845" t="s">
        <v>663</v>
      </c>
      <c r="P28" s="835">
        <v>56.117179999999998</v>
      </c>
      <c r="Q28" s="837">
        <f t="shared" si="2"/>
        <v>4.8601662725284413E-2</v>
      </c>
      <c r="R28" s="851">
        <f t="shared" si="4"/>
        <v>317.32608813290898</v>
      </c>
      <c r="S28" s="757"/>
      <c r="T28" s="48"/>
      <c r="U28" s="636"/>
      <c r="Z28" s="633" t="s">
        <v>669</v>
      </c>
      <c r="AA28" s="634">
        <v>1206.0557599999997</v>
      </c>
      <c r="AB28" s="635">
        <f t="shared" si="3"/>
        <v>0.92622276095018552</v>
      </c>
      <c r="AC28" s="1"/>
    </row>
    <row r="29" spans="3:29">
      <c r="C29" s="216" t="s">
        <v>670</v>
      </c>
      <c r="D29" s="630">
        <v>12627.463661999996</v>
      </c>
      <c r="E29" s="631">
        <v>12.716158104095477</v>
      </c>
      <c r="H29" s="215"/>
      <c r="I29" s="217" t="s">
        <v>645</v>
      </c>
      <c r="J29" s="218">
        <v>8232</v>
      </c>
      <c r="K29" s="632">
        <f>+J29/$J$71*100</f>
        <v>7.0200557955876652</v>
      </c>
      <c r="L29" s="1"/>
      <c r="O29" s="845"/>
      <c r="P29" s="835"/>
      <c r="Q29" s="836"/>
      <c r="R29" s="851">
        <f t="shared" si="4"/>
        <v>0</v>
      </c>
      <c r="S29" s="757"/>
      <c r="T29" s="48"/>
      <c r="U29" s="48"/>
      <c r="Z29" s="633" t="s">
        <v>638</v>
      </c>
      <c r="AA29" s="634">
        <v>1190.7258500000003</v>
      </c>
      <c r="AB29" s="635">
        <f t="shared" si="3"/>
        <v>0.91444974676938384</v>
      </c>
      <c r="AC29" s="1"/>
    </row>
    <row r="30" spans="3:29">
      <c r="C30" s="217" t="s">
        <v>640</v>
      </c>
      <c r="D30" s="218">
        <v>10157.792446999996</v>
      </c>
      <c r="E30" s="632">
        <v>10.229140087201058</v>
      </c>
      <c r="H30" s="215"/>
      <c r="I30" s="217" t="s">
        <v>651</v>
      </c>
      <c r="J30" s="218">
        <v>3222</v>
      </c>
      <c r="K30" s="632">
        <f>+J30/$J$71*100</f>
        <v>2.7476457450660177</v>
      </c>
      <c r="O30" s="845"/>
      <c r="P30" s="835"/>
      <c r="Q30" s="836"/>
      <c r="R30" s="851">
        <f t="shared" si="4"/>
        <v>0</v>
      </c>
      <c r="S30" s="757"/>
      <c r="T30" s="636"/>
      <c r="U30" s="48"/>
      <c r="Z30" s="633" t="s">
        <v>671</v>
      </c>
      <c r="AA30" s="634">
        <v>1101.4341299999999</v>
      </c>
      <c r="AB30" s="635">
        <f t="shared" si="3"/>
        <v>0.84587578346573755</v>
      </c>
      <c r="AC30" s="1"/>
    </row>
    <row r="31" spans="3:29">
      <c r="C31" s="217" t="s">
        <v>672</v>
      </c>
      <c r="D31" s="218">
        <v>1306.8444010000001</v>
      </c>
      <c r="E31" s="632">
        <v>1.3160235867933519</v>
      </c>
      <c r="H31" s="215"/>
      <c r="I31" s="217" t="s">
        <v>654</v>
      </c>
      <c r="J31" s="218">
        <v>316</v>
      </c>
      <c r="K31" s="632">
        <f>+J31/$J$71*100</f>
        <v>0.26947736047202409</v>
      </c>
      <c r="O31" s="845"/>
      <c r="P31" s="835"/>
      <c r="Q31" s="836"/>
      <c r="R31" s="851">
        <f t="shared" si="4"/>
        <v>0</v>
      </c>
      <c r="S31" s="757"/>
      <c r="T31" s="48"/>
      <c r="U31" s="636"/>
      <c r="Z31" s="633" t="s">
        <v>650</v>
      </c>
      <c r="AA31" s="634">
        <v>930.99568000000011</v>
      </c>
      <c r="AB31" s="635">
        <f t="shared" si="3"/>
        <v>0.714983019659303</v>
      </c>
      <c r="AC31" s="1"/>
    </row>
    <row r="32" spans="3:29">
      <c r="C32" s="217" t="s">
        <v>673</v>
      </c>
      <c r="D32" s="218">
        <v>240.88082400000002</v>
      </c>
      <c r="E32" s="632">
        <v>0.24257275445159759</v>
      </c>
      <c r="H32" s="215"/>
      <c r="I32" s="217" t="s">
        <v>395</v>
      </c>
      <c r="J32" s="218">
        <v>161</v>
      </c>
      <c r="K32" s="632">
        <f>+J32/$J$71*100</f>
        <v>0.1372970096075819</v>
      </c>
      <c r="O32" s="846" t="s">
        <v>660</v>
      </c>
      <c r="P32" s="838">
        <f>SUM(P33:P37)</f>
        <v>13408.424510000001</v>
      </c>
      <c r="Q32" s="839">
        <f>+P32/$P$8*100</f>
        <v>11.61269553659783</v>
      </c>
      <c r="R32" s="852">
        <f t="shared" si="4"/>
        <v>75820.682681911625</v>
      </c>
      <c r="S32" s="830"/>
      <c r="T32" s="48"/>
      <c r="U32" s="636"/>
      <c r="Z32" s="633" t="s">
        <v>658</v>
      </c>
      <c r="AA32" s="634">
        <v>757.17714000000001</v>
      </c>
      <c r="AB32" s="635">
        <f t="shared" si="3"/>
        <v>0.58149442538143115</v>
      </c>
      <c r="AC32" s="1"/>
    </row>
    <row r="33" spans="3:29">
      <c r="C33" s="217" t="s">
        <v>674</v>
      </c>
      <c r="D33" s="218">
        <v>812.59147400000006</v>
      </c>
      <c r="E33" s="632">
        <v>0.81829906099982352</v>
      </c>
      <c r="H33" s="215"/>
      <c r="I33" s="217"/>
      <c r="J33" s="218"/>
      <c r="K33" s="632"/>
      <c r="O33" s="845" t="s">
        <v>645</v>
      </c>
      <c r="P33" s="835">
        <v>6233.3370500000001</v>
      </c>
      <c r="Q33" s="837">
        <f>+P33/$P$8*100</f>
        <v>5.3985347260343319</v>
      </c>
      <c r="R33" s="851">
        <f t="shared" si="4"/>
        <v>35247.681050445281</v>
      </c>
      <c r="S33" s="757"/>
      <c r="T33" s="48"/>
      <c r="U33" s="636"/>
      <c r="Z33" s="633" t="s">
        <v>675</v>
      </c>
      <c r="AA33" s="634">
        <v>313.92570000000001</v>
      </c>
      <c r="AB33" s="635">
        <f t="shared" si="3"/>
        <v>0.24108763311840548</v>
      </c>
      <c r="AC33" s="1"/>
    </row>
    <row r="34" spans="3:29">
      <c r="C34" s="217" t="s">
        <v>671</v>
      </c>
      <c r="D34" s="218">
        <v>43.325581</v>
      </c>
      <c r="E34" s="632">
        <v>4.3629896921084106E-2</v>
      </c>
      <c r="H34" s="215"/>
      <c r="I34" s="216" t="s">
        <v>670</v>
      </c>
      <c r="J34" s="638">
        <v>12317</v>
      </c>
      <c r="K34" s="631">
        <f t="shared" ref="K34:K39" si="6">+J34/$J$71*100</f>
        <v>10.503647623208611</v>
      </c>
      <c r="O34" s="845" t="s">
        <v>831</v>
      </c>
      <c r="P34" s="835">
        <v>3523.3727200000003</v>
      </c>
      <c r="Q34" s="837">
        <f>+P34/$P$8*100</f>
        <v>3.0515035251754981</v>
      </c>
      <c r="R34" s="851">
        <f t="shared" si="4"/>
        <v>19923.632696293847</v>
      </c>
      <c r="S34" s="757"/>
      <c r="T34" s="48"/>
      <c r="U34" s="636"/>
      <c r="Z34" s="633" t="s">
        <v>57</v>
      </c>
      <c r="AA34" s="634">
        <v>269.55577999999997</v>
      </c>
      <c r="AB34" s="635">
        <f t="shared" si="3"/>
        <v>0.20701256696595921</v>
      </c>
      <c r="AC34" s="1"/>
    </row>
    <row r="35" spans="3:29">
      <c r="C35" s="217" t="s">
        <v>666</v>
      </c>
      <c r="D35" s="218">
        <v>66.028935000000004</v>
      </c>
      <c r="E35" s="632">
        <v>6.6492717728562314E-2</v>
      </c>
      <c r="H35" s="215"/>
      <c r="I35" s="217" t="s">
        <v>640</v>
      </c>
      <c r="J35" s="218">
        <v>6628</v>
      </c>
      <c r="K35" s="632">
        <f t="shared" si="6"/>
        <v>5.6522023582549856</v>
      </c>
      <c r="L35" s="1"/>
      <c r="O35" s="845" t="s">
        <v>654</v>
      </c>
      <c r="P35" s="835">
        <v>3209.9230800000005</v>
      </c>
      <c r="Q35" s="837">
        <f>+P35/$P$8*100</f>
        <v>2.7800327619503715</v>
      </c>
      <c r="R35" s="851">
        <f t="shared" si="4"/>
        <v>18151.167506705409</v>
      </c>
      <c r="S35" s="757"/>
      <c r="T35" s="48"/>
      <c r="U35" s="636"/>
      <c r="Z35" s="633" t="s">
        <v>661</v>
      </c>
      <c r="AA35" s="634">
        <v>256.52908000000002</v>
      </c>
      <c r="AB35" s="635">
        <f t="shared" si="3"/>
        <v>0.19700836447363851</v>
      </c>
      <c r="AC35" s="639"/>
    </row>
    <row r="36" spans="3:29">
      <c r="C36" s="217"/>
      <c r="D36" s="218"/>
      <c r="E36" s="632"/>
      <c r="H36" s="215"/>
      <c r="I36" s="217" t="s">
        <v>632</v>
      </c>
      <c r="J36" s="218">
        <v>4829</v>
      </c>
      <c r="K36" s="632">
        <f t="shared" si="6"/>
        <v>4.1180575117702674</v>
      </c>
      <c r="O36" s="845" t="s">
        <v>675</v>
      </c>
      <c r="P36" s="835">
        <v>313.92570000000001</v>
      </c>
      <c r="Q36" s="837">
        <f>+P36/$P$8*100</f>
        <v>0.27188306668650875</v>
      </c>
      <c r="R36" s="851">
        <f t="shared" si="4"/>
        <v>1775.157168364218</v>
      </c>
      <c r="S36" s="757"/>
      <c r="T36" s="48"/>
      <c r="U36" s="48"/>
      <c r="Z36" s="633" t="s">
        <v>676</v>
      </c>
      <c r="AA36" s="634">
        <v>236.63215</v>
      </c>
      <c r="AB36" s="635">
        <f t="shared" si="3"/>
        <v>0.1817279851991076</v>
      </c>
      <c r="AC36" s="639"/>
    </row>
    <row r="37" spans="3:29">
      <c r="C37" s="216" t="s">
        <v>677</v>
      </c>
      <c r="D37" s="630">
        <v>7720.9690289999999</v>
      </c>
      <c r="E37" s="631">
        <v>7.7752005879887172</v>
      </c>
      <c r="H37" s="215"/>
      <c r="I37" s="217" t="s">
        <v>668</v>
      </c>
      <c r="J37" s="218">
        <v>344</v>
      </c>
      <c r="K37" s="632">
        <f t="shared" si="6"/>
        <v>0.29335510127334269</v>
      </c>
      <c r="O37" s="845"/>
      <c r="P37" s="835">
        <v>127.86596</v>
      </c>
      <c r="Q37" s="837"/>
      <c r="R37" s="851"/>
      <c r="S37" s="757"/>
      <c r="T37" s="48"/>
      <c r="U37" s="48"/>
      <c r="Z37" s="633" t="s">
        <v>679</v>
      </c>
      <c r="AA37" s="634">
        <v>232.78628</v>
      </c>
      <c r="AB37" s="635">
        <f t="shared" si="3"/>
        <v>0.17877444652552632</v>
      </c>
      <c r="AC37" s="639"/>
    </row>
    <row r="38" spans="3:29">
      <c r="C38" s="217" t="s">
        <v>680</v>
      </c>
      <c r="D38" s="218">
        <v>4370.0814010000004</v>
      </c>
      <c r="E38" s="632">
        <v>4.4007765542111672</v>
      </c>
      <c r="H38" s="215"/>
      <c r="I38" s="217" t="s">
        <v>666</v>
      </c>
      <c r="J38" s="218">
        <v>227</v>
      </c>
      <c r="K38" s="632">
        <f t="shared" si="6"/>
        <v>0.19358025578211857</v>
      </c>
      <c r="O38" s="845"/>
      <c r="P38" s="835"/>
      <c r="Q38" s="836"/>
      <c r="R38" s="851"/>
      <c r="S38" s="757"/>
      <c r="T38" s="48"/>
      <c r="U38" s="636"/>
      <c r="Z38" s="633" t="s">
        <v>681</v>
      </c>
      <c r="AA38" s="634">
        <v>217.63732000000002</v>
      </c>
      <c r="AB38" s="635">
        <f t="shared" si="3"/>
        <v>0.16714039773434611</v>
      </c>
      <c r="AC38" s="639"/>
    </row>
    <row r="39" spans="3:29">
      <c r="C39" s="217" t="s">
        <v>682</v>
      </c>
      <c r="D39" s="218">
        <v>2093.2561380000002</v>
      </c>
      <c r="E39" s="632">
        <v>2.1079590261090004</v>
      </c>
      <c r="H39" s="215"/>
      <c r="I39" s="217" t="s">
        <v>125</v>
      </c>
      <c r="J39" s="218">
        <v>289</v>
      </c>
      <c r="K39" s="632">
        <f t="shared" si="6"/>
        <v>0.24645239612789546</v>
      </c>
      <c r="O39" s="846" t="s">
        <v>670</v>
      </c>
      <c r="P39" s="833">
        <f>SUM(P40:P44)</f>
        <v>13587.847599999999</v>
      </c>
      <c r="Q39" s="834">
        <f t="shared" ref="Q39:Q44" si="7">+P39/$P$8*100</f>
        <v>11.768089312716091</v>
      </c>
      <c r="R39" s="850">
        <f t="shared" si="4"/>
        <v>76835.267293440891</v>
      </c>
      <c r="S39" s="756"/>
      <c r="T39" s="48"/>
      <c r="U39" s="636"/>
      <c r="Z39" s="633" t="s">
        <v>657</v>
      </c>
      <c r="AA39" s="634">
        <v>216.18635</v>
      </c>
      <c r="AB39" s="635">
        <f t="shared" si="3"/>
        <v>0.16602608653578602</v>
      </c>
      <c r="AC39" s="639"/>
    </row>
    <row r="40" spans="3:29">
      <c r="C40" s="217" t="s">
        <v>683</v>
      </c>
      <c r="D40" s="218">
        <v>535.708485</v>
      </c>
      <c r="E40" s="632">
        <v>0.53947126480081431</v>
      </c>
      <c r="H40" s="215"/>
      <c r="I40" s="217"/>
      <c r="J40" s="218"/>
      <c r="K40" s="632"/>
      <c r="O40" s="845" t="s">
        <v>640</v>
      </c>
      <c r="P40" s="835">
        <v>9593.1551599999984</v>
      </c>
      <c r="Q40" s="837">
        <f t="shared" si="7"/>
        <v>8.3083877621370448</v>
      </c>
      <c r="R40" s="851">
        <f t="shared" si="4"/>
        <v>54246.460705524216</v>
      </c>
      <c r="S40" s="757"/>
      <c r="T40" s="48"/>
      <c r="U40" s="636"/>
      <c r="Z40" s="633" t="s">
        <v>665</v>
      </c>
      <c r="AA40" s="634">
        <v>198.76944</v>
      </c>
      <c r="AB40" s="635">
        <f t="shared" si="3"/>
        <v>0.15265030491568837</v>
      </c>
      <c r="AC40" s="1"/>
    </row>
    <row r="41" spans="3:29">
      <c r="C41" s="217" t="s">
        <v>684</v>
      </c>
      <c r="D41" s="218">
        <v>377.79542900000001</v>
      </c>
      <c r="E41" s="632">
        <v>0.38044903828356619</v>
      </c>
      <c r="H41" s="215"/>
      <c r="I41" s="216" t="s">
        <v>677</v>
      </c>
      <c r="J41" s="638">
        <f>+J42+J43+J44+J45+J46</f>
        <v>4147</v>
      </c>
      <c r="K41" s="631">
        <f t="shared" ref="K41:K46" si="8">+J41/$J$71*100</f>
        <v>3.5364639679667214</v>
      </c>
      <c r="O41" s="845" t="s">
        <v>666</v>
      </c>
      <c r="P41" s="835">
        <v>1443.1290200000003</v>
      </c>
      <c r="Q41" s="837">
        <f t="shared" si="7"/>
        <v>1.2498573502643975</v>
      </c>
      <c r="R41" s="851">
        <f t="shared" si="4"/>
        <v>8160.4686227582824</v>
      </c>
      <c r="S41" s="757"/>
      <c r="T41" s="48"/>
      <c r="U41" s="636"/>
      <c r="Z41" s="633" t="s">
        <v>659</v>
      </c>
      <c r="AA41" s="634">
        <v>183.24587999999997</v>
      </c>
      <c r="AB41" s="635">
        <f t="shared" si="3"/>
        <v>0.14072857204077063</v>
      </c>
      <c r="AC41" s="1"/>
    </row>
    <row r="42" spans="3:29">
      <c r="C42" s="217" t="s">
        <v>685</v>
      </c>
      <c r="D42" s="218">
        <v>207.87492700000001</v>
      </c>
      <c r="E42" s="632">
        <v>0.2093350262859229</v>
      </c>
      <c r="H42" s="215"/>
      <c r="I42" s="217" t="s">
        <v>686</v>
      </c>
      <c r="J42" s="218">
        <v>2032</v>
      </c>
      <c r="K42" s="632">
        <f t="shared" si="8"/>
        <v>1.7328417610099778</v>
      </c>
      <c r="O42" s="845" t="s">
        <v>668</v>
      </c>
      <c r="P42" s="835">
        <v>1251.3598500000001</v>
      </c>
      <c r="Q42" s="837">
        <f t="shared" si="7"/>
        <v>1.0837709481777682</v>
      </c>
      <c r="R42" s="851">
        <f t="shared" si="4"/>
        <v>7076.0705731664293</v>
      </c>
      <c r="S42" s="757"/>
      <c r="T42" s="48"/>
      <c r="U42" s="636"/>
      <c r="Z42" s="633" t="s">
        <v>682</v>
      </c>
      <c r="AA42" s="634">
        <v>170.69937999999999</v>
      </c>
      <c r="AB42" s="635">
        <f t="shared" si="3"/>
        <v>0.13109315197506696</v>
      </c>
      <c r="AC42" s="1"/>
    </row>
    <row r="43" spans="3:29">
      <c r="C43" s="217" t="s">
        <v>687</v>
      </c>
      <c r="D43" s="218">
        <v>136.25264900000002</v>
      </c>
      <c r="E43" s="632">
        <v>0.13720967829824726</v>
      </c>
      <c r="H43" s="215"/>
      <c r="I43" s="217" t="s">
        <v>688</v>
      </c>
      <c r="J43" s="218">
        <v>1481</v>
      </c>
      <c r="K43" s="632">
        <f t="shared" si="8"/>
        <v>1.2629619330983155</v>
      </c>
      <c r="O43" s="845" t="s">
        <v>671</v>
      </c>
      <c r="P43" s="835">
        <v>1101.4341299999999</v>
      </c>
      <c r="Q43" s="837">
        <f t="shared" si="7"/>
        <v>0.95392409419676927</v>
      </c>
      <c r="R43" s="851">
        <f t="shared" si="4"/>
        <v>6228.2848819020101</v>
      </c>
      <c r="S43" s="757"/>
      <c r="T43" s="48"/>
      <c r="U43" s="48"/>
      <c r="Z43" s="633" t="s">
        <v>655</v>
      </c>
      <c r="AA43" s="634">
        <v>169.88849999999999</v>
      </c>
      <c r="AB43" s="635">
        <f t="shared" si="3"/>
        <v>0.13047041500277368</v>
      </c>
      <c r="AC43" s="1"/>
    </row>
    <row r="44" spans="3:29">
      <c r="C44" s="217"/>
      <c r="D44" s="218"/>
      <c r="E44" s="632"/>
      <c r="H44" s="215"/>
      <c r="I44" s="217" t="s">
        <v>689</v>
      </c>
      <c r="J44" s="218">
        <v>390</v>
      </c>
      <c r="K44" s="632">
        <f t="shared" si="8"/>
        <v>0.33258281830408037</v>
      </c>
      <c r="O44" s="845" t="s">
        <v>665</v>
      </c>
      <c r="P44" s="835">
        <v>198.76944</v>
      </c>
      <c r="Q44" s="837">
        <f t="shared" si="7"/>
        <v>0.17214915794011135</v>
      </c>
      <c r="R44" s="851">
        <f t="shared" si="4"/>
        <v>1123.9825100899398</v>
      </c>
      <c r="S44" s="757"/>
      <c r="T44" s="48"/>
      <c r="U44" s="48"/>
      <c r="Z44" s="633" t="s">
        <v>591</v>
      </c>
      <c r="AA44" s="634">
        <v>160.37643</v>
      </c>
      <c r="AB44" s="635">
        <f t="shared" si="3"/>
        <v>0.12316536657138819</v>
      </c>
      <c r="AC44" s="1"/>
    </row>
    <row r="45" spans="3:29">
      <c r="C45" s="216" t="s">
        <v>690</v>
      </c>
      <c r="D45" s="630">
        <v>6903.7622889999993</v>
      </c>
      <c r="E45" s="631">
        <v>6.9522538436758081</v>
      </c>
      <c r="H45" s="215"/>
      <c r="I45" s="217" t="s">
        <v>685</v>
      </c>
      <c r="J45" s="218">
        <v>157</v>
      </c>
      <c r="K45" s="632">
        <f t="shared" si="8"/>
        <v>0.13388590377882209</v>
      </c>
      <c r="O45" s="845"/>
      <c r="P45" s="835"/>
      <c r="Q45" s="837"/>
      <c r="R45" s="851">
        <f t="shared" si="4"/>
        <v>0</v>
      </c>
      <c r="S45" s="757"/>
      <c r="T45" s="48"/>
      <c r="U45" s="48"/>
      <c r="Z45" s="633" t="s">
        <v>667</v>
      </c>
      <c r="AA45" s="634">
        <v>152.77027000000001</v>
      </c>
      <c r="AB45" s="635">
        <f t="shared" si="3"/>
        <v>0.11732401267293424</v>
      </c>
      <c r="AC45" s="1"/>
    </row>
    <row r="46" spans="3:29">
      <c r="C46" s="217" t="s">
        <v>691</v>
      </c>
      <c r="D46" s="218">
        <v>2945.768176</v>
      </c>
      <c r="E46" s="632">
        <v>2.9664590504231194</v>
      </c>
      <c r="H46" s="215"/>
      <c r="I46" s="217" t="s">
        <v>692</v>
      </c>
      <c r="J46" s="218">
        <v>87</v>
      </c>
      <c r="K46" s="632">
        <f t="shared" si="8"/>
        <v>7.4191551775525624E-2</v>
      </c>
      <c r="O46" s="846" t="s">
        <v>677</v>
      </c>
      <c r="P46" s="833">
        <f>SUM(P47:P50)</f>
        <v>2108.4892199999999</v>
      </c>
      <c r="Q46" s="834">
        <f>+P46/$P$8*100</f>
        <v>1.8261089015937364</v>
      </c>
      <c r="R46" s="850">
        <f t="shared" si="4"/>
        <v>11922.884151573695</v>
      </c>
      <c r="S46" s="756"/>
      <c r="T46" s="48"/>
      <c r="U46" s="48"/>
      <c r="Z46" s="633" t="s">
        <v>693</v>
      </c>
      <c r="AA46" s="634">
        <v>135.65577999999999</v>
      </c>
      <c r="AB46" s="635">
        <f t="shared" si="3"/>
        <v>0.10418048257607175</v>
      </c>
      <c r="AC46" s="1"/>
    </row>
    <row r="47" spans="3:29">
      <c r="C47" s="217" t="s">
        <v>648</v>
      </c>
      <c r="D47" s="218">
        <v>2961.4981559999997</v>
      </c>
      <c r="E47" s="632">
        <v>2.9822995167280189</v>
      </c>
      <c r="H47" s="215"/>
      <c r="I47" s="217"/>
      <c r="J47" s="218"/>
      <c r="K47" s="632"/>
      <c r="O47" s="845" t="s">
        <v>662</v>
      </c>
      <c r="P47" s="840">
        <v>1649.0301499999998</v>
      </c>
      <c r="Q47" s="837">
        <f>+P47/$P$8*100</f>
        <v>1.4281830835784186</v>
      </c>
      <c r="R47" s="851">
        <f t="shared" si="4"/>
        <v>9324.7787346535242</v>
      </c>
      <c r="S47" s="757"/>
      <c r="T47" s="48"/>
      <c r="U47" s="48"/>
      <c r="Z47" s="633" t="s">
        <v>678</v>
      </c>
      <c r="AA47" s="634">
        <v>127.86596</v>
      </c>
      <c r="AB47" s="635">
        <f t="shared" si="3"/>
        <v>9.8198082071052836E-2</v>
      </c>
      <c r="AC47" s="1"/>
    </row>
    <row r="48" spans="3:29">
      <c r="C48" s="217" t="s">
        <v>669</v>
      </c>
      <c r="D48" s="218">
        <v>697.61716300000001</v>
      </c>
      <c r="E48" s="632">
        <v>0.70251717829402271</v>
      </c>
      <c r="H48" s="215"/>
      <c r="I48" s="216" t="s">
        <v>690</v>
      </c>
      <c r="J48" s="630">
        <f>+J49+J50+J51+J52+J53</f>
        <v>7522</v>
      </c>
      <c r="K48" s="631">
        <f t="shared" ref="K48:K53" si="9">+J48/$J$71*100</f>
        <v>6.4145845109828015</v>
      </c>
      <c r="O48" s="845" t="s">
        <v>682</v>
      </c>
      <c r="P48" s="835">
        <v>170.69937999999999</v>
      </c>
      <c r="Q48" s="837">
        <f>+P48/$P$8*100</f>
        <v>0.14783839270211296</v>
      </c>
      <c r="R48" s="851">
        <f t="shared" si="4"/>
        <v>965.25460655921984</v>
      </c>
      <c r="S48" s="757"/>
      <c r="T48" s="48"/>
      <c r="U48" s="48"/>
      <c r="Z48" s="633" t="s">
        <v>694</v>
      </c>
      <c r="AA48" s="634">
        <v>122.4898</v>
      </c>
      <c r="AB48" s="635">
        <f t="shared" si="3"/>
        <v>9.4069316284543958E-2</v>
      </c>
      <c r="AC48" s="1"/>
    </row>
    <row r="49" spans="3:29">
      <c r="C49" s="217" t="s">
        <v>681</v>
      </c>
      <c r="D49" s="218">
        <v>298.87879399999997</v>
      </c>
      <c r="E49" s="632">
        <v>0.30097809823064869</v>
      </c>
      <c r="H49" s="215"/>
      <c r="I49" s="217" t="s">
        <v>669</v>
      </c>
      <c r="J49" s="218">
        <v>1719</v>
      </c>
      <c r="K49" s="632">
        <f t="shared" si="9"/>
        <v>1.4659227299095234</v>
      </c>
      <c r="O49" s="845" t="s">
        <v>655</v>
      </c>
      <c r="P49" s="841">
        <v>169.88849999999999</v>
      </c>
      <c r="Q49" s="837">
        <f>+P49/$P$8*100</f>
        <v>0.14713611015208677</v>
      </c>
      <c r="R49" s="851">
        <f t="shared" si="4"/>
        <v>960.66931951619279</v>
      </c>
      <c r="S49" s="757"/>
      <c r="T49" s="48"/>
      <c r="U49" s="48"/>
      <c r="Z49" s="633" t="s">
        <v>685</v>
      </c>
      <c r="AA49" s="634">
        <v>118.87119000000001</v>
      </c>
      <c r="AB49" s="635">
        <f t="shared" si="3"/>
        <v>9.1290308003034712E-2</v>
      </c>
      <c r="AC49" s="1"/>
    </row>
    <row r="50" spans="3:29">
      <c r="C50" s="217"/>
      <c r="D50" s="218"/>
      <c r="E50" s="632"/>
      <c r="H50" s="215"/>
      <c r="I50" s="217" t="s">
        <v>648</v>
      </c>
      <c r="J50" s="218">
        <v>4960</v>
      </c>
      <c r="K50" s="632">
        <f t="shared" si="9"/>
        <v>4.2297712276621509</v>
      </c>
      <c r="O50" s="845" t="s">
        <v>685</v>
      </c>
      <c r="P50" s="835">
        <v>118.87119000000001</v>
      </c>
      <c r="Q50" s="837">
        <f>+P50/$P$8*100</f>
        <v>0.10295131516111825</v>
      </c>
      <c r="R50" s="851">
        <f t="shared" si="4"/>
        <v>672.18149084476045</v>
      </c>
      <c r="S50" s="757"/>
      <c r="T50" s="48"/>
      <c r="U50" s="48"/>
      <c r="Z50" s="633" t="s">
        <v>695</v>
      </c>
      <c r="AA50" s="634">
        <v>110.82942</v>
      </c>
      <c r="AB50" s="635">
        <f t="shared" si="3"/>
        <v>8.5114415760435255E-2</v>
      </c>
      <c r="AC50" s="1"/>
    </row>
    <row r="51" spans="3:29">
      <c r="C51" s="216" t="s">
        <v>696</v>
      </c>
      <c r="D51" s="630">
        <v>9029.032838000001</v>
      </c>
      <c r="E51" s="631">
        <v>9.0924521478205573</v>
      </c>
      <c r="H51" s="1"/>
      <c r="I51" s="217" t="s">
        <v>681</v>
      </c>
      <c r="J51" s="218">
        <v>172</v>
      </c>
      <c r="K51" s="632">
        <f t="shared" si="9"/>
        <v>0.14667755063667134</v>
      </c>
      <c r="O51" s="845"/>
      <c r="P51" s="835"/>
      <c r="Q51" s="836"/>
      <c r="R51" s="851">
        <f t="shared" si="4"/>
        <v>0</v>
      </c>
      <c r="S51" s="757"/>
      <c r="T51" s="48"/>
      <c r="U51" s="636"/>
      <c r="Z51" s="633" t="s">
        <v>697</v>
      </c>
      <c r="AA51" s="634">
        <v>106.94532</v>
      </c>
      <c r="AB51" s="635">
        <f t="shared" si="3"/>
        <v>8.2131517336396703E-2</v>
      </c>
      <c r="AC51" s="1"/>
    </row>
    <row r="52" spans="3:29">
      <c r="C52" s="217" t="s">
        <v>698</v>
      </c>
      <c r="D52" s="218">
        <v>7618.2057220000006</v>
      </c>
      <c r="E52" s="632">
        <v>7.6717154785407988</v>
      </c>
      <c r="I52" s="217" t="s">
        <v>699</v>
      </c>
      <c r="J52" s="218">
        <v>139</v>
      </c>
      <c r="K52" s="632">
        <f t="shared" si="9"/>
        <v>0.11853592754940299</v>
      </c>
      <c r="O52" s="846" t="s">
        <v>690</v>
      </c>
      <c r="P52" s="833">
        <f>SUM(P53:P55)</f>
        <v>7255.2708399999992</v>
      </c>
      <c r="Q52" s="834">
        <f>+P52/$P$8*100</f>
        <v>6.2836055971855833</v>
      </c>
      <c r="R52" s="850">
        <f t="shared" si="4"/>
        <v>41026.414976696338</v>
      </c>
      <c r="S52" s="756"/>
      <c r="T52" s="48"/>
      <c r="U52" s="636"/>
      <c r="Z52" s="633" t="s">
        <v>700</v>
      </c>
      <c r="AA52" s="634">
        <v>91.701380000000015</v>
      </c>
      <c r="AB52" s="635">
        <f t="shared" si="3"/>
        <v>7.0424526115228814E-2</v>
      </c>
      <c r="AC52" s="1"/>
    </row>
    <row r="53" spans="3:29">
      <c r="C53" s="217" t="s">
        <v>701</v>
      </c>
      <c r="D53" s="218">
        <v>958.62594300000012</v>
      </c>
      <c r="E53" s="632">
        <v>0.96535926613348944</v>
      </c>
      <c r="I53" s="217" t="s">
        <v>702</v>
      </c>
      <c r="J53" s="218">
        <v>532</v>
      </c>
      <c r="K53" s="632">
        <f t="shared" si="9"/>
        <v>0.45367707522505318</v>
      </c>
      <c r="O53" s="845" t="s">
        <v>648</v>
      </c>
      <c r="P53" s="835">
        <v>5831.5777600000001</v>
      </c>
      <c r="Q53" s="837">
        <f>+P53/$P$8*100</f>
        <v>5.0505812203640597</v>
      </c>
      <c r="R53" s="851">
        <f t="shared" si="4"/>
        <v>32975.850857503392</v>
      </c>
      <c r="S53" s="757"/>
      <c r="T53" s="48"/>
      <c r="U53" s="636"/>
      <c r="Z53" s="633" t="s">
        <v>703</v>
      </c>
      <c r="AA53" s="634">
        <v>62.4</v>
      </c>
      <c r="AB53" s="635">
        <f t="shared" si="3"/>
        <v>4.792174806519027E-2</v>
      </c>
      <c r="AC53" s="1"/>
    </row>
    <row r="54" spans="3:29">
      <c r="C54" s="217" t="s">
        <v>697</v>
      </c>
      <c r="D54" s="218">
        <v>408.87559199999998</v>
      </c>
      <c r="E54" s="632">
        <v>0.41174750622518458</v>
      </c>
      <c r="I54" s="217"/>
      <c r="J54" s="218"/>
      <c r="K54" s="632"/>
      <c r="O54" s="845" t="s">
        <v>669</v>
      </c>
      <c r="P54" s="835">
        <v>1206.0557599999997</v>
      </c>
      <c r="Q54" s="837">
        <f>+P54/$P$8*100</f>
        <v>1.0445342277606706</v>
      </c>
      <c r="R54" s="851">
        <f t="shared" si="4"/>
        <v>6819.8893171567497</v>
      </c>
      <c r="S54" s="757"/>
      <c r="T54" s="48"/>
      <c r="U54" s="48"/>
      <c r="Z54" s="633" t="s">
        <v>704</v>
      </c>
      <c r="AA54" s="634">
        <v>56.489800000000002</v>
      </c>
      <c r="AB54" s="635">
        <f t="shared" si="3"/>
        <v>4.3382851984823487E-2</v>
      </c>
      <c r="AC54" s="1"/>
    </row>
    <row r="55" spans="3:29">
      <c r="C55" s="217" t="s">
        <v>705</v>
      </c>
      <c r="D55" s="218">
        <v>43.325581</v>
      </c>
      <c r="E55" s="632">
        <v>4.3629896921084106E-2</v>
      </c>
      <c r="I55" s="217"/>
      <c r="J55" s="218"/>
      <c r="K55" s="632"/>
      <c r="O55" s="845" t="s">
        <v>681</v>
      </c>
      <c r="P55" s="835">
        <v>217.63732000000002</v>
      </c>
      <c r="Q55" s="837">
        <f>+P55/$P$8*100</f>
        <v>0.18849014906085437</v>
      </c>
      <c r="R55" s="851">
        <f t="shared" si="4"/>
        <v>1230.6748020362056</v>
      </c>
      <c r="S55" s="757"/>
      <c r="T55" s="48"/>
      <c r="U55" s="48"/>
      <c r="Z55" s="633" t="s">
        <v>663</v>
      </c>
      <c r="AA55" s="634">
        <v>56.117179999999998</v>
      </c>
      <c r="AB55" s="635">
        <f t="shared" si="3"/>
        <v>4.3096688495014968E-2</v>
      </c>
      <c r="AC55" s="1"/>
    </row>
    <row r="56" spans="3:29">
      <c r="C56" s="217"/>
      <c r="D56" s="218"/>
      <c r="E56" s="632"/>
      <c r="I56" s="216" t="s">
        <v>706</v>
      </c>
      <c r="J56" s="630">
        <f>+J57+J58+J59+J60+J61</f>
        <v>591</v>
      </c>
      <c r="K56" s="631">
        <f t="shared" ref="K56:K61" si="10">+J56/$J$71*100</f>
        <v>0.50399088619926025</v>
      </c>
      <c r="O56" s="845"/>
      <c r="P56" s="835"/>
      <c r="Q56" s="836"/>
      <c r="R56" s="851">
        <f t="shared" si="4"/>
        <v>0</v>
      </c>
      <c r="S56" s="757"/>
      <c r="T56" s="48"/>
      <c r="U56" s="636"/>
      <c r="Z56" s="633" t="s">
        <v>707</v>
      </c>
      <c r="AA56" s="634">
        <v>40.862119999999997</v>
      </c>
      <c r="AB56" s="635">
        <f t="shared" si="3"/>
        <v>3.1381157372589306E-2</v>
      </c>
      <c r="AC56" s="1"/>
    </row>
    <row r="57" spans="3:29">
      <c r="C57" s="216" t="s">
        <v>708</v>
      </c>
      <c r="D57" s="630">
        <v>283.372591</v>
      </c>
      <c r="E57" s="631">
        <v>0.28536298072010913</v>
      </c>
      <c r="I57" s="217" t="s">
        <v>709</v>
      </c>
      <c r="J57" s="218">
        <v>196</v>
      </c>
      <c r="K57" s="632">
        <f t="shared" si="10"/>
        <v>0.16714418560923014</v>
      </c>
      <c r="O57" s="846" t="s">
        <v>696</v>
      </c>
      <c r="P57" s="833">
        <f>SUM(P59:P64)</f>
        <v>695.36444000000006</v>
      </c>
      <c r="Q57" s="834">
        <f t="shared" ref="Q57:Q64" si="11">+P57/$P$8*100</f>
        <v>0.6022374606855917</v>
      </c>
      <c r="R57" s="850">
        <f t="shared" si="4"/>
        <v>3932.0806493115106</v>
      </c>
      <c r="S57" s="756"/>
      <c r="T57" s="48"/>
      <c r="U57" s="636"/>
      <c r="Z57" s="633" t="s">
        <v>710</v>
      </c>
      <c r="AA57" s="634">
        <v>30.61224</v>
      </c>
      <c r="AB57" s="635">
        <f t="shared" si="3"/>
        <v>2.350948802870417E-2</v>
      </c>
      <c r="AC57" s="1"/>
    </row>
    <row r="58" spans="3:29" ht="15" thickBot="1">
      <c r="C58" s="217" t="s">
        <v>704</v>
      </c>
      <c r="D58" s="218">
        <v>176.86574100000001</v>
      </c>
      <c r="E58" s="632">
        <v>0.1781080338819036</v>
      </c>
      <c r="I58" s="217" t="s">
        <v>711</v>
      </c>
      <c r="J58" s="218">
        <v>143</v>
      </c>
      <c r="K58" s="632">
        <f t="shared" si="10"/>
        <v>0.1219470333781628</v>
      </c>
      <c r="O58" s="845" t="s">
        <v>644</v>
      </c>
      <c r="P58" s="835">
        <v>1898.9568399999998</v>
      </c>
      <c r="Q58" s="837">
        <f>+P58/$P$8*100</f>
        <v>1.644638234985291</v>
      </c>
      <c r="R58" s="851">
        <f t="shared" si="4"/>
        <v>10738.040392807163</v>
      </c>
      <c r="S58" s="757"/>
      <c r="T58" s="48"/>
      <c r="U58" s="636"/>
      <c r="Z58" s="640"/>
      <c r="AA58" s="641"/>
      <c r="AB58" s="642"/>
    </row>
    <row r="59" spans="3:29" ht="15" thickTop="1">
      <c r="C59" s="217" t="s">
        <v>591</v>
      </c>
      <c r="D59" s="218">
        <v>53.253425</v>
      </c>
      <c r="E59" s="632">
        <v>5.3627473419102754E-2</v>
      </c>
      <c r="I59" s="217" t="s">
        <v>712</v>
      </c>
      <c r="J59" s="218">
        <v>96</v>
      </c>
      <c r="K59" s="632">
        <f t="shared" si="10"/>
        <v>8.1866539890235165E-2</v>
      </c>
      <c r="O59" s="845" t="s">
        <v>679</v>
      </c>
      <c r="P59" s="835">
        <v>232.78628</v>
      </c>
      <c r="Q59" s="837">
        <f t="shared" si="11"/>
        <v>0.20161027812932902</v>
      </c>
      <c r="R59" s="851">
        <f t="shared" si="4"/>
        <v>1316.3376991397645</v>
      </c>
      <c r="S59" s="757"/>
      <c r="T59" s="48"/>
      <c r="U59" s="636"/>
    </row>
    <row r="60" spans="3:29">
      <c r="C60" s="217" t="s">
        <v>707</v>
      </c>
      <c r="D60" s="218">
        <v>53.253425</v>
      </c>
      <c r="E60" s="632"/>
      <c r="I60" s="217" t="s">
        <v>713</v>
      </c>
      <c r="J60" s="218">
        <v>96</v>
      </c>
      <c r="K60" s="632">
        <f t="shared" si="10"/>
        <v>8.1866539890235165E-2</v>
      </c>
      <c r="O60" s="845" t="s">
        <v>694</v>
      </c>
      <c r="P60" s="835">
        <v>122.4898</v>
      </c>
      <c r="Q60" s="837">
        <f t="shared" si="11"/>
        <v>0.10608530127293536</v>
      </c>
      <c r="R60" s="851">
        <f t="shared" si="4"/>
        <v>692.64366224714774</v>
      </c>
      <c r="S60" s="757"/>
      <c r="T60" s="48"/>
      <c r="U60" s="636"/>
    </row>
    <row r="61" spans="3:29">
      <c r="C61" s="217"/>
      <c r="D61" s="218"/>
      <c r="E61" s="632"/>
      <c r="I61" s="217" t="s">
        <v>675</v>
      </c>
      <c r="J61" s="218">
        <v>60</v>
      </c>
      <c r="K61" s="632">
        <f t="shared" si="10"/>
        <v>5.1166587431396973E-2</v>
      </c>
      <c r="O61" s="845" t="s">
        <v>695</v>
      </c>
      <c r="P61" s="835">
        <v>110.82942</v>
      </c>
      <c r="Q61" s="837">
        <f t="shared" si="11"/>
        <v>9.5986542639507025E-2</v>
      </c>
      <c r="R61" s="851">
        <f t="shared" si="4"/>
        <v>626.70765527845811</v>
      </c>
      <c r="S61" s="757"/>
      <c r="T61" s="48"/>
      <c r="U61" s="636"/>
    </row>
    <row r="62" spans="3:29">
      <c r="C62" s="216" t="s">
        <v>706</v>
      </c>
      <c r="D62" s="630">
        <v>130.97350599999999</v>
      </c>
      <c r="E62" s="631">
        <v>0.13189345495846877</v>
      </c>
      <c r="I62" s="217"/>
      <c r="J62" s="218"/>
      <c r="K62" s="632"/>
      <c r="O62" s="845" t="s">
        <v>697</v>
      </c>
      <c r="P62" s="835">
        <v>106.94532</v>
      </c>
      <c r="Q62" s="837">
        <f t="shared" si="11"/>
        <v>9.2622622389215079E-2</v>
      </c>
      <c r="R62" s="851">
        <f t="shared" si="4"/>
        <v>604.74421629387189</v>
      </c>
      <c r="S62" s="757"/>
      <c r="T62" s="48"/>
      <c r="U62" s="48"/>
    </row>
    <row r="63" spans="3:29">
      <c r="C63" s="217" t="s">
        <v>714</v>
      </c>
      <c r="D63" s="218">
        <v>115.076954</v>
      </c>
      <c r="E63" s="632">
        <v>0.11588524666322043</v>
      </c>
      <c r="I63" s="216" t="s">
        <v>708</v>
      </c>
      <c r="J63" s="630">
        <f>+J64+J65+J66+J67</f>
        <v>1384</v>
      </c>
      <c r="K63" s="631">
        <f>+J63/$J$71*100</f>
        <v>1.1802426167508904</v>
      </c>
      <c r="O63" s="845" t="s">
        <v>700</v>
      </c>
      <c r="P63" s="835">
        <v>91.701380000000015</v>
      </c>
      <c r="Q63" s="837">
        <f t="shared" si="11"/>
        <v>7.9420233557765049E-2</v>
      </c>
      <c r="R63" s="851">
        <f t="shared" si="4"/>
        <v>518.54423532667499</v>
      </c>
      <c r="S63" s="757"/>
      <c r="T63" s="48"/>
      <c r="U63" s="48"/>
    </row>
    <row r="64" spans="3:29">
      <c r="C64" s="217" t="s">
        <v>709</v>
      </c>
      <c r="D64" s="218">
        <v>15.896552</v>
      </c>
      <c r="E64" s="632">
        <v>1.6008208295248325E-2</v>
      </c>
      <c r="I64" s="217" t="s">
        <v>704</v>
      </c>
      <c r="J64" s="218">
        <v>416</v>
      </c>
      <c r="K64" s="632">
        <f>+J64/$J$71*100</f>
        <v>0.35475500619101907</v>
      </c>
      <c r="O64" s="845" t="s">
        <v>710</v>
      </c>
      <c r="P64" s="835">
        <v>30.61224</v>
      </c>
      <c r="Q64" s="837">
        <f t="shared" si="11"/>
        <v>2.6512482696840086E-2</v>
      </c>
      <c r="R64" s="851">
        <f t="shared" si="4"/>
        <v>173.10318102559253</v>
      </c>
      <c r="S64" s="757"/>
      <c r="T64" s="48"/>
      <c r="U64" s="636"/>
    </row>
    <row r="65" spans="3:21">
      <c r="C65" s="217"/>
      <c r="D65" s="218"/>
      <c r="E65" s="632"/>
      <c r="I65" s="217" t="s">
        <v>707</v>
      </c>
      <c r="J65" s="218">
        <v>342</v>
      </c>
      <c r="K65" s="632">
        <f>+J65/$J$71*100</f>
        <v>0.29164954835896278</v>
      </c>
      <c r="O65" s="845"/>
      <c r="P65" s="835"/>
      <c r="Q65" s="837"/>
      <c r="R65" s="851">
        <f t="shared" si="4"/>
        <v>0</v>
      </c>
      <c r="S65" s="757"/>
      <c r="T65" s="48"/>
      <c r="U65" s="636"/>
    </row>
    <row r="66" spans="3:21">
      <c r="C66" s="216" t="s">
        <v>715</v>
      </c>
      <c r="D66" s="630">
        <v>67.20225099999999</v>
      </c>
      <c r="E66" s="631">
        <v>6.7674275019989238E-2</v>
      </c>
      <c r="I66" s="217" t="s">
        <v>591</v>
      </c>
      <c r="J66" s="218">
        <v>135</v>
      </c>
      <c r="K66" s="632">
        <f>+J66/$J$71*100</f>
        <v>0.1151248217206432</v>
      </c>
      <c r="O66" s="846" t="s">
        <v>708</v>
      </c>
      <c r="P66" s="833">
        <f>SUM(P67:P71)</f>
        <v>556.76049999999998</v>
      </c>
      <c r="Q66" s="834">
        <f t="shared" ref="Q66:Q71" si="12">+P66/$P$8*100</f>
        <v>0.48219611248748973</v>
      </c>
      <c r="R66" s="850">
        <f t="shared" si="4"/>
        <v>3148.3162819643189</v>
      </c>
      <c r="S66" s="756"/>
      <c r="T66" s="48"/>
      <c r="U66" s="636"/>
    </row>
    <row r="67" spans="3:21">
      <c r="C67" s="217"/>
      <c r="D67" s="218"/>
      <c r="E67" s="632"/>
      <c r="I67" s="217" t="s">
        <v>716</v>
      </c>
      <c r="J67" s="218">
        <v>491</v>
      </c>
      <c r="K67" s="632">
        <f>+J67/$J$71*100</f>
        <v>0.41871324048026526</v>
      </c>
      <c r="O67" s="845" t="s">
        <v>676</v>
      </c>
      <c r="P67" s="835">
        <v>236.63215</v>
      </c>
      <c r="Q67" s="837">
        <f t="shared" si="12"/>
        <v>0.20494108834868235</v>
      </c>
      <c r="R67" s="851">
        <f t="shared" si="4"/>
        <v>1338.084958759149</v>
      </c>
      <c r="S67" s="757"/>
      <c r="T67" s="48"/>
      <c r="U67" s="636"/>
    </row>
    <row r="68" spans="3:21" ht="15" thickBot="1">
      <c r="C68" s="219" t="s">
        <v>53</v>
      </c>
      <c r="D68" s="220">
        <v>99302.505982000061</v>
      </c>
      <c r="E68" s="643">
        <v>100</v>
      </c>
      <c r="G68" s="221"/>
      <c r="H68" s="221"/>
      <c r="I68" s="217"/>
      <c r="J68" s="218"/>
      <c r="K68" s="632"/>
      <c r="L68" s="221"/>
      <c r="O68" s="845" t="s">
        <v>591</v>
      </c>
      <c r="P68" s="835">
        <v>160.37643</v>
      </c>
      <c r="Q68" s="837">
        <f t="shared" si="12"/>
        <v>0.13889794818530057</v>
      </c>
      <c r="R68" s="851">
        <f t="shared" si="4"/>
        <v>906.88137145560961</v>
      </c>
      <c r="S68" s="757"/>
      <c r="T68" s="48"/>
      <c r="U68" s="636"/>
    </row>
    <row r="69" spans="3:21" ht="15" thickTop="1">
      <c r="C69"/>
      <c r="D69"/>
      <c r="E69"/>
      <c r="I69" s="216" t="s">
        <v>717</v>
      </c>
      <c r="J69" s="630">
        <v>570.08790999999997</v>
      </c>
      <c r="K69" s="631">
        <f>+J69/$J$71*100</f>
        <v>0.48615754817662282</v>
      </c>
      <c r="O69" s="845" t="s">
        <v>703</v>
      </c>
      <c r="P69" s="835">
        <v>62.4</v>
      </c>
      <c r="Q69" s="837">
        <f t="shared" si="12"/>
        <v>5.4043053376127373E-2</v>
      </c>
      <c r="R69" s="851">
        <f t="shared" si="4"/>
        <v>352.85358065914079</v>
      </c>
      <c r="S69" s="757"/>
      <c r="T69" s="48"/>
      <c r="U69" s="636"/>
    </row>
    <row r="70" spans="3:21">
      <c r="C70"/>
      <c r="D70"/>
      <c r="E70"/>
      <c r="I70" s="217"/>
      <c r="J70" s="218"/>
      <c r="K70" s="632"/>
      <c r="O70" s="845" t="s">
        <v>704</v>
      </c>
      <c r="P70" s="835">
        <v>56.489800000000002</v>
      </c>
      <c r="Q70" s="837">
        <f t="shared" si="12"/>
        <v>4.8924379432800646E-2</v>
      </c>
      <c r="R70" s="851">
        <f t="shared" si="4"/>
        <v>319.43314424228737</v>
      </c>
      <c r="S70" s="757"/>
      <c r="T70" s="115"/>
      <c r="U70" s="115"/>
    </row>
    <row r="71" spans="3:21" ht="15" thickBot="1">
      <c r="C71"/>
      <c r="D71"/>
      <c r="E71"/>
      <c r="I71" s="219" t="s">
        <v>718</v>
      </c>
      <c r="J71" s="220">
        <f>+J69+J63+J56+J48+J34+J41+J28+J9</f>
        <v>117264.02523999996</v>
      </c>
      <c r="K71" s="644">
        <f>+K69+K63+K56+K48+K34+K41+K28+K9</f>
        <v>100</v>
      </c>
      <c r="L71" s="115"/>
      <c r="O71" s="845" t="s">
        <v>707</v>
      </c>
      <c r="P71" s="835">
        <v>40.862119999999997</v>
      </c>
      <c r="Q71" s="837">
        <f t="shared" si="12"/>
        <v>3.5389643144578875E-2</v>
      </c>
      <c r="R71" s="851">
        <f t="shared" si="4"/>
        <v>231.06322684813284</v>
      </c>
      <c r="S71" s="757"/>
      <c r="T71" s="1"/>
      <c r="U71" s="1"/>
    </row>
    <row r="72" spans="3:21" ht="15.6" thickTop="1" thickBot="1">
      <c r="O72" s="847"/>
      <c r="P72" s="848"/>
      <c r="Q72" s="853"/>
      <c r="R72" s="854">
        <f t="shared" si="4"/>
        <v>0</v>
      </c>
      <c r="S72" s="831"/>
    </row>
    <row r="73" spans="3:21">
      <c r="Q73" s="115"/>
      <c r="R73" s="115"/>
      <c r="S73" s="832"/>
    </row>
    <row r="74" spans="3:21">
      <c r="I74"/>
      <c r="J74"/>
      <c r="K74"/>
      <c r="O74" s="705"/>
      <c r="P74" s="1"/>
      <c r="Q74" s="1"/>
      <c r="R74" s="1"/>
      <c r="S74" s="636"/>
    </row>
    <row r="75" spans="3:21">
      <c r="K75" s="115"/>
    </row>
    <row r="76" spans="3:21">
      <c r="C76" s="211" t="s">
        <v>626</v>
      </c>
      <c r="I76" s="211" t="s">
        <v>626</v>
      </c>
    </row>
    <row r="77" spans="3:21">
      <c r="C77" s="211" t="s">
        <v>627</v>
      </c>
      <c r="I77" s="211" t="s">
        <v>397</v>
      </c>
    </row>
    <row r="78" spans="3:21" ht="15" thickBot="1">
      <c r="C78" s="212"/>
      <c r="D78" s="213"/>
      <c r="E78" s="214"/>
      <c r="I78" s="212"/>
      <c r="J78" s="213"/>
      <c r="K78" s="214"/>
    </row>
    <row r="79" spans="3:21" ht="15.6" thickTop="1" thickBot="1">
      <c r="C79" s="624" t="s">
        <v>629</v>
      </c>
      <c r="D79" s="625" t="s">
        <v>329</v>
      </c>
      <c r="E79" s="626" t="s">
        <v>330</v>
      </c>
      <c r="I79" s="624" t="s">
        <v>629</v>
      </c>
      <c r="J79" s="625" t="s">
        <v>329</v>
      </c>
      <c r="K79" s="626" t="s">
        <v>330</v>
      </c>
    </row>
    <row r="80" spans="3:21" ht="15" thickTop="1">
      <c r="C80" s="217"/>
      <c r="D80" s="218"/>
      <c r="E80" s="645"/>
      <c r="I80" s="627"/>
      <c r="J80" s="628"/>
      <c r="K80" s="646"/>
    </row>
    <row r="81" spans="3:11">
      <c r="C81" s="216" t="s">
        <v>631</v>
      </c>
      <c r="D81" s="630">
        <f>SUM(D82:D99)</f>
        <v>65780.818489000041</v>
      </c>
      <c r="E81" s="631">
        <f t="shared" ref="E81:E99" si="13">+D81/$D$81*100</f>
        <v>100</v>
      </c>
      <c r="I81" s="216" t="s">
        <v>631</v>
      </c>
      <c r="J81" s="630">
        <f>SUM(J82:J101)</f>
        <v>84315.937329999957</v>
      </c>
      <c r="K81" s="631">
        <f>+J81/$J$81*100</f>
        <v>100</v>
      </c>
    </row>
    <row r="82" spans="3:11">
      <c r="C82" s="217" t="s">
        <v>590</v>
      </c>
      <c r="D82" s="218">
        <v>29411.041913000045</v>
      </c>
      <c r="E82" s="645">
        <f t="shared" si="13"/>
        <v>44.710665796775089</v>
      </c>
      <c r="I82" s="217" t="s">
        <v>590</v>
      </c>
      <c r="J82" s="218">
        <v>34698.041399999966</v>
      </c>
      <c r="K82" s="647">
        <f t="shared" ref="K82:K101" si="14">+J82/$J$81*100</f>
        <v>41.152411393111869</v>
      </c>
    </row>
    <row r="83" spans="3:11">
      <c r="C83" s="217" t="s">
        <v>640</v>
      </c>
      <c r="D83" s="218">
        <v>10157.792446999996</v>
      </c>
      <c r="E83" s="645">
        <f t="shared" si="13"/>
        <v>15.441876036703004</v>
      </c>
      <c r="I83" s="217" t="s">
        <v>633</v>
      </c>
      <c r="J83" s="218">
        <v>21634.895929999999</v>
      </c>
      <c r="K83" s="647">
        <f t="shared" si="14"/>
        <v>25.659319714758379</v>
      </c>
    </row>
    <row r="84" spans="3:11">
      <c r="C84" s="217" t="s">
        <v>632</v>
      </c>
      <c r="D84" s="218">
        <v>9514.6170919999986</v>
      </c>
      <c r="E84" s="645">
        <f t="shared" si="13"/>
        <v>14.464120864642396</v>
      </c>
      <c r="I84" s="217" t="s">
        <v>634</v>
      </c>
      <c r="J84" s="218">
        <v>5166</v>
      </c>
      <c r="K84" s="647">
        <f t="shared" si="14"/>
        <v>6.1269555478948776</v>
      </c>
    </row>
    <row r="85" spans="3:11">
      <c r="C85" s="217" t="s">
        <v>633</v>
      </c>
      <c r="D85" s="218">
        <v>5464.4764319999995</v>
      </c>
      <c r="E85" s="645">
        <f t="shared" si="13"/>
        <v>8.3070970497482897</v>
      </c>
      <c r="I85" s="217" t="s">
        <v>632</v>
      </c>
      <c r="J85" s="218">
        <v>4829</v>
      </c>
      <c r="K85" s="647">
        <f t="shared" si="14"/>
        <v>5.7272683586497024</v>
      </c>
    </row>
    <row r="86" spans="3:11">
      <c r="C86" s="217" t="s">
        <v>635</v>
      </c>
      <c r="D86" s="218">
        <v>2471.8032770000004</v>
      </c>
      <c r="E86" s="645">
        <f t="shared" si="13"/>
        <v>3.7576353316633462</v>
      </c>
      <c r="I86" s="217" t="s">
        <v>636</v>
      </c>
      <c r="J86" s="218">
        <v>4635</v>
      </c>
      <c r="K86" s="647">
        <f t="shared" si="14"/>
        <v>5.4971813713690967</v>
      </c>
    </row>
    <row r="87" spans="3:11">
      <c r="C87" s="217" t="s">
        <v>637</v>
      </c>
      <c r="D87" s="218">
        <v>1685.981712</v>
      </c>
      <c r="E87" s="645">
        <f t="shared" si="13"/>
        <v>2.5630293917396787</v>
      </c>
      <c r="I87" s="217" t="s">
        <v>638</v>
      </c>
      <c r="J87" s="218">
        <v>4409</v>
      </c>
      <c r="K87" s="647">
        <f t="shared" si="14"/>
        <v>5.2291418913411754</v>
      </c>
    </row>
    <row r="88" spans="3:11">
      <c r="C88" s="217" t="s">
        <v>672</v>
      </c>
      <c r="D88" s="218">
        <v>1306.8444010000001</v>
      </c>
      <c r="E88" s="645">
        <f t="shared" si="13"/>
        <v>1.9866648530962447</v>
      </c>
      <c r="I88" s="217" t="s">
        <v>637</v>
      </c>
      <c r="J88" s="218">
        <v>3001</v>
      </c>
      <c r="K88" s="647">
        <f t="shared" si="14"/>
        <v>3.5592322104592582</v>
      </c>
    </row>
    <row r="89" spans="3:11">
      <c r="C89" s="217" t="s">
        <v>636</v>
      </c>
      <c r="D89" s="218">
        <v>1214.540039</v>
      </c>
      <c r="E89" s="645">
        <f t="shared" si="13"/>
        <v>1.8463437623584706</v>
      </c>
      <c r="I89" s="217" t="s">
        <v>658</v>
      </c>
      <c r="J89" s="218">
        <v>2289</v>
      </c>
      <c r="K89" s="647">
        <f t="shared" si="14"/>
        <v>2.71478924683147</v>
      </c>
    </row>
    <row r="90" spans="3:11" ht="22.8">
      <c r="C90" s="217" t="s">
        <v>646</v>
      </c>
      <c r="D90" s="218">
        <v>1118.7420910000001</v>
      </c>
      <c r="E90" s="645">
        <f t="shared" si="13"/>
        <v>1.7007117221976762</v>
      </c>
      <c r="I90" s="217" t="s">
        <v>647</v>
      </c>
      <c r="J90" s="218">
        <v>1131</v>
      </c>
      <c r="K90" s="647">
        <f t="shared" si="14"/>
        <v>1.3413834155379607</v>
      </c>
    </row>
    <row r="91" spans="3:11">
      <c r="C91" s="217" t="s">
        <v>642</v>
      </c>
      <c r="D91" s="218">
        <v>967.48773800000004</v>
      </c>
      <c r="E91" s="645">
        <f t="shared" si="13"/>
        <v>1.4707748553809568</v>
      </c>
      <c r="I91" s="217" t="s">
        <v>719</v>
      </c>
      <c r="J91" s="218">
        <v>789</v>
      </c>
      <c r="K91" s="647">
        <f t="shared" si="14"/>
        <v>0.93576614930101776</v>
      </c>
    </row>
    <row r="92" spans="3:11">
      <c r="C92" s="217" t="s">
        <v>649</v>
      </c>
      <c r="D92" s="218">
        <v>819.64702899999997</v>
      </c>
      <c r="E92" s="645">
        <f t="shared" si="13"/>
        <v>1.2460274101591826</v>
      </c>
      <c r="I92" s="217" t="s">
        <v>668</v>
      </c>
      <c r="J92" s="218">
        <v>344</v>
      </c>
      <c r="K92" s="647">
        <f t="shared" si="14"/>
        <v>0.40798929703365039</v>
      </c>
    </row>
    <row r="93" spans="3:11">
      <c r="C93" s="217" t="s">
        <v>674</v>
      </c>
      <c r="D93" s="218">
        <v>812.59147400000006</v>
      </c>
      <c r="E93" s="645">
        <f t="shared" si="13"/>
        <v>1.2353015554768185</v>
      </c>
      <c r="I93" s="217" t="s">
        <v>707</v>
      </c>
      <c r="J93" s="218">
        <v>342</v>
      </c>
      <c r="K93" s="647">
        <f t="shared" si="14"/>
        <v>0.40561726623694305</v>
      </c>
    </row>
    <row r="94" spans="3:11">
      <c r="C94" s="217" t="s">
        <v>652</v>
      </c>
      <c r="D94" s="218">
        <v>284.367187</v>
      </c>
      <c r="E94" s="645">
        <f t="shared" si="13"/>
        <v>0.43229499652326808</v>
      </c>
      <c r="I94" s="217" t="s">
        <v>720</v>
      </c>
      <c r="J94" s="218">
        <v>252</v>
      </c>
      <c r="K94" s="647">
        <f t="shared" si="14"/>
        <v>0.29887588038511592</v>
      </c>
    </row>
    <row r="95" spans="3:11">
      <c r="C95" s="217" t="s">
        <v>673</v>
      </c>
      <c r="D95" s="218">
        <v>240.88082400000002</v>
      </c>
      <c r="E95" s="645">
        <f t="shared" si="13"/>
        <v>0.36618702766716171</v>
      </c>
      <c r="I95" s="217" t="s">
        <v>656</v>
      </c>
      <c r="J95" s="218">
        <v>192</v>
      </c>
      <c r="K95" s="647">
        <f t="shared" si="14"/>
        <v>0.22771495648389786</v>
      </c>
    </row>
    <row r="96" spans="3:11">
      <c r="C96" s="217" t="s">
        <v>655</v>
      </c>
      <c r="D96" s="218">
        <v>169.15391700000001</v>
      </c>
      <c r="E96" s="645">
        <f t="shared" si="13"/>
        <v>0.25714778393687232</v>
      </c>
      <c r="I96" s="217" t="s">
        <v>57</v>
      </c>
      <c r="J96" s="218">
        <v>176</v>
      </c>
      <c r="K96" s="647">
        <f t="shared" si="14"/>
        <v>0.20873871011023973</v>
      </c>
    </row>
    <row r="97" spans="3:11">
      <c r="C97" s="217" t="s">
        <v>634</v>
      </c>
      <c r="D97" s="218">
        <v>69.149977000000007</v>
      </c>
      <c r="E97" s="645">
        <f t="shared" si="13"/>
        <v>0.10512179475474809</v>
      </c>
      <c r="I97" s="217" t="s">
        <v>657</v>
      </c>
      <c r="J97" s="218">
        <v>151</v>
      </c>
      <c r="K97" s="647">
        <f t="shared" si="14"/>
        <v>0.17908832515139886</v>
      </c>
    </row>
    <row r="98" spans="3:11">
      <c r="C98" s="217" t="s">
        <v>707</v>
      </c>
      <c r="D98" s="218">
        <v>53.253425</v>
      </c>
      <c r="E98" s="645">
        <f t="shared" si="13"/>
        <v>8.0955856468865786E-2</v>
      </c>
      <c r="I98" s="217" t="s">
        <v>659</v>
      </c>
      <c r="J98" s="218">
        <v>144</v>
      </c>
      <c r="K98" s="647">
        <f t="shared" si="14"/>
        <v>0.1707862173629234</v>
      </c>
    </row>
    <row r="99" spans="3:11" ht="15" thickBot="1">
      <c r="C99" s="648" t="s">
        <v>657</v>
      </c>
      <c r="D99" s="649">
        <v>18.447514000000002</v>
      </c>
      <c r="E99" s="650">
        <f t="shared" si="13"/>
        <v>2.8043910707928971E-2</v>
      </c>
      <c r="I99" s="217" t="s">
        <v>661</v>
      </c>
      <c r="J99" s="218">
        <v>47</v>
      </c>
      <c r="K99" s="647">
        <f t="shared" si="14"/>
        <v>5.5742723722620825E-2</v>
      </c>
    </row>
    <row r="100" spans="3:11" ht="15" thickTop="1">
      <c r="I100" s="217" t="s">
        <v>663</v>
      </c>
      <c r="J100" s="218">
        <v>43</v>
      </c>
      <c r="K100" s="647">
        <f t="shared" si="14"/>
        <v>5.0998662129206299E-2</v>
      </c>
    </row>
    <row r="101" spans="3:11" ht="15" thickBot="1">
      <c r="I101" s="651" t="s">
        <v>665</v>
      </c>
      <c r="J101" s="652">
        <v>43</v>
      </c>
      <c r="K101" s="653">
        <f t="shared" si="14"/>
        <v>5.0998662129206299E-2</v>
      </c>
    </row>
    <row r="102" spans="3:11" ht="15" thickTop="1">
      <c r="I102"/>
      <c r="J102"/>
      <c r="K102"/>
    </row>
    <row r="132" spans="15:19">
      <c r="O132" s="705"/>
      <c r="P132"/>
      <c r="Q132"/>
      <c r="R132"/>
      <c r="S132" s="48"/>
    </row>
  </sheetData>
  <pageMargins left="0.70866141732283472" right="0.70866141732283472" top="0.43307086614173229" bottom="0.43307086614173229" header="0.31496062992125984" footer="0.31496062992125984"/>
  <pageSetup paperSize="9" scale="52" fitToHeight="2" orientation="landscape" verticalDpi="597" r:id="rId1"/>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rgb="FF002060"/>
    <pageSetUpPr fitToPage="1"/>
  </sheetPr>
  <dimension ref="C2:AA41"/>
  <sheetViews>
    <sheetView showGridLines="0" topLeftCell="Q1" zoomScaleNormal="100" workbookViewId="0">
      <selection activeCell="R12" sqref="R12"/>
    </sheetView>
  </sheetViews>
  <sheetFormatPr baseColWidth="10" defaultColWidth="11.44140625" defaultRowHeight="14.4"/>
  <cols>
    <col min="1" max="2" width="11.44140625" style="428" customWidth="1"/>
    <col min="3" max="4" width="18.109375" style="453" customWidth="1"/>
    <col min="5" max="6" width="18.109375" style="454" customWidth="1"/>
    <col min="7" max="7" width="24" style="455" customWidth="1"/>
    <col min="8" max="8" width="6.88671875" style="455" customWidth="1"/>
    <col min="9" max="10" width="16" style="456" customWidth="1"/>
    <col min="11" max="11" width="17.88671875" style="428" customWidth="1"/>
    <col min="12" max="12" width="11.44140625" style="428" customWidth="1"/>
    <col min="13" max="13" width="25" style="428" customWidth="1"/>
    <col min="14" max="14" width="5.6640625" style="428" customWidth="1"/>
    <col min="15" max="15" width="7.88671875" style="428" customWidth="1"/>
    <col min="16" max="16" width="18.21875" style="428" bestFit="1" customWidth="1"/>
    <col min="17" max="17" width="23.6640625" style="428" customWidth="1"/>
    <col min="18" max="19" width="11.44140625" style="428" customWidth="1"/>
    <col min="20" max="20" width="19.5546875" style="428" customWidth="1"/>
    <col min="21" max="21" width="6" style="428" customWidth="1"/>
    <col min="22" max="22" width="7.44140625" style="428" customWidth="1"/>
    <col min="23" max="16384" width="11.44140625" style="428"/>
  </cols>
  <sheetData>
    <row r="2" spans="3:21" s="505" customFormat="1" ht="17.399999999999999">
      <c r="C2" s="499" t="s">
        <v>116</v>
      </c>
      <c r="D2" s="500"/>
      <c r="E2" s="501"/>
      <c r="F2" s="501"/>
      <c r="G2" s="502" t="s">
        <v>396</v>
      </c>
      <c r="H2" s="503"/>
      <c r="I2" s="504"/>
      <c r="J2" s="504"/>
    </row>
    <row r="3" spans="3:21" ht="15.6">
      <c r="C3" s="449"/>
      <c r="D3" s="450"/>
      <c r="G3" s="451"/>
      <c r="H3" s="451"/>
    </row>
    <row r="4" spans="3:21" hidden="1">
      <c r="C4" s="450"/>
      <c r="D4" s="450"/>
    </row>
    <row r="5" spans="3:21" ht="15.6" hidden="1">
      <c r="C5" s="450"/>
      <c r="D5" s="450"/>
      <c r="G5" s="451"/>
      <c r="H5" s="451"/>
    </row>
    <row r="6" spans="3:21">
      <c r="C6" s="447" t="s">
        <v>327</v>
      </c>
      <c r="D6" s="448"/>
    </row>
    <row r="7" spans="3:21" hidden="1">
      <c r="C7" s="450"/>
      <c r="D7" s="450"/>
    </row>
    <row r="8" spans="3:21" ht="15.6">
      <c r="C8" s="457" t="s">
        <v>339</v>
      </c>
      <c r="D8" s="457"/>
      <c r="G8" s="429" t="s">
        <v>339</v>
      </c>
      <c r="H8" s="429"/>
      <c r="M8" s="222" t="s">
        <v>721</v>
      </c>
      <c r="N8" s="222"/>
      <c r="O8" s="621"/>
      <c r="P8" s="621"/>
      <c r="Q8"/>
    </row>
    <row r="9" spans="3:21" ht="16.2" thickBot="1">
      <c r="C9" s="457" t="s">
        <v>340</v>
      </c>
      <c r="D9" s="457"/>
      <c r="G9" s="506" t="s">
        <v>840</v>
      </c>
      <c r="H9" s="429"/>
      <c r="M9" s="222" t="s">
        <v>628</v>
      </c>
      <c r="N9" s="222"/>
      <c r="O9" s="621"/>
      <c r="P9" s="621"/>
      <c r="Q9"/>
    </row>
    <row r="10" spans="3:21" ht="15" hidden="1" thickBot="1">
      <c r="C10" s="458"/>
      <c r="D10" s="458"/>
      <c r="G10" s="428"/>
      <c r="H10" s="428"/>
      <c r="M10"/>
      <c r="N10"/>
      <c r="O10" s="5735" t="s">
        <v>722</v>
      </c>
      <c r="P10" s="5736"/>
      <c r="Q10" s="5737"/>
    </row>
    <row r="11" spans="3:21" ht="54" customHeight="1" thickBot="1">
      <c r="C11" s="459" t="s">
        <v>341</v>
      </c>
      <c r="D11" s="459"/>
      <c r="E11" s="460" t="s">
        <v>342</v>
      </c>
      <c r="F11" s="759" t="s">
        <v>343</v>
      </c>
      <c r="G11" s="460" t="s">
        <v>341</v>
      </c>
      <c r="H11" s="798"/>
      <c r="I11" s="799" t="s">
        <v>398</v>
      </c>
      <c r="J11" s="452" t="s">
        <v>399</v>
      </c>
      <c r="K11" s="799" t="s">
        <v>400</v>
      </c>
      <c r="L11" s="800"/>
      <c r="M11" s="801" t="s">
        <v>341</v>
      </c>
      <c r="N11" s="801"/>
      <c r="O11" s="654" t="s">
        <v>171</v>
      </c>
      <c r="P11" s="654" t="s">
        <v>723</v>
      </c>
      <c r="Q11" s="802" t="s">
        <v>724</v>
      </c>
      <c r="R11" s="800"/>
      <c r="S11" s="800"/>
      <c r="T11" s="803" t="s">
        <v>833</v>
      </c>
      <c r="U11" s="758">
        <v>652912</v>
      </c>
    </row>
    <row r="12" spans="3:21">
      <c r="C12" s="461" t="s">
        <v>338</v>
      </c>
      <c r="D12" s="462">
        <f t="shared" ref="D12:D34" si="0">E12/$E$36</f>
        <v>0.72116141441123738</v>
      </c>
      <c r="E12" s="463">
        <v>21307.819242000034</v>
      </c>
      <c r="F12" s="760">
        <f t="shared" ref="F12:F34" si="1">+E12/$E$36*100</f>
        <v>72.116141441123744</v>
      </c>
      <c r="G12" s="788" t="s">
        <v>401</v>
      </c>
      <c r="H12" s="789">
        <f>'perfil-mas visitado'!W15</f>
        <v>0.860930066613669</v>
      </c>
      <c r="I12" s="790">
        <v>30566</v>
      </c>
      <c r="J12" s="791">
        <v>486</v>
      </c>
      <c r="K12" s="792">
        <v>0</v>
      </c>
      <c r="L12" s="793"/>
      <c r="M12" s="794" t="s">
        <v>401</v>
      </c>
      <c r="N12" s="795">
        <f>O12/$O$36</f>
        <v>0.860930066613669</v>
      </c>
      <c r="O12" s="3894">
        <v>30000</v>
      </c>
      <c r="P12" s="3895">
        <v>486</v>
      </c>
      <c r="Q12" s="796">
        <v>0</v>
      </c>
      <c r="R12" s="793"/>
      <c r="S12" s="793"/>
      <c r="T12" s="797">
        <f>$U$11*H12</f>
        <v>562111.57165286387</v>
      </c>
    </row>
    <row r="13" spans="3:21">
      <c r="C13" s="461" t="s">
        <v>332</v>
      </c>
      <c r="D13" s="462">
        <f t="shared" si="0"/>
        <v>0.11516529867882265</v>
      </c>
      <c r="E13" s="463">
        <v>3402.7352519999999</v>
      </c>
      <c r="F13" s="760">
        <f t="shared" si="1"/>
        <v>11.516529867882266</v>
      </c>
      <c r="G13" s="2228" t="s">
        <v>332</v>
      </c>
      <c r="H13" s="764">
        <f t="shared" ref="H13:H35" si="2">I13/$I$36</f>
        <v>3.9229471316085486E-2</v>
      </c>
      <c r="I13" s="766">
        <v>1395</v>
      </c>
      <c r="J13" s="765">
        <v>1986</v>
      </c>
      <c r="K13" s="767">
        <v>1.42</v>
      </c>
      <c r="L13" s="763"/>
      <c r="M13" s="768" t="s">
        <v>332</v>
      </c>
      <c r="N13" s="769">
        <f t="shared" ref="N13:N36" si="3">O13/$O$36</f>
        <v>5.7400724326694713E-2</v>
      </c>
      <c r="O13" s="3896">
        <v>2000.1876999999999</v>
      </c>
      <c r="P13" s="3897">
        <v>4486.1441400000003</v>
      </c>
      <c r="Q13" s="770">
        <v>2.3928823587263661</v>
      </c>
      <c r="R13" s="763"/>
      <c r="S13" s="763"/>
      <c r="T13" s="776">
        <f t="shared" ref="T13:T35" si="4">$U$11*H13</f>
        <v>25613.392575928006</v>
      </c>
    </row>
    <row r="14" spans="3:21">
      <c r="C14" s="461" t="s">
        <v>60</v>
      </c>
      <c r="D14" s="462">
        <f t="shared" si="0"/>
        <v>4.0343898861785139E-2</v>
      </c>
      <c r="E14" s="463">
        <v>1192.0223229999997</v>
      </c>
      <c r="F14" s="760">
        <f t="shared" si="1"/>
        <v>4.0343898861785137</v>
      </c>
      <c r="G14" s="775" t="s">
        <v>395</v>
      </c>
      <c r="H14" s="764">
        <f t="shared" si="2"/>
        <v>3.2733408323959504E-2</v>
      </c>
      <c r="I14" s="765">
        <v>1164</v>
      </c>
      <c r="J14" s="766">
        <v>631</v>
      </c>
      <c r="K14" s="767">
        <v>0</v>
      </c>
      <c r="L14" s="763"/>
      <c r="M14" s="768" t="s">
        <v>331</v>
      </c>
      <c r="N14" s="769">
        <f t="shared" si="3"/>
        <v>2.3439544531789782E-2</v>
      </c>
      <c r="O14" s="3896">
        <v>816.77521000000002</v>
      </c>
      <c r="P14" s="3897">
        <v>4729.6940599999998</v>
      </c>
      <c r="Q14" s="770">
        <v>5.119262051570292</v>
      </c>
      <c r="R14" s="763"/>
      <c r="S14" s="763"/>
      <c r="T14" s="776">
        <f t="shared" si="4"/>
        <v>21372.035095613046</v>
      </c>
    </row>
    <row r="15" spans="3:21">
      <c r="C15" s="461" t="s">
        <v>331</v>
      </c>
      <c r="D15" s="462">
        <f t="shared" si="0"/>
        <v>2.3310001795609658E-2</v>
      </c>
      <c r="E15" s="463">
        <v>688.72972800000002</v>
      </c>
      <c r="F15" s="760">
        <f t="shared" si="1"/>
        <v>2.3310001795609656</v>
      </c>
      <c r="G15" s="775" t="s">
        <v>331</v>
      </c>
      <c r="H15" s="764">
        <f t="shared" si="2"/>
        <v>7.9021372328458937E-3</v>
      </c>
      <c r="I15" s="766">
        <v>281</v>
      </c>
      <c r="J15" s="766">
        <v>0</v>
      </c>
      <c r="K15" s="767">
        <v>0</v>
      </c>
      <c r="L15" s="763"/>
      <c r="M15" s="768" t="s">
        <v>58</v>
      </c>
      <c r="N15" s="769">
        <f t="shared" si="3"/>
        <v>5.2531831907035318E-3</v>
      </c>
      <c r="O15" s="3896">
        <v>183.05260999999999</v>
      </c>
      <c r="P15" s="3897">
        <v>1199.0211400000001</v>
      </c>
      <c r="Q15" s="770">
        <v>4.4590058000605808</v>
      </c>
      <c r="R15" s="763"/>
      <c r="S15" s="763"/>
      <c r="T15" s="776">
        <f t="shared" si="4"/>
        <v>5159.4002249718778</v>
      </c>
    </row>
    <row r="16" spans="3:21">
      <c r="C16" s="461" t="s">
        <v>61</v>
      </c>
      <c r="D16" s="462">
        <f t="shared" si="0"/>
        <v>1.7775655034713851E-2</v>
      </c>
      <c r="E16" s="463">
        <v>525.20897100000002</v>
      </c>
      <c r="F16" s="760">
        <f t="shared" si="1"/>
        <v>1.7775655034713851</v>
      </c>
      <c r="G16" s="2229" t="s">
        <v>60</v>
      </c>
      <c r="H16" s="764">
        <f t="shared" si="2"/>
        <v>7.1428571428571426E-3</v>
      </c>
      <c r="I16" s="766">
        <v>254</v>
      </c>
      <c r="J16" s="766">
        <v>523</v>
      </c>
      <c r="K16" s="767">
        <v>2.06</v>
      </c>
      <c r="L16" s="763"/>
      <c r="M16" s="768" t="s">
        <v>725</v>
      </c>
      <c r="N16" s="769">
        <f t="shared" si="3"/>
        <v>7.1239124812828179E-3</v>
      </c>
      <c r="O16" s="3896">
        <v>248.24011000000002</v>
      </c>
      <c r="P16" s="3897">
        <v>1548.87698</v>
      </c>
      <c r="Q16" s="770">
        <v>7.64877392490523</v>
      </c>
      <c r="R16" s="763"/>
      <c r="S16" s="763"/>
      <c r="T16" s="776">
        <f t="shared" si="4"/>
        <v>4663.6571428571424</v>
      </c>
    </row>
    <row r="17" spans="3:27">
      <c r="C17" s="461" t="s">
        <v>55</v>
      </c>
      <c r="D17" s="462">
        <f t="shared" si="0"/>
        <v>1.1695172166978282E-2</v>
      </c>
      <c r="E17" s="463">
        <v>345.5517857142857</v>
      </c>
      <c r="F17" s="760">
        <f t="shared" si="1"/>
        <v>1.1695172166978283</v>
      </c>
      <c r="G17" s="775" t="s">
        <v>117</v>
      </c>
      <c r="H17" s="764">
        <f t="shared" si="2"/>
        <v>6.5241844769403827E-3</v>
      </c>
      <c r="I17" s="766">
        <v>232</v>
      </c>
      <c r="J17" s="766">
        <v>142</v>
      </c>
      <c r="K17" s="767">
        <v>0</v>
      </c>
      <c r="L17" s="763"/>
      <c r="M17" s="768" t="s">
        <v>56</v>
      </c>
      <c r="N17" s="769">
        <f t="shared" si="3"/>
        <v>7.0526682224570257E-3</v>
      </c>
      <c r="O17" s="3896">
        <v>245.75753</v>
      </c>
      <c r="P17" s="3897">
        <v>4071.4134199999999</v>
      </c>
      <c r="Q17" s="770">
        <v>16.513291640154129</v>
      </c>
      <c r="R17" s="763"/>
      <c r="S17" s="763"/>
      <c r="T17" s="776">
        <f t="shared" si="4"/>
        <v>4259.7183352080992</v>
      </c>
    </row>
    <row r="18" spans="3:27">
      <c r="C18" s="461" t="s">
        <v>333</v>
      </c>
      <c r="D18" s="462">
        <f t="shared" si="0"/>
        <v>1.4934877095337978E-2</v>
      </c>
      <c r="E18" s="463">
        <v>441.27383299999997</v>
      </c>
      <c r="F18" s="760">
        <f t="shared" si="1"/>
        <v>1.4934877095337977</v>
      </c>
      <c r="G18" s="2228" t="s">
        <v>59</v>
      </c>
      <c r="H18" s="764">
        <f t="shared" si="2"/>
        <v>6.2710911136107991E-3</v>
      </c>
      <c r="I18" s="766">
        <v>223</v>
      </c>
      <c r="J18" s="766">
        <v>986</v>
      </c>
      <c r="K18" s="767">
        <v>4.41</v>
      </c>
      <c r="L18" s="763"/>
      <c r="M18" s="768" t="s">
        <v>726</v>
      </c>
      <c r="N18" s="769">
        <f t="shared" si="3"/>
        <v>5.3344262913229759E-3</v>
      </c>
      <c r="O18" s="3896">
        <v>185.88361</v>
      </c>
      <c r="P18" s="3897">
        <v>485.88486999999998</v>
      </c>
      <c r="Q18" s="770">
        <v>2.6139199147251335</v>
      </c>
      <c r="R18" s="763"/>
      <c r="S18" s="763"/>
      <c r="T18" s="776">
        <f t="shared" si="4"/>
        <v>4094.4706411698539</v>
      </c>
    </row>
    <row r="19" spans="3:27">
      <c r="C19" s="461" t="s">
        <v>334</v>
      </c>
      <c r="D19" s="462">
        <f t="shared" si="0"/>
        <v>3.0669911499105044E-3</v>
      </c>
      <c r="E19" s="463">
        <v>90.618954000000002</v>
      </c>
      <c r="F19" s="760">
        <f t="shared" si="1"/>
        <v>0.30669911499105046</v>
      </c>
      <c r="G19" s="775" t="s">
        <v>61</v>
      </c>
      <c r="H19" s="764">
        <f t="shared" si="2"/>
        <v>6.0461192350956131E-3</v>
      </c>
      <c r="I19" s="766">
        <v>215</v>
      </c>
      <c r="J19" s="766">
        <v>233</v>
      </c>
      <c r="K19" s="767">
        <v>1.08</v>
      </c>
      <c r="L19" s="763"/>
      <c r="M19" s="768" t="s">
        <v>727</v>
      </c>
      <c r="N19" s="769">
        <f t="shared" si="3"/>
        <v>4.5938924159215173E-3</v>
      </c>
      <c r="O19" s="3896">
        <v>160.07893999999999</v>
      </c>
      <c r="P19" s="3897">
        <v>602.01189999999997</v>
      </c>
      <c r="Q19" s="770">
        <v>3.815645863187592</v>
      </c>
      <c r="R19" s="763"/>
      <c r="S19" s="763"/>
      <c r="T19" s="776">
        <f t="shared" si="4"/>
        <v>3947.583802024747</v>
      </c>
    </row>
    <row r="20" spans="3:27">
      <c r="C20" s="461" t="s">
        <v>58</v>
      </c>
      <c r="D20" s="462">
        <f t="shared" si="0"/>
        <v>9.5893761484405361E-3</v>
      </c>
      <c r="E20" s="463">
        <v>283.33281499999998</v>
      </c>
      <c r="F20" s="760">
        <f t="shared" si="1"/>
        <v>0.9589376148440536</v>
      </c>
      <c r="G20" s="2228" t="s">
        <v>56</v>
      </c>
      <c r="H20" s="764">
        <f t="shared" si="2"/>
        <v>5.2024746906636672E-3</v>
      </c>
      <c r="I20" s="766">
        <v>185</v>
      </c>
      <c r="J20" s="766">
        <v>196</v>
      </c>
      <c r="K20" s="767">
        <v>1.06</v>
      </c>
      <c r="L20" s="763"/>
      <c r="M20" s="768" t="s">
        <v>64</v>
      </c>
      <c r="N20" s="769">
        <f t="shared" si="3"/>
        <v>3.7914975584902896E-3</v>
      </c>
      <c r="O20" s="3896">
        <v>132.11866000000001</v>
      </c>
      <c r="P20" s="3897">
        <v>179.51549</v>
      </c>
      <c r="Q20" s="770">
        <v>1.3587444044618677</v>
      </c>
      <c r="R20" s="763"/>
      <c r="S20" s="763"/>
      <c r="T20" s="776">
        <f t="shared" si="4"/>
        <v>3396.7581552305965</v>
      </c>
    </row>
    <row r="21" spans="3:27">
      <c r="C21" s="461" t="s">
        <v>57</v>
      </c>
      <c r="D21" s="462">
        <f t="shared" si="0"/>
        <v>7.5273584551540824E-3</v>
      </c>
      <c r="E21" s="463">
        <v>222.407342</v>
      </c>
      <c r="F21" s="760">
        <f t="shared" si="1"/>
        <v>0.75273584551540829</v>
      </c>
      <c r="G21" s="2228" t="s">
        <v>334</v>
      </c>
      <c r="H21" s="764">
        <f t="shared" si="2"/>
        <v>4.7525309336332961E-3</v>
      </c>
      <c r="I21" s="766">
        <v>169</v>
      </c>
      <c r="J21" s="766">
        <v>1024</v>
      </c>
      <c r="K21" s="767">
        <v>6.07</v>
      </c>
      <c r="L21" s="763"/>
      <c r="M21" s="768" t="s">
        <v>55</v>
      </c>
      <c r="N21" s="769">
        <f t="shared" si="3"/>
        <v>1.7531159123190584E-3</v>
      </c>
      <c r="O21" s="3896">
        <v>61.08914</v>
      </c>
      <c r="P21" s="3897">
        <v>433.94388000000004</v>
      </c>
      <c r="Q21" s="770">
        <v>6</v>
      </c>
      <c r="R21" s="763"/>
      <c r="S21" s="763"/>
      <c r="T21" s="776">
        <f t="shared" si="4"/>
        <v>3102.9844769403826</v>
      </c>
    </row>
    <row r="22" spans="3:27">
      <c r="C22" s="461" t="s">
        <v>117</v>
      </c>
      <c r="D22" s="462">
        <f t="shared" si="0"/>
        <v>5.8839558043407448E-3</v>
      </c>
      <c r="E22" s="463">
        <v>173.850492</v>
      </c>
      <c r="F22" s="760">
        <f t="shared" si="1"/>
        <v>0.58839558043407447</v>
      </c>
      <c r="G22" s="2228" t="s">
        <v>64</v>
      </c>
      <c r="H22" s="764">
        <f t="shared" si="2"/>
        <v>3.6839145106861643E-3</v>
      </c>
      <c r="I22" s="766">
        <v>131</v>
      </c>
      <c r="J22" s="766">
        <v>275</v>
      </c>
      <c r="K22" s="767">
        <v>2.1</v>
      </c>
      <c r="L22" s="763"/>
      <c r="M22" s="771" t="s">
        <v>728</v>
      </c>
      <c r="N22" s="772">
        <f t="shared" si="3"/>
        <v>2.9838625067202733E-3</v>
      </c>
      <c r="O22" s="3898">
        <v>103.97578</v>
      </c>
      <c r="P22" s="3898">
        <v>207.95156</v>
      </c>
      <c r="Q22" s="773">
        <v>2</v>
      </c>
      <c r="R22" s="763"/>
      <c r="S22" s="763"/>
      <c r="T22" s="776">
        <f t="shared" si="4"/>
        <v>2405.2719910011251</v>
      </c>
    </row>
    <row r="23" spans="3:27">
      <c r="C23" s="461" t="s">
        <v>65</v>
      </c>
      <c r="D23" s="462">
        <f t="shared" si="0"/>
        <v>6.5506960701293944E-3</v>
      </c>
      <c r="E23" s="463">
        <v>193.550355</v>
      </c>
      <c r="F23" s="760">
        <f t="shared" si="1"/>
        <v>0.65506960701293948</v>
      </c>
      <c r="G23" s="775" t="s">
        <v>58</v>
      </c>
      <c r="H23" s="764">
        <f t="shared" si="2"/>
        <v>2.5590551181102362E-3</v>
      </c>
      <c r="I23" s="766">
        <v>91</v>
      </c>
      <c r="J23" s="766">
        <v>43</v>
      </c>
      <c r="K23" s="767">
        <v>0</v>
      </c>
      <c r="L23" s="763"/>
      <c r="M23" s="768" t="s">
        <v>404</v>
      </c>
      <c r="N23" s="769">
        <f t="shared" si="3"/>
        <v>2.9813041095389861E-3</v>
      </c>
      <c r="O23" s="3896">
        <v>103.88663</v>
      </c>
      <c r="P23" s="3897">
        <v>2600.4627800000003</v>
      </c>
      <c r="Q23" s="770">
        <v>25.031736807710484</v>
      </c>
      <c r="R23" s="763"/>
      <c r="S23" s="763"/>
      <c r="T23" s="776">
        <f t="shared" si="4"/>
        <v>1670.8377952755905</v>
      </c>
    </row>
    <row r="24" spans="3:27">
      <c r="C24" s="461" t="s">
        <v>56</v>
      </c>
      <c r="D24" s="462">
        <f t="shared" si="0"/>
        <v>4.7773730306279686E-3</v>
      </c>
      <c r="E24" s="463">
        <v>141.154808</v>
      </c>
      <c r="F24" s="760">
        <f t="shared" si="1"/>
        <v>0.47773730306279688</v>
      </c>
      <c r="G24" s="2228" t="s">
        <v>55</v>
      </c>
      <c r="H24" s="764">
        <f t="shared" si="2"/>
        <v>2.530933633295838E-3</v>
      </c>
      <c r="I24" s="766">
        <v>90</v>
      </c>
      <c r="J24" s="766">
        <v>1466</v>
      </c>
      <c r="K24" s="767">
        <v>16.34</v>
      </c>
      <c r="L24" s="763"/>
      <c r="M24" s="768" t="s">
        <v>334</v>
      </c>
      <c r="N24" s="769">
        <f t="shared" si="3"/>
        <v>2.7203570672784498E-3</v>
      </c>
      <c r="O24" s="3896">
        <v>94.793660000000003</v>
      </c>
      <c r="P24" s="3897">
        <v>94.793660000000003</v>
      </c>
      <c r="Q24" s="770">
        <v>1</v>
      </c>
      <c r="R24" s="763"/>
      <c r="S24" s="763"/>
      <c r="T24" s="776">
        <f t="shared" si="4"/>
        <v>1652.4769403824523</v>
      </c>
    </row>
    <row r="25" spans="3:27">
      <c r="C25" s="674" t="s">
        <v>63</v>
      </c>
      <c r="D25" s="675">
        <f t="shared" si="0"/>
        <v>3.1488358466333849E-3</v>
      </c>
      <c r="E25" s="676">
        <v>93.037181000000004</v>
      </c>
      <c r="F25" s="761">
        <f t="shared" si="1"/>
        <v>0.31488358466333849</v>
      </c>
      <c r="G25" s="2228" t="s">
        <v>62</v>
      </c>
      <c r="H25" s="764">
        <f t="shared" si="2"/>
        <v>2.4465691788526436E-3</v>
      </c>
      <c r="I25" s="766">
        <v>87</v>
      </c>
      <c r="J25" s="766">
        <v>303</v>
      </c>
      <c r="K25" s="767">
        <v>3.5</v>
      </c>
      <c r="L25" s="763"/>
      <c r="M25" s="768" t="s">
        <v>67</v>
      </c>
      <c r="N25" s="769">
        <f t="shared" si="3"/>
        <v>2.4996255033128819E-3</v>
      </c>
      <c r="O25" s="3896">
        <v>87.102040000000002</v>
      </c>
      <c r="P25" s="3897">
        <v>178.93876</v>
      </c>
      <c r="Q25" s="770">
        <v>2.5</v>
      </c>
      <c r="R25" s="763"/>
      <c r="S25" s="763"/>
      <c r="T25" s="776">
        <f t="shared" si="4"/>
        <v>1597.3943757030372</v>
      </c>
    </row>
    <row r="26" spans="3:27">
      <c r="C26" s="461" t="s">
        <v>62</v>
      </c>
      <c r="D26" s="462">
        <f t="shared" si="0"/>
        <v>2.3607918377519825E-3</v>
      </c>
      <c r="E26" s="463">
        <v>69.753213000000002</v>
      </c>
      <c r="F26" s="760">
        <f t="shared" si="1"/>
        <v>0.23607918377519824</v>
      </c>
      <c r="G26" s="775" t="s">
        <v>405</v>
      </c>
      <c r="H26" s="764">
        <f t="shared" si="2"/>
        <v>2.2778402699662544E-3</v>
      </c>
      <c r="I26" s="766">
        <v>81</v>
      </c>
      <c r="J26" s="766">
        <v>33</v>
      </c>
      <c r="K26" s="767">
        <v>0</v>
      </c>
      <c r="L26" s="763"/>
      <c r="M26" s="768" t="s">
        <v>117</v>
      </c>
      <c r="N26" s="769">
        <f t="shared" si="3"/>
        <v>1.6211255758997614E-3</v>
      </c>
      <c r="O26" s="3896">
        <v>56.489800000000002</v>
      </c>
      <c r="P26" s="3897">
        <v>56.489800000000002</v>
      </c>
      <c r="Q26" s="770">
        <v>1</v>
      </c>
      <c r="R26" s="763"/>
      <c r="S26" s="763"/>
      <c r="T26" s="776">
        <f t="shared" si="4"/>
        <v>1487.229246344207</v>
      </c>
    </row>
    <row r="27" spans="3:27" ht="15" customHeight="1">
      <c r="C27" s="461" t="s">
        <v>335</v>
      </c>
      <c r="D27" s="462">
        <f t="shared" si="0"/>
        <v>2.3607918377519825E-3</v>
      </c>
      <c r="E27" s="463">
        <v>69.753213000000002</v>
      </c>
      <c r="F27" s="760">
        <f t="shared" si="1"/>
        <v>0.23607918377519824</v>
      </c>
      <c r="G27" s="775" t="s">
        <v>402</v>
      </c>
      <c r="H27" s="764">
        <f t="shared" si="2"/>
        <v>1.9403824521934759E-3</v>
      </c>
      <c r="I27" s="765">
        <v>69</v>
      </c>
      <c r="J27" s="765">
        <v>174</v>
      </c>
      <c r="K27" s="767">
        <v>2.5299999999999998</v>
      </c>
      <c r="L27" s="763"/>
      <c r="M27" s="768" t="s">
        <v>729</v>
      </c>
      <c r="N27" s="769">
        <f t="shared" si="3"/>
        <v>2.1651481459230054E-3</v>
      </c>
      <c r="O27" s="3896">
        <v>75.446830000000006</v>
      </c>
      <c r="P27" s="3897">
        <v>861.84611000000018</v>
      </c>
      <c r="Q27" s="770">
        <v>11.423224938675357</v>
      </c>
      <c r="R27" s="763"/>
      <c r="S27" s="763"/>
      <c r="T27" s="776">
        <f t="shared" si="4"/>
        <v>1266.8989876265466</v>
      </c>
    </row>
    <row r="28" spans="3:27">
      <c r="C28" s="461" t="s">
        <v>66</v>
      </c>
      <c r="D28" s="462">
        <f t="shared" si="0"/>
        <v>1.4123986243170443E-3</v>
      </c>
      <c r="E28" s="463">
        <v>41.731482</v>
      </c>
      <c r="F28" s="760">
        <f t="shared" si="1"/>
        <v>0.14123986243170442</v>
      </c>
      <c r="G28" s="775" t="s">
        <v>63</v>
      </c>
      <c r="H28" s="764">
        <f t="shared" si="2"/>
        <v>1.8841394825646794E-3</v>
      </c>
      <c r="I28" s="766">
        <v>67</v>
      </c>
      <c r="J28" s="766">
        <v>41</v>
      </c>
      <c r="K28" s="767">
        <v>0</v>
      </c>
      <c r="L28" s="763"/>
      <c r="M28" s="768" t="s">
        <v>59</v>
      </c>
      <c r="N28" s="769">
        <f t="shared" si="3"/>
        <v>1.6125883063825312E-3</v>
      </c>
      <c r="O28" s="3896">
        <v>56.192309999999999</v>
      </c>
      <c r="P28" s="3897">
        <v>112.38462</v>
      </c>
      <c r="Q28" s="770">
        <v>2</v>
      </c>
      <c r="R28" s="763"/>
      <c r="S28" s="763"/>
      <c r="T28" s="776">
        <f t="shared" si="4"/>
        <v>1230.1772778402699</v>
      </c>
    </row>
    <row r="29" spans="3:27">
      <c r="C29" s="461" t="s">
        <v>64</v>
      </c>
      <c r="D29" s="462">
        <f t="shared" si="0"/>
        <v>3.4728744446326804E-3</v>
      </c>
      <c r="E29" s="463">
        <v>102.61139799999999</v>
      </c>
      <c r="F29" s="760">
        <f t="shared" si="1"/>
        <v>0.34728744446326804</v>
      </c>
      <c r="G29" s="775" t="s">
        <v>57</v>
      </c>
      <c r="H29" s="764">
        <f t="shared" si="2"/>
        <v>1.3779527559055118E-3</v>
      </c>
      <c r="I29" s="766">
        <v>49</v>
      </c>
      <c r="J29" s="765">
        <v>0</v>
      </c>
      <c r="K29" s="767">
        <v>0</v>
      </c>
      <c r="L29" s="763"/>
      <c r="M29" s="768" t="s">
        <v>337</v>
      </c>
      <c r="N29" s="769">
        <f t="shared" si="3"/>
        <v>1.3601785336392249E-3</v>
      </c>
      <c r="O29" s="3896">
        <v>47.396830000000001</v>
      </c>
      <c r="P29" s="3897">
        <v>142.19048999999998</v>
      </c>
      <c r="Q29" s="770">
        <v>3</v>
      </c>
      <c r="R29" s="763"/>
      <c r="S29" s="763"/>
      <c r="T29" s="776">
        <f t="shared" si="4"/>
        <v>899.68188976377951</v>
      </c>
    </row>
    <row r="30" spans="3:27">
      <c r="C30" s="461" t="s">
        <v>59</v>
      </c>
      <c r="D30" s="462">
        <f t="shared" si="0"/>
        <v>2.6425579628071086E-3</v>
      </c>
      <c r="E30" s="463">
        <v>78.078424999999996</v>
      </c>
      <c r="F30" s="760">
        <f t="shared" si="1"/>
        <v>0.26425579628071083</v>
      </c>
      <c r="G30" s="775" t="s">
        <v>337</v>
      </c>
      <c r="H30" s="764">
        <f t="shared" si="2"/>
        <v>1.3779527559055118E-3</v>
      </c>
      <c r="I30" s="766">
        <v>49</v>
      </c>
      <c r="J30" s="766">
        <v>0</v>
      </c>
      <c r="K30" s="767">
        <v>0</v>
      </c>
      <c r="L30" s="763"/>
      <c r="M30" s="768" t="s">
        <v>730</v>
      </c>
      <c r="N30" s="769">
        <f t="shared" si="3"/>
        <v>1.3601785336392249E-3</v>
      </c>
      <c r="O30" s="3896">
        <v>47.396830000000001</v>
      </c>
      <c r="P30" s="3897">
        <v>189.58732000000001</v>
      </c>
      <c r="Q30" s="770">
        <v>4</v>
      </c>
      <c r="R30" s="763"/>
      <c r="S30" s="763"/>
      <c r="T30" s="776">
        <f t="shared" si="4"/>
        <v>899.68188976377951</v>
      </c>
      <c r="W30" s="5738" t="s">
        <v>406</v>
      </c>
      <c r="X30" s="5738"/>
      <c r="Y30" s="5738"/>
      <c r="Z30" s="5738"/>
      <c r="AA30" s="5738"/>
    </row>
    <row r="31" spans="3:27">
      <c r="C31" s="461" t="s">
        <v>67</v>
      </c>
      <c r="D31" s="462">
        <f t="shared" si="0"/>
        <v>6.2435461543564204E-4</v>
      </c>
      <c r="E31" s="463">
        <v>18.447514000000002</v>
      </c>
      <c r="F31" s="760">
        <f t="shared" si="1"/>
        <v>6.2435461543564205E-2</v>
      </c>
      <c r="G31" s="775" t="s">
        <v>404</v>
      </c>
      <c r="H31" s="764">
        <f t="shared" si="2"/>
        <v>1.3779527559055118E-3</v>
      </c>
      <c r="I31" s="766">
        <v>49</v>
      </c>
      <c r="J31" s="766">
        <v>49</v>
      </c>
      <c r="K31" s="767">
        <v>1</v>
      </c>
      <c r="L31" s="763"/>
      <c r="M31" s="768" t="s">
        <v>335</v>
      </c>
      <c r="N31" s="769">
        <f t="shared" si="3"/>
        <v>8.7849992741312073E-4</v>
      </c>
      <c r="O31" s="3896">
        <v>30.61224</v>
      </c>
      <c r="P31" s="3897">
        <v>30.61224</v>
      </c>
      <c r="Q31" s="770">
        <v>1</v>
      </c>
      <c r="R31" s="763"/>
      <c r="S31" s="763"/>
      <c r="T31" s="776">
        <f t="shared" si="4"/>
        <v>899.68188976377951</v>
      </c>
      <c r="W31" s="5738"/>
      <c r="X31" s="5738"/>
      <c r="Y31" s="5738"/>
      <c r="Z31" s="5738"/>
      <c r="AA31" s="5738"/>
    </row>
    <row r="32" spans="3:27">
      <c r="C32" s="461" t="s">
        <v>344</v>
      </c>
      <c r="D32" s="462">
        <f t="shared" si="0"/>
        <v>6.2435461543564204E-4</v>
      </c>
      <c r="E32" s="463">
        <v>18.447514000000002</v>
      </c>
      <c r="F32" s="760">
        <f t="shared" si="1"/>
        <v>6.2435461543564205E-2</v>
      </c>
      <c r="G32" s="775" t="s">
        <v>65</v>
      </c>
      <c r="H32" s="764">
        <f t="shared" si="2"/>
        <v>1.3498312710911137E-3</v>
      </c>
      <c r="I32" s="766">
        <v>48</v>
      </c>
      <c r="J32" s="766">
        <v>48</v>
      </c>
      <c r="K32" s="767">
        <v>1</v>
      </c>
      <c r="L32" s="763"/>
      <c r="M32" s="768" t="s">
        <v>731</v>
      </c>
      <c r="N32" s="769">
        <f t="shared" si="3"/>
        <v>8.0496961228378053E-4</v>
      </c>
      <c r="O32" s="3896">
        <v>28.05</v>
      </c>
      <c r="P32" s="3897">
        <v>28.05</v>
      </c>
      <c r="Q32" s="770">
        <v>1</v>
      </c>
      <c r="R32" s="763"/>
      <c r="S32" s="763"/>
      <c r="T32" s="776">
        <f t="shared" si="4"/>
        <v>881.32103487064114</v>
      </c>
      <c r="W32" s="2174"/>
      <c r="X32" s="2174"/>
      <c r="Y32" s="2174"/>
      <c r="Z32" s="2174"/>
      <c r="AA32" s="2174"/>
    </row>
    <row r="33" spans="3:27">
      <c r="C33" s="461" t="s">
        <v>336</v>
      </c>
      <c r="D33" s="462">
        <f t="shared" si="0"/>
        <v>7.0619931215852214E-4</v>
      </c>
      <c r="E33" s="463">
        <v>20.865741</v>
      </c>
      <c r="F33" s="760">
        <f t="shared" si="1"/>
        <v>7.0619931215852208E-2</v>
      </c>
      <c r="G33" s="775" t="s">
        <v>66</v>
      </c>
      <c r="H33" s="764">
        <f t="shared" si="2"/>
        <v>9.8425196850393699E-4</v>
      </c>
      <c r="I33" s="766">
        <v>35</v>
      </c>
      <c r="J33" s="766">
        <v>0</v>
      </c>
      <c r="K33" s="767">
        <v>0</v>
      </c>
      <c r="L33" s="763"/>
      <c r="M33" s="768" t="s">
        <v>732</v>
      </c>
      <c r="N33" s="769">
        <f t="shared" si="3"/>
        <v>7.7971021110602424E-4</v>
      </c>
      <c r="O33" s="3896">
        <v>27.169809999999998</v>
      </c>
      <c r="P33" s="3897">
        <v>27.169809999999995</v>
      </c>
      <c r="Q33" s="770">
        <v>1</v>
      </c>
      <c r="R33" s="763"/>
      <c r="S33" s="763"/>
      <c r="T33" s="776">
        <f t="shared" si="4"/>
        <v>642.62992125984249</v>
      </c>
      <c r="W33" s="5738" t="s">
        <v>407</v>
      </c>
      <c r="X33" s="5738"/>
      <c r="Y33" s="5738"/>
      <c r="Z33" s="5738"/>
      <c r="AA33" s="5738"/>
    </row>
    <row r="34" spans="3:27">
      <c r="C34" s="461" t="s">
        <v>54</v>
      </c>
      <c r="D34" s="462">
        <f t="shared" si="0"/>
        <v>8.6477219998794405E-4</v>
      </c>
      <c r="E34" s="463">
        <v>25.551020000000001</v>
      </c>
      <c r="F34" s="760">
        <f t="shared" si="1"/>
        <v>8.6477219998794402E-2</v>
      </c>
      <c r="G34" s="775" t="s">
        <v>403</v>
      </c>
      <c r="H34" s="764">
        <f t="shared" si="2"/>
        <v>4.7806524184476943E-4</v>
      </c>
      <c r="I34" s="766">
        <v>17</v>
      </c>
      <c r="J34" s="766">
        <v>152</v>
      </c>
      <c r="K34" s="767">
        <v>9</v>
      </c>
      <c r="L34" s="763"/>
      <c r="M34" s="768" t="s">
        <v>61</v>
      </c>
      <c r="N34" s="769">
        <f t="shared" si="3"/>
        <v>7.7971021110602424E-4</v>
      </c>
      <c r="O34" s="3896">
        <v>27.169809999999998</v>
      </c>
      <c r="P34" s="3897">
        <v>108.67923999999998</v>
      </c>
      <c r="Q34" s="770">
        <v>4</v>
      </c>
      <c r="R34" s="763"/>
      <c r="S34" s="763"/>
      <c r="T34" s="776">
        <f t="shared" si="4"/>
        <v>312.13453318335212</v>
      </c>
      <c r="W34" s="5738"/>
      <c r="X34" s="5738"/>
      <c r="Y34" s="5738"/>
      <c r="Z34" s="5738"/>
      <c r="AA34" s="5738"/>
    </row>
    <row r="35" spans="3:27">
      <c r="G35" s="775" t="s">
        <v>333</v>
      </c>
      <c r="H35" s="764">
        <f t="shared" si="2"/>
        <v>4.7806524184476943E-4</v>
      </c>
      <c r="I35" s="766">
        <v>17</v>
      </c>
      <c r="J35" s="766">
        <v>0</v>
      </c>
      <c r="K35" s="767">
        <v>0</v>
      </c>
      <c r="L35" s="763"/>
      <c r="M35" s="768" t="s">
        <v>65</v>
      </c>
      <c r="N35" s="769">
        <f t="shared" si="3"/>
        <v>7.7971021110602424E-4</v>
      </c>
      <c r="O35" s="3896">
        <v>27.169809999999998</v>
      </c>
      <c r="P35" s="3897">
        <v>27.169809999999995</v>
      </c>
      <c r="Q35" s="770">
        <v>1</v>
      </c>
      <c r="R35" s="763"/>
      <c r="S35" s="763"/>
      <c r="T35" s="776">
        <f t="shared" si="4"/>
        <v>312.13453318335212</v>
      </c>
    </row>
    <row r="36" spans="3:27" ht="15" thickBot="1">
      <c r="C36" s="464" t="s">
        <v>53</v>
      </c>
      <c r="D36" s="465">
        <f>E36/$E$36</f>
        <v>1</v>
      </c>
      <c r="E36" s="466">
        <v>29546.532601714316</v>
      </c>
      <c r="F36" s="762">
        <f>+E36/$E$36*100</f>
        <v>100</v>
      </c>
      <c r="G36" s="777" t="s">
        <v>53</v>
      </c>
      <c r="H36" s="778"/>
      <c r="I36" s="779">
        <v>35560</v>
      </c>
      <c r="J36" s="779">
        <v>8791</v>
      </c>
      <c r="K36" s="780">
        <v>0</v>
      </c>
      <c r="L36" s="781"/>
      <c r="M36" s="782" t="s">
        <v>53</v>
      </c>
      <c r="N36" s="783">
        <f t="shared" si="3"/>
        <v>1</v>
      </c>
      <c r="O36" s="784">
        <f>SUM(O12:O35)</f>
        <v>34846.035889999999</v>
      </c>
      <c r="P36" s="785">
        <f>SUM(P12:P35)</f>
        <v>22888.832080000004</v>
      </c>
      <c r="Q36" s="786">
        <v>5.2977286583752106</v>
      </c>
      <c r="R36" s="781"/>
      <c r="S36" s="781"/>
      <c r="T36" s="787"/>
    </row>
    <row r="37" spans="3:27" s="432" customFormat="1" ht="38.25" customHeight="1" thickTop="1">
      <c r="C37" s="804"/>
      <c r="D37" s="804"/>
      <c r="E37" s="805"/>
      <c r="F37" s="805"/>
    </row>
    <row r="38" spans="3:27" s="432" customFormat="1" ht="38.25" customHeight="1">
      <c r="C38" s="804"/>
      <c r="D38" s="804"/>
      <c r="E38" s="805"/>
      <c r="F38" s="805"/>
      <c r="G38" s="2231" t="s">
        <v>1409</v>
      </c>
      <c r="H38" s="2232">
        <f>SUM(H14,H15,H16,H17,H19,H23,H26:H35)</f>
        <v>7.6434195725534296E-2</v>
      </c>
    </row>
    <row r="41" spans="3:27">
      <c r="C41" s="206" t="s">
        <v>392</v>
      </c>
    </row>
  </sheetData>
  <sortState xmlns:xlrd2="http://schemas.microsoft.com/office/spreadsheetml/2017/richdata2" ref="G12:K35">
    <sortCondition descending="1" ref="H12:H35"/>
  </sortState>
  <mergeCells count="3">
    <mergeCell ref="O10:Q10"/>
    <mergeCell ref="W30:AA31"/>
    <mergeCell ref="W33:AA34"/>
  </mergeCells>
  <hyperlinks>
    <hyperlink ref="K11" location="_ftn2" display="_ftn2" xr:uid="{00000000-0004-0000-2200-000000000000}"/>
    <hyperlink ref="I11" location="_ftn1" display="_ftn1" xr:uid="{00000000-0004-0000-2200-000001000000}"/>
  </hyperlinks>
  <pageMargins left="0.28000000000000003" right="0.23" top="0.74803149606299213" bottom="0.74803149606299213" header="0.31496062992125984" footer="0.31496062992125984"/>
  <pageSetup paperSize="9" scale="88" orientation="landscape" verticalDpi="597"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rgb="FF002060"/>
  </sheetPr>
  <dimension ref="A3:E83"/>
  <sheetViews>
    <sheetView showGridLines="0" topLeftCell="A7" workbookViewId="0">
      <selection activeCell="E32" activeCellId="1" sqref="E16 E32"/>
    </sheetView>
  </sheetViews>
  <sheetFormatPr baseColWidth="10" defaultColWidth="11.44140625" defaultRowHeight="14.4"/>
  <cols>
    <col min="1" max="1" width="32.6640625" style="428" customWidth="1"/>
    <col min="2" max="4" width="11.6640625" style="428" customWidth="1"/>
    <col min="5" max="5" width="10.33203125" style="428" customWidth="1"/>
    <col min="6" max="16384" width="11.44140625" style="428"/>
  </cols>
  <sheetData>
    <row r="3" spans="1:5" s="505" customFormat="1" ht="17.399999999999999">
      <c r="A3" s="502" t="s">
        <v>396</v>
      </c>
    </row>
    <row r="5" spans="1:5" ht="15.6">
      <c r="A5" s="429" t="s">
        <v>345</v>
      </c>
    </row>
    <row r="6" spans="1:5">
      <c r="A6" s="428" t="s">
        <v>346</v>
      </c>
    </row>
    <row r="7" spans="1:5">
      <c r="A7" s="431" t="s">
        <v>408</v>
      </c>
    </row>
    <row r="9" spans="1:5" ht="24">
      <c r="A9" s="433" t="s">
        <v>205</v>
      </c>
      <c r="B9" s="434" t="s">
        <v>347</v>
      </c>
      <c r="C9" s="433" t="s">
        <v>348</v>
      </c>
      <c r="D9" s="433" t="s">
        <v>349</v>
      </c>
      <c r="E9" s="433" t="s">
        <v>409</v>
      </c>
    </row>
    <row r="10" spans="1:5">
      <c r="A10" s="435" t="s">
        <v>204</v>
      </c>
      <c r="B10" s="436">
        <v>47195.998269999654</v>
      </c>
      <c r="C10" s="436">
        <v>506498</v>
      </c>
      <c r="D10" s="437">
        <v>10.731799698407009</v>
      </c>
      <c r="E10" s="438">
        <v>44.168012283292576</v>
      </c>
    </row>
    <row r="11" spans="1:5">
      <c r="A11" s="435" t="s">
        <v>410</v>
      </c>
      <c r="B11" s="436">
        <v>59659.61018999997</v>
      </c>
      <c r="C11" s="436">
        <v>380123.04319999984</v>
      </c>
      <c r="D11" s="437">
        <v>6.3715307892460107</v>
      </c>
      <c r="E11" s="438">
        <v>55.831987716707424</v>
      </c>
    </row>
    <row r="12" spans="1:5">
      <c r="A12" s="439" t="s">
        <v>411</v>
      </c>
      <c r="B12" s="440">
        <v>6558.4625199999982</v>
      </c>
      <c r="C12" s="441">
        <v>21303.475259999999</v>
      </c>
      <c r="D12" s="442">
        <v>3.7587873448954618</v>
      </c>
      <c r="E12" s="438">
        <v>6.1376867480522517</v>
      </c>
    </row>
    <row r="13" spans="1:5">
      <c r="A13" s="439" t="s">
        <v>357</v>
      </c>
      <c r="B13" s="440">
        <v>5993.069529999997</v>
      </c>
      <c r="C13" s="441">
        <v>52096.034659999983</v>
      </c>
      <c r="D13" s="442">
        <v>5.8520751213559308</v>
      </c>
      <c r="E13" s="438">
        <v>5.6085680633632302</v>
      </c>
    </row>
    <row r="14" spans="1:5">
      <c r="A14" s="439" t="s">
        <v>350</v>
      </c>
      <c r="B14" s="440">
        <v>5524.7786599999972</v>
      </c>
      <c r="C14" s="441">
        <v>36485.286509999991</v>
      </c>
      <c r="D14" s="442">
        <v>4.4200010335857138</v>
      </c>
      <c r="E14" s="438">
        <v>5.170321651453742</v>
      </c>
    </row>
    <row r="15" spans="1:5">
      <c r="A15" s="439" t="s">
        <v>365</v>
      </c>
      <c r="B15" s="443">
        <v>4375.9498100000001</v>
      </c>
      <c r="C15" s="444">
        <v>28883.801839999996</v>
      </c>
      <c r="D15" s="445">
        <v>4.7707455611606848</v>
      </c>
      <c r="E15" s="438">
        <v>4.095199000844298</v>
      </c>
    </row>
    <row r="16" spans="1:5">
      <c r="A16" s="3940" t="s">
        <v>358</v>
      </c>
      <c r="B16" s="443">
        <v>3471.8460299999983</v>
      </c>
      <c r="C16" s="444">
        <v>24344.763639999994</v>
      </c>
      <c r="D16" s="445">
        <v>5.3503161460263629</v>
      </c>
      <c r="E16" s="3941">
        <v>3.2491004263006475</v>
      </c>
    </row>
    <row r="17" spans="1:5">
      <c r="A17" s="439" t="s">
        <v>363</v>
      </c>
      <c r="B17" s="443">
        <v>2778.0834499999996</v>
      </c>
      <c r="C17" s="444">
        <v>11282.860129999997</v>
      </c>
      <c r="D17" s="445">
        <v>3.5084819777984069</v>
      </c>
      <c r="E17" s="438">
        <v>2.5998480473207435</v>
      </c>
    </row>
    <row r="18" spans="1:5">
      <c r="A18" s="439" t="s">
        <v>353</v>
      </c>
      <c r="B18" s="443">
        <v>2540.8164300000003</v>
      </c>
      <c r="C18" s="444">
        <v>10906.373589999999</v>
      </c>
      <c r="D18" s="445">
        <v>3.8688493046895154</v>
      </c>
      <c r="E18" s="438">
        <v>2.3778035300328955</v>
      </c>
    </row>
    <row r="19" spans="1:5">
      <c r="A19" s="439" t="s">
        <v>351</v>
      </c>
      <c r="B19" s="440">
        <v>2216.6014600000003</v>
      </c>
      <c r="C19" s="441">
        <v>19998.448090000002</v>
      </c>
      <c r="D19" s="442">
        <v>7.7564621295111884</v>
      </c>
      <c r="E19" s="438">
        <v>2.0743894419259838</v>
      </c>
    </row>
    <row r="20" spans="1:5">
      <c r="A20" s="439" t="s">
        <v>359</v>
      </c>
      <c r="B20" s="440">
        <v>2015.1596299999999</v>
      </c>
      <c r="C20" s="441">
        <v>9065.4973299999983</v>
      </c>
      <c r="D20" s="442">
        <v>4.0388136648153488</v>
      </c>
      <c r="E20" s="438">
        <v>1.8858716533857516</v>
      </c>
    </row>
    <row r="21" spans="1:5">
      <c r="A21" s="439" t="s">
        <v>356</v>
      </c>
      <c r="B21" s="440">
        <v>2013.0848300000002</v>
      </c>
      <c r="C21" s="441">
        <v>5787.3167299999996</v>
      </c>
      <c r="D21" s="442">
        <v>2.8787547643414757</v>
      </c>
      <c r="E21" s="438">
        <v>1.8839299677504333</v>
      </c>
    </row>
    <row r="22" spans="1:5">
      <c r="A22" s="439" t="s">
        <v>361</v>
      </c>
      <c r="B22" s="440">
        <v>1943.8291000000002</v>
      </c>
      <c r="C22" s="441">
        <v>12293.13077</v>
      </c>
      <c r="D22" s="442">
        <v>4.0892742978646393</v>
      </c>
      <c r="E22" s="438">
        <v>1.8191175250549942</v>
      </c>
    </row>
    <row r="23" spans="1:5">
      <c r="A23" s="439" t="s">
        <v>360</v>
      </c>
      <c r="B23" s="440">
        <v>1876.1559199999999</v>
      </c>
      <c r="C23" s="441">
        <v>15159.202720000001</v>
      </c>
      <c r="D23" s="442">
        <v>5.058862564336513</v>
      </c>
      <c r="E23" s="438">
        <v>1.7557860996152777</v>
      </c>
    </row>
    <row r="24" spans="1:5">
      <c r="A24" s="439" t="s">
        <v>355</v>
      </c>
      <c r="B24" s="443">
        <v>1854.0026399999999</v>
      </c>
      <c r="C24" s="444">
        <v>13816.270349999999</v>
      </c>
      <c r="D24" s="445">
        <v>7.5528944303423771</v>
      </c>
      <c r="E24" s="438">
        <v>1.7350541227735632</v>
      </c>
    </row>
    <row r="25" spans="1:5">
      <c r="A25" s="439" t="s">
        <v>352</v>
      </c>
      <c r="B25" s="440">
        <v>1638.3375800000001</v>
      </c>
      <c r="C25" s="441">
        <v>12225.291030000002</v>
      </c>
      <c r="D25" s="442">
        <v>5.3579524530923202</v>
      </c>
      <c r="E25" s="438">
        <v>1.5332256337422814</v>
      </c>
    </row>
    <row r="26" spans="1:5">
      <c r="A26" s="439" t="s">
        <v>51</v>
      </c>
      <c r="B26" s="440">
        <v>1613.3193300000003</v>
      </c>
      <c r="C26" s="441">
        <v>10337.560840000002</v>
      </c>
      <c r="D26" s="442">
        <v>5.1074958354206723</v>
      </c>
      <c r="E26" s="438">
        <v>1.5098124967431454</v>
      </c>
    </row>
    <row r="27" spans="1:5">
      <c r="A27" s="439" t="s">
        <v>372</v>
      </c>
      <c r="B27" s="440">
        <v>1379.2604700000002</v>
      </c>
      <c r="C27" s="441">
        <v>10374.379439999997</v>
      </c>
      <c r="D27" s="442">
        <v>4.9828712308828438</v>
      </c>
      <c r="E27" s="438">
        <v>1.290770311336829</v>
      </c>
    </row>
    <row r="28" spans="1:5">
      <c r="A28" s="439" t="s">
        <v>413</v>
      </c>
      <c r="B28" s="440">
        <v>1215.5427099999999</v>
      </c>
      <c r="C28" s="441">
        <v>8965.7642200000009</v>
      </c>
      <c r="D28" s="442">
        <v>7.7205986705319383</v>
      </c>
      <c r="E28" s="438">
        <v>1.1375563037994647</v>
      </c>
    </row>
    <row r="29" spans="1:5">
      <c r="A29" s="439" t="s">
        <v>354</v>
      </c>
      <c r="B29" s="440">
        <v>1094.2240000000002</v>
      </c>
      <c r="C29" s="441">
        <v>5582.8043800000005</v>
      </c>
      <c r="D29" s="442">
        <v>4.3858435449405313</v>
      </c>
      <c r="E29" s="438">
        <v>1.0240211213710999</v>
      </c>
    </row>
    <row r="30" spans="1:5">
      <c r="A30" s="439" t="s">
        <v>414</v>
      </c>
      <c r="B30" s="443">
        <v>884.62934000000018</v>
      </c>
      <c r="C30" s="444">
        <v>7372.0653800000018</v>
      </c>
      <c r="D30" s="445">
        <v>4.8925189582369857</v>
      </c>
      <c r="E30" s="438">
        <v>0.82787356952925184</v>
      </c>
    </row>
    <row r="31" spans="1:5">
      <c r="A31" s="439" t="s">
        <v>415</v>
      </c>
      <c r="B31" s="440">
        <v>857.76254000000006</v>
      </c>
      <c r="C31" s="441">
        <v>3380.5369599999999</v>
      </c>
      <c r="D31" s="442">
        <v>3.9411105082765676</v>
      </c>
      <c r="E31" s="438">
        <v>0.80273048121858315</v>
      </c>
    </row>
    <row r="32" spans="1:5">
      <c r="A32" s="3940" t="s">
        <v>412</v>
      </c>
      <c r="B32" s="440">
        <v>658.92244999999991</v>
      </c>
      <c r="C32" s="441">
        <v>4779.6891899999991</v>
      </c>
      <c r="D32" s="442">
        <v>4.866888754706733</v>
      </c>
      <c r="E32" s="3941">
        <v>0.61664751106317572</v>
      </c>
    </row>
    <row r="33" spans="1:5">
      <c r="A33" s="439" t="s">
        <v>364</v>
      </c>
      <c r="B33" s="440">
        <v>638.86275999999998</v>
      </c>
      <c r="C33" s="441">
        <v>1863.12527</v>
      </c>
      <c r="D33" s="442">
        <v>2.8574122890472706</v>
      </c>
      <c r="E33" s="438">
        <v>0.59787480433388029</v>
      </c>
    </row>
    <row r="34" spans="1:5">
      <c r="A34" s="439" t="s">
        <v>416</v>
      </c>
      <c r="B34" s="443">
        <v>558.92277999999999</v>
      </c>
      <c r="C34" s="444">
        <v>2173.79745</v>
      </c>
      <c r="D34" s="445">
        <v>3.5139095197388057</v>
      </c>
      <c r="E34" s="438">
        <v>0.52306358838359657</v>
      </c>
    </row>
    <row r="35" spans="1:5">
      <c r="A35" s="439" t="s">
        <v>380</v>
      </c>
      <c r="B35" s="443">
        <v>547.84866</v>
      </c>
      <c r="C35" s="444">
        <v>6188.0057699999998</v>
      </c>
      <c r="D35" s="445">
        <v>8.8935186106835946</v>
      </c>
      <c r="E35" s="438">
        <v>0.5126999582853734</v>
      </c>
    </row>
    <row r="36" spans="1:5">
      <c r="A36" s="439" t="s">
        <v>417</v>
      </c>
      <c r="B36" s="440">
        <v>546.66314</v>
      </c>
      <c r="C36" s="441">
        <v>4849.0818300000001</v>
      </c>
      <c r="D36" s="442">
        <v>7.1830168776521859</v>
      </c>
      <c r="E36" s="438">
        <v>0.51159049850400518</v>
      </c>
    </row>
    <row r="37" spans="1:5">
      <c r="A37" s="439" t="s">
        <v>64</v>
      </c>
      <c r="B37" s="443">
        <v>461.54412000000002</v>
      </c>
      <c r="C37" s="444">
        <v>4241.4395699999995</v>
      </c>
      <c r="D37" s="445">
        <v>4.7294521743388662</v>
      </c>
      <c r="E37" s="438">
        <v>0.4319325177702531</v>
      </c>
    </row>
    <row r="38" spans="1:5">
      <c r="A38" s="439" t="s">
        <v>418</v>
      </c>
      <c r="B38" s="443">
        <v>438.94331000000005</v>
      </c>
      <c r="C38" s="444">
        <v>3011.1733600000007</v>
      </c>
      <c r="D38" s="445">
        <v>5.8284972907630408</v>
      </c>
      <c r="E38" s="438">
        <v>0.4107817234172732</v>
      </c>
    </row>
    <row r="39" spans="1:5">
      <c r="A39" s="439" t="s">
        <v>419</v>
      </c>
      <c r="B39" s="443">
        <v>325.11804000000001</v>
      </c>
      <c r="C39" s="444">
        <v>3614.3173399999996</v>
      </c>
      <c r="D39" s="445">
        <v>10.066914460430539</v>
      </c>
      <c r="E39" s="438">
        <v>0.30425921922638699</v>
      </c>
    </row>
    <row r="40" spans="1:5">
      <c r="A40" s="439" t="s">
        <v>420</v>
      </c>
      <c r="B40" s="443">
        <v>309.51191</v>
      </c>
      <c r="C40" s="444">
        <v>1145.6905000000002</v>
      </c>
      <c r="D40" s="445">
        <v>3</v>
      </c>
      <c r="E40" s="438">
        <v>0.28965434239781884</v>
      </c>
    </row>
    <row r="41" spans="1:5">
      <c r="A41" s="439" t="s">
        <v>377</v>
      </c>
      <c r="B41" s="443">
        <v>239.34573</v>
      </c>
      <c r="C41" s="444">
        <v>2270.9151399999996</v>
      </c>
      <c r="D41" s="445">
        <v>7.4963038697432118</v>
      </c>
      <c r="E41" s="438">
        <v>0.22398986206661936</v>
      </c>
    </row>
    <row r="42" spans="1:5">
      <c r="A42" s="439" t="s">
        <v>369</v>
      </c>
      <c r="B42" s="443">
        <v>213.47997999999998</v>
      </c>
      <c r="C42" s="444">
        <v>1500.8500099999999</v>
      </c>
      <c r="D42" s="445">
        <v>4.8634081754027267</v>
      </c>
      <c r="E42" s="438">
        <v>0.19978359870545698</v>
      </c>
    </row>
    <row r="43" spans="1:5">
      <c r="A43" s="439" t="s">
        <v>368</v>
      </c>
      <c r="B43" s="440">
        <v>194.54256999999998</v>
      </c>
      <c r="C43" s="441">
        <v>679.79573000000005</v>
      </c>
      <c r="D43" s="442">
        <v>3.3402178062590608</v>
      </c>
      <c r="E43" s="438">
        <v>0.18206116908952433</v>
      </c>
    </row>
    <row r="44" spans="1:5">
      <c r="A44" s="439" t="s">
        <v>362</v>
      </c>
      <c r="B44" s="443">
        <v>190.9418</v>
      </c>
      <c r="C44" s="444">
        <v>591.55538000000001</v>
      </c>
      <c r="D44" s="445">
        <v>2.4330052616637641</v>
      </c>
      <c r="E44" s="438">
        <v>0.17869141615667017</v>
      </c>
    </row>
    <row r="45" spans="1:5">
      <c r="A45" s="439" t="s">
        <v>421</v>
      </c>
      <c r="B45" s="443">
        <v>144.47683999999998</v>
      </c>
      <c r="C45" s="444">
        <v>1838.2326499999999</v>
      </c>
      <c r="D45" s="445">
        <v>10.75</v>
      </c>
      <c r="E45" s="438">
        <v>0.1352075404203828</v>
      </c>
    </row>
    <row r="46" spans="1:5">
      <c r="A46" s="439" t="s">
        <v>422</v>
      </c>
      <c r="B46" s="443">
        <v>143.73333</v>
      </c>
      <c r="C46" s="444">
        <v>574.93331999999998</v>
      </c>
      <c r="D46" s="445">
        <v>4</v>
      </c>
      <c r="E46" s="438">
        <v>0.13451173230070107</v>
      </c>
    </row>
    <row r="47" spans="1:5">
      <c r="A47" s="439" t="s">
        <v>376</v>
      </c>
      <c r="B47" s="443">
        <v>126.56004000000001</v>
      </c>
      <c r="C47" s="444">
        <v>961.86192000000005</v>
      </c>
      <c r="D47" s="445">
        <v>9</v>
      </c>
      <c r="E47" s="438">
        <v>0.11844024082963935</v>
      </c>
    </row>
    <row r="48" spans="1:5">
      <c r="A48" s="439" t="s">
        <v>423</v>
      </c>
      <c r="B48" s="443">
        <v>122.80292</v>
      </c>
      <c r="C48" s="444">
        <v>3162.1737800000005</v>
      </c>
      <c r="D48" s="445">
        <v>24</v>
      </c>
      <c r="E48" s="438">
        <v>0.11492416895082312</v>
      </c>
    </row>
    <row r="49" spans="1:5">
      <c r="A49" s="439" t="s">
        <v>366</v>
      </c>
      <c r="B49" s="443">
        <v>121.35509000000002</v>
      </c>
      <c r="C49" s="444">
        <v>2668.0813800000001</v>
      </c>
      <c r="D49" s="445">
        <v>17.315778585888197</v>
      </c>
      <c r="E49" s="438">
        <v>0.11356922837178747</v>
      </c>
    </row>
    <row r="50" spans="1:5">
      <c r="A50" s="439" t="s">
        <v>424</v>
      </c>
      <c r="B50" s="440">
        <v>111.8283</v>
      </c>
      <c r="C50" s="441">
        <v>335.48490000000004</v>
      </c>
      <c r="D50" s="442">
        <v>2.7369562435074779</v>
      </c>
      <c r="E50" s="438">
        <v>0.10465365516294997</v>
      </c>
    </row>
    <row r="51" spans="1:5">
      <c r="A51" s="439" t="s">
        <v>370</v>
      </c>
      <c r="B51" s="440">
        <v>103.55562</v>
      </c>
      <c r="C51" s="441">
        <v>1852.8988399999998</v>
      </c>
      <c r="D51" s="442">
        <v>14.666666666666666</v>
      </c>
      <c r="E51" s="438">
        <v>9.6911731159871742E-2</v>
      </c>
    </row>
    <row r="52" spans="1:5">
      <c r="A52" s="439" t="s">
        <v>425</v>
      </c>
      <c r="B52" s="443">
        <v>103.33982</v>
      </c>
      <c r="C52" s="444">
        <v>501.49238000000003</v>
      </c>
      <c r="D52" s="445">
        <v>4.1080018887883281</v>
      </c>
      <c r="E52" s="438">
        <v>9.6709776388278476E-2</v>
      </c>
    </row>
    <row r="53" spans="1:5">
      <c r="A53" s="439" t="s">
        <v>426</v>
      </c>
      <c r="B53" s="440">
        <v>102.61644000000001</v>
      </c>
      <c r="C53" s="441">
        <v>203.64525</v>
      </c>
      <c r="D53" s="442">
        <v>1.9883059143289616</v>
      </c>
      <c r="E53" s="438">
        <v>9.603280677439921E-2</v>
      </c>
    </row>
    <row r="54" spans="1:5">
      <c r="A54" s="439" t="s">
        <v>427</v>
      </c>
      <c r="B54" s="443">
        <v>97.934740000000005</v>
      </c>
      <c r="C54" s="444">
        <v>391.73896000000002</v>
      </c>
      <c r="D54" s="445">
        <v>4</v>
      </c>
      <c r="E54" s="438">
        <v>9.1651473807910555E-2</v>
      </c>
    </row>
    <row r="55" spans="1:5">
      <c r="A55" s="439" t="s">
        <v>428</v>
      </c>
      <c r="B55" s="443">
        <v>97.341279999999998</v>
      </c>
      <c r="C55" s="444">
        <v>192.23435999999998</v>
      </c>
      <c r="D55" s="445">
        <v>2</v>
      </c>
      <c r="E55" s="438">
        <v>9.1096088827605878E-2</v>
      </c>
    </row>
    <row r="56" spans="1:5">
      <c r="A56" s="439" t="s">
        <v>367</v>
      </c>
      <c r="B56" s="443">
        <v>93.625110000000006</v>
      </c>
      <c r="C56" s="444">
        <v>141.07165000000001</v>
      </c>
      <c r="D56" s="445">
        <v>1.5067715274246405</v>
      </c>
      <c r="E56" s="438">
        <v>8.7618339691592009E-2</v>
      </c>
    </row>
    <row r="57" spans="1:5">
      <c r="A57" s="439" t="s">
        <v>374</v>
      </c>
      <c r="B57" s="440">
        <v>93.625110000000006</v>
      </c>
      <c r="C57" s="441">
        <v>3541.2705700000001</v>
      </c>
      <c r="D57" s="442">
        <v>37.823940286959342</v>
      </c>
      <c r="E57" s="438">
        <v>8.7618339691592009E-2</v>
      </c>
    </row>
    <row r="58" spans="1:5">
      <c r="A58" s="439" t="s">
        <v>334</v>
      </c>
      <c r="B58" s="443">
        <v>93.204939999999993</v>
      </c>
      <c r="C58" s="444">
        <v>186.40987999999999</v>
      </c>
      <c r="D58" s="445">
        <v>2</v>
      </c>
      <c r="E58" s="438">
        <v>8.7225126826066757E-2</v>
      </c>
    </row>
    <row r="59" spans="1:5">
      <c r="A59" s="439" t="s">
        <v>429</v>
      </c>
      <c r="B59" s="443">
        <v>91.82535</v>
      </c>
      <c r="C59" s="444">
        <v>1725.5324500000002</v>
      </c>
      <c r="D59" s="445">
        <v>19.5</v>
      </c>
      <c r="E59" s="438">
        <v>8.5934048126611859E-2</v>
      </c>
    </row>
    <row r="60" spans="1:5">
      <c r="A60" s="439" t="s">
        <v>430</v>
      </c>
      <c r="B60" s="440">
        <v>80.593600000000009</v>
      </c>
      <c r="C60" s="441">
        <v>180.03478000000001</v>
      </c>
      <c r="D60" s="442">
        <v>2.5</v>
      </c>
      <c r="E60" s="438">
        <v>7.5422901204263371E-2</v>
      </c>
    </row>
    <row r="61" spans="1:5">
      <c r="A61" s="439" t="s">
        <v>431</v>
      </c>
      <c r="B61" s="440">
        <v>60.245420000000003</v>
      </c>
      <c r="C61" s="441">
        <v>77.180640000000011</v>
      </c>
      <c r="D61" s="442">
        <v>1.5</v>
      </c>
      <c r="E61" s="438">
        <v>5.6380213325491757E-2</v>
      </c>
    </row>
    <row r="62" spans="1:5">
      <c r="A62" s="439" t="s">
        <v>371</v>
      </c>
      <c r="B62" s="443">
        <v>51.669910000000002</v>
      </c>
      <c r="C62" s="444">
        <v>138.07451</v>
      </c>
      <c r="D62" s="445">
        <v>2.5</v>
      </c>
      <c r="E62" s="438">
        <v>4.8354888194139238E-2</v>
      </c>
    </row>
    <row r="63" spans="1:5">
      <c r="A63" s="439" t="s">
        <v>432</v>
      </c>
      <c r="B63" s="443">
        <v>51.669910000000002</v>
      </c>
      <c r="C63" s="444">
        <v>223.61486000000002</v>
      </c>
      <c r="D63" s="445">
        <v>4.5</v>
      </c>
      <c r="E63" s="438">
        <v>4.8354888194139238E-2</v>
      </c>
    </row>
    <row r="64" spans="1:5">
      <c r="A64" s="439" t="s">
        <v>433</v>
      </c>
      <c r="B64" s="440">
        <v>51.669910000000002</v>
      </c>
      <c r="C64" s="441">
        <v>68.605130000000003</v>
      </c>
      <c r="D64" s="442">
        <v>1.5</v>
      </c>
      <c r="E64" s="438">
        <v>4.8354888194139238E-2</v>
      </c>
    </row>
    <row r="65" spans="1:5">
      <c r="A65" s="439" t="s">
        <v>378</v>
      </c>
      <c r="B65" s="443">
        <v>51.669910000000002</v>
      </c>
      <c r="C65" s="444">
        <v>292.21999</v>
      </c>
      <c r="D65" s="445">
        <v>5.6555157537530061</v>
      </c>
      <c r="E65" s="438">
        <v>4.8354888194139238E-2</v>
      </c>
    </row>
    <row r="66" spans="1:5">
      <c r="A66" s="439" t="s">
        <v>375</v>
      </c>
      <c r="B66" s="440">
        <v>49.894739999999999</v>
      </c>
      <c r="C66" s="441">
        <v>49.894739999999999</v>
      </c>
      <c r="D66" s="442">
        <v>1</v>
      </c>
      <c r="E66" s="438">
        <v>4.6693608991686772E-2</v>
      </c>
    </row>
    <row r="67" spans="1:5">
      <c r="A67" s="439" t="s">
        <v>434</v>
      </c>
      <c r="B67" s="440">
        <v>48.04</v>
      </c>
      <c r="C67" s="441">
        <v>48.04</v>
      </c>
      <c r="D67" s="442">
        <v>1</v>
      </c>
      <c r="E67" s="438">
        <v>4.4957864816223762E-2</v>
      </c>
    </row>
    <row r="68" spans="1:5">
      <c r="A68" s="439" t="s">
        <v>435</v>
      </c>
      <c r="B68" s="440">
        <v>47.446539999999999</v>
      </c>
      <c r="C68" s="441">
        <v>94.893079999999998</v>
      </c>
      <c r="D68" s="442">
        <v>2</v>
      </c>
      <c r="E68" s="438">
        <v>4.4402479835919099E-2</v>
      </c>
    </row>
    <row r="69" spans="1:5">
      <c r="A69" s="439" t="s">
        <v>436</v>
      </c>
      <c r="B69" s="443">
        <v>47.446539999999999</v>
      </c>
      <c r="C69" s="444">
        <v>1233.61004</v>
      </c>
      <c r="D69" s="445">
        <v>26.000000000000004</v>
      </c>
      <c r="E69" s="438">
        <v>4.4402479835919099E-2</v>
      </c>
    </row>
    <row r="70" spans="1:5">
      <c r="A70" s="439" t="s">
        <v>437</v>
      </c>
      <c r="B70" s="443">
        <v>43.310200000000002</v>
      </c>
      <c r="C70" s="444">
        <v>346.48160000000001</v>
      </c>
      <c r="D70" s="445">
        <v>8</v>
      </c>
      <c r="E70" s="438">
        <v>4.0531517834379992E-2</v>
      </c>
    </row>
    <row r="71" spans="1:5">
      <c r="A71" s="439" t="s">
        <v>438</v>
      </c>
      <c r="B71" s="443">
        <v>43.310200000000002</v>
      </c>
      <c r="C71" s="444">
        <v>216.55100000000002</v>
      </c>
      <c r="D71" s="445">
        <v>5</v>
      </c>
      <c r="E71" s="438">
        <v>4.0531517834379992E-2</v>
      </c>
    </row>
    <row r="72" spans="1:5">
      <c r="A72" s="439" t="s">
        <v>381</v>
      </c>
      <c r="B72" s="443">
        <v>43.310200000000002</v>
      </c>
      <c r="C72" s="444">
        <v>692.96320000000003</v>
      </c>
      <c r="D72" s="445">
        <v>16</v>
      </c>
      <c r="E72" s="438">
        <v>4.0531517834379992E-2</v>
      </c>
    </row>
    <row r="73" spans="1:5">
      <c r="A73" s="439" t="s">
        <v>439</v>
      </c>
      <c r="B73" s="440">
        <v>34.734690000000001</v>
      </c>
      <c r="C73" s="441">
        <v>694.69380000000001</v>
      </c>
      <c r="D73" s="442">
        <v>20</v>
      </c>
      <c r="E73" s="438">
        <v>3.2506192703027466E-2</v>
      </c>
    </row>
    <row r="74" spans="1:5">
      <c r="A74" s="439" t="s">
        <v>440</v>
      </c>
      <c r="B74" s="443">
        <v>34.734690000000001</v>
      </c>
      <c r="C74" s="444">
        <v>138.93876</v>
      </c>
      <c r="D74" s="445">
        <v>4</v>
      </c>
      <c r="E74" s="438">
        <v>3.2506192703027466E-2</v>
      </c>
    </row>
    <row r="75" spans="1:5">
      <c r="A75" s="439" t="s">
        <v>373</v>
      </c>
      <c r="B75" s="443">
        <v>34.734690000000001</v>
      </c>
      <c r="C75" s="444">
        <v>34.734690000000001</v>
      </c>
      <c r="D75" s="445">
        <v>1</v>
      </c>
      <c r="E75" s="438">
        <v>3.2506192703027466E-2</v>
      </c>
    </row>
    <row r="76" spans="1:5">
      <c r="A76" s="439" t="s">
        <v>441</v>
      </c>
      <c r="B76" s="443">
        <v>16.935220000000001</v>
      </c>
      <c r="C76" s="444">
        <v>50.805660000000003</v>
      </c>
      <c r="D76" s="445">
        <v>3</v>
      </c>
      <c r="E76" s="438">
        <v>1.5848695491111762E-2</v>
      </c>
    </row>
    <row r="77" spans="1:5">
      <c r="A77" s="439" t="s">
        <v>379</v>
      </c>
      <c r="B77" s="440">
        <v>16.935220000000001</v>
      </c>
      <c r="C77" s="441">
        <v>118.54654000000001</v>
      </c>
      <c r="D77" s="442">
        <v>7</v>
      </c>
      <c r="E77" s="438">
        <v>1.5848695491111762E-2</v>
      </c>
    </row>
    <row r="78" spans="1:5">
      <c r="A78" s="439" t="s">
        <v>442</v>
      </c>
      <c r="B78" s="443">
        <v>16.935220000000001</v>
      </c>
      <c r="C78" s="444">
        <v>508.0566</v>
      </c>
      <c r="D78" s="445">
        <v>30</v>
      </c>
      <c r="E78" s="438">
        <v>1.5848695491111762E-2</v>
      </c>
    </row>
    <row r="79" spans="1:5">
      <c r="A79" s="439" t="s">
        <v>443</v>
      </c>
      <c r="B79" s="440">
        <v>16.935220000000001</v>
      </c>
      <c r="C79" s="441">
        <v>67.740880000000004</v>
      </c>
      <c r="D79" s="442">
        <v>4</v>
      </c>
      <c r="E79" s="438">
        <v>1.5848695491111762E-2</v>
      </c>
    </row>
    <row r="80" spans="1:5">
      <c r="A80" s="165" t="s">
        <v>53</v>
      </c>
      <c r="B80" s="443">
        <v>106855.60845999962</v>
      </c>
      <c r="C80" s="443">
        <v>886621.04319999984</v>
      </c>
      <c r="D80" s="446">
        <v>8.2973748966288277</v>
      </c>
      <c r="E80" s="443">
        <v>100</v>
      </c>
    </row>
    <row r="83" spans="1:1">
      <c r="A83" s="206" t="s">
        <v>392</v>
      </c>
    </row>
  </sheetData>
  <sortState xmlns:xlrd2="http://schemas.microsoft.com/office/spreadsheetml/2017/richdata2" ref="A12:E79">
    <sortCondition descending="1" ref="B12:B79"/>
  </sortState>
  <pageMargins left="0.7" right="0.7" top="0.75" bottom="0.75" header="0.3" footer="0.3"/>
  <drawing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rgb="FF002060"/>
    <pageSetUpPr fitToPage="1"/>
  </sheetPr>
  <dimension ref="A1:Y35"/>
  <sheetViews>
    <sheetView showGridLines="0" topLeftCell="K1" zoomScale="85" zoomScaleNormal="85" workbookViewId="0">
      <selection activeCell="O27" sqref="N27:O27"/>
    </sheetView>
  </sheetViews>
  <sheetFormatPr baseColWidth="10" defaultColWidth="11.44140625" defaultRowHeight="14.4"/>
  <cols>
    <col min="1" max="1" width="27.44140625" style="2" customWidth="1"/>
    <col min="2" max="6" width="19.44140625" style="2" hidden="1" customWidth="1"/>
    <col min="7" max="9" width="19.44140625" style="7" hidden="1" customWidth="1"/>
    <col min="10" max="10" width="19.44140625" style="7" customWidth="1"/>
    <col min="11" max="15" width="19.44140625" style="661" customWidth="1"/>
    <col min="16" max="25" width="11.44140625" style="2"/>
  </cols>
  <sheetData>
    <row r="1" spans="1:25" ht="18">
      <c r="A1" s="1078" t="s">
        <v>75</v>
      </c>
      <c r="B1" s="1078"/>
      <c r="C1" s="1078"/>
      <c r="D1" s="1078"/>
      <c r="E1" s="1078"/>
      <c r="F1" s="1078"/>
      <c r="G1" s="1079"/>
      <c r="H1" s="1079"/>
      <c r="I1" s="1079"/>
      <c r="J1" s="1079"/>
      <c r="K1" s="1080"/>
      <c r="L1" s="1080"/>
      <c r="M1" s="1080"/>
      <c r="N1" s="1080"/>
      <c r="O1" s="1080"/>
      <c r="P1" s="660"/>
      <c r="Q1" s="660"/>
      <c r="R1" s="660"/>
      <c r="S1" s="660"/>
      <c r="T1" s="660"/>
      <c r="U1" s="660"/>
      <c r="V1" s="660"/>
      <c r="W1" s="660"/>
      <c r="X1" s="660"/>
      <c r="Y1" s="660"/>
    </row>
    <row r="2" spans="1:25">
      <c r="A2" s="1023"/>
      <c r="B2" s="1023"/>
      <c r="C2" s="1023"/>
      <c r="D2" s="1023"/>
      <c r="E2" s="1023"/>
      <c r="F2" s="1023"/>
      <c r="G2" s="1081"/>
      <c r="H2" s="1081"/>
      <c r="I2" s="1081"/>
      <c r="J2" s="1081"/>
      <c r="K2" s="1082"/>
      <c r="L2" s="1082"/>
      <c r="M2" s="1082"/>
      <c r="N2" s="1082"/>
      <c r="O2" s="1082"/>
    </row>
    <row r="3" spans="1:25">
      <c r="A3" s="1023"/>
      <c r="B3" s="1023"/>
      <c r="C3" s="1023"/>
      <c r="D3" s="1023"/>
      <c r="E3" s="1023"/>
      <c r="F3" s="1023"/>
      <c r="G3" s="1081"/>
      <c r="H3" s="1081"/>
      <c r="I3" s="1081"/>
      <c r="J3" s="1081"/>
      <c r="K3" s="1082"/>
      <c r="L3" s="1082"/>
      <c r="M3" s="1082"/>
      <c r="N3" s="1082"/>
      <c r="O3" s="1082"/>
    </row>
    <row r="4" spans="1:25" ht="18">
      <c r="A4" s="1078" t="s">
        <v>76</v>
      </c>
      <c r="B4" s="1078"/>
      <c r="C4" s="1078"/>
      <c r="D4" s="1078"/>
      <c r="E4" s="1078"/>
      <c r="F4" s="1078"/>
      <c r="G4" s="1079"/>
      <c r="H4" s="1079"/>
      <c r="I4" s="1079"/>
      <c r="J4" s="1079"/>
      <c r="K4" s="1080"/>
      <c r="L4" s="1080"/>
      <c r="M4" s="1080"/>
      <c r="N4" s="1080"/>
      <c r="O4" s="1080"/>
      <c r="P4" s="660"/>
      <c r="Q4" s="660"/>
      <c r="R4" s="660"/>
      <c r="S4" s="660"/>
      <c r="T4" s="660"/>
      <c r="U4" s="660"/>
      <c r="V4" s="660"/>
      <c r="W4" s="660"/>
      <c r="X4" s="660"/>
      <c r="Y4" s="660"/>
    </row>
    <row r="5" spans="1:25" ht="15" thickBot="1">
      <c r="A5" s="1023"/>
      <c r="B5" s="1023"/>
      <c r="C5" s="1023"/>
      <c r="D5" s="1023"/>
      <c r="E5" s="1023"/>
      <c r="F5" s="1023"/>
      <c r="G5" s="1081"/>
      <c r="H5" s="1081"/>
      <c r="I5" s="1081"/>
      <c r="J5" s="1081"/>
      <c r="K5" s="1082"/>
      <c r="L5" s="1082"/>
      <c r="M5" s="1082"/>
      <c r="N5" s="1082"/>
      <c r="O5" s="1082"/>
    </row>
    <row r="6" spans="1:25" ht="15" thickBot="1">
      <c r="A6" s="1069" t="s">
        <v>68</v>
      </c>
      <c r="B6" s="1058" t="s">
        <v>0</v>
      </c>
      <c r="C6" s="1058" t="s">
        <v>1</v>
      </c>
      <c r="D6" s="1058" t="s">
        <v>2</v>
      </c>
      <c r="E6" s="1058" t="s">
        <v>3</v>
      </c>
      <c r="F6" s="1058" t="s">
        <v>34</v>
      </c>
      <c r="G6" s="1058" t="s">
        <v>35</v>
      </c>
      <c r="H6" s="1058" t="s">
        <v>321</v>
      </c>
      <c r="I6" s="1058" t="s">
        <v>324</v>
      </c>
      <c r="J6" s="1058" t="s">
        <v>741</v>
      </c>
      <c r="K6" s="1058" t="s">
        <v>852</v>
      </c>
      <c r="L6" s="1058" t="s">
        <v>853</v>
      </c>
      <c r="M6" s="1058" t="s">
        <v>1392</v>
      </c>
      <c r="N6" s="2980" t="s">
        <v>1520</v>
      </c>
      <c r="O6" s="2980" t="s">
        <v>1521</v>
      </c>
    </row>
    <row r="7" spans="1:25" ht="15" thickBot="1">
      <c r="A7" s="1069"/>
      <c r="B7" s="1070">
        <v>2008</v>
      </c>
      <c r="C7" s="1070">
        <v>2009</v>
      </c>
      <c r="D7" s="1070">
        <v>2010</v>
      </c>
      <c r="E7" s="1070">
        <v>2011</v>
      </c>
      <c r="F7" s="1070">
        <v>2012</v>
      </c>
      <c r="G7" s="1070">
        <v>2013</v>
      </c>
      <c r="H7" s="1070">
        <v>2014</v>
      </c>
      <c r="I7" s="1070">
        <v>2015</v>
      </c>
      <c r="J7" s="1070">
        <v>2016</v>
      </c>
      <c r="K7" s="1070">
        <v>2017</v>
      </c>
      <c r="L7" s="1070">
        <v>2018</v>
      </c>
      <c r="M7" s="1070">
        <v>2019</v>
      </c>
      <c r="N7" s="1070">
        <v>2020</v>
      </c>
      <c r="O7" s="3023" t="s">
        <v>1441</v>
      </c>
    </row>
    <row r="8" spans="1:25">
      <c r="A8" s="305" t="s">
        <v>69</v>
      </c>
      <c r="B8" s="1060">
        <v>501.31253194073895</v>
      </c>
      <c r="C8" s="1060">
        <v>540.06151763889739</v>
      </c>
      <c r="D8" s="1060">
        <v>443.1120525773934</v>
      </c>
      <c r="E8" s="1060">
        <v>541.17728073182786</v>
      </c>
      <c r="F8" s="1060">
        <v>573.84788016827667</v>
      </c>
      <c r="G8" s="1060">
        <v>509.43308012057526</v>
      </c>
      <c r="H8" s="1060">
        <v>644.95821161471667</v>
      </c>
      <c r="I8" s="1060">
        <v>548.48561736122952</v>
      </c>
      <c r="J8" s="1060">
        <f>I8*4%+I8</f>
        <v>570.42504205567866</v>
      </c>
      <c r="K8" s="1060">
        <f t="shared" ref="K8:M10" si="0">J8*3%+J8</f>
        <v>587.53779331734904</v>
      </c>
      <c r="L8" s="1060">
        <f t="shared" si="0"/>
        <v>605.16392711686956</v>
      </c>
      <c r="M8" s="1060">
        <f t="shared" si="0"/>
        <v>623.31884493037569</v>
      </c>
      <c r="N8" s="1060"/>
      <c r="O8" s="1060"/>
    </row>
    <row r="9" spans="1:25">
      <c r="A9" s="305" t="s">
        <v>70</v>
      </c>
      <c r="B9" s="1060">
        <v>429.77568458449502</v>
      </c>
      <c r="C9" s="1060">
        <v>755.02154873755273</v>
      </c>
      <c r="D9" s="1060">
        <v>646.68246306612411</v>
      </c>
      <c r="E9" s="1060">
        <v>624.67302431790165</v>
      </c>
      <c r="F9" s="1060">
        <v>528.50040204381787</v>
      </c>
      <c r="G9" s="1060">
        <v>540.52519104434077</v>
      </c>
      <c r="H9" s="1060">
        <v>559.54546215290986</v>
      </c>
      <c r="I9" s="1060">
        <v>602.98696392941406</v>
      </c>
      <c r="J9" s="1060">
        <f>I9*4%+I9</f>
        <v>627.10644248659059</v>
      </c>
      <c r="K9" s="1060">
        <f t="shared" si="0"/>
        <v>645.91963576118826</v>
      </c>
      <c r="L9" s="1060">
        <f t="shared" si="0"/>
        <v>665.29722483402395</v>
      </c>
      <c r="M9" s="1060">
        <f t="shared" si="0"/>
        <v>685.25614157904465</v>
      </c>
      <c r="N9" s="1060"/>
      <c r="O9" s="1060"/>
    </row>
    <row r="10" spans="1:25">
      <c r="A10" s="305" t="s">
        <v>71</v>
      </c>
      <c r="B10" s="1060">
        <v>556.57603960511847</v>
      </c>
      <c r="C10" s="1060">
        <v>741.24866132766579</v>
      </c>
      <c r="D10" s="1060">
        <v>352.48711754247603</v>
      </c>
      <c r="E10" s="1060">
        <v>926.42635968693673</v>
      </c>
      <c r="F10" s="1060">
        <v>415.21854612361483</v>
      </c>
      <c r="G10" s="1060">
        <v>697.5792621223311</v>
      </c>
      <c r="H10" s="1060">
        <v>535.9804139834406</v>
      </c>
      <c r="I10" s="1060">
        <v>742.39515873030859</v>
      </c>
      <c r="J10" s="1060">
        <f>I10*4%+I10</f>
        <v>772.09096507952097</v>
      </c>
      <c r="K10" s="1060">
        <f t="shared" si="0"/>
        <v>795.25369403190655</v>
      </c>
      <c r="L10" s="1060">
        <f t="shared" si="0"/>
        <v>819.11130485286378</v>
      </c>
      <c r="M10" s="1060">
        <f t="shared" si="0"/>
        <v>843.6846439984497</v>
      </c>
      <c r="N10" s="1060"/>
      <c r="O10" s="1060"/>
    </row>
    <row r="11" spans="1:25">
      <c r="A11" s="305" t="s">
        <v>72</v>
      </c>
      <c r="B11" s="1060">
        <v>1448.3943205891428</v>
      </c>
      <c r="C11" s="1060">
        <v>0</v>
      </c>
      <c r="D11" s="1060">
        <v>0</v>
      </c>
      <c r="E11" s="1060">
        <v>494.3212197159566</v>
      </c>
      <c r="F11" s="1060">
        <v>300.04699000867583</v>
      </c>
      <c r="G11" s="1060">
        <v>162.5</v>
      </c>
      <c r="H11" s="1060"/>
      <c r="I11" s="1060" t="s">
        <v>390</v>
      </c>
      <c r="J11" s="1060"/>
      <c r="K11" s="1060"/>
      <c r="L11" s="1060"/>
      <c r="M11" s="1060"/>
      <c r="N11" s="1060"/>
      <c r="O11" s="1060"/>
    </row>
    <row r="12" spans="1:25">
      <c r="A12" s="305" t="s">
        <v>73</v>
      </c>
      <c r="B12" s="1060">
        <v>360.9099118635379</v>
      </c>
      <c r="C12" s="1060">
        <v>737.23080498817126</v>
      </c>
      <c r="D12" s="1060">
        <v>620.99999999999989</v>
      </c>
      <c r="E12" s="1060">
        <v>927.82718771693419</v>
      </c>
      <c r="F12" s="1060">
        <v>420.75713000845218</v>
      </c>
      <c r="G12" s="1060">
        <v>396.4551588243184</v>
      </c>
      <c r="H12" s="1060">
        <v>457.93877679697351</v>
      </c>
      <c r="I12" s="1060">
        <v>409.58582429036596</v>
      </c>
      <c r="J12" s="1060">
        <f>I12*4%+I12</f>
        <v>425.9692572619806</v>
      </c>
      <c r="K12" s="1060">
        <f>J12*3%+J12</f>
        <v>438.74833497984002</v>
      </c>
      <c r="L12" s="1060">
        <f>K12*3%+K12</f>
        <v>451.91078502923523</v>
      </c>
      <c r="M12" s="1060">
        <f>L12*3%+L12</f>
        <v>465.4681085801123</v>
      </c>
      <c r="N12" s="1060"/>
      <c r="O12" s="1060"/>
    </row>
    <row r="13" spans="1:25">
      <c r="A13" s="305" t="s">
        <v>74</v>
      </c>
      <c r="B13" s="1060"/>
      <c r="C13" s="1060"/>
      <c r="D13" s="1060"/>
      <c r="E13" s="1060"/>
      <c r="F13" s="1060"/>
      <c r="G13" s="1060">
        <v>765.89216789964632</v>
      </c>
      <c r="H13" s="1060"/>
      <c r="I13" s="1060" t="s">
        <v>390</v>
      </c>
      <c r="J13" s="1060"/>
      <c r="K13" s="1060"/>
      <c r="L13" s="1060"/>
      <c r="M13" s="1060"/>
      <c r="N13" s="1060"/>
      <c r="O13" s="1060"/>
    </row>
    <row r="14" spans="1:25">
      <c r="A14" s="1071" t="s">
        <v>889</v>
      </c>
      <c r="B14" s="1068">
        <v>486.69833267835998</v>
      </c>
      <c r="C14" s="1068">
        <v>612.29928589716724</v>
      </c>
      <c r="D14" s="1068">
        <v>485.41117738443114</v>
      </c>
      <c r="E14" s="1068">
        <v>577.37172124191443</v>
      </c>
      <c r="F14" s="1068">
        <v>556.90718760898835</v>
      </c>
      <c r="G14" s="1068">
        <v>518.4455582456535</v>
      </c>
      <c r="H14" s="1068">
        <v>622.17051699405158</v>
      </c>
      <c r="I14" s="1068">
        <v>565.25786036732552</v>
      </c>
      <c r="J14" s="1068">
        <v>759.82</v>
      </c>
      <c r="K14" s="4351">
        <f>J14</f>
        <v>759.82</v>
      </c>
      <c r="L14" s="4351">
        <f>J14</f>
        <v>759.82</v>
      </c>
      <c r="M14" s="4351">
        <f>K14</f>
        <v>759.82</v>
      </c>
      <c r="N14" s="4351">
        <f>'DATOS-EC-UIO'!J65</f>
        <v>569.36999999999989</v>
      </c>
      <c r="O14" s="4351">
        <f>'DATOS-EC-UIO'!K65</f>
        <v>569.36999999999989</v>
      </c>
    </row>
    <row r="15" spans="1:25">
      <c r="A15" s="305"/>
      <c r="B15" s="1060"/>
      <c r="C15" s="1060"/>
      <c r="D15" s="1060"/>
      <c r="E15" s="1060"/>
      <c r="F15" s="1060"/>
      <c r="G15" s="1060"/>
      <c r="H15" s="1060"/>
      <c r="I15" s="1060"/>
      <c r="J15" s="1060"/>
      <c r="K15" s="1060"/>
      <c r="L15" s="1060"/>
      <c r="M15" s="1060"/>
      <c r="N15" s="1060"/>
      <c r="O15" s="1060"/>
    </row>
    <row r="16" spans="1:25" ht="15" thickBot="1">
      <c r="A16" s="305"/>
      <c r="B16" s="1061"/>
      <c r="C16" s="1061"/>
      <c r="D16" s="1061"/>
      <c r="E16" s="1061"/>
      <c r="F16" s="1061"/>
      <c r="G16" s="1061"/>
      <c r="H16" s="1061"/>
      <c r="I16" s="1061"/>
      <c r="J16" s="1061"/>
      <c r="K16" s="1061"/>
      <c r="L16" s="1061"/>
      <c r="M16" s="1061"/>
      <c r="N16" s="1061"/>
      <c r="O16" s="1061"/>
    </row>
    <row r="17" spans="1:25" ht="15" thickBot="1">
      <c r="A17" s="1066" t="s">
        <v>890</v>
      </c>
      <c r="B17" s="1067">
        <f t="shared" ref="B17:I17" si="1">B14*B25</f>
        <v>229477777.15951404</v>
      </c>
      <c r="C17" s="1067">
        <f t="shared" si="1"/>
        <v>282799609.68089515</v>
      </c>
      <c r="D17" s="1067">
        <f t="shared" si="1"/>
        <v>230192173.95042232</v>
      </c>
      <c r="E17" s="1067">
        <f t="shared" si="1"/>
        <v>281398274.75544178</v>
      </c>
      <c r="F17" s="1067">
        <f t="shared" si="1"/>
        <v>297086594.48751569</v>
      </c>
      <c r="G17" s="1067">
        <f t="shared" si="1"/>
        <v>326080481.42306972</v>
      </c>
      <c r="H17" s="1067">
        <f t="shared" si="1"/>
        <v>437395206.00457317</v>
      </c>
      <c r="I17" s="1067">
        <f t="shared" si="1"/>
        <v>402959327.72507793</v>
      </c>
      <c r="J17" s="1067">
        <f>+J14*J25</f>
        <v>476882787.32000005</v>
      </c>
      <c r="K17" s="1067">
        <f>K14*K25</f>
        <v>496110032.42000002</v>
      </c>
      <c r="L17" s="1067">
        <f>(L14*L25)-((L14*L25)*L16)</f>
        <v>526169271.44000006</v>
      </c>
      <c r="M17" s="1067">
        <f>(M14*M25)-((M14*M25)*M16)</f>
        <v>520013209.80000001</v>
      </c>
      <c r="N17" s="1067">
        <f>(N14*N25)-((N14*N25)*N16)</f>
        <v>108417727.28999998</v>
      </c>
      <c r="O17" s="1067">
        <f>(O14*O25)-((O14*O25)*O16)</f>
        <v>159990692.51999998</v>
      </c>
    </row>
    <row r="18" spans="1:25" ht="15" thickBot="1">
      <c r="A18" s="209" t="s">
        <v>323</v>
      </c>
      <c r="B18" s="1062">
        <f t="shared" ref="B18:H18" si="2">B17/1000000</f>
        <v>229.47777715951403</v>
      </c>
      <c r="C18" s="1062">
        <f t="shared" si="2"/>
        <v>282.79960968089517</v>
      </c>
      <c r="D18" s="1062">
        <f t="shared" si="2"/>
        <v>230.19217395042233</v>
      </c>
      <c r="E18" s="1062">
        <f t="shared" si="2"/>
        <v>281.39827475544178</v>
      </c>
      <c r="F18" s="1062">
        <f t="shared" si="2"/>
        <v>297.0865944875157</v>
      </c>
      <c r="G18" s="1062">
        <f t="shared" si="2"/>
        <v>326.08048142306973</v>
      </c>
      <c r="H18" s="1062">
        <f t="shared" si="2"/>
        <v>437.39520600457314</v>
      </c>
      <c r="I18" s="1062">
        <f>I17/1000000</f>
        <v>402.95932772507791</v>
      </c>
      <c r="J18" s="1062">
        <f t="shared" ref="J18:O18" si="3">+J17/1000000</f>
        <v>476.88278732000003</v>
      </c>
      <c r="K18" s="1062">
        <f t="shared" si="3"/>
        <v>496.11003242000004</v>
      </c>
      <c r="L18" s="1062">
        <f t="shared" si="3"/>
        <v>526.1692714400001</v>
      </c>
      <c r="M18" s="1062">
        <f t="shared" si="3"/>
        <v>520.01320980000003</v>
      </c>
      <c r="N18" s="1062">
        <f t="shared" si="3"/>
        <v>108.41772728999997</v>
      </c>
      <c r="O18" s="1062">
        <f t="shared" si="3"/>
        <v>159.99069251999998</v>
      </c>
    </row>
    <row r="19" spans="1:25">
      <c r="A19" s="1083" t="s">
        <v>761</v>
      </c>
      <c r="B19" s="1084"/>
      <c r="C19" s="1084">
        <f t="shared" ref="C19:I19" si="4">C18/B18-1</f>
        <v>0.23236163946418298</v>
      </c>
      <c r="D19" s="1084">
        <f t="shared" si="4"/>
        <v>-0.18602372114245103</v>
      </c>
      <c r="E19" s="1084">
        <f t="shared" si="4"/>
        <v>0.22244935579802982</v>
      </c>
      <c r="F19" s="1084">
        <f t="shared" si="4"/>
        <v>5.5751300343644061E-2</v>
      </c>
      <c r="G19" s="1084">
        <f t="shared" si="4"/>
        <v>9.7594060026738871E-2</v>
      </c>
      <c r="H19" s="1084">
        <f t="shared" si="4"/>
        <v>0.34137193399527432</v>
      </c>
      <c r="I19" s="1084">
        <f t="shared" si="4"/>
        <v>-7.8729436918280271E-2</v>
      </c>
      <c r="J19" s="1084">
        <f t="shared" ref="J19:O19" si="5">J18/I18-1</f>
        <v>0.18345141682725097</v>
      </c>
      <c r="K19" s="1084">
        <f t="shared" si="5"/>
        <v>4.0318597381242993E-2</v>
      </c>
      <c r="L19" s="1084">
        <f t="shared" si="5"/>
        <v>6.0589863247418219E-2</v>
      </c>
      <c r="M19" s="1084">
        <f t="shared" si="5"/>
        <v>-1.1699774149015574E-2</v>
      </c>
      <c r="N19" s="1084">
        <f t="shared" si="5"/>
        <v>-0.79150966697231007</v>
      </c>
      <c r="O19" s="1084">
        <f t="shared" si="5"/>
        <v>0.47568756991235039</v>
      </c>
    </row>
    <row r="20" spans="1:25">
      <c r="A20" s="1072" t="s">
        <v>888</v>
      </c>
      <c r="B20" s="1061"/>
      <c r="C20" s="1061"/>
      <c r="D20" s="1061"/>
      <c r="E20" s="1061"/>
      <c r="F20" s="1061"/>
      <c r="G20" s="1061"/>
      <c r="H20" s="1061">
        <f>H18/D18-1</f>
        <v>0.90013065387173929</v>
      </c>
      <c r="I20" s="1061">
        <f>I18/B18-1</f>
        <v>0.75598409882179496</v>
      </c>
      <c r="J20" s="1061"/>
      <c r="K20" s="1061"/>
      <c r="L20" s="1061"/>
      <c r="M20" s="1061"/>
      <c r="N20" s="1061"/>
      <c r="O20" s="1061"/>
    </row>
    <row r="21" spans="1:25">
      <c r="A21" s="305" t="s">
        <v>77</v>
      </c>
      <c r="B21" s="1061"/>
      <c r="C21" s="1061"/>
      <c r="D21" s="1061"/>
      <c r="E21" s="1061"/>
      <c r="F21" s="1061"/>
      <c r="G21" s="1061"/>
      <c r="H21" s="1061"/>
      <c r="I21" s="1061"/>
      <c r="J21" s="1061"/>
      <c r="K21" s="1061"/>
      <c r="L21" s="1061"/>
      <c r="M21" s="1061"/>
      <c r="N21" s="1061"/>
      <c r="O21" s="1061"/>
    </row>
    <row r="22" spans="1:25">
      <c r="A22" s="305"/>
      <c r="B22" s="1061"/>
      <c r="C22" s="1061"/>
      <c r="D22" s="1061"/>
      <c r="E22" s="1061"/>
      <c r="F22" s="1061"/>
      <c r="G22" s="1061"/>
      <c r="H22" s="1061"/>
      <c r="I22" s="1061"/>
      <c r="J22" s="1061"/>
      <c r="K22" s="1061"/>
      <c r="L22" s="1061"/>
      <c r="M22" s="1061"/>
      <c r="N22" s="1061"/>
      <c r="O22" s="1061"/>
    </row>
    <row r="23" spans="1:25">
      <c r="A23" s="1073">
        <v>2007</v>
      </c>
      <c r="B23" s="1059">
        <v>2008</v>
      </c>
      <c r="C23" s="1059">
        <v>2009</v>
      </c>
      <c r="D23" s="1059">
        <v>2010</v>
      </c>
      <c r="E23" s="1059">
        <v>2011</v>
      </c>
      <c r="F23" s="1059">
        <v>2012</v>
      </c>
      <c r="G23" s="1059">
        <v>2013</v>
      </c>
      <c r="H23" s="1059">
        <v>2014</v>
      </c>
      <c r="I23" s="1059" t="s">
        <v>322</v>
      </c>
      <c r="J23" s="1059">
        <v>2016</v>
      </c>
      <c r="K23" s="1059">
        <v>2017</v>
      </c>
      <c r="L23" s="1059">
        <v>2018</v>
      </c>
      <c r="M23" s="1059" t="s">
        <v>875</v>
      </c>
      <c r="N23" s="1059" t="s">
        <v>1404</v>
      </c>
      <c r="O23" s="3024" t="s">
        <v>1441</v>
      </c>
    </row>
    <row r="24" spans="1:25">
      <c r="A24" s="1073" t="s">
        <v>48</v>
      </c>
      <c r="B24" s="1059" t="s">
        <v>48</v>
      </c>
      <c r="C24" s="1059" t="s">
        <v>48</v>
      </c>
      <c r="D24" s="1059" t="s">
        <v>48</v>
      </c>
      <c r="E24" s="1059" t="s">
        <v>48</v>
      </c>
      <c r="F24" s="1059" t="s">
        <v>48</v>
      </c>
      <c r="G24" s="1059" t="s">
        <v>48</v>
      </c>
      <c r="H24" s="1059"/>
      <c r="I24" s="1059"/>
      <c r="J24" s="1059" t="s">
        <v>48</v>
      </c>
      <c r="K24" s="1059" t="s">
        <v>48</v>
      </c>
      <c r="L24" s="1059" t="s">
        <v>48</v>
      </c>
      <c r="M24" s="1059" t="s">
        <v>48</v>
      </c>
      <c r="N24" s="1059" t="s">
        <v>48</v>
      </c>
      <c r="O24" s="3024" t="s">
        <v>48</v>
      </c>
      <c r="P24" s="6"/>
      <c r="Q24" s="6"/>
      <c r="R24" s="6"/>
      <c r="S24" s="6"/>
      <c r="T24" s="6"/>
      <c r="U24" s="6"/>
      <c r="V24" s="6"/>
      <c r="W24" s="6"/>
      <c r="X24" s="6"/>
      <c r="Y24" s="6"/>
    </row>
    <row r="25" spans="1:25">
      <c r="A25" s="1074">
        <f>'Llegadas '!B16</f>
        <v>417853</v>
      </c>
      <c r="B25" s="1063">
        <f>'Llegadas '!C16</f>
        <v>471499</v>
      </c>
      <c r="C25" s="1063">
        <f>'Llegadas '!D16</f>
        <v>461865</v>
      </c>
      <c r="D25" s="1063">
        <f>'Llegadas '!E16</f>
        <v>474221</v>
      </c>
      <c r="E25" s="1063">
        <f>'Llegadas '!F16</f>
        <v>487378</v>
      </c>
      <c r="F25" s="1063">
        <f>'Llegadas '!G16</f>
        <v>533458</v>
      </c>
      <c r="G25" s="1063">
        <f>'Llegadas '!H16</f>
        <v>628958</v>
      </c>
      <c r="H25" s="1063">
        <f>'Llegadas '!I16</f>
        <v>703015</v>
      </c>
      <c r="I25" s="1063">
        <f>'Llegadas '!J16</f>
        <v>712877</v>
      </c>
      <c r="J25" s="1063">
        <f>'Llegadas '!K16</f>
        <v>627626</v>
      </c>
      <c r="K25" s="1063">
        <f>'Llegadas '!L16</f>
        <v>652931</v>
      </c>
      <c r="L25" s="1063">
        <f>'Llegadas '!M16</f>
        <v>692492</v>
      </c>
      <c r="M25" s="1063">
        <f>'Llegadas '!N16</f>
        <v>684390</v>
      </c>
      <c r="N25" s="1063">
        <f>'Llegadas '!O16</f>
        <v>190417</v>
      </c>
      <c r="O25" s="1063">
        <f>'Llegadas '!P16</f>
        <v>280996</v>
      </c>
    </row>
    <row r="26" spans="1:25" ht="15" thickBot="1">
      <c r="A26" s="305"/>
      <c r="B26" s="1061"/>
      <c r="C26" s="1061"/>
      <c r="D26" s="1061"/>
      <c r="E26" s="1061"/>
      <c r="F26" s="1061"/>
      <c r="G26" s="1061"/>
      <c r="H26" s="1061"/>
      <c r="I26" s="1061"/>
      <c r="J26" s="1061"/>
      <c r="K26" s="1061"/>
      <c r="L26" s="1061"/>
      <c r="M26" s="1061"/>
      <c r="N26" s="1061"/>
      <c r="O26" s="1061"/>
    </row>
    <row r="27" spans="1:25" ht="15" thickBot="1">
      <c r="A27" s="1075"/>
      <c r="B27" s="1064">
        <f t="shared" ref="B27:I27" si="6">B14*B25</f>
        <v>229477777.15951404</v>
      </c>
      <c r="C27" s="1064">
        <f t="shared" si="6"/>
        <v>282799609.68089515</v>
      </c>
      <c r="D27" s="1064">
        <f t="shared" si="6"/>
        <v>230192173.95042232</v>
      </c>
      <c r="E27" s="1064">
        <f t="shared" si="6"/>
        <v>281398274.75544178</v>
      </c>
      <c r="F27" s="1064">
        <f t="shared" si="6"/>
        <v>297086594.48751569</v>
      </c>
      <c r="G27" s="1064">
        <f t="shared" si="6"/>
        <v>326080481.42306972</v>
      </c>
      <c r="H27" s="1064">
        <f t="shared" si="6"/>
        <v>437395206.00457317</v>
      </c>
      <c r="I27" s="1064">
        <f t="shared" si="6"/>
        <v>402959327.72507793</v>
      </c>
      <c r="J27" s="1064">
        <f t="shared" ref="J27:O27" si="7">+J17</f>
        <v>476882787.32000005</v>
      </c>
      <c r="K27" s="1064">
        <f t="shared" si="7"/>
        <v>496110032.42000002</v>
      </c>
      <c r="L27" s="1064">
        <f t="shared" si="7"/>
        <v>526169271.44000006</v>
      </c>
      <c r="M27" s="1064">
        <f t="shared" si="7"/>
        <v>520013209.80000001</v>
      </c>
      <c r="N27" s="3025">
        <f t="shared" si="7"/>
        <v>108417727.28999998</v>
      </c>
      <c r="O27" s="3025">
        <f t="shared" si="7"/>
        <v>159990692.51999998</v>
      </c>
    </row>
    <row r="28" spans="1:25">
      <c r="I28" s="1065"/>
      <c r="J28" s="1065"/>
      <c r="K28" s="1065"/>
      <c r="L28" s="1065"/>
      <c r="M28" s="1065"/>
      <c r="N28" s="1065"/>
      <c r="O28" s="4349" t="s">
        <v>1522</v>
      </c>
    </row>
    <row r="29" spans="1:25">
      <c r="I29" s="6"/>
      <c r="J29" s="6"/>
      <c r="K29" s="6"/>
      <c r="L29" s="6"/>
      <c r="M29" s="6"/>
      <c r="N29" s="6"/>
      <c r="O29" s="6"/>
    </row>
    <row r="30" spans="1:25">
      <c r="I30" s="6"/>
      <c r="J30" s="4350" t="s">
        <v>1775</v>
      </c>
      <c r="K30" s="6"/>
      <c r="L30" s="6"/>
      <c r="M30" s="6"/>
      <c r="N30" s="5739" t="s">
        <v>1776</v>
      </c>
      <c r="O30" s="5739"/>
    </row>
    <row r="35" spans="17:17">
      <c r="Q35" s="206" t="s">
        <v>742</v>
      </c>
    </row>
  </sheetData>
  <mergeCells count="1">
    <mergeCell ref="N30:O30"/>
  </mergeCells>
  <pageMargins left="0.70866141732283472" right="0.70866141732283472" top="0.74803149606299213" bottom="0.74803149606299213" header="0.31496062992125984" footer="0.31496062992125984"/>
  <pageSetup scale="17" orientation="landscape" verticalDpi="597" r:id="rId1"/>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rgb="FF002060"/>
  </sheetPr>
  <dimension ref="A1:J19"/>
  <sheetViews>
    <sheetView showGridLines="0" zoomScale="85" zoomScaleNormal="85" workbookViewId="0">
      <selection activeCell="A19" sqref="A19"/>
    </sheetView>
  </sheetViews>
  <sheetFormatPr baseColWidth="10" defaultRowHeight="14.4"/>
  <cols>
    <col min="1" max="1" width="31.44140625" customWidth="1"/>
    <col min="9" max="9" width="11.44140625" style="52"/>
  </cols>
  <sheetData>
    <row r="1" spans="1:10">
      <c r="A1" s="1" t="s">
        <v>126</v>
      </c>
      <c r="D1" s="1"/>
      <c r="E1" s="1"/>
      <c r="F1" s="1"/>
      <c r="G1" s="1"/>
      <c r="H1" s="1"/>
      <c r="I1" s="507"/>
    </row>
    <row r="2" spans="1:10">
      <c r="A2" s="1"/>
      <c r="D2" s="1"/>
      <c r="E2" s="1"/>
      <c r="F2" s="1"/>
      <c r="G2" s="1"/>
      <c r="H2" s="1"/>
      <c r="I2" s="507"/>
    </row>
    <row r="3" spans="1:10" ht="24">
      <c r="A3" t="s">
        <v>127</v>
      </c>
      <c r="B3">
        <v>2008</v>
      </c>
      <c r="C3">
        <v>2009</v>
      </c>
      <c r="D3">
        <v>2010</v>
      </c>
      <c r="E3">
        <v>2011</v>
      </c>
      <c r="F3">
        <v>2012</v>
      </c>
      <c r="G3">
        <v>2013</v>
      </c>
      <c r="H3">
        <v>2014</v>
      </c>
      <c r="I3" s="52">
        <v>2015</v>
      </c>
      <c r="J3" s="42" t="s">
        <v>394</v>
      </c>
    </row>
    <row r="4" spans="1:10">
      <c r="B4" t="s">
        <v>4</v>
      </c>
      <c r="C4" t="s">
        <v>128</v>
      </c>
      <c r="D4" t="s">
        <v>129</v>
      </c>
      <c r="E4" t="s">
        <v>130</v>
      </c>
      <c r="F4" t="s">
        <v>4</v>
      </c>
      <c r="G4" t="s">
        <v>4</v>
      </c>
      <c r="H4" t="s">
        <v>130</v>
      </c>
      <c r="I4" s="52" t="s">
        <v>130</v>
      </c>
      <c r="J4" s="42"/>
    </row>
    <row r="5" spans="1:10">
      <c r="A5" s="1" t="s">
        <v>131</v>
      </c>
      <c r="B5" s="1">
        <v>3910853.2765000053</v>
      </c>
      <c r="C5" s="1">
        <v>5809986.776700004</v>
      </c>
      <c r="D5" s="1">
        <v>5488400.1773336418</v>
      </c>
      <c r="E5" s="1">
        <v>5835897.2395500317</v>
      </c>
      <c r="F5" s="1">
        <v>6279741.3443702264</v>
      </c>
      <c r="G5" s="1">
        <v>6944389.8163498146</v>
      </c>
      <c r="H5" s="1">
        <v>8128373.42682995</v>
      </c>
      <c r="I5" s="507">
        <v>9068662</v>
      </c>
      <c r="J5" s="4">
        <f>I5/$I$17</f>
        <v>0.33993151412278977</v>
      </c>
    </row>
    <row r="6" spans="1:10">
      <c r="A6" s="1" t="s">
        <v>132</v>
      </c>
      <c r="B6" s="1">
        <v>4708173.1426999895</v>
      </c>
      <c r="C6" s="1">
        <v>13026793.35370001</v>
      </c>
      <c r="D6" s="1">
        <v>3876928.5119385687</v>
      </c>
      <c r="E6" s="1">
        <v>3566259.034700017</v>
      </c>
      <c r="F6" s="1">
        <v>4913237.7258098908</v>
      </c>
      <c r="G6" s="1">
        <v>6512344.6845427286</v>
      </c>
      <c r="H6" s="1">
        <v>8160283.4778109426</v>
      </c>
      <c r="I6" s="507">
        <v>5669133</v>
      </c>
      <c r="J6" s="702">
        <f t="shared" ref="J6:J17" si="0">I6/$I$17</f>
        <v>0.21250289893409563</v>
      </c>
    </row>
    <row r="7" spans="1:10">
      <c r="A7" s="1" t="s">
        <v>133</v>
      </c>
      <c r="B7" s="1">
        <v>2495418.1379000023</v>
      </c>
      <c r="C7" s="1">
        <v>103184.026</v>
      </c>
      <c r="D7" s="1">
        <v>1563761.1174538762</v>
      </c>
      <c r="E7" s="1">
        <v>2935807.2472160137</v>
      </c>
      <c r="F7" s="1">
        <v>2507014.3672151384</v>
      </c>
      <c r="G7" s="1">
        <v>4282595.5165914791</v>
      </c>
      <c r="H7" s="1">
        <v>4109727.1923769698</v>
      </c>
      <c r="I7" s="507">
        <v>2515585</v>
      </c>
      <c r="J7" s="702">
        <f t="shared" si="0"/>
        <v>9.4294684039892329E-2</v>
      </c>
    </row>
    <row r="8" spans="1:10">
      <c r="A8" s="1" t="s">
        <v>134</v>
      </c>
      <c r="B8" s="1">
        <v>1269404.9542999996</v>
      </c>
      <c r="C8" s="1">
        <v>336906.72600000002</v>
      </c>
      <c r="D8" s="1">
        <v>947038.59872132749</v>
      </c>
      <c r="E8" s="1">
        <v>1622771.2080000064</v>
      </c>
      <c r="F8" s="1">
        <v>1833776.8422221218</v>
      </c>
      <c r="G8" s="1">
        <v>2540099.1150209731</v>
      </c>
      <c r="H8" s="1">
        <v>2481763.6134149819</v>
      </c>
      <c r="I8" s="507">
        <v>2253492</v>
      </c>
      <c r="J8" s="702">
        <f t="shared" si="0"/>
        <v>8.4470338361226138E-2</v>
      </c>
    </row>
    <row r="9" spans="1:10">
      <c r="A9" s="1" t="s">
        <v>135</v>
      </c>
      <c r="B9" s="1">
        <v>16372.794899999992</v>
      </c>
      <c r="C9" s="1">
        <v>1577059.1652000004</v>
      </c>
      <c r="D9" s="1">
        <v>938971.27974674688</v>
      </c>
      <c r="E9" s="1">
        <v>1369050.782600007</v>
      </c>
      <c r="F9" s="1">
        <v>1279128.0306472031</v>
      </c>
      <c r="G9" s="1">
        <v>2208721.9317660895</v>
      </c>
      <c r="H9" s="1">
        <v>2270191.9771659868</v>
      </c>
      <c r="I9" s="507">
        <v>2023573</v>
      </c>
      <c r="J9" s="702">
        <f t="shared" si="0"/>
        <v>7.5852009241054091E-2</v>
      </c>
    </row>
    <row r="10" spans="1:10">
      <c r="A10" s="1" t="s">
        <v>136</v>
      </c>
      <c r="B10" s="1">
        <v>2436617.4085999997</v>
      </c>
      <c r="C10" s="1">
        <v>326020.78600000002</v>
      </c>
      <c r="D10" s="1">
        <v>2479234.7203986021</v>
      </c>
      <c r="E10" s="1">
        <v>1515030.267050006</v>
      </c>
      <c r="F10" s="1">
        <v>1622591.4564141741</v>
      </c>
      <c r="G10" s="1">
        <v>1933104.9398758516</v>
      </c>
      <c r="H10" s="1">
        <v>1771306.929985987</v>
      </c>
      <c r="I10" s="507">
        <v>2474440</v>
      </c>
      <c r="J10" s="702">
        <f t="shared" si="0"/>
        <v>9.2752396748935609E-2</v>
      </c>
    </row>
    <row r="11" spans="1:10">
      <c r="A11" s="1" t="s">
        <v>137</v>
      </c>
      <c r="B11" s="1">
        <v>571980.45250000025</v>
      </c>
      <c r="C11" s="1">
        <v>4269896.1287000012</v>
      </c>
      <c r="D11" s="1">
        <v>585675.844791846</v>
      </c>
      <c r="E11" s="1">
        <v>1489774.5112000094</v>
      </c>
      <c r="F11" s="1">
        <v>1158552.8354420536</v>
      </c>
      <c r="G11" s="1">
        <v>502965.02811722894</v>
      </c>
      <c r="H11" s="1">
        <v>930432.64721899398</v>
      </c>
      <c r="I11" s="507">
        <v>317950</v>
      </c>
      <c r="J11" s="702">
        <f t="shared" si="0"/>
        <v>1.1918100477814809E-2</v>
      </c>
    </row>
    <row r="12" spans="1:10">
      <c r="A12" s="1" t="s">
        <v>138</v>
      </c>
      <c r="B12" s="1">
        <v>572582.17480000085</v>
      </c>
      <c r="C12" s="1">
        <v>383443.27199999994</v>
      </c>
      <c r="D12" s="1">
        <v>443839.87787509518</v>
      </c>
      <c r="E12" s="1">
        <v>362722.84660000179</v>
      </c>
      <c r="F12" s="1">
        <v>430565.02630202298</v>
      </c>
      <c r="G12" s="1">
        <v>375183.72901114501</v>
      </c>
      <c r="H12" s="1">
        <v>244512.18601699866</v>
      </c>
      <c r="I12" s="507">
        <v>231636</v>
      </c>
      <c r="J12" s="702">
        <f t="shared" si="0"/>
        <v>8.6826894866460485E-3</v>
      </c>
    </row>
    <row r="13" spans="1:10">
      <c r="A13" s="1" t="s">
        <v>139</v>
      </c>
      <c r="B13" s="1">
        <v>607161.60159999912</v>
      </c>
      <c r="C13" s="1">
        <v>1605627.2738000003</v>
      </c>
      <c r="D13" s="1">
        <v>196008.83551002012</v>
      </c>
      <c r="E13" s="1">
        <v>462108.89110000286</v>
      </c>
      <c r="F13" s="1">
        <v>361815.00757998903</v>
      </c>
      <c r="G13" s="1">
        <v>267119.62353919999</v>
      </c>
      <c r="H13" s="1">
        <v>332266.05306099815</v>
      </c>
      <c r="I13" s="507">
        <v>287799</v>
      </c>
      <c r="J13" s="702">
        <f t="shared" si="0"/>
        <v>1.0787914450116761E-2</v>
      </c>
    </row>
    <row r="14" spans="1:10">
      <c r="A14" s="1" t="s">
        <v>140</v>
      </c>
      <c r="B14" s="1">
        <v>108527.23699999998</v>
      </c>
      <c r="C14" s="1">
        <v>253723.78400000004</v>
      </c>
      <c r="D14" s="1">
        <v>166979.75775407004</v>
      </c>
      <c r="E14" s="1">
        <v>496186.45400000212</v>
      </c>
      <c r="F14" s="1">
        <v>242992.9226107107</v>
      </c>
      <c r="G14" s="1">
        <v>264112.79215716157</v>
      </c>
      <c r="H14" s="1">
        <v>511535.41593299707</v>
      </c>
      <c r="I14" s="507">
        <v>282182</v>
      </c>
      <c r="J14" s="702">
        <f t="shared" si="0"/>
        <v>1.0577365714831699E-2</v>
      </c>
    </row>
    <row r="15" spans="1:10">
      <c r="A15" s="1" t="s">
        <v>141</v>
      </c>
      <c r="B15" s="1">
        <v>5488454.7948000068</v>
      </c>
      <c r="C15" s="1">
        <v>960592.42180000001</v>
      </c>
      <c r="D15" s="1">
        <v>5687218.6770655941</v>
      </c>
      <c r="E15" s="1">
        <v>5169790.4728000183</v>
      </c>
      <c r="F15" s="1">
        <v>4556712.0010027997</v>
      </c>
      <c r="G15" s="1">
        <v>2796871.2717931238</v>
      </c>
      <c r="H15" s="1">
        <v>3588548.2203679713</v>
      </c>
      <c r="I15" s="507">
        <v>1553457</v>
      </c>
      <c r="J15" s="702">
        <f t="shared" si="0"/>
        <v>5.8230088422597137E-2</v>
      </c>
    </row>
    <row r="16" spans="1:10" ht="15" thickBot="1">
      <c r="A16" s="1" t="s">
        <v>165</v>
      </c>
      <c r="B16" s="1">
        <f t="shared" ref="B16:I16" si="1">B14+B13+B11+B9</f>
        <v>1304042.0859999994</v>
      </c>
      <c r="C16" s="1">
        <f t="shared" si="1"/>
        <v>7706306.3517000023</v>
      </c>
      <c r="D16" s="1">
        <f t="shared" si="1"/>
        <v>1887635.7178026829</v>
      </c>
      <c r="E16" s="1">
        <f t="shared" si="1"/>
        <v>3817120.6389000211</v>
      </c>
      <c r="F16" s="1">
        <f t="shared" si="1"/>
        <v>3042488.7962799566</v>
      </c>
      <c r="G16" s="1">
        <f t="shared" si="1"/>
        <v>3242919.3755796803</v>
      </c>
      <c r="H16" s="1">
        <f t="shared" si="1"/>
        <v>4044426.093378976</v>
      </c>
      <c r="I16" s="507">
        <f t="shared" si="1"/>
        <v>2911504</v>
      </c>
      <c r="J16" s="702">
        <f t="shared" si="0"/>
        <v>0.10913538988381735</v>
      </c>
    </row>
    <row r="17" spans="1:10" ht="15" thickBot="1">
      <c r="A17" s="230" t="s">
        <v>32</v>
      </c>
      <c r="B17" s="231">
        <v>22185545.975599959</v>
      </c>
      <c r="C17" s="231">
        <v>28653233.713899985</v>
      </c>
      <c r="D17" s="231">
        <v>22374057.398589883</v>
      </c>
      <c r="E17" s="231">
        <v>24825398.954816137</v>
      </c>
      <c r="F17" s="231">
        <v>25186127.559616279</v>
      </c>
      <c r="G17" s="231">
        <v>28627508.448764794</v>
      </c>
      <c r="H17" s="207">
        <v>32528941.140182778</v>
      </c>
      <c r="I17" s="508">
        <v>26677909</v>
      </c>
      <c r="J17" s="232">
        <f t="shared" si="0"/>
        <v>1</v>
      </c>
    </row>
    <row r="18" spans="1:10">
      <c r="D18" s="1"/>
      <c r="E18" s="1"/>
      <c r="F18" s="1"/>
      <c r="G18" s="4">
        <f>G17/F17-1</f>
        <v>0.1366379520234966</v>
      </c>
      <c r="H18" s="4">
        <f>H17/G17-1</f>
        <v>0.13628264920087108</v>
      </c>
      <c r="I18" s="509">
        <f>I17/H17-1</f>
        <v>-0.17987158312248408</v>
      </c>
    </row>
    <row r="19" spans="1:10">
      <c r="A19" s="206" t="s">
        <v>392</v>
      </c>
    </row>
  </sheetData>
  <sortState xmlns:xlrd2="http://schemas.microsoft.com/office/spreadsheetml/2017/richdata2" ref="A5:K14">
    <sortCondition descending="1" ref="G5:G14"/>
  </sortState>
  <pageMargins left="0.7" right="0.7" top="0.75" bottom="0.75" header="0.3" footer="0.3"/>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rgb="FF002060"/>
  </sheetPr>
  <dimension ref="C2:M11"/>
  <sheetViews>
    <sheetView showGridLines="0" topLeftCell="L1" workbookViewId="0">
      <selection activeCell="Y7" sqref="Y7"/>
    </sheetView>
  </sheetViews>
  <sheetFormatPr baseColWidth="10" defaultColWidth="10.44140625" defaultRowHeight="13.8"/>
  <cols>
    <col min="1" max="1" width="2" style="2" bestFit="1" customWidth="1"/>
    <col min="2" max="2" width="2.6640625" style="2" customWidth="1"/>
    <col min="3" max="3" width="17.88671875" style="2" customWidth="1"/>
    <col min="4" max="9" width="8" style="2" customWidth="1"/>
    <col min="10" max="10" width="9.109375" style="2" customWidth="1"/>
    <col min="11" max="11" width="9.109375" style="489" customWidth="1"/>
    <col min="12" max="12" width="13" style="2" customWidth="1"/>
    <col min="13" max="14" width="8" style="2" customWidth="1"/>
    <col min="15" max="15" width="6.5546875" style="2" customWidth="1"/>
    <col min="16" max="16384" width="10.44140625" style="2"/>
  </cols>
  <sheetData>
    <row r="2" spans="3:13" s="53" customFormat="1" ht="27.6">
      <c r="C2" s="53" t="s">
        <v>158</v>
      </c>
      <c r="D2" s="53" t="s">
        <v>0</v>
      </c>
      <c r="E2" s="53" t="s">
        <v>1</v>
      </c>
      <c r="F2" s="53" t="s">
        <v>2</v>
      </c>
      <c r="G2" s="53" t="s">
        <v>3</v>
      </c>
      <c r="H2" s="53" t="s">
        <v>34</v>
      </c>
      <c r="I2" s="53" t="s">
        <v>35</v>
      </c>
      <c r="J2" s="53" t="s">
        <v>325</v>
      </c>
      <c r="K2" s="510" t="s">
        <v>391</v>
      </c>
      <c r="L2" s="53" t="s">
        <v>394</v>
      </c>
    </row>
    <row r="3" spans="3:13">
      <c r="C3" s="2" t="s">
        <v>86</v>
      </c>
      <c r="D3" s="39">
        <v>560.33759999999995</v>
      </c>
      <c r="E3" s="39">
        <v>533.53880000000015</v>
      </c>
      <c r="F3" s="39">
        <v>1640.234526327001</v>
      </c>
      <c r="G3" s="39">
        <v>622.01129999999989</v>
      </c>
      <c r="H3" s="39">
        <v>803.1498773385</v>
      </c>
      <c r="I3" s="39">
        <v>1295.3380774032905</v>
      </c>
      <c r="J3" s="39">
        <v>838.60681599999998</v>
      </c>
      <c r="K3" s="511">
        <v>470.01564000000008</v>
      </c>
      <c r="L3" s="5">
        <f t="shared" ref="L3:L8" si="0">K3/$K$8</f>
        <v>1.2438868716236702E-2</v>
      </c>
      <c r="M3" s="5"/>
    </row>
    <row r="4" spans="3:13">
      <c r="C4" s="2" t="s">
        <v>87</v>
      </c>
      <c r="D4" s="39">
        <v>7180.6158000000169</v>
      </c>
      <c r="E4" s="39">
        <v>6965.1683999999959</v>
      </c>
      <c r="F4" s="39">
        <v>10024.751165601969</v>
      </c>
      <c r="G4" s="39">
        <v>7652.2977999999885</v>
      </c>
      <c r="H4" s="39">
        <v>10349.163048728327</v>
      </c>
      <c r="I4" s="39">
        <v>12056.738700643897</v>
      </c>
      <c r="J4" s="39">
        <v>10851.122923999985</v>
      </c>
      <c r="K4" s="511">
        <v>7501.4592799999991</v>
      </c>
      <c r="L4" s="5">
        <f t="shared" si="0"/>
        <v>0.19852460050928405</v>
      </c>
      <c r="M4" s="5"/>
    </row>
    <row r="5" spans="3:13">
      <c r="C5" s="2" t="s">
        <v>88</v>
      </c>
      <c r="D5" s="39">
        <v>21673.219400000027</v>
      </c>
      <c r="E5" s="39">
        <v>23749.480399999913</v>
      </c>
      <c r="F5" s="39">
        <v>24892.232297261304</v>
      </c>
      <c r="G5" s="39">
        <v>26046.756200000025</v>
      </c>
      <c r="H5" s="39">
        <v>23574.389833025114</v>
      </c>
      <c r="I5" s="39">
        <v>30755.702317596653</v>
      </c>
      <c r="J5" s="39">
        <v>31844.019048000089</v>
      </c>
      <c r="K5" s="511">
        <v>23129.702250000002</v>
      </c>
      <c r="L5" s="5">
        <f t="shared" si="0"/>
        <v>0.61212288538610038</v>
      </c>
      <c r="M5" s="5"/>
    </row>
    <row r="6" spans="3:13">
      <c r="C6" s="2" t="s">
        <v>89</v>
      </c>
      <c r="D6" s="39">
        <v>16169.826800000008</v>
      </c>
      <c r="E6" s="39">
        <v>15547.821300000007</v>
      </c>
      <c r="F6" s="39">
        <v>9535.7820095919724</v>
      </c>
      <c r="G6" s="39">
        <v>8622.3745999999937</v>
      </c>
      <c r="H6" s="39">
        <v>10498.297240908041</v>
      </c>
      <c r="I6" s="39">
        <v>10913.016987657909</v>
      </c>
      <c r="J6" s="39">
        <v>8749.2511369999957</v>
      </c>
      <c r="K6" s="511">
        <v>6684.8667799999967</v>
      </c>
      <c r="L6" s="5">
        <f t="shared" si="0"/>
        <v>0.17691364538837881</v>
      </c>
      <c r="M6" s="5"/>
    </row>
    <row r="7" spans="3:13">
      <c r="C7" s="2" t="s">
        <v>74</v>
      </c>
      <c r="D7" s="39"/>
      <c r="E7" s="39"/>
      <c r="F7" s="39"/>
      <c r="G7" s="39">
        <v>55</v>
      </c>
      <c r="H7" s="39">
        <v>0</v>
      </c>
      <c r="I7" s="39">
        <v>22.066666666666698</v>
      </c>
      <c r="J7" s="39"/>
      <c r="K7" s="511"/>
      <c r="L7" s="5">
        <f t="shared" si="0"/>
        <v>0</v>
      </c>
      <c r="M7" s="5"/>
    </row>
    <row r="8" spans="3:13">
      <c r="C8" s="2" t="s">
        <v>52</v>
      </c>
      <c r="D8" s="2">
        <v>45583.999599999857</v>
      </c>
      <c r="E8" s="2">
        <v>46796.008900000117</v>
      </c>
      <c r="F8" s="2">
        <v>46092.999998782681</v>
      </c>
      <c r="G8" s="2">
        <v>42998.439900000012</v>
      </c>
      <c r="H8" s="2">
        <v>45224.999999999709</v>
      </c>
      <c r="I8" s="3">
        <v>55042.86274996835</v>
      </c>
      <c r="J8" s="3">
        <v>52282.999924999691</v>
      </c>
      <c r="K8" s="495">
        <f>SUM(K3:K7)</f>
        <v>37786.043949999999</v>
      </c>
      <c r="L8" s="5">
        <f t="shared" si="0"/>
        <v>1</v>
      </c>
      <c r="M8" s="5"/>
    </row>
    <row r="9" spans="3:13" ht="35.25" customHeight="1">
      <c r="I9" s="5740" t="s">
        <v>326</v>
      </c>
      <c r="J9" s="5740"/>
      <c r="K9" s="510" t="s">
        <v>571</v>
      </c>
    </row>
    <row r="11" spans="3:13" ht="14.4">
      <c r="C11" s="206" t="s">
        <v>570</v>
      </c>
    </row>
  </sheetData>
  <mergeCells count="1">
    <mergeCell ref="I9:J9"/>
  </mergeCells>
  <pageMargins left="0.7" right="0.7" top="0.75" bottom="0.75" header="0.3" footer="0.3"/>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rgb="FF002060"/>
  </sheetPr>
  <dimension ref="C2:L9"/>
  <sheetViews>
    <sheetView showGridLines="0" topLeftCell="J1" workbookViewId="0">
      <selection activeCell="L3" sqref="L3"/>
    </sheetView>
  </sheetViews>
  <sheetFormatPr baseColWidth="10" defaultRowHeight="14.4"/>
  <cols>
    <col min="1" max="1" width="2" bestFit="1" customWidth="1"/>
    <col min="2" max="2" width="2.109375" customWidth="1"/>
    <col min="3" max="3" width="18.6640625" customWidth="1"/>
    <col min="4" max="4" width="10.6640625" bestFit="1" customWidth="1"/>
    <col min="5" max="5" width="11.5546875" bestFit="1" customWidth="1"/>
    <col min="6" max="6" width="10.5546875" bestFit="1" customWidth="1"/>
    <col min="7" max="8" width="12.88671875" customWidth="1"/>
    <col min="9" max="9" width="10.5546875" bestFit="1" customWidth="1"/>
    <col min="10" max="10" width="11.33203125" bestFit="1" customWidth="1"/>
    <col min="11" max="11" width="11.33203125" style="52" customWidth="1"/>
    <col min="12" max="12" width="15.33203125" customWidth="1"/>
    <col min="13" max="14" width="11" bestFit="1" customWidth="1"/>
  </cols>
  <sheetData>
    <row r="2" spans="3:12" s="49" customFormat="1" ht="28.8">
      <c r="C2" s="49" t="s">
        <v>91</v>
      </c>
      <c r="D2" s="49" t="s">
        <v>0</v>
      </c>
      <c r="E2" s="49" t="s">
        <v>1</v>
      </c>
      <c r="F2" s="49" t="s">
        <v>2</v>
      </c>
      <c r="G2" s="49" t="s">
        <v>3</v>
      </c>
      <c r="H2" s="49" t="s">
        <v>34</v>
      </c>
      <c r="I2" s="49" t="s">
        <v>35</v>
      </c>
      <c r="J2" s="49" t="s">
        <v>325</v>
      </c>
      <c r="K2" s="498" t="s">
        <v>391</v>
      </c>
      <c r="L2" s="50" t="s">
        <v>1393</v>
      </c>
    </row>
    <row r="3" spans="3:12">
      <c r="C3" t="s">
        <v>153</v>
      </c>
      <c r="D3" s="38">
        <v>13831.08239999997</v>
      </c>
      <c r="E3" s="38">
        <v>16187.176299999996</v>
      </c>
      <c r="F3" s="38">
        <v>18185.503135580999</v>
      </c>
      <c r="G3" s="38">
        <v>15775.352999999981</v>
      </c>
      <c r="H3" s="38">
        <v>10917.000000000038</v>
      </c>
      <c r="I3" s="38">
        <v>17775.471720662877</v>
      </c>
      <c r="J3" s="38">
        <v>17881</v>
      </c>
      <c r="K3" s="488">
        <v>17710.827679999977</v>
      </c>
      <c r="L3" s="4">
        <f t="shared" ref="L3:L8" si="0">K3/$K$8</f>
        <v>0.37526121555220571</v>
      </c>
    </row>
    <row r="4" spans="3:12">
      <c r="C4" t="s">
        <v>154</v>
      </c>
      <c r="D4" s="38">
        <v>13913.45870000001</v>
      </c>
      <c r="E4" s="38">
        <v>15683.536800000018</v>
      </c>
      <c r="F4" s="38">
        <v>15032.472342570913</v>
      </c>
      <c r="G4" s="38">
        <v>16088.468499999999</v>
      </c>
      <c r="H4" s="38">
        <v>15672.000000000015</v>
      </c>
      <c r="I4" s="38">
        <v>19079.070803902508</v>
      </c>
      <c r="J4" s="38">
        <v>22509</v>
      </c>
      <c r="K4" s="488">
        <v>17401.311309999968</v>
      </c>
      <c r="L4" s="4">
        <f t="shared" si="0"/>
        <v>0.36870310932825595</v>
      </c>
    </row>
    <row r="5" spans="3:12">
      <c r="C5" t="s">
        <v>155</v>
      </c>
      <c r="D5" s="38">
        <v>9552.1895000000131</v>
      </c>
      <c r="E5" s="38">
        <v>10796.876699999997</v>
      </c>
      <c r="F5" s="38">
        <v>8318.8207691239841</v>
      </c>
      <c r="G5" s="38">
        <v>8752.1476999999832</v>
      </c>
      <c r="H5" s="38">
        <v>12555.000000000002</v>
      </c>
      <c r="I5" s="38">
        <v>13715.396002143205</v>
      </c>
      <c r="J5" s="38">
        <v>8466</v>
      </c>
      <c r="K5" s="488">
        <v>8509.9654400000036</v>
      </c>
      <c r="L5" s="4">
        <f t="shared" si="0"/>
        <v>0.18031116518218343</v>
      </c>
    </row>
    <row r="6" spans="3:12">
      <c r="C6" t="s">
        <v>156</v>
      </c>
      <c r="D6" s="38">
        <v>4267.9005999999963</v>
      </c>
      <c r="E6" s="38">
        <v>3382.4538000000011</v>
      </c>
      <c r="F6" s="38">
        <v>4556.2037515059965</v>
      </c>
      <c r="G6" s="38">
        <v>2381.7707000000009</v>
      </c>
      <c r="H6" s="38">
        <v>6081</v>
      </c>
      <c r="I6" s="38">
        <v>4472.9242232599127</v>
      </c>
      <c r="J6" s="38">
        <v>3427</v>
      </c>
      <c r="K6" s="488">
        <v>3573.8938399999979</v>
      </c>
      <c r="L6" s="4">
        <f t="shared" si="0"/>
        <v>7.5724509937354953E-2</v>
      </c>
    </row>
    <row r="7" spans="3:12">
      <c r="C7" t="s">
        <v>157</v>
      </c>
      <c r="D7" s="38">
        <v>4019.3683999999985</v>
      </c>
      <c r="E7" s="38"/>
      <c r="F7" s="38"/>
      <c r="G7" s="38"/>
      <c r="H7" s="38"/>
      <c r="I7" s="38"/>
      <c r="J7" s="38"/>
      <c r="K7" s="488"/>
      <c r="L7" s="4">
        <f t="shared" si="0"/>
        <v>0</v>
      </c>
    </row>
    <row r="8" spans="3:12">
      <c r="C8" t="s">
        <v>52</v>
      </c>
      <c r="D8" s="38">
        <v>45583.999599999857</v>
      </c>
      <c r="E8" s="38">
        <v>46796.008900000117</v>
      </c>
      <c r="F8" s="38">
        <v>46092.999998782681</v>
      </c>
      <c r="G8" s="38">
        <v>42997.739899999964</v>
      </c>
      <c r="H8" s="38">
        <v>45224.999999999607</v>
      </c>
      <c r="I8" s="38">
        <f>SUM(I3:I7)</f>
        <v>55042.86274996851</v>
      </c>
      <c r="J8" s="38">
        <f>SUM(J3:J7)</f>
        <v>52283</v>
      </c>
      <c r="K8" s="488">
        <f>SUM(K3:K7)</f>
        <v>47195.998269999945</v>
      </c>
      <c r="L8" s="4">
        <f t="shared" si="0"/>
        <v>1</v>
      </c>
    </row>
    <row r="9" spans="3:12">
      <c r="C9" s="206" t="s">
        <v>570</v>
      </c>
    </row>
  </sheetData>
  <pageMargins left="0.7" right="0.7" top="0.75" bottom="0.75" header="0.3" footer="0.3"/>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rgb="FF002060"/>
  </sheetPr>
  <dimension ref="B1:P22"/>
  <sheetViews>
    <sheetView showGridLines="0" topLeftCell="P1" zoomScale="85" zoomScaleNormal="85" workbookViewId="0">
      <selection activeCell="X25" sqref="X25"/>
    </sheetView>
  </sheetViews>
  <sheetFormatPr baseColWidth="10" defaultColWidth="11.44140625" defaultRowHeight="13.8"/>
  <cols>
    <col min="1" max="1" width="1.33203125" style="2" customWidth="1"/>
    <col min="2" max="2" width="1.33203125" style="7" customWidth="1"/>
    <col min="3" max="3" width="24.44140625" style="266" customWidth="1"/>
    <col min="4" max="4" width="22.6640625" style="20" customWidth="1"/>
    <col min="5" max="6" width="10" style="2" bestFit="1" customWidth="1"/>
    <col min="7" max="7" width="10.44140625" style="2" bestFit="1" customWidth="1"/>
    <col min="8" max="8" width="11.33203125" style="2" bestFit="1" customWidth="1"/>
    <col min="9" max="10" width="10" style="2" bestFit="1" customWidth="1"/>
    <col min="11" max="11" width="11.33203125" style="2" bestFit="1" customWidth="1"/>
    <col min="12" max="12" width="11.33203125" style="489" customWidth="1"/>
    <col min="13" max="13" width="10" style="2" customWidth="1"/>
    <col min="14" max="14" width="13.109375" style="253" hidden="1" customWidth="1"/>
    <col min="15" max="16" width="12.6640625" style="2" customWidth="1"/>
    <col min="17" max="16384" width="11.44140625" style="2"/>
  </cols>
  <sheetData>
    <row r="1" spans="3:16" ht="27.6">
      <c r="C1" s="266" t="s">
        <v>92</v>
      </c>
    </row>
    <row r="3" spans="3:16" ht="27.6">
      <c r="C3" s="266" t="s">
        <v>93</v>
      </c>
      <c r="E3" s="267" t="s">
        <v>0</v>
      </c>
      <c r="F3" s="268" t="s">
        <v>1</v>
      </c>
      <c r="G3" s="268" t="s">
        <v>2</v>
      </c>
      <c r="H3" s="268" t="s">
        <v>3</v>
      </c>
      <c r="I3" s="268">
        <v>2012</v>
      </c>
      <c r="J3" s="268">
        <v>2013</v>
      </c>
      <c r="K3" s="268">
        <v>2014</v>
      </c>
      <c r="L3" s="490">
        <v>2015</v>
      </c>
      <c r="M3" s="269" t="s">
        <v>524</v>
      </c>
      <c r="N3" s="270">
        <v>2015</v>
      </c>
      <c r="O3" s="5479" t="s">
        <v>523</v>
      </c>
      <c r="P3" s="5479"/>
    </row>
    <row r="4" spans="3:16" ht="27.6">
      <c r="E4" s="271" t="s">
        <v>0</v>
      </c>
      <c r="F4" s="223" t="s">
        <v>1</v>
      </c>
      <c r="G4" s="223" t="s">
        <v>2</v>
      </c>
      <c r="H4" s="223" t="s">
        <v>3</v>
      </c>
      <c r="I4" s="223" t="s">
        <v>34</v>
      </c>
      <c r="J4" s="223" t="s">
        <v>35</v>
      </c>
      <c r="K4" s="223" t="s">
        <v>325</v>
      </c>
      <c r="L4" s="491" t="s">
        <v>324</v>
      </c>
      <c r="M4" s="269"/>
      <c r="N4" s="134" t="s">
        <v>522</v>
      </c>
      <c r="O4" s="5479"/>
      <c r="P4" s="5479"/>
    </row>
    <row r="5" spans="3:16">
      <c r="C5" s="272" t="s">
        <v>79</v>
      </c>
      <c r="D5" s="273" t="s">
        <v>79</v>
      </c>
      <c r="E5" s="3">
        <v>6685.6864000000141</v>
      </c>
      <c r="F5" s="3">
        <v>8671.939399999992</v>
      </c>
      <c r="G5" s="3">
        <v>13814.049797596965</v>
      </c>
      <c r="H5" s="3">
        <v>11270.568300000012</v>
      </c>
      <c r="I5" s="3">
        <v>12734.583781630261</v>
      </c>
      <c r="J5" s="3">
        <v>20514.59729052132</v>
      </c>
      <c r="K5" s="262">
        <v>18484.630589999968</v>
      </c>
      <c r="L5" s="492">
        <v>14582.115569999949</v>
      </c>
      <c r="M5" s="284">
        <f>L5/K5-1</f>
        <v>-0.21112215367242704</v>
      </c>
      <c r="N5" s="285">
        <f t="shared" ref="N5:N18" si="0">L5/$L$18</f>
        <v>0.30896932164838087</v>
      </c>
      <c r="O5" s="295">
        <f>L5/$L$18</f>
        <v>0.30896932164838087</v>
      </c>
      <c r="P5" s="279">
        <f>O5</f>
        <v>0.30896932164838087</v>
      </c>
    </row>
    <row r="6" spans="3:16">
      <c r="C6" s="272" t="s">
        <v>78</v>
      </c>
      <c r="D6" s="273" t="s">
        <v>78</v>
      </c>
      <c r="E6" s="3">
        <v>18599.029899999994</v>
      </c>
      <c r="F6" s="3">
        <v>21591.399099999966</v>
      </c>
      <c r="G6" s="3">
        <v>19299.052366580272</v>
      </c>
      <c r="H6" s="3">
        <v>15854.946100000025</v>
      </c>
      <c r="I6" s="3">
        <v>11685.96936968867</v>
      </c>
      <c r="J6" s="3">
        <v>16247.094692138864</v>
      </c>
      <c r="K6" s="263">
        <v>19408.13392900004</v>
      </c>
      <c r="L6" s="493">
        <v>23203.928379999987</v>
      </c>
      <c r="M6" s="284">
        <f t="shared" ref="M6:M18" si="1">L6/K6-1</f>
        <v>0.195577507084707</v>
      </c>
      <c r="N6" s="285">
        <f t="shared" si="0"/>
        <v>0.49165033542154496</v>
      </c>
      <c r="O6" s="295">
        <f t="shared" ref="O6:O17" si="2">L6/$L$18</f>
        <v>0.49165033542154496</v>
      </c>
      <c r="P6" s="279">
        <f>O6</f>
        <v>0.49165033542154496</v>
      </c>
    </row>
    <row r="7" spans="3:16">
      <c r="C7" s="274" t="s">
        <v>80</v>
      </c>
      <c r="D7" s="275" t="s">
        <v>98</v>
      </c>
      <c r="E7" s="3">
        <v>3755.5793999999978</v>
      </c>
      <c r="F7" s="3">
        <v>5804.1046000000006</v>
      </c>
      <c r="G7" s="3">
        <v>4066.9811061119908</v>
      </c>
      <c r="H7" s="3">
        <v>5377.2943999999916</v>
      </c>
      <c r="I7" s="3">
        <v>6945.8813039114229</v>
      </c>
      <c r="J7" s="3">
        <v>7527.4618692054491</v>
      </c>
      <c r="K7" s="263">
        <v>5941.8221759999933</v>
      </c>
      <c r="L7" s="493">
        <v>4632.1667999999963</v>
      </c>
      <c r="M7" s="284">
        <f t="shared" si="1"/>
        <v>-0.22041308830983075</v>
      </c>
      <c r="N7" s="285">
        <f t="shared" si="0"/>
        <v>9.8147448296362308E-2</v>
      </c>
      <c r="O7" s="296">
        <f t="shared" si="2"/>
        <v>9.8147448296362308E-2</v>
      </c>
      <c r="P7" s="280">
        <f>SUM(O7:O10)</f>
        <v>0.14763681509898588</v>
      </c>
    </row>
    <row r="8" spans="3:16" ht="27.6">
      <c r="C8" s="274" t="s">
        <v>525</v>
      </c>
      <c r="D8" s="275"/>
      <c r="E8" s="3">
        <v>2195.2924999999996</v>
      </c>
      <c r="F8" s="3">
        <v>2529.1841000000004</v>
      </c>
      <c r="G8" s="3">
        <v>1310.7552781610018</v>
      </c>
      <c r="H8" s="3">
        <v>1916.6378999999999</v>
      </c>
      <c r="I8" s="3">
        <v>3350.6242469731073</v>
      </c>
      <c r="J8" s="3">
        <v>3978.2547799631307</v>
      </c>
      <c r="K8" s="263">
        <v>3434.4950699999981</v>
      </c>
      <c r="L8" s="493">
        <v>1229.5067799999997</v>
      </c>
      <c r="M8" s="284">
        <f t="shared" si="1"/>
        <v>-0.64201236136874107</v>
      </c>
      <c r="N8" s="285">
        <f t="shared" si="0"/>
        <v>2.6051081131205592E-2</v>
      </c>
      <c r="O8" s="296">
        <f t="shared" si="2"/>
        <v>2.6051081131205592E-2</v>
      </c>
      <c r="P8" s="280"/>
    </row>
    <row r="9" spans="3:16" ht="27.6">
      <c r="C9" s="274" t="s">
        <v>96</v>
      </c>
      <c r="D9" s="275"/>
      <c r="E9" s="3">
        <v>6039.7454000000107</v>
      </c>
      <c r="F9" s="3">
        <v>485.97739999999999</v>
      </c>
      <c r="G9" s="3">
        <v>2071.0954591760042</v>
      </c>
      <c r="H9" s="3">
        <v>2049.5744</v>
      </c>
      <c r="I9" s="3">
        <v>3062.664985723135</v>
      </c>
      <c r="J9" s="3">
        <v>1979.9713282736864</v>
      </c>
      <c r="K9" s="263">
        <v>1254.1661980000003</v>
      </c>
      <c r="L9" s="493">
        <v>1013.3860500000001</v>
      </c>
      <c r="M9" s="284">
        <f t="shared" si="1"/>
        <v>-0.19198424290494254</v>
      </c>
      <c r="N9" s="285">
        <f t="shared" si="0"/>
        <v>2.1471863868682346E-2</v>
      </c>
      <c r="O9" s="296">
        <f t="shared" si="2"/>
        <v>2.1471863868682346E-2</v>
      </c>
      <c r="P9" s="280"/>
    </row>
    <row r="10" spans="3:16">
      <c r="C10" s="274" t="s">
        <v>83</v>
      </c>
      <c r="D10" s="275"/>
      <c r="E10" s="3">
        <v>2526.0281999999984</v>
      </c>
      <c r="F10" s="3">
        <v>2782.2850000000012</v>
      </c>
      <c r="G10" s="3">
        <v>2245.0408197939973</v>
      </c>
      <c r="H10" s="3">
        <v>1021.1430000000001</v>
      </c>
      <c r="I10" s="3">
        <v>1317.1319469792645</v>
      </c>
      <c r="J10" s="3">
        <v>1525.7935509627464</v>
      </c>
      <c r="K10" s="263">
        <v>1043.6701149999999</v>
      </c>
      <c r="L10" s="493">
        <v>92.807240000000007</v>
      </c>
      <c r="M10" s="284">
        <f t="shared" si="1"/>
        <v>-0.91107607790417566</v>
      </c>
      <c r="N10" s="285">
        <f t="shared" si="0"/>
        <v>1.9664218027356218E-3</v>
      </c>
      <c r="O10" s="296">
        <f t="shared" si="2"/>
        <v>1.9664218027356218E-3</v>
      </c>
      <c r="P10" s="280"/>
    </row>
    <row r="11" spans="3:16">
      <c r="C11" s="272" t="s">
        <v>95</v>
      </c>
      <c r="D11" s="273" t="s">
        <v>95</v>
      </c>
      <c r="E11" s="3">
        <v>2908.9277999999977</v>
      </c>
      <c r="F11" s="3">
        <v>949.16560000000027</v>
      </c>
      <c r="G11" s="3">
        <v>824.50613755300014</v>
      </c>
      <c r="H11" s="3">
        <v>735.46170000000006</v>
      </c>
      <c r="I11" s="3">
        <v>299.12180513230919</v>
      </c>
      <c r="J11" s="3">
        <v>475.12098997040994</v>
      </c>
      <c r="K11" s="263">
        <v>279.54754600000001</v>
      </c>
      <c r="L11" s="493">
        <v>342.61894000000001</v>
      </c>
      <c r="M11" s="284">
        <f t="shared" si="1"/>
        <v>0.22561955882810714</v>
      </c>
      <c r="N11" s="285">
        <f t="shared" si="0"/>
        <v>7.259491324665703E-3</v>
      </c>
      <c r="O11" s="295">
        <f t="shared" si="2"/>
        <v>7.259491324665703E-3</v>
      </c>
      <c r="P11" s="279">
        <f>O11</f>
        <v>7.259491324665703E-3</v>
      </c>
    </row>
    <row r="12" spans="3:16">
      <c r="C12" s="272" t="s">
        <v>97</v>
      </c>
      <c r="D12" s="281" t="s">
        <v>51</v>
      </c>
      <c r="E12" s="3"/>
      <c r="F12" s="3">
        <v>454.88379999999995</v>
      </c>
      <c r="G12" s="3">
        <v>282.88467818999999</v>
      </c>
      <c r="H12" s="3">
        <v>905.04370000000017</v>
      </c>
      <c r="I12" s="3">
        <v>427.78181805599701</v>
      </c>
      <c r="J12" s="3">
        <v>433.27247050335285</v>
      </c>
      <c r="K12" s="263">
        <v>429.73559699999993</v>
      </c>
      <c r="L12" s="493">
        <v>216.55100000000002</v>
      </c>
      <c r="M12" s="284">
        <f t="shared" si="1"/>
        <v>-0.49608316948432818</v>
      </c>
      <c r="N12" s="285">
        <f t="shared" si="0"/>
        <v>4.5883339252864499E-3</v>
      </c>
      <c r="O12" s="297">
        <f t="shared" si="2"/>
        <v>4.5883339252864499E-3</v>
      </c>
      <c r="P12" s="282">
        <f>SUM(O12:O17)</f>
        <v>4.4484036506428487E-2</v>
      </c>
    </row>
    <row r="13" spans="3:16">
      <c r="C13" s="272" t="s">
        <v>94</v>
      </c>
      <c r="D13" s="281"/>
      <c r="E13" s="3">
        <v>285.65350000000001</v>
      </c>
      <c r="F13" s="3">
        <v>267.8854</v>
      </c>
      <c r="G13" s="3">
        <v>663.06366429000013</v>
      </c>
      <c r="H13" s="3">
        <v>360.35699999999997</v>
      </c>
      <c r="I13" s="3">
        <v>303.52209317228801</v>
      </c>
      <c r="J13" s="3">
        <v>419.48058144640879</v>
      </c>
      <c r="K13" s="263">
        <v>389.499776</v>
      </c>
      <c r="L13" s="493">
        <v>1062.7846100000002</v>
      </c>
      <c r="M13" s="284">
        <f t="shared" si="1"/>
        <v>1.7285885011651461</v>
      </c>
      <c r="N13" s="285">
        <f t="shared" si="0"/>
        <v>2.2518532268774233E-2</v>
      </c>
      <c r="O13" s="297">
        <f t="shared" si="2"/>
        <v>2.2518532268774233E-2</v>
      </c>
      <c r="P13" s="282"/>
    </row>
    <row r="14" spans="3:16">
      <c r="C14" s="272" t="s">
        <v>84</v>
      </c>
      <c r="D14" s="281"/>
      <c r="E14" s="3"/>
      <c r="F14" s="3">
        <v>277.05889999999999</v>
      </c>
      <c r="G14" s="3">
        <v>445.81000753899991</v>
      </c>
      <c r="H14" s="3">
        <v>534.32530000000008</v>
      </c>
      <c r="I14" s="3">
        <v>954.0830857913669</v>
      </c>
      <c r="J14" s="3">
        <v>202.6934082046985</v>
      </c>
      <c r="K14" s="263">
        <v>335.62633199999999</v>
      </c>
      <c r="L14" s="493">
        <v>312.58907999999997</v>
      </c>
      <c r="M14" s="284">
        <f t="shared" si="1"/>
        <v>-6.8639584572285695E-2</v>
      </c>
      <c r="N14" s="285">
        <f t="shared" si="0"/>
        <v>6.6232115318704595E-3</v>
      </c>
      <c r="O14" s="297">
        <f t="shared" si="2"/>
        <v>6.6232115318704595E-3</v>
      </c>
      <c r="P14" s="282"/>
    </row>
    <row r="15" spans="3:16">
      <c r="C15" s="276" t="s">
        <v>521</v>
      </c>
      <c r="D15" s="281"/>
      <c r="E15" s="3"/>
      <c r="F15" s="3"/>
      <c r="G15" s="3"/>
      <c r="H15" s="3"/>
      <c r="I15" s="3"/>
      <c r="J15" s="3"/>
      <c r="K15" s="264"/>
      <c r="L15" s="494">
        <v>507.54382000000004</v>
      </c>
      <c r="M15" s="284">
        <v>1</v>
      </c>
      <c r="N15" s="285">
        <f t="shared" si="0"/>
        <v>1.075395878049734E-2</v>
      </c>
      <c r="O15" s="297">
        <f t="shared" si="2"/>
        <v>1.075395878049734E-2</v>
      </c>
      <c r="P15" s="282"/>
    </row>
    <row r="16" spans="3:16">
      <c r="C16" s="272" t="s">
        <v>74</v>
      </c>
      <c r="D16" s="281"/>
      <c r="E16" s="3"/>
      <c r="F16" s="3"/>
      <c r="G16" s="3"/>
      <c r="H16" s="3"/>
      <c r="I16" s="3"/>
      <c r="J16" s="3">
        <v>115.38666666666671</v>
      </c>
      <c r="K16" s="3"/>
      <c r="L16" s="495"/>
      <c r="M16" s="284" t="s">
        <v>390</v>
      </c>
      <c r="N16" s="285">
        <f t="shared" si="0"/>
        <v>0</v>
      </c>
      <c r="O16" s="297">
        <f t="shared" si="2"/>
        <v>0</v>
      </c>
      <c r="P16" s="282"/>
    </row>
    <row r="17" spans="3:16" ht="14.4" thickBot="1">
      <c r="C17" s="272" t="s">
        <v>51</v>
      </c>
      <c r="D17" s="281"/>
      <c r="E17" s="3">
        <v>2588.0564999999992</v>
      </c>
      <c r="F17" s="3">
        <v>2982.1256000000012</v>
      </c>
      <c r="G17" s="3">
        <v>1069.7606837900003</v>
      </c>
      <c r="H17" s="3">
        <v>2971.9029</v>
      </c>
      <c r="I17" s="3">
        <v>4057.6247241568631</v>
      </c>
      <c r="J17" s="3">
        <v>1623.7351221117196</v>
      </c>
      <c r="K17" s="265">
        <v>1281.6725959999999</v>
      </c>
      <c r="L17" s="496"/>
      <c r="M17" s="286" t="s">
        <v>390</v>
      </c>
      <c r="N17" s="287">
        <f t="shared" si="0"/>
        <v>0</v>
      </c>
      <c r="O17" s="298">
        <f t="shared" si="2"/>
        <v>0</v>
      </c>
      <c r="P17" s="283"/>
    </row>
    <row r="18" spans="3:16" ht="14.4" thickBot="1">
      <c r="C18" s="277" t="s">
        <v>52</v>
      </c>
      <c r="D18" s="278" t="s">
        <v>52</v>
      </c>
      <c r="E18" s="261">
        <v>45583.999599999857</v>
      </c>
      <c r="F18" s="261">
        <v>46796.008900000117</v>
      </c>
      <c r="G18" s="261">
        <v>46092.999998783271</v>
      </c>
      <c r="H18" s="261">
        <v>42997.254700000252</v>
      </c>
      <c r="I18" s="261">
        <v>45224.999999999709</v>
      </c>
      <c r="J18" s="261">
        <v>55042.86274996835</v>
      </c>
      <c r="K18" s="261">
        <f>SUM(K5:K17)</f>
        <v>52282.999924999989</v>
      </c>
      <c r="L18" s="497">
        <v>47195.998269999654</v>
      </c>
      <c r="M18" s="288">
        <f t="shared" si="1"/>
        <v>-9.7297432478963386E-2</v>
      </c>
      <c r="N18" s="289">
        <f t="shared" si="0"/>
        <v>1</v>
      </c>
      <c r="O18" s="290">
        <f>K18/$K$18</f>
        <v>1</v>
      </c>
      <c r="P18" s="291">
        <f>O18</f>
        <v>1</v>
      </c>
    </row>
    <row r="19" spans="3:16">
      <c r="C19" s="292" t="s">
        <v>392</v>
      </c>
      <c r="D19" s="2"/>
    </row>
    <row r="20" spans="3:16">
      <c r="C20" s="2"/>
      <c r="D20" s="2"/>
    </row>
    <row r="21" spans="3:16">
      <c r="C21" s="293" t="s">
        <v>515</v>
      </c>
      <c r="D21" s="294"/>
      <c r="E21" s="36"/>
      <c r="F21" s="36"/>
      <c r="G21" s="36"/>
      <c r="H21" s="36"/>
      <c r="I21" s="36"/>
      <c r="J21" s="36"/>
      <c r="K21" s="36"/>
    </row>
    <row r="22" spans="3:16">
      <c r="C22" s="5741" t="s">
        <v>520</v>
      </c>
      <c r="D22" s="5741"/>
      <c r="E22" s="5741"/>
      <c r="F22" s="5741"/>
      <c r="G22" s="5741"/>
      <c r="H22" s="5741"/>
      <c r="I22" s="5741"/>
      <c r="J22" s="5741"/>
      <c r="K22" s="5741"/>
    </row>
  </sheetData>
  <sortState xmlns:xlrd2="http://schemas.microsoft.com/office/spreadsheetml/2017/richdata2" ref="C5:J16">
    <sortCondition descending="1" ref="J5:J16"/>
  </sortState>
  <mergeCells count="2">
    <mergeCell ref="O3:P4"/>
    <mergeCell ref="C22:K22"/>
  </mergeCells>
  <pageMargins left="0.7" right="0.7" top="0.75" bottom="0.75" header="0.3" footer="0.3"/>
  <pageSetup orientation="portrait" verticalDpi="597" r:id="rId1"/>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rgb="FF002060"/>
  </sheetPr>
  <dimension ref="A1:L10"/>
  <sheetViews>
    <sheetView showGridLines="0" topLeftCell="H1" workbookViewId="0">
      <selection activeCell="U9" sqref="U9"/>
    </sheetView>
  </sheetViews>
  <sheetFormatPr baseColWidth="10" defaultRowHeight="14.4"/>
  <cols>
    <col min="1" max="1" width="2" bestFit="1" customWidth="1"/>
    <col min="2" max="2" width="2.44140625" customWidth="1"/>
    <col min="3" max="3" width="32.88671875" style="2" customWidth="1"/>
    <col min="4" max="5" width="9.44140625" bestFit="1" customWidth="1"/>
    <col min="6" max="6" width="9.88671875" bestFit="1" customWidth="1"/>
    <col min="7" max="7" width="11" bestFit="1" customWidth="1"/>
    <col min="8" max="9" width="9.44140625" bestFit="1" customWidth="1"/>
    <col min="10" max="11" width="11" bestFit="1" customWidth="1"/>
    <col min="12" max="12" width="9.6640625" bestFit="1" customWidth="1"/>
  </cols>
  <sheetData>
    <row r="1" spans="1:12" ht="34.5" customHeight="1">
      <c r="A1" s="2175"/>
      <c r="B1" s="2175"/>
      <c r="C1" s="2175"/>
      <c r="D1" s="2175"/>
      <c r="E1" s="2175"/>
      <c r="F1" s="2175"/>
      <c r="G1" s="2175"/>
      <c r="H1" s="2175"/>
      <c r="I1" s="2175"/>
      <c r="J1" s="2175"/>
      <c r="K1" s="2175"/>
      <c r="L1" s="2175"/>
    </row>
    <row r="3" spans="1:12" s="660" customFormat="1" ht="18">
      <c r="C3" s="660" t="s">
        <v>99</v>
      </c>
    </row>
    <row r="5" spans="1:12" ht="24.6">
      <c r="A5">
        <v>7</v>
      </c>
      <c r="C5" s="2" t="s">
        <v>100</v>
      </c>
      <c r="D5" s="476">
        <v>2008</v>
      </c>
      <c r="E5" s="476">
        <v>2009</v>
      </c>
      <c r="F5" s="476">
        <v>2010</v>
      </c>
      <c r="G5" s="476">
        <v>2011</v>
      </c>
      <c r="H5" s="476">
        <v>2012</v>
      </c>
      <c r="I5" s="476">
        <v>2013</v>
      </c>
      <c r="J5" s="2172">
        <v>2014</v>
      </c>
      <c r="K5" s="2172">
        <v>2015</v>
      </c>
      <c r="L5" s="40" t="s">
        <v>394</v>
      </c>
    </row>
    <row r="6" spans="1:12">
      <c r="D6" s="476" t="s">
        <v>0</v>
      </c>
      <c r="E6" s="476" t="s">
        <v>1</v>
      </c>
      <c r="F6" s="476" t="s">
        <v>2</v>
      </c>
      <c r="G6" s="476" t="s">
        <v>3</v>
      </c>
      <c r="H6" s="476" t="s">
        <v>34</v>
      </c>
      <c r="I6" s="476" t="s">
        <v>35</v>
      </c>
      <c r="J6" s="2172" t="s">
        <v>325</v>
      </c>
      <c r="K6" s="2172" t="s">
        <v>391</v>
      </c>
    </row>
    <row r="7" spans="1:12">
      <c r="C7" s="2" t="s">
        <v>101</v>
      </c>
      <c r="D7" s="38">
        <v>10160.102100000009</v>
      </c>
      <c r="E7" s="38">
        <v>9809.1309999999939</v>
      </c>
      <c r="F7" s="38">
        <v>9044.4428706999734</v>
      </c>
      <c r="G7" s="38">
        <v>9533.4457999999904</v>
      </c>
      <c r="H7" s="38">
        <v>11287.702425944528</v>
      </c>
      <c r="I7" s="38">
        <v>7467.0033703230229</v>
      </c>
      <c r="J7" s="38">
        <v>7095.6254519999993</v>
      </c>
      <c r="K7" s="38">
        <v>5906.2793199999969</v>
      </c>
      <c r="L7" s="4">
        <f>K7/$K$10</f>
        <v>0.12514364642127582</v>
      </c>
    </row>
    <row r="8" spans="1:12">
      <c r="C8" s="2" t="s">
        <v>102</v>
      </c>
      <c r="D8" s="38">
        <v>35423.897499999992</v>
      </c>
      <c r="E8" s="38">
        <v>36986.877899999767</v>
      </c>
      <c r="F8" s="38">
        <v>37048.557128082663</v>
      </c>
      <c r="G8" s="38">
        <v>33463.808899999982</v>
      </c>
      <c r="H8" s="38">
        <v>33937.297574055359</v>
      </c>
      <c r="I8" s="38">
        <v>47358.842842848804</v>
      </c>
      <c r="J8" s="38">
        <v>45187.374472999829</v>
      </c>
      <c r="K8" s="38">
        <v>41289.718949999784</v>
      </c>
      <c r="L8" s="4">
        <f>K8/$K$10</f>
        <v>0.87485635357872427</v>
      </c>
    </row>
    <row r="9" spans="1:12">
      <c r="C9" s="2" t="s">
        <v>74</v>
      </c>
      <c r="D9" s="38"/>
      <c r="E9" s="38"/>
      <c r="F9" s="38"/>
      <c r="G9" s="38"/>
      <c r="H9" s="38"/>
      <c r="I9" s="38">
        <v>217.01653679653688</v>
      </c>
      <c r="J9" s="38">
        <v>0</v>
      </c>
      <c r="K9" s="38"/>
      <c r="L9" s="4">
        <f>K9/$K$10</f>
        <v>0</v>
      </c>
    </row>
    <row r="10" spans="1:12">
      <c r="C10" s="2" t="s">
        <v>52</v>
      </c>
      <c r="D10" s="38">
        <v>45583.999599999857</v>
      </c>
      <c r="E10" s="38">
        <v>46796.008900000117</v>
      </c>
      <c r="F10" s="38">
        <v>46092.999998782681</v>
      </c>
      <c r="G10" s="38">
        <v>42997.254700000252</v>
      </c>
      <c r="H10" s="38">
        <v>45224.999999999607</v>
      </c>
      <c r="I10" s="38">
        <v>55042.86274996835</v>
      </c>
      <c r="J10" s="38">
        <f>SUM(J7:J9)</f>
        <v>52282.999924999829</v>
      </c>
      <c r="K10" s="38">
        <f>SUM(K7:K9)</f>
        <v>47195.998269999778</v>
      </c>
      <c r="L10" s="4">
        <f>K10/$K$10</f>
        <v>1</v>
      </c>
    </row>
  </sheetData>
  <pageMargins left="0.7" right="0.7" top="0.75" bottom="0.75" header="0.3" footer="0.3"/>
  <pageSetup orientation="portrait" r:id="rId1"/>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rgb="FF002060"/>
  </sheetPr>
  <dimension ref="A1:O35"/>
  <sheetViews>
    <sheetView showGridLines="0" topLeftCell="N18" zoomScaleNormal="100" workbookViewId="0">
      <selection activeCell="Y33" sqref="Y33"/>
    </sheetView>
  </sheetViews>
  <sheetFormatPr baseColWidth="10" defaultRowHeight="14.4"/>
  <cols>
    <col min="1" max="1" width="2" bestFit="1" customWidth="1"/>
    <col min="2" max="2" width="1.88671875" customWidth="1"/>
    <col min="3" max="3" width="23" customWidth="1"/>
    <col min="4" max="9" width="12.44140625" bestFit="1" customWidth="1"/>
    <col min="10" max="10" width="12.44140625" customWidth="1"/>
    <col min="11" max="11" width="12.44140625" style="52" customWidth="1"/>
  </cols>
  <sheetData>
    <row r="1" spans="1:15" hidden="1">
      <c r="A1" s="8">
        <v>6</v>
      </c>
      <c r="B1" s="9"/>
      <c r="C1" s="8" t="s">
        <v>103</v>
      </c>
      <c r="D1" s="8"/>
      <c r="E1" s="8"/>
      <c r="F1" s="8"/>
      <c r="G1" s="8"/>
      <c r="H1" s="8"/>
      <c r="I1" s="8"/>
      <c r="J1" s="8"/>
      <c r="K1" s="512"/>
      <c r="L1" s="8"/>
      <c r="M1" s="8"/>
      <c r="N1" s="8"/>
    </row>
    <row r="2" spans="1:15" hidden="1">
      <c r="A2" s="10"/>
      <c r="B2" s="10"/>
      <c r="C2" s="10"/>
      <c r="D2" s="10"/>
      <c r="E2" s="10"/>
      <c r="F2" s="10"/>
      <c r="G2" s="10"/>
      <c r="H2" s="10"/>
      <c r="I2" s="10"/>
      <c r="J2" s="10"/>
      <c r="K2" s="513"/>
      <c r="L2" s="10"/>
      <c r="M2" s="10"/>
      <c r="N2" s="10"/>
    </row>
    <row r="3" spans="1:15" ht="34.200000000000003" hidden="1">
      <c r="A3" s="10"/>
      <c r="B3" s="10"/>
      <c r="C3" s="11" t="s">
        <v>104</v>
      </c>
      <c r="D3" s="12" t="s">
        <v>78</v>
      </c>
      <c r="E3" s="13" t="s">
        <v>79</v>
      </c>
      <c r="F3" s="13" t="s">
        <v>80</v>
      </c>
      <c r="G3" s="13" t="s">
        <v>81</v>
      </c>
      <c r="H3" s="13" t="s">
        <v>82</v>
      </c>
      <c r="I3" s="13" t="s">
        <v>83</v>
      </c>
      <c r="J3" s="13"/>
      <c r="K3" s="514"/>
      <c r="L3" s="13" t="s">
        <v>84</v>
      </c>
      <c r="M3" s="14" t="s">
        <v>51</v>
      </c>
      <c r="N3" s="14" t="s">
        <v>85</v>
      </c>
      <c r="O3" s="41" t="s">
        <v>152</v>
      </c>
    </row>
    <row r="4" spans="1:15" hidden="1">
      <c r="A4" s="10"/>
      <c r="B4" s="10"/>
      <c r="C4" s="15"/>
      <c r="D4" s="16"/>
      <c r="E4" s="17"/>
      <c r="F4" s="23"/>
      <c r="G4" s="23"/>
      <c r="H4" s="23"/>
      <c r="I4" s="23"/>
      <c r="J4" s="23"/>
      <c r="K4" s="515"/>
      <c r="L4" s="23"/>
      <c r="M4" s="17"/>
      <c r="N4" s="17"/>
    </row>
    <row r="5" spans="1:15" hidden="1">
      <c r="A5" s="10"/>
      <c r="B5" s="10"/>
      <c r="C5" s="18" t="s">
        <v>105</v>
      </c>
      <c r="D5" s="24">
        <v>10941.030343302691</v>
      </c>
      <c r="E5" s="25">
        <v>4807.0085114129624</v>
      </c>
      <c r="F5" s="25">
        <v>5704.5177102921916</v>
      </c>
      <c r="G5" s="25">
        <v>2455.5630891757201</v>
      </c>
      <c r="H5" s="25">
        <v>1180.7335092196688</v>
      </c>
      <c r="I5" s="25">
        <v>970.63708631628117</v>
      </c>
      <c r="J5" s="25"/>
      <c r="K5" s="516"/>
      <c r="L5" s="25">
        <v>99.682117882117893</v>
      </c>
      <c r="M5" s="25">
        <v>1072.0131126062963</v>
      </c>
      <c r="N5" s="25">
        <v>27303.945480207931</v>
      </c>
      <c r="O5" s="4">
        <f t="shared" ref="O5:O15" si="0">N5/$N$15</f>
        <v>0.46750125655194202</v>
      </c>
    </row>
    <row r="6" spans="1:15" hidden="1">
      <c r="A6" s="10"/>
      <c r="B6" s="10"/>
      <c r="C6" s="18" t="s">
        <v>109</v>
      </c>
      <c r="D6" s="24">
        <v>3193.381450694033</v>
      </c>
      <c r="E6" s="25">
        <v>12164.500714857999</v>
      </c>
      <c r="F6" s="25">
        <v>639.04736487703121</v>
      </c>
      <c r="G6" s="25">
        <v>276.90402742803371</v>
      </c>
      <c r="H6" s="25">
        <v>287.84288681718971</v>
      </c>
      <c r="I6" s="25">
        <v>45.668686868686905</v>
      </c>
      <c r="J6" s="25"/>
      <c r="K6" s="516"/>
      <c r="L6" s="25">
        <v>0</v>
      </c>
      <c r="M6" s="25">
        <v>1051.9462282510597</v>
      </c>
      <c r="N6" s="25">
        <v>17659.291359794035</v>
      </c>
      <c r="O6" s="4">
        <f t="shared" si="0"/>
        <v>0.3023643929594344</v>
      </c>
    </row>
    <row r="7" spans="1:15" hidden="1">
      <c r="A7" s="10"/>
      <c r="B7" s="10"/>
      <c r="C7" s="18" t="s">
        <v>110</v>
      </c>
      <c r="D7" s="24">
        <v>1360.1425704145179</v>
      </c>
      <c r="E7" s="25">
        <v>3416.2398345655374</v>
      </c>
      <c r="F7" s="25">
        <v>720.99675140997454</v>
      </c>
      <c r="G7" s="25">
        <v>772.70203650576423</v>
      </c>
      <c r="H7" s="25">
        <v>158.72992759703908</v>
      </c>
      <c r="I7" s="27">
        <v>109.35000000000001</v>
      </c>
      <c r="J7" s="27"/>
      <c r="K7" s="517"/>
      <c r="L7" s="25">
        <v>102.84421715184889</v>
      </c>
      <c r="M7" s="25">
        <v>611.37744101399448</v>
      </c>
      <c r="N7" s="25">
        <v>7252.3827786586771</v>
      </c>
      <c r="O7" s="4">
        <f t="shared" si="0"/>
        <v>0.12417612188964773</v>
      </c>
    </row>
    <row r="8" spans="1:15" hidden="1">
      <c r="A8" s="10"/>
      <c r="B8" s="10"/>
      <c r="C8" s="18" t="s">
        <v>106</v>
      </c>
      <c r="D8" s="24">
        <v>321.73693854482332</v>
      </c>
      <c r="E8" s="25">
        <v>795.39001240589926</v>
      </c>
      <c r="F8" s="25">
        <v>91.343408327394911</v>
      </c>
      <c r="G8" s="25">
        <v>174.7277167091996</v>
      </c>
      <c r="H8" s="25">
        <v>180.4982956701742</v>
      </c>
      <c r="I8" s="25">
        <v>109.35000000000001</v>
      </c>
      <c r="J8" s="25"/>
      <c r="K8" s="516"/>
      <c r="L8" s="25">
        <v>38.85</v>
      </c>
      <c r="M8" s="25">
        <v>24.710526315789501</v>
      </c>
      <c r="N8" s="25">
        <v>1736.6068979732806</v>
      </c>
      <c r="O8" s="4">
        <f t="shared" si="0"/>
        <v>2.973438060546172E-2</v>
      </c>
    </row>
    <row r="9" spans="1:15" hidden="1">
      <c r="A9" s="10"/>
      <c r="B9" s="10"/>
      <c r="C9" s="18" t="s">
        <v>107</v>
      </c>
      <c r="D9" s="24">
        <v>420.29333118387729</v>
      </c>
      <c r="E9" s="25">
        <v>209.94570460704608</v>
      </c>
      <c r="F9" s="25">
        <v>116.74213836477981</v>
      </c>
      <c r="G9" s="25">
        <v>0</v>
      </c>
      <c r="H9" s="25">
        <v>0</v>
      </c>
      <c r="I9" s="25">
        <v>72.760000000000005</v>
      </c>
      <c r="J9" s="25"/>
      <c r="K9" s="516"/>
      <c r="L9" s="25">
        <v>0</v>
      </c>
      <c r="M9" s="25">
        <v>0</v>
      </c>
      <c r="N9" s="25">
        <v>819.74117415570322</v>
      </c>
      <c r="O9" s="4">
        <f t="shared" si="0"/>
        <v>1.4035701515846901E-2</v>
      </c>
    </row>
    <row r="10" spans="1:15" hidden="1">
      <c r="A10" s="10"/>
      <c r="B10" s="10"/>
      <c r="C10" s="18" t="s">
        <v>108</v>
      </c>
      <c r="D10" s="26">
        <v>69.333047455688998</v>
      </c>
      <c r="E10" s="25">
        <v>106.3353535353536</v>
      </c>
      <c r="F10" s="25">
        <v>110.7627257292792</v>
      </c>
      <c r="G10" s="25">
        <v>191.6209039548026</v>
      </c>
      <c r="H10" s="25">
        <v>103.1696969696969</v>
      </c>
      <c r="I10" s="25">
        <v>0</v>
      </c>
      <c r="J10" s="25"/>
      <c r="K10" s="516"/>
      <c r="L10" s="25">
        <v>0</v>
      </c>
      <c r="M10" s="25">
        <v>36.4166666666667</v>
      </c>
      <c r="N10" s="25">
        <v>617.63839431148801</v>
      </c>
      <c r="O10" s="4">
        <f t="shared" si="0"/>
        <v>1.0575274758171892E-2</v>
      </c>
    </row>
    <row r="11" spans="1:15" hidden="1">
      <c r="A11" s="10"/>
      <c r="B11" s="10"/>
      <c r="C11" s="18" t="s">
        <v>111</v>
      </c>
      <c r="D11" s="24">
        <v>49.714285714285701</v>
      </c>
      <c r="E11" s="27">
        <v>65.358333333333306</v>
      </c>
      <c r="F11" s="25">
        <v>155.22582820435198</v>
      </c>
      <c r="G11" s="25">
        <v>250.3903395229419</v>
      </c>
      <c r="H11" s="25">
        <v>0</v>
      </c>
      <c r="I11" s="25">
        <v>23.7777777777778</v>
      </c>
      <c r="J11" s="25"/>
      <c r="K11" s="516"/>
      <c r="L11" s="27">
        <v>0</v>
      </c>
      <c r="M11" s="25">
        <v>0</v>
      </c>
      <c r="N11" s="25">
        <v>544.46656455269067</v>
      </c>
      <c r="O11" s="4">
        <f t="shared" si="0"/>
        <v>9.3224183758868068E-3</v>
      </c>
    </row>
    <row r="12" spans="1:15" hidden="1">
      <c r="A12" s="10"/>
      <c r="B12" s="10"/>
      <c r="C12" s="18" t="s">
        <v>112</v>
      </c>
      <c r="D12" s="24">
        <v>0</v>
      </c>
      <c r="E12" s="25">
        <v>36.772727272727302</v>
      </c>
      <c r="F12" s="25">
        <v>0</v>
      </c>
      <c r="G12" s="27">
        <v>0</v>
      </c>
      <c r="H12" s="25">
        <v>0</v>
      </c>
      <c r="I12" s="27">
        <v>194.25</v>
      </c>
      <c r="J12" s="27"/>
      <c r="K12" s="517"/>
      <c r="L12" s="27">
        <v>0</v>
      </c>
      <c r="M12" s="25">
        <v>0</v>
      </c>
      <c r="N12" s="25">
        <v>231.02272727272731</v>
      </c>
      <c r="O12" s="4">
        <f t="shared" si="0"/>
        <v>3.955597383182078E-3</v>
      </c>
    </row>
    <row r="13" spans="1:15" hidden="1">
      <c r="A13" s="10"/>
      <c r="B13" s="10"/>
      <c r="C13" s="18" t="s">
        <v>51</v>
      </c>
      <c r="D13" s="24">
        <v>0</v>
      </c>
      <c r="E13" s="25">
        <v>39.391666666666701</v>
      </c>
      <c r="F13" s="25">
        <v>373.66550007212805</v>
      </c>
      <c r="G13" s="25">
        <v>40.4444444444444</v>
      </c>
      <c r="H13" s="25">
        <v>62.511111111111099</v>
      </c>
      <c r="I13" s="25">
        <v>0</v>
      </c>
      <c r="J13" s="25"/>
      <c r="K13" s="516"/>
      <c r="L13" s="25">
        <v>0</v>
      </c>
      <c r="M13" s="25">
        <v>263.54870402134549</v>
      </c>
      <c r="N13" s="25">
        <v>779.56142631569583</v>
      </c>
      <c r="O13" s="4">
        <f t="shared" si="0"/>
        <v>1.3347739308452376E-2</v>
      </c>
    </row>
    <row r="14" spans="1:15" hidden="1">
      <c r="A14" s="10"/>
      <c r="B14" s="10"/>
      <c r="C14" s="18" t="s">
        <v>74</v>
      </c>
      <c r="D14" s="24">
        <v>329.28906000049176</v>
      </c>
      <c r="E14" s="25">
        <v>200.79768331084119</v>
      </c>
      <c r="F14" s="25">
        <v>64.016883116883093</v>
      </c>
      <c r="G14" s="25">
        <v>46.150943396226403</v>
      </c>
      <c r="H14" s="25">
        <v>90.887921090825813</v>
      </c>
      <c r="I14" s="25">
        <v>0</v>
      </c>
      <c r="J14" s="25"/>
      <c r="K14" s="516"/>
      <c r="L14" s="25">
        <v>0</v>
      </c>
      <c r="M14" s="25">
        <v>73.578515202963402</v>
      </c>
      <c r="N14" s="25">
        <v>1459.3476727848984</v>
      </c>
      <c r="O14" s="4">
        <f t="shared" si="0"/>
        <v>2.4987116651973944E-2</v>
      </c>
    </row>
    <row r="15" spans="1:15" hidden="1">
      <c r="A15" s="10"/>
      <c r="B15" s="10"/>
      <c r="C15" s="19" t="s">
        <v>90</v>
      </c>
      <c r="D15" s="28">
        <v>16684.921027310436</v>
      </c>
      <c r="E15" s="29">
        <v>21841.740541968356</v>
      </c>
      <c r="F15" s="29">
        <v>7976.318310394011</v>
      </c>
      <c r="G15" s="29">
        <v>4208.5035011371347</v>
      </c>
      <c r="H15" s="29">
        <v>2064.3733484757058</v>
      </c>
      <c r="I15" s="29">
        <v>1525.7935509627462</v>
      </c>
      <c r="J15" s="29"/>
      <c r="K15" s="518"/>
      <c r="L15" s="29">
        <v>241.3763350339668</v>
      </c>
      <c r="M15" s="29">
        <v>3133.5911940781161</v>
      </c>
      <c r="N15" s="29">
        <v>58404.004476027134</v>
      </c>
      <c r="O15" s="4">
        <f t="shared" si="0"/>
        <v>1</v>
      </c>
    </row>
    <row r="16" spans="1:15" hidden="1"/>
    <row r="17" spans="3:13" hidden="1"/>
    <row r="18" spans="3:13" ht="15" thickBot="1"/>
    <row r="19" spans="3:13" ht="27.6">
      <c r="C19" s="2" t="s">
        <v>159</v>
      </c>
      <c r="D19" s="312" t="s">
        <v>0</v>
      </c>
      <c r="E19" s="313" t="s">
        <v>1</v>
      </c>
      <c r="F19" s="313" t="s">
        <v>2</v>
      </c>
      <c r="G19" s="313" t="s">
        <v>3</v>
      </c>
      <c r="H19" s="313">
        <v>2012</v>
      </c>
      <c r="I19" s="313">
        <v>2013</v>
      </c>
      <c r="J19" s="313">
        <v>2014</v>
      </c>
      <c r="K19" s="519">
        <v>2015</v>
      </c>
      <c r="L19" s="314" t="s">
        <v>526</v>
      </c>
      <c r="M19" s="301" t="s">
        <v>527</v>
      </c>
    </row>
    <row r="20" spans="3:13" ht="15" thickBot="1">
      <c r="C20" s="2"/>
      <c r="D20" s="310" t="s">
        <v>0</v>
      </c>
      <c r="E20" s="311" t="s">
        <v>1</v>
      </c>
      <c r="F20" s="311" t="s">
        <v>2</v>
      </c>
      <c r="G20" s="311" t="s">
        <v>3</v>
      </c>
      <c r="H20" s="311" t="s">
        <v>34</v>
      </c>
      <c r="I20" s="311" t="s">
        <v>35</v>
      </c>
      <c r="J20" s="311" t="s">
        <v>325</v>
      </c>
      <c r="K20" s="520" t="s">
        <v>391</v>
      </c>
      <c r="L20" s="315"/>
      <c r="M20" s="316"/>
    </row>
    <row r="21" spans="3:13">
      <c r="C21" s="208" t="s">
        <v>105</v>
      </c>
      <c r="D21" s="304">
        <v>13239.745999999983</v>
      </c>
      <c r="E21" s="304">
        <v>12495.322199999995</v>
      </c>
      <c r="F21" s="304">
        <v>8894.5076744019807</v>
      </c>
      <c r="G21" s="304">
        <v>18672.984000000026</v>
      </c>
      <c r="H21" s="304">
        <v>13736.451855140673</v>
      </c>
      <c r="I21" s="304">
        <v>26373.792086318426</v>
      </c>
      <c r="J21" s="304">
        <v>19501.883845000051</v>
      </c>
      <c r="K21" s="521">
        <v>17497.714020000003</v>
      </c>
      <c r="L21" s="302">
        <f>K21/J21-1</f>
        <v>-0.1027680115895</v>
      </c>
      <c r="M21" s="303">
        <f>K21/$K$31</f>
        <v>0.37074571280172297</v>
      </c>
    </row>
    <row r="22" spans="3:13">
      <c r="C22" s="305" t="s">
        <v>106</v>
      </c>
      <c r="D22" s="306">
        <v>1857.3096</v>
      </c>
      <c r="E22" s="306">
        <v>2819.8559</v>
      </c>
      <c r="F22" s="306">
        <v>1844.9585313860007</v>
      </c>
      <c r="G22" s="306">
        <v>1672.0225000000007</v>
      </c>
      <c r="H22" s="306">
        <v>4216.5609551567995</v>
      </c>
      <c r="I22" s="306">
        <v>1674.3568979732815</v>
      </c>
      <c r="J22" s="306">
        <v>2471.3890039999997</v>
      </c>
      <c r="K22" s="522">
        <v>1562.1116799999998</v>
      </c>
      <c r="L22" s="302">
        <f t="shared" ref="L22:L31" si="1">K22/J22-1</f>
        <v>-0.36792157063429265</v>
      </c>
      <c r="M22" s="303">
        <f t="shared" ref="M22:M31" si="2">K22/$K$31</f>
        <v>3.309839260234388E-2</v>
      </c>
    </row>
    <row r="23" spans="3:13">
      <c r="C23" s="305" t="s">
        <v>160</v>
      </c>
      <c r="D23" s="306">
        <v>1995.6791999999996</v>
      </c>
      <c r="E23" s="306">
        <v>4713.5298999999959</v>
      </c>
      <c r="F23" s="306">
        <v>1302.9254169859998</v>
      </c>
      <c r="G23" s="306">
        <v>763.69920000000013</v>
      </c>
      <c r="H23" s="306">
        <v>2595.3003655614798</v>
      </c>
      <c r="I23" s="306">
        <v>772.41570245758987</v>
      </c>
      <c r="J23" s="306">
        <v>2295.2096409999999</v>
      </c>
      <c r="K23" s="522">
        <v>1524.1222899999996</v>
      </c>
      <c r="L23" s="302">
        <f t="shared" si="1"/>
        <v>-0.33595508542045216</v>
      </c>
      <c r="M23" s="303">
        <f t="shared" si="2"/>
        <v>3.2293464400959739E-2</v>
      </c>
    </row>
    <row r="24" spans="3:13">
      <c r="C24" s="305" t="s">
        <v>382</v>
      </c>
      <c r="D24" s="306">
        <v>1475.6405</v>
      </c>
      <c r="E24" s="306">
        <v>2760.4021000000016</v>
      </c>
      <c r="F24" s="306">
        <v>1983.8425336830003</v>
      </c>
      <c r="G24" s="306">
        <v>1081.6529999999998</v>
      </c>
      <c r="H24" s="306">
        <v>1446.4001103799312</v>
      </c>
      <c r="I24" s="306">
        <v>617.63839431148779</v>
      </c>
      <c r="J24" s="306">
        <v>597.55937699999993</v>
      </c>
      <c r="K24" s="522">
        <v>1519.82437</v>
      </c>
      <c r="L24" s="302">
        <f t="shared" si="1"/>
        <v>1.543386362088667</v>
      </c>
      <c r="M24" s="303">
        <f t="shared" si="2"/>
        <v>3.2202399053100961E-2</v>
      </c>
    </row>
    <row r="25" spans="3:13">
      <c r="C25" s="305" t="s">
        <v>161</v>
      </c>
      <c r="D25" s="306">
        <v>8995.7961000000232</v>
      </c>
      <c r="E25" s="306">
        <v>2803.8976000000011</v>
      </c>
      <c r="F25" s="306">
        <v>310.79395873999999</v>
      </c>
      <c r="G25" s="306">
        <v>12013.107300000016</v>
      </c>
      <c r="H25" s="306">
        <v>15467.708675310212</v>
      </c>
      <c r="I25" s="306">
        <v>16558.521435705166</v>
      </c>
      <c r="J25" s="306">
        <v>14784.496913999968</v>
      </c>
      <c r="K25" s="522">
        <v>19371.083789999917</v>
      </c>
      <c r="L25" s="302">
        <f t="shared" si="1"/>
        <v>0.31022948583774568</v>
      </c>
      <c r="M25" s="303">
        <f t="shared" si="2"/>
        <v>0.41043911560428048</v>
      </c>
    </row>
    <row r="26" spans="3:13">
      <c r="C26" s="305" t="s">
        <v>110</v>
      </c>
      <c r="D26" s="306">
        <v>824.88669999999991</v>
      </c>
      <c r="E26" s="306">
        <v>13831.536599999999</v>
      </c>
      <c r="F26" s="306">
        <v>22495.085757627156</v>
      </c>
      <c r="G26" s="306">
        <v>4203.7756999999956</v>
      </c>
      <c r="H26" s="306">
        <v>2396.846306384286</v>
      </c>
      <c r="I26" s="306">
        <v>6864.7551119544241</v>
      </c>
      <c r="J26" s="306">
        <v>10234.717647999996</v>
      </c>
      <c r="K26" s="522">
        <v>4317.7779699999955</v>
      </c>
      <c r="L26" s="302">
        <f t="shared" si="1"/>
        <v>-0.57812436859518557</v>
      </c>
      <c r="M26" s="303">
        <f t="shared" si="2"/>
        <v>9.148610323482842E-2</v>
      </c>
    </row>
    <row r="27" spans="3:13">
      <c r="C27" s="305" t="s">
        <v>111</v>
      </c>
      <c r="D27" s="306">
        <v>689.54480000000001</v>
      </c>
      <c r="E27" s="306">
        <v>192.96079999999998</v>
      </c>
      <c r="F27" s="306">
        <v>172.13574422699998</v>
      </c>
      <c r="G27" s="306">
        <v>168.03309999999999</v>
      </c>
      <c r="H27" s="306">
        <v>487.17015839028539</v>
      </c>
      <c r="I27" s="306">
        <v>471.70656455269062</v>
      </c>
      <c r="J27" s="306">
        <v>696.993922</v>
      </c>
      <c r="K27" s="522">
        <v>156.20711</v>
      </c>
      <c r="L27" s="302">
        <f t="shared" si="1"/>
        <v>-0.77588454494442494</v>
      </c>
      <c r="M27" s="303">
        <f t="shared" si="2"/>
        <v>3.3097532783683669E-3</v>
      </c>
    </row>
    <row r="28" spans="3:13">
      <c r="C28" s="305" t="s">
        <v>112</v>
      </c>
      <c r="D28" s="306">
        <v>1299.0959999999993</v>
      </c>
      <c r="E28" s="306">
        <v>619.43680000000006</v>
      </c>
      <c r="F28" s="306">
        <v>194.91344108999999</v>
      </c>
      <c r="G28" s="306">
        <v>180.0899</v>
      </c>
      <c r="H28" s="306">
        <v>344.25384841049652</v>
      </c>
      <c r="I28" s="306">
        <v>231.02272727272731</v>
      </c>
      <c r="J28" s="306">
        <v>387.14857900000004</v>
      </c>
      <c r="K28" s="522">
        <v>388.22586000000001</v>
      </c>
      <c r="L28" s="302">
        <f t="shared" si="1"/>
        <v>2.7826035233877722E-3</v>
      </c>
      <c r="M28" s="303">
        <f t="shared" si="2"/>
        <v>8.2258215575614878E-3</v>
      </c>
    </row>
    <row r="29" spans="3:13">
      <c r="C29" s="305" t="s">
        <v>51</v>
      </c>
      <c r="D29" s="306">
        <v>15206.300700000002</v>
      </c>
      <c r="E29" s="306">
        <v>269.32</v>
      </c>
      <c r="F29" s="306">
        <v>8893.8369406409802</v>
      </c>
      <c r="G29" s="306">
        <v>1256.2766000000001</v>
      </c>
      <c r="H29" s="306">
        <v>4534.307725265855</v>
      </c>
      <c r="I29" s="306">
        <v>717.05031520458465</v>
      </c>
      <c r="J29" s="306">
        <v>1313.6009950000005</v>
      </c>
      <c r="K29" s="522">
        <v>858.93117999999981</v>
      </c>
      <c r="L29" s="302">
        <f t="shared" si="1"/>
        <v>-0.34612474924320569</v>
      </c>
      <c r="M29" s="303">
        <f t="shared" si="2"/>
        <v>1.8199237466833676E-2</v>
      </c>
    </row>
    <row r="30" spans="3:13" ht="15" thickBot="1">
      <c r="C30" s="305" t="s">
        <v>74</v>
      </c>
      <c r="D30" s="306">
        <v>-1.4915713109076023E-10</v>
      </c>
      <c r="E30" s="306">
        <v>6289.7469999999967</v>
      </c>
      <c r="F30" s="306"/>
      <c r="G30" s="306">
        <v>2986.5</v>
      </c>
      <c r="H30" s="306"/>
      <c r="I30" s="306">
        <v>761.60351421809833</v>
      </c>
      <c r="J30" s="306"/>
      <c r="K30" s="522"/>
      <c r="L30" s="302" t="s">
        <v>390</v>
      </c>
      <c r="M30" s="303">
        <f t="shared" si="2"/>
        <v>0</v>
      </c>
    </row>
    <row r="31" spans="3:13" ht="15" thickBot="1">
      <c r="C31" s="307" t="s">
        <v>52</v>
      </c>
      <c r="D31" s="308">
        <f t="shared" ref="D31:I31" si="3">SUM(D21:D30)</f>
        <v>45583.99959999985</v>
      </c>
      <c r="E31" s="308">
        <f t="shared" si="3"/>
        <v>46796.008899999993</v>
      </c>
      <c r="F31" s="308">
        <f t="shared" si="3"/>
        <v>46092.999998782121</v>
      </c>
      <c r="G31" s="308">
        <f t="shared" si="3"/>
        <v>42998.141300000032</v>
      </c>
      <c r="H31" s="308">
        <f t="shared" si="3"/>
        <v>45225.000000000015</v>
      </c>
      <c r="I31" s="308">
        <f t="shared" si="3"/>
        <v>55042.862749968481</v>
      </c>
      <c r="J31" s="308">
        <f>SUM(J21:J30)</f>
        <v>52282.999925000026</v>
      </c>
      <c r="K31" s="523">
        <f>SUM(K21:K30)</f>
        <v>47195.998269999916</v>
      </c>
      <c r="L31" s="309">
        <f t="shared" si="1"/>
        <v>-9.7297432478959056E-2</v>
      </c>
      <c r="M31" s="232">
        <f t="shared" si="2"/>
        <v>1</v>
      </c>
    </row>
    <row r="32" spans="3:13" s="22" customFormat="1" ht="12">
      <c r="C32" s="55" t="s">
        <v>392</v>
      </c>
      <c r="K32" s="524"/>
    </row>
    <row r="33" spans="3:11" s="22" customFormat="1" ht="12">
      <c r="K33" s="524"/>
    </row>
    <row r="34" spans="3:11" s="22" customFormat="1" ht="12">
      <c r="C34" s="299" t="s">
        <v>515</v>
      </c>
      <c r="D34" s="300"/>
      <c r="E34" s="40"/>
      <c r="F34" s="40"/>
      <c r="G34" s="40"/>
      <c r="H34" s="40"/>
      <c r="I34" s="40"/>
      <c r="J34" s="40"/>
      <c r="K34" s="525"/>
    </row>
    <row r="35" spans="3:11" s="22" customFormat="1" ht="12">
      <c r="C35" s="5742" t="s">
        <v>520</v>
      </c>
      <c r="D35" s="5742"/>
      <c r="E35" s="5742"/>
      <c r="F35" s="5742"/>
      <c r="G35" s="5742"/>
      <c r="H35" s="5742"/>
      <c r="I35" s="5742"/>
      <c r="J35" s="5742"/>
      <c r="K35" s="5742"/>
    </row>
  </sheetData>
  <sortState xmlns:xlrd2="http://schemas.microsoft.com/office/spreadsheetml/2017/richdata2" ref="C5:P14">
    <sortCondition descending="1" ref="N5:N14"/>
  </sortState>
  <mergeCells count="1">
    <mergeCell ref="C35:K35"/>
  </mergeCells>
  <pageMargins left="0.7" right="0.7" top="0.75" bottom="0.75" header="0.3" footer="0.3"/>
  <pageSetup paperSize="9" orientation="portrait" r:id="rId1"/>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rgb="FF002060"/>
  </sheetPr>
  <dimension ref="C1:L9"/>
  <sheetViews>
    <sheetView showGridLines="0" topLeftCell="M1" workbookViewId="0">
      <selection activeCell="M4" sqref="M4"/>
    </sheetView>
  </sheetViews>
  <sheetFormatPr baseColWidth="10" defaultRowHeight="14.4"/>
  <cols>
    <col min="1" max="1" width="2" bestFit="1" customWidth="1"/>
    <col min="2" max="2" width="2" customWidth="1"/>
    <col min="3" max="3" width="19.109375" customWidth="1"/>
    <col min="4" max="9" width="13.5546875" bestFit="1" customWidth="1"/>
    <col min="10" max="11" width="13.5546875" customWidth="1"/>
  </cols>
  <sheetData>
    <row r="1" spans="3:12">
      <c r="K1" s="52"/>
    </row>
    <row r="2" spans="3:12" s="49" customFormat="1" ht="27.6">
      <c r="C2" s="49" t="s">
        <v>113</v>
      </c>
      <c r="D2" s="49" t="s">
        <v>0</v>
      </c>
      <c r="E2" s="49" t="s">
        <v>1</v>
      </c>
      <c r="F2" s="49" t="s">
        <v>2</v>
      </c>
      <c r="G2" s="49" t="s">
        <v>3</v>
      </c>
      <c r="H2" s="49" t="s">
        <v>386</v>
      </c>
      <c r="I2" s="49" t="s">
        <v>35</v>
      </c>
      <c r="J2" s="49" t="s">
        <v>387</v>
      </c>
      <c r="K2" s="498" t="s">
        <v>572</v>
      </c>
      <c r="L2" s="224" t="s">
        <v>527</v>
      </c>
    </row>
    <row r="3" spans="3:12">
      <c r="C3" t="s">
        <v>114</v>
      </c>
      <c r="D3" s="38">
        <v>7834.6702000000196</v>
      </c>
      <c r="E3" s="38">
        <v>10453.356300000009</v>
      </c>
      <c r="F3" s="38">
        <v>10797.263907121964</v>
      </c>
      <c r="G3" s="38">
        <v>12090.68770000002</v>
      </c>
      <c r="H3" s="38">
        <v>16510.36204755463</v>
      </c>
      <c r="I3" s="38">
        <v>22535.858875717491</v>
      </c>
      <c r="J3" s="38">
        <v>21243.647722000023</v>
      </c>
      <c r="K3" s="488">
        <v>27078.028509999971</v>
      </c>
      <c r="L3" s="225">
        <f>K3/$K$7</f>
        <v>0.57373568740068503</v>
      </c>
    </row>
    <row r="4" spans="3:12">
      <c r="C4" t="s">
        <v>383</v>
      </c>
      <c r="D4" s="38">
        <v>3816.4852999999989</v>
      </c>
      <c r="E4" s="38">
        <v>8076.5639999999958</v>
      </c>
      <c r="F4" s="38">
        <v>7912.4562185029954</v>
      </c>
      <c r="G4" s="38">
        <v>7082.5749999999798</v>
      </c>
      <c r="H4" s="38">
        <v>7583.753029592639</v>
      </c>
      <c r="I4" s="38">
        <v>14832.094800228568</v>
      </c>
      <c r="J4" s="38">
        <v>18287.635821000014</v>
      </c>
      <c r="K4" s="488">
        <v>11126.278839999995</v>
      </c>
      <c r="L4" s="225">
        <f>K4/$K$7</f>
        <v>0.23574623374525358</v>
      </c>
    </row>
    <row r="5" spans="3:12">
      <c r="C5" t="s">
        <v>384</v>
      </c>
      <c r="D5" s="38">
        <v>2010.8206999999995</v>
      </c>
      <c r="E5" s="38">
        <v>6798.6598999999969</v>
      </c>
      <c r="F5" s="38">
        <v>4866.9628868059917</v>
      </c>
      <c r="G5" s="38">
        <v>2894.5822999999987</v>
      </c>
      <c r="H5" s="38">
        <v>2170.4850952769793</v>
      </c>
      <c r="I5" s="38">
        <v>2128.7798255194152</v>
      </c>
      <c r="J5" s="38">
        <v>5586.8732200000013</v>
      </c>
      <c r="K5" s="488">
        <v>8991.6909199999973</v>
      </c>
      <c r="L5" s="225">
        <f>K5/$K$7</f>
        <v>0.19051807885406136</v>
      </c>
    </row>
    <row r="6" spans="3:12">
      <c r="C6" s="1" t="s">
        <v>385</v>
      </c>
      <c r="D6" s="38">
        <v>31922.023399999838</v>
      </c>
      <c r="E6" s="38">
        <v>21467.428699999953</v>
      </c>
      <c r="F6" s="38">
        <v>22516.31698635115</v>
      </c>
      <c r="G6" s="38">
        <v>20929.409700000033</v>
      </c>
      <c r="H6" s="38">
        <v>18960.399827575795</v>
      </c>
      <c r="I6" s="38">
        <v>15546.129248502992</v>
      </c>
      <c r="J6" s="38">
        <v>7164.843162000001</v>
      </c>
      <c r="K6" s="488"/>
      <c r="L6" s="225">
        <f>K6/$K$7</f>
        <v>0</v>
      </c>
    </row>
    <row r="7" spans="3:12">
      <c r="C7" t="s">
        <v>52</v>
      </c>
      <c r="D7" s="38">
        <f>SUM(D3:D6)</f>
        <v>45583.999599999857</v>
      </c>
      <c r="E7" s="38">
        <f t="shared" ref="E7:K7" si="0">SUM(E3:E6)</f>
        <v>46796.008899999957</v>
      </c>
      <c r="F7" s="38">
        <f t="shared" si="0"/>
        <v>46092.999998782107</v>
      </c>
      <c r="G7" s="38">
        <f t="shared" si="0"/>
        <v>42997.254700000034</v>
      </c>
      <c r="H7" s="38">
        <f t="shared" si="0"/>
        <v>45225.000000000044</v>
      </c>
      <c r="I7" s="38">
        <f t="shared" si="0"/>
        <v>55042.862749968466</v>
      </c>
      <c r="J7" s="38">
        <f t="shared" si="0"/>
        <v>52282.99992500004</v>
      </c>
      <c r="K7" s="488">
        <f t="shared" si="0"/>
        <v>47195.998269999967</v>
      </c>
      <c r="L7" s="225">
        <f>K7/$K$7</f>
        <v>1</v>
      </c>
    </row>
    <row r="8" spans="3:12">
      <c r="K8" s="52"/>
    </row>
    <row r="9" spans="3:12">
      <c r="K9" s="52"/>
    </row>
  </sheetData>
  <sortState xmlns:xlrd2="http://schemas.microsoft.com/office/spreadsheetml/2017/richdata2" ref="C5:O8">
    <sortCondition descending="1" ref="O5:O8"/>
  </sortState>
  <pageMargins left="0.7" right="0.7" top="0.75" bottom="0.75" header="0.3" footer="0.3"/>
  <drawing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rgb="FF002060"/>
  </sheetPr>
  <dimension ref="C2:L10"/>
  <sheetViews>
    <sheetView showGridLines="0" topLeftCell="M1" workbookViewId="0">
      <selection activeCell="F15" sqref="F15"/>
    </sheetView>
  </sheetViews>
  <sheetFormatPr baseColWidth="10" defaultRowHeight="14.4"/>
  <cols>
    <col min="1" max="1" width="3" bestFit="1" customWidth="1"/>
    <col min="2" max="2" width="2.44140625" customWidth="1"/>
    <col min="3" max="3" width="21.5546875" customWidth="1"/>
    <col min="4" max="5" width="12.5546875" bestFit="1" customWidth="1"/>
    <col min="6" max="10" width="11.5546875" bestFit="1" customWidth="1"/>
    <col min="11" max="11" width="11.5546875" style="52" customWidth="1"/>
    <col min="12" max="13" width="11.5546875" bestFit="1" customWidth="1"/>
    <col min="14" max="14" width="12.5546875" bestFit="1" customWidth="1"/>
  </cols>
  <sheetData>
    <row r="2" spans="3:12" ht="27.6">
      <c r="C2" t="s">
        <v>115</v>
      </c>
      <c r="D2" t="s">
        <v>0</v>
      </c>
      <c r="E2" t="s">
        <v>1</v>
      </c>
      <c r="F2" t="s">
        <v>2</v>
      </c>
      <c r="G2" t="s">
        <v>3</v>
      </c>
      <c r="H2" t="s">
        <v>386</v>
      </c>
      <c r="I2" t="s">
        <v>35</v>
      </c>
      <c r="J2" t="s">
        <v>325</v>
      </c>
      <c r="K2" s="52" t="s">
        <v>391</v>
      </c>
      <c r="L2" s="224" t="s">
        <v>527</v>
      </c>
    </row>
    <row r="3" spans="3:12">
      <c r="C3" t="s">
        <v>162</v>
      </c>
      <c r="D3" s="38">
        <v>22965.739300000023</v>
      </c>
      <c r="E3" s="38">
        <v>12776.6731</v>
      </c>
      <c r="F3" s="38">
        <v>25446.952943271273</v>
      </c>
      <c r="G3" s="38">
        <v>2613.2542000000012</v>
      </c>
      <c r="H3" s="38">
        <v>7093.2484835722307</v>
      </c>
      <c r="I3" s="38">
        <v>2846.951480911725</v>
      </c>
      <c r="J3" s="38">
        <v>1648.0234559999999</v>
      </c>
      <c r="K3" s="526">
        <v>3623.3387499999963</v>
      </c>
      <c r="L3" s="225">
        <f>K3/$K$6</f>
        <v>7.6772160412235266E-2</v>
      </c>
    </row>
    <row r="4" spans="3:12">
      <c r="C4" t="s">
        <v>163</v>
      </c>
      <c r="D4" s="38">
        <v>22618.260300000005</v>
      </c>
      <c r="E4" s="38">
        <v>34019.335800000001</v>
      </c>
      <c r="F4" s="38">
        <v>20646.047055511059</v>
      </c>
      <c r="G4" s="38">
        <v>40384.000500000177</v>
      </c>
      <c r="H4" s="38">
        <v>38131.751516427583</v>
      </c>
      <c r="I4" s="38">
        <v>51432.006486718761</v>
      </c>
      <c r="J4" s="38">
        <v>50634.976468999746</v>
      </c>
      <c r="K4" s="526">
        <v>43572.659519999717</v>
      </c>
      <c r="L4" s="225">
        <f>K4/$K$6</f>
        <v>0.92322783958776478</v>
      </c>
    </row>
    <row r="5" spans="3:12">
      <c r="C5" t="s">
        <v>74</v>
      </c>
      <c r="D5" s="38"/>
      <c r="E5" s="38"/>
      <c r="F5" s="38"/>
      <c r="G5" s="38"/>
      <c r="H5" s="38"/>
      <c r="I5" s="38">
        <v>763.90478233789759</v>
      </c>
      <c r="J5" s="38"/>
      <c r="L5" s="225">
        <f>K5/$K$6</f>
        <v>0</v>
      </c>
    </row>
    <row r="6" spans="3:12">
      <c r="C6" t="s">
        <v>52</v>
      </c>
      <c r="D6" s="38">
        <v>45583.999599999857</v>
      </c>
      <c r="E6" s="38">
        <v>46796.008900000001</v>
      </c>
      <c r="F6" s="38">
        <v>46092.999998782929</v>
      </c>
      <c r="G6" s="38">
        <v>42997.254700000252</v>
      </c>
      <c r="H6" s="38">
        <v>45224.999999999607</v>
      </c>
      <c r="I6" s="38">
        <f>SUM(I3:I5)</f>
        <v>55042.862749968386</v>
      </c>
      <c r="J6" s="38">
        <f>SUM(J3:J5)</f>
        <v>52282.999924999749</v>
      </c>
      <c r="K6" s="488">
        <f>SUM(K3:K5)</f>
        <v>47195.998269999713</v>
      </c>
      <c r="L6" s="225">
        <f>J6/$J$6</f>
        <v>1</v>
      </c>
    </row>
    <row r="7" spans="3:12">
      <c r="C7" s="55" t="s">
        <v>392</v>
      </c>
      <c r="D7" s="22"/>
      <c r="E7" s="22"/>
      <c r="F7" s="22"/>
      <c r="G7" s="22"/>
      <c r="H7" s="22"/>
      <c r="I7" s="22"/>
      <c r="J7" s="22"/>
      <c r="K7" s="524"/>
    </row>
    <row r="8" spans="3:12">
      <c r="C8" s="22"/>
      <c r="D8" s="22"/>
      <c r="E8" s="22"/>
      <c r="F8" s="22"/>
      <c r="G8" s="22"/>
      <c r="H8" s="22"/>
      <c r="I8" s="22"/>
      <c r="J8" s="22"/>
      <c r="K8" s="524"/>
    </row>
    <row r="9" spans="3:12">
      <c r="C9" s="299" t="s">
        <v>515</v>
      </c>
      <c r="D9" s="300"/>
      <c r="E9" s="40"/>
      <c r="F9" s="40"/>
      <c r="G9" s="40"/>
      <c r="H9" s="40"/>
      <c r="I9" s="40"/>
      <c r="J9" s="40"/>
      <c r="K9" s="525"/>
    </row>
    <row r="10" spans="3:12">
      <c r="C10" s="5742" t="s">
        <v>520</v>
      </c>
      <c r="D10" s="5742"/>
      <c r="E10" s="5742"/>
      <c r="F10" s="5742"/>
      <c r="G10" s="5742"/>
      <c r="H10" s="5742"/>
      <c r="I10" s="5742"/>
      <c r="J10" s="5742"/>
      <c r="K10" s="5742"/>
    </row>
  </sheetData>
  <mergeCells count="1">
    <mergeCell ref="C10:K10"/>
  </mergeCells>
  <pageMargins left="0.7" right="0.7" top="0.75" bottom="0.75" header="0.3" footer="0.3"/>
  <drawing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rgb="FF002060"/>
  </sheetPr>
  <dimension ref="C1:W20"/>
  <sheetViews>
    <sheetView showGridLines="0" topLeftCell="N1" workbookViewId="0">
      <selection activeCell="O19" sqref="O19"/>
    </sheetView>
  </sheetViews>
  <sheetFormatPr baseColWidth="10" defaultRowHeight="14.4"/>
  <cols>
    <col min="1" max="1" width="3" bestFit="1" customWidth="1"/>
    <col min="2" max="2" width="1.88671875" customWidth="1"/>
    <col min="3" max="3" width="27.44140625" customWidth="1"/>
    <col min="4" max="10" width="10.44140625" customWidth="1"/>
    <col min="11" max="11" width="10.44140625" style="52" customWidth="1"/>
    <col min="12" max="12" width="12.44140625" bestFit="1" customWidth="1"/>
  </cols>
  <sheetData>
    <row r="1" spans="3:13" ht="15" thickBot="1"/>
    <row r="2" spans="3:13" s="50" customFormat="1" ht="29.4" thickBot="1">
      <c r="C2" s="321" t="s">
        <v>120</v>
      </c>
      <c r="D2" s="322" t="s">
        <v>0</v>
      </c>
      <c r="E2" s="322" t="s">
        <v>1</v>
      </c>
      <c r="F2" s="322" t="s">
        <v>2</v>
      </c>
      <c r="G2" s="322" t="s">
        <v>3</v>
      </c>
      <c r="H2" s="322" t="s">
        <v>34</v>
      </c>
      <c r="I2" s="322" t="s">
        <v>35</v>
      </c>
      <c r="J2" s="322" t="s">
        <v>325</v>
      </c>
      <c r="K2" s="527" t="s">
        <v>391</v>
      </c>
      <c r="L2" s="323" t="s">
        <v>394</v>
      </c>
      <c r="M2" s="324" t="s">
        <v>526</v>
      </c>
    </row>
    <row r="3" spans="3:13">
      <c r="C3" s="44" t="s">
        <v>121</v>
      </c>
      <c r="D3" s="317">
        <v>32336.530099999949</v>
      </c>
      <c r="E3" s="317">
        <v>24679.946899999872</v>
      </c>
      <c r="F3" s="317">
        <v>21256.093858909182</v>
      </c>
      <c r="G3" s="317">
        <v>15890.603300000024</v>
      </c>
      <c r="H3" s="317">
        <v>20020.935308979562</v>
      </c>
      <c r="I3" s="317">
        <v>21611.028855261193</v>
      </c>
      <c r="J3" s="317">
        <v>21981</v>
      </c>
      <c r="K3" s="528">
        <v>18313.512170000002</v>
      </c>
      <c r="L3" s="325">
        <f>K3/$K$11</f>
        <v>0.38803103740346051</v>
      </c>
      <c r="M3" s="326">
        <f>K3/J3-1</f>
        <v>-0.16684808834902864</v>
      </c>
    </row>
    <row r="4" spans="3:13">
      <c r="C4" s="44" t="s">
        <v>164</v>
      </c>
      <c r="D4" s="317"/>
      <c r="E4" s="317">
        <v>7791.2270999999964</v>
      </c>
      <c r="F4" s="317">
        <v>6662.9557266029915</v>
      </c>
      <c r="G4" s="317">
        <v>6176.1990999999962</v>
      </c>
      <c r="H4" s="317">
        <v>6339.38923286318</v>
      </c>
      <c r="I4" s="317">
        <v>7090.5157668870879</v>
      </c>
      <c r="J4" s="317">
        <v>8038</v>
      </c>
      <c r="K4" s="528">
        <v>5808.6560599999975</v>
      </c>
      <c r="L4" s="325">
        <f t="shared" ref="L4:L11" si="0">K4/$K$11</f>
        <v>0.12307518164505615</v>
      </c>
      <c r="M4" s="326">
        <f t="shared" ref="M4:M11" si="1">K4/J4-1</f>
        <v>-0.2773505772580247</v>
      </c>
    </row>
    <row r="5" spans="3:13">
      <c r="C5" s="44" t="s">
        <v>123</v>
      </c>
      <c r="D5" s="317">
        <v>10003.477300000019</v>
      </c>
      <c r="E5" s="317">
        <v>9877.881900000004</v>
      </c>
      <c r="F5" s="317">
        <v>12450.116446999938</v>
      </c>
      <c r="G5" s="317">
        <v>15578.369500000048</v>
      </c>
      <c r="H5" s="317">
        <v>14616.853959121179</v>
      </c>
      <c r="I5" s="317">
        <v>22982.330246394082</v>
      </c>
      <c r="J5" s="317">
        <v>18487</v>
      </c>
      <c r="K5" s="528">
        <v>18056.897009999931</v>
      </c>
      <c r="L5" s="325">
        <f t="shared" si="0"/>
        <v>0.38259381455816716</v>
      </c>
      <c r="M5" s="326">
        <f t="shared" si="1"/>
        <v>-2.3265158760213622E-2</v>
      </c>
    </row>
    <row r="6" spans="3:13">
      <c r="C6" s="44" t="s">
        <v>124</v>
      </c>
      <c r="D6" s="317">
        <v>491.54840000000013</v>
      </c>
      <c r="E6" s="317">
        <v>1673.8544999999995</v>
      </c>
      <c r="F6" s="317">
        <v>2514.7855960369998</v>
      </c>
      <c r="G6" s="317">
        <v>624.9807000000003</v>
      </c>
      <c r="H6" s="317">
        <v>1008.9489428592115</v>
      </c>
      <c r="I6" s="317">
        <v>1173.549686607</v>
      </c>
      <c r="J6" s="317">
        <v>884</v>
      </c>
      <c r="K6" s="528">
        <v>847.27788999999984</v>
      </c>
      <c r="L6" s="325">
        <f t="shared" si="0"/>
        <v>1.795232479569292E-2</v>
      </c>
      <c r="M6" s="326">
        <f t="shared" si="1"/>
        <v>-4.15408484162898E-2</v>
      </c>
    </row>
    <row r="7" spans="3:13">
      <c r="C7" s="44" t="s">
        <v>388</v>
      </c>
      <c r="D7" s="317"/>
      <c r="E7" s="317"/>
      <c r="F7" s="317"/>
      <c r="G7" s="317"/>
      <c r="H7" s="317"/>
      <c r="I7" s="317"/>
      <c r="J7" s="317">
        <v>455</v>
      </c>
      <c r="K7" s="528">
        <v>787.64012000000002</v>
      </c>
      <c r="L7" s="325">
        <f t="shared" si="0"/>
        <v>1.6688705586733237E-2</v>
      </c>
      <c r="M7" s="326">
        <f t="shared" si="1"/>
        <v>0.7310771868131869</v>
      </c>
    </row>
    <row r="8" spans="3:13">
      <c r="C8" s="44" t="s">
        <v>122</v>
      </c>
      <c r="D8" s="317"/>
      <c r="E8" s="317">
        <v>1932.4162000000001</v>
      </c>
      <c r="F8" s="317">
        <v>1282.1565052030003</v>
      </c>
      <c r="G8" s="317">
        <v>841.26389999999992</v>
      </c>
      <c r="H8" s="317">
        <v>964.87732881407953</v>
      </c>
      <c r="I8" s="317">
        <v>1397.4109497542097</v>
      </c>
      <c r="J8" s="317">
        <v>1223</v>
      </c>
      <c r="K8" s="529"/>
      <c r="L8" s="325">
        <f t="shared" si="0"/>
        <v>0</v>
      </c>
      <c r="M8" s="326">
        <f>K8/J8-1</f>
        <v>-1</v>
      </c>
    </row>
    <row r="9" spans="3:13">
      <c r="C9" s="318" t="s">
        <v>528</v>
      </c>
      <c r="D9" s="317"/>
      <c r="E9" s="317"/>
      <c r="F9" s="317"/>
      <c r="G9" s="317"/>
      <c r="H9" s="317"/>
      <c r="I9" s="317"/>
      <c r="J9" s="317"/>
      <c r="K9" s="528">
        <v>699.72868000000005</v>
      </c>
      <c r="L9" s="325">
        <f t="shared" si="0"/>
        <v>1.4826017155034553E-2</v>
      </c>
      <c r="M9" s="326"/>
    </row>
    <row r="10" spans="3:13" ht="15" thickBot="1">
      <c r="C10" s="44" t="s">
        <v>125</v>
      </c>
      <c r="D10" s="317">
        <v>2752.4437999999996</v>
      </c>
      <c r="E10" s="317">
        <v>840.68230000000017</v>
      </c>
      <c r="F10" s="317">
        <v>1926.8918650299997</v>
      </c>
      <c r="G10" s="317">
        <v>3885.8381999999951</v>
      </c>
      <c r="H10" s="317">
        <v>2273.9952273627796</v>
      </c>
      <c r="I10" s="317">
        <v>788.02724506486732</v>
      </c>
      <c r="J10" s="317">
        <v>1216</v>
      </c>
      <c r="K10" s="528">
        <v>2682.2863399999992</v>
      </c>
      <c r="L10" s="325">
        <f t="shared" si="0"/>
        <v>5.6832918855855424E-2</v>
      </c>
      <c r="M10" s="326">
        <f t="shared" si="1"/>
        <v>1.2058275822368416</v>
      </c>
    </row>
    <row r="11" spans="3:13" ht="15" thickBot="1">
      <c r="C11" s="319" t="s">
        <v>52</v>
      </c>
      <c r="D11" s="320">
        <v>45583.999599999857</v>
      </c>
      <c r="E11" s="320">
        <v>46796.008900000117</v>
      </c>
      <c r="F11" s="320">
        <v>46092.999998782681</v>
      </c>
      <c r="G11" s="320">
        <v>42997.254700000252</v>
      </c>
      <c r="H11" s="320">
        <v>45224.999999999607</v>
      </c>
      <c r="I11" s="320">
        <v>55042.86274996835</v>
      </c>
      <c r="J11" s="320">
        <v>52283</v>
      </c>
      <c r="K11" s="530">
        <f>SUM(K3:K10)</f>
        <v>47195.998269999931</v>
      </c>
      <c r="L11" s="327">
        <f t="shared" si="0"/>
        <v>1</v>
      </c>
      <c r="M11" s="328">
        <f t="shared" si="1"/>
        <v>-9.7297433773885778E-2</v>
      </c>
    </row>
    <row r="12" spans="3:13">
      <c r="C12" s="55" t="s">
        <v>392</v>
      </c>
      <c r="D12" s="22"/>
      <c r="E12" s="22"/>
      <c r="F12" s="22"/>
      <c r="G12" s="22"/>
      <c r="H12" s="22"/>
      <c r="I12" s="22"/>
      <c r="J12" s="22"/>
      <c r="K12" s="524"/>
    </row>
    <row r="13" spans="3:13">
      <c r="C13" s="22"/>
      <c r="D13" s="22"/>
      <c r="E13" s="22"/>
      <c r="F13" s="22"/>
      <c r="G13" s="22"/>
      <c r="H13" s="22"/>
      <c r="I13" s="22"/>
      <c r="J13" s="22"/>
      <c r="K13" s="524"/>
    </row>
    <row r="14" spans="3:13">
      <c r="C14" s="299" t="s">
        <v>515</v>
      </c>
      <c r="D14" s="300"/>
      <c r="E14" s="40"/>
      <c r="F14" s="40"/>
      <c r="G14" s="40"/>
      <c r="H14" s="40"/>
      <c r="I14" s="40"/>
      <c r="J14" s="40"/>
      <c r="K14" s="525"/>
    </row>
    <row r="15" spans="3:13">
      <c r="C15" s="5742" t="s">
        <v>520</v>
      </c>
      <c r="D15" s="5742"/>
      <c r="E15" s="5742"/>
      <c r="F15" s="5742"/>
      <c r="G15" s="5742"/>
      <c r="H15" s="5742"/>
      <c r="I15" s="5742"/>
      <c r="J15" s="5742"/>
      <c r="K15" s="5742"/>
    </row>
    <row r="19" spans="15:23">
      <c r="O19" s="299" t="s">
        <v>515</v>
      </c>
      <c r="P19" s="300"/>
      <c r="Q19" s="40"/>
      <c r="R19" s="40"/>
      <c r="S19" s="40"/>
      <c r="T19" s="40"/>
      <c r="U19" s="40"/>
      <c r="V19" s="40"/>
    </row>
    <row r="20" spans="15:23" ht="14.4" customHeight="1">
      <c r="O20" s="3026" t="s">
        <v>520</v>
      </c>
      <c r="P20" s="3026"/>
      <c r="Q20" s="3026"/>
      <c r="R20" s="3026"/>
      <c r="S20" s="3026"/>
      <c r="T20" s="3026"/>
      <c r="U20" s="3026"/>
      <c r="V20" s="3026"/>
      <c r="W20" s="3026"/>
    </row>
  </sheetData>
  <mergeCells count="1">
    <mergeCell ref="C15:K15"/>
  </mergeCells>
  <pageMargins left="0.7" right="0.7" top="0.75" bottom="0.75" header="0.3" footer="0.3"/>
  <drawing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rgb="FF92D050"/>
  </sheetPr>
  <dimension ref="A1:A63"/>
  <sheetViews>
    <sheetView topLeftCell="A52" zoomScale="80" zoomScaleNormal="80" workbookViewId="0">
      <selection activeCell="K1" sqref="K1:K1048576"/>
    </sheetView>
  </sheetViews>
  <sheetFormatPr baseColWidth="10" defaultRowHeight="14.4"/>
  <cols>
    <col min="1" max="1" width="138.88671875" bestFit="1" customWidth="1"/>
  </cols>
  <sheetData>
    <row r="1" spans="1:1" ht="18">
      <c r="A1" s="1148" t="s">
        <v>929</v>
      </c>
    </row>
    <row r="2" spans="1:1" ht="15.6">
      <c r="A2" s="1149"/>
    </row>
    <row r="3" spans="1:1" ht="15.6">
      <c r="A3" s="1149" t="s">
        <v>930</v>
      </c>
    </row>
    <row r="4" spans="1:1" ht="15.6">
      <c r="A4" s="1149" t="s">
        <v>931</v>
      </c>
    </row>
    <row r="5" spans="1:1" ht="15.6">
      <c r="A5" s="1149" t="s">
        <v>932</v>
      </c>
    </row>
    <row r="6" spans="1:1" ht="15.6">
      <c r="A6" s="1149" t="s">
        <v>933</v>
      </c>
    </row>
    <row r="7" spans="1:1" ht="15.6">
      <c r="A7" s="1149" t="s">
        <v>934</v>
      </c>
    </row>
    <row r="8" spans="1:1">
      <c r="A8" s="1151" t="s">
        <v>935</v>
      </c>
    </row>
    <row r="9" spans="1:1" ht="15.6">
      <c r="A9" s="1149" t="s">
        <v>936</v>
      </c>
    </row>
    <row r="10" spans="1:1" ht="15.6">
      <c r="A10" s="1149" t="s">
        <v>937</v>
      </c>
    </row>
    <row r="11" spans="1:1" ht="15.6">
      <c r="A11" s="1149" t="s">
        <v>938</v>
      </c>
    </row>
    <row r="12" spans="1:1" ht="15.6">
      <c r="A12" s="1149" t="s">
        <v>939</v>
      </c>
    </row>
    <row r="13" spans="1:1" ht="15.6">
      <c r="A13" s="1153" t="s">
        <v>940</v>
      </c>
    </row>
    <row r="14" spans="1:1" ht="15.6">
      <c r="A14" s="1149" t="s">
        <v>941</v>
      </c>
    </row>
    <row r="15" spans="1:1" ht="15.6">
      <c r="A15" s="1149" t="s">
        <v>942</v>
      </c>
    </row>
    <row r="16" spans="1:1" ht="15.6">
      <c r="A16" s="1149" t="s">
        <v>943</v>
      </c>
    </row>
    <row r="17" spans="1:1" ht="15.6">
      <c r="A17" s="1149" t="s">
        <v>944</v>
      </c>
    </row>
    <row r="18" spans="1:1" ht="15.6">
      <c r="A18" s="1149" t="s">
        <v>945</v>
      </c>
    </row>
    <row r="19" spans="1:1" ht="15.6">
      <c r="A19" s="1149" t="s">
        <v>946</v>
      </c>
    </row>
    <row r="20" spans="1:1" ht="15.6">
      <c r="A20" s="1149" t="s">
        <v>947</v>
      </c>
    </row>
    <row r="21" spans="1:1" ht="15.6">
      <c r="A21" s="1149" t="s">
        <v>948</v>
      </c>
    </row>
    <row r="22" spans="1:1" ht="15.6">
      <c r="A22" s="1149" t="s">
        <v>949</v>
      </c>
    </row>
    <row r="23" spans="1:1" ht="15.6">
      <c r="A23" s="1149" t="s">
        <v>950</v>
      </c>
    </row>
    <row r="24" spans="1:1" ht="15.6">
      <c r="A24" s="1149" t="s">
        <v>951</v>
      </c>
    </row>
    <row r="25" spans="1:1" ht="15.6">
      <c r="A25" s="1149" t="s">
        <v>952</v>
      </c>
    </row>
    <row r="26" spans="1:1" ht="15.6">
      <c r="A26" s="1153" t="s">
        <v>953</v>
      </c>
    </row>
    <row r="27" spans="1:1" ht="15.6">
      <c r="A27" s="1149" t="s">
        <v>954</v>
      </c>
    </row>
    <row r="28" spans="1:1" ht="15.6">
      <c r="A28" s="1149" t="s">
        <v>955</v>
      </c>
    </row>
    <row r="29" spans="1:1" ht="15.6">
      <c r="A29" s="1149" t="s">
        <v>956</v>
      </c>
    </row>
    <row r="30" spans="1:1" ht="15.6">
      <c r="A30" s="1149" t="s">
        <v>957</v>
      </c>
    </row>
    <row r="31" spans="1:1" ht="15.6">
      <c r="A31" s="1149" t="s">
        <v>958</v>
      </c>
    </row>
    <row r="32" spans="1:1" ht="15.6">
      <c r="A32" s="1149" t="s">
        <v>959</v>
      </c>
    </row>
    <row r="33" spans="1:1" ht="15.6">
      <c r="A33" s="1149" t="s">
        <v>960</v>
      </c>
    </row>
    <row r="34" spans="1:1" ht="15.6">
      <c r="A34" s="1149" t="s">
        <v>961</v>
      </c>
    </row>
    <row r="35" spans="1:1" ht="15.6">
      <c r="A35" s="1149" t="s">
        <v>962</v>
      </c>
    </row>
    <row r="36" spans="1:1" ht="15.6">
      <c r="A36" s="1149" t="s">
        <v>963</v>
      </c>
    </row>
    <row r="37" spans="1:1" ht="15.6">
      <c r="A37" s="1149" t="s">
        <v>964</v>
      </c>
    </row>
    <row r="38" spans="1:1" ht="15.6">
      <c r="A38" s="1149" t="s">
        <v>965</v>
      </c>
    </row>
    <row r="39" spans="1:1" ht="15.6">
      <c r="A39" s="1149" t="s">
        <v>966</v>
      </c>
    </row>
    <row r="40" spans="1:1" ht="15.6">
      <c r="A40" s="1149" t="s">
        <v>967</v>
      </c>
    </row>
    <row r="41" spans="1:1">
      <c r="A41" s="1151" t="s">
        <v>968</v>
      </c>
    </row>
    <row r="42" spans="1:1">
      <c r="A42" s="1151" t="s">
        <v>969</v>
      </c>
    </row>
    <row r="43" spans="1:1">
      <c r="A43" s="1151" t="s">
        <v>970</v>
      </c>
    </row>
    <row r="44" spans="1:1" ht="15.6">
      <c r="A44" s="1149" t="s">
        <v>971</v>
      </c>
    </row>
    <row r="45" spans="1:1" ht="15.6">
      <c r="A45" s="1149" t="s">
        <v>972</v>
      </c>
    </row>
    <row r="46" spans="1:1" ht="15.6">
      <c r="A46" s="1149" t="s">
        <v>973</v>
      </c>
    </row>
    <row r="47" spans="1:1" ht="15.6">
      <c r="A47" s="1149" t="s">
        <v>974</v>
      </c>
    </row>
    <row r="48" spans="1:1" ht="15.6">
      <c r="A48" s="1149" t="s">
        <v>975</v>
      </c>
    </row>
    <row r="49" spans="1:1" ht="15.6">
      <c r="A49" s="1149" t="s">
        <v>976</v>
      </c>
    </row>
    <row r="50" spans="1:1" ht="15.6">
      <c r="A50" s="1149" t="s">
        <v>977</v>
      </c>
    </row>
    <row r="51" spans="1:1" ht="15.6">
      <c r="A51" s="1149" t="s">
        <v>978</v>
      </c>
    </row>
    <row r="52" spans="1:1" ht="15.6">
      <c r="A52" s="1149" t="s">
        <v>979</v>
      </c>
    </row>
    <row r="53" spans="1:1" ht="15.6">
      <c r="A53" s="1149" t="s">
        <v>980</v>
      </c>
    </row>
    <row r="54" spans="1:1" ht="15.6">
      <c r="A54" s="1149" t="s">
        <v>981</v>
      </c>
    </row>
    <row r="55" spans="1:1" ht="15.6">
      <c r="A55" s="1149" t="s">
        <v>982</v>
      </c>
    </row>
    <row r="56" spans="1:1" ht="15.6">
      <c r="A56" s="1149" t="s">
        <v>983</v>
      </c>
    </row>
    <row r="57" spans="1:1" ht="15.6">
      <c r="A57" s="1149" t="s">
        <v>984</v>
      </c>
    </row>
    <row r="58" spans="1:1" ht="15.6">
      <c r="A58" s="1150" t="s">
        <v>985</v>
      </c>
    </row>
    <row r="59" spans="1:1" ht="15.6">
      <c r="A59" s="1152"/>
    </row>
    <row r="60" spans="1:1" ht="15.6">
      <c r="A60" s="1152" t="s">
        <v>986</v>
      </c>
    </row>
    <row r="61" spans="1:1" ht="15.6">
      <c r="A61" s="1152"/>
    </row>
    <row r="62" spans="1:1" ht="15.6">
      <c r="A62" s="1152" t="s">
        <v>987</v>
      </c>
    </row>
    <row r="63" spans="1:1" ht="15.6">
      <c r="A63" s="1152"/>
    </row>
  </sheetData>
  <hyperlinks>
    <hyperlink ref="A8" r:id="rId1" tooltip="Parque Nacional de Saraguro" display="http://www.ambiente.gob.ec/?q=node/66" xr:uid="{00000000-0004-0000-2E00-000000000000}"/>
    <hyperlink ref="A41" r:id="rId2" tooltip="Parque Binacional El COndor" display="http://www.ambiente.gob.ec/?q=node/73" xr:uid="{00000000-0004-0000-2E00-000001000000}"/>
    <hyperlink ref="A42" r:id="rId3" tooltip="Refugio de Vida Silvestre El Zarza" display="http://www.ambiente.gob.ec/?q=node/95" xr:uid="{00000000-0004-0000-2E00-000002000000}"/>
    <hyperlink ref="A43" r:id="rId4" tooltip="Reserva Biológica El Quimi" display="http://www.ambiente.gob.ec/?q=node/71" xr:uid="{00000000-0004-0000-2E00-000003000000}"/>
  </hyperlinks>
  <pageMargins left="0.7" right="0.7" top="0.75" bottom="0.75" header="0.3" footer="0.3"/>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56</vt:i4>
      </vt:variant>
      <vt:variant>
        <vt:lpstr>Rangos con nombre</vt:lpstr>
      </vt:variant>
      <vt:variant>
        <vt:i4>13</vt:i4>
      </vt:variant>
    </vt:vector>
  </HeadingPairs>
  <TitlesOfParts>
    <vt:vector size="69" baseType="lpstr">
      <vt:lpstr>Origen de datos QT</vt:lpstr>
      <vt:lpstr>DATOS-EC-UIO</vt:lpstr>
      <vt:lpstr>Llegadas </vt:lpstr>
      <vt:lpstr>Llegadas x nacionalidad</vt:lpstr>
      <vt:lpstr>Cifras Clave</vt:lpstr>
      <vt:lpstr>Sugeridos-estancia-gasto</vt:lpstr>
      <vt:lpstr>Tendencias nacionalidad</vt:lpstr>
      <vt:lpstr>Datos Aeropuerto AMS</vt:lpstr>
      <vt:lpstr>Ventas locales tur uio</vt:lpstr>
      <vt:lpstr>Puntos_información_QT</vt:lpstr>
      <vt:lpstr>Ventas-locales Base</vt:lpstr>
      <vt:lpstr>Museos UIO</vt:lpstr>
      <vt:lpstr>MICE-ICCA </vt:lpstr>
      <vt:lpstr>ICCA</vt:lpstr>
      <vt:lpstr>PIB Turistico DMQ</vt:lpstr>
      <vt:lpstr>Resume_FF</vt:lpstr>
      <vt:lpstr>FEB-MAR-Carnaval</vt:lpstr>
      <vt:lpstr>ABR-Semana Santa</vt:lpstr>
      <vt:lpstr>MAY-Trabajo</vt:lpstr>
      <vt:lpstr>MAY-Bat Pich</vt:lpstr>
      <vt:lpstr>AGO-Primer grito</vt:lpstr>
      <vt:lpstr>OCT-Ind.GYE</vt:lpstr>
      <vt:lpstr>NOV-Finados</vt:lpstr>
      <vt:lpstr>DIC-FFQQ</vt:lpstr>
      <vt:lpstr>DIC-FF Navidad</vt:lpstr>
      <vt:lpstr>DIC-Fin Año</vt:lpstr>
      <vt:lpstr>4x4 EOH</vt:lpstr>
      <vt:lpstr>TOH (hist) </vt:lpstr>
      <vt:lpstr>TOH (hist)  (2)</vt:lpstr>
      <vt:lpstr>Ingresos (hist)</vt:lpstr>
      <vt:lpstr>Estancia hotelera</vt:lpstr>
      <vt:lpstr>Estancia hotelera (PAISES)</vt:lpstr>
      <vt:lpstr>Tarifa Promedio Hab ocupada</vt:lpstr>
      <vt:lpstr>RevPar tar_hab_Disponible</vt:lpstr>
      <vt:lpstr>establecimientos UIO</vt:lpstr>
      <vt:lpstr>% y # establecimientos act econ</vt:lpstr>
      <vt:lpstr>Actividades económicas TUR</vt:lpstr>
      <vt:lpstr>Transporte TUR</vt:lpstr>
      <vt:lpstr>Aloj x categoria</vt:lpstr>
      <vt:lpstr>Aloj-Capacidad-TASA</vt:lpstr>
      <vt:lpstr>Aloj x sectores</vt:lpstr>
      <vt:lpstr>EMPLEO_tur_DMQ</vt:lpstr>
      <vt:lpstr>perfil-mas visitado</vt:lpstr>
      <vt:lpstr>perfil-Alrededor_parroquia</vt:lpstr>
      <vt:lpstr>Perfil-otras-cyties</vt:lpstr>
      <vt:lpstr>Ingresos-divisas</vt:lpstr>
      <vt:lpstr>perfil-Dist_Gasto</vt:lpstr>
      <vt:lpstr>perfil-Nvl_Educ</vt:lpstr>
      <vt:lpstr>perfil-Edad</vt:lpstr>
      <vt:lpstr>perfil-Motivo Viaje-2015</vt:lpstr>
      <vt:lpstr>perfil-Razon llegada</vt:lpstr>
      <vt:lpstr>perfil-Medio Info</vt:lpstr>
      <vt:lpstr>perfil-viaja con</vt:lpstr>
      <vt:lpstr>perfil-Organiza viaje</vt:lpstr>
      <vt:lpstr>perfil-Hospedaje tipo</vt:lpstr>
      <vt:lpstr>SNAP</vt:lpstr>
      <vt:lpstr>'Origen de datos QT'!_Toc10467452</vt:lpstr>
      <vt:lpstr>'Origen de datos QT'!_Toc10467453</vt:lpstr>
      <vt:lpstr>'Origen de datos QT'!_Toc10467454</vt:lpstr>
      <vt:lpstr>'Origen de datos QT'!_Toc10467460</vt:lpstr>
      <vt:lpstr>'Origen de datos QT'!_Toc10467462</vt:lpstr>
      <vt:lpstr>'Origen de datos QT'!_Toc10467463</vt:lpstr>
      <vt:lpstr>'DATOS-EC-UIO'!Área_de_impresión</vt:lpstr>
      <vt:lpstr>'Llegadas x nacionalidad'!Área_de_impresión</vt:lpstr>
      <vt:lpstr>'Tendencias nacionalidad'!Área_de_impresión</vt:lpstr>
      <vt:lpstr>'DATOS-EC-UIO'!Títulos_a_imprimir</vt:lpstr>
      <vt:lpstr>'Origen de datos QT'!Títulos_a_imprimir</vt:lpstr>
      <vt:lpstr>Resume_FF!Títulos_a_imprimir</vt:lpstr>
      <vt:lpstr>'Tendencias nacionalidad'!Títulos_a_imprimir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Sosa</dc:creator>
  <cp:lastModifiedBy>Ruben Banda</cp:lastModifiedBy>
  <cp:lastPrinted>2022-01-05T14:27:43Z</cp:lastPrinted>
  <dcterms:created xsi:type="dcterms:W3CDTF">2017-06-02T14:40:17Z</dcterms:created>
  <dcterms:modified xsi:type="dcterms:W3CDTF">2022-02-02T20:24:20Z</dcterms:modified>
</cp:coreProperties>
</file>